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2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tables/table1.xml" ContentType="application/vnd.openxmlformats-officedocument.spreadsheetml.table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XPCon\Porto Cerro\04. Custo\03.4 Custo - Fechamento\R01\"/>
    </mc:Choice>
  </mc:AlternateContent>
  <xr:revisionPtr revIDLastSave="0" documentId="13_ncr:1_{CFE977DB-4A3B-400E-8355-B3E968C68D21}" xr6:coauthVersionLast="47" xr6:coauthVersionMax="47" xr10:uidLastSave="{00000000-0000-0000-0000-000000000000}"/>
  <bookViews>
    <workbookView xWindow="2445" yWindow="2340" windowWidth="23010" windowHeight="12210" tabRatio="781" xr2:uid="{00000000-000D-0000-FFFF-FFFF00000000}"/>
  </bookViews>
  <sheets>
    <sheet name="Obra " sheetId="432" r:id="rId1"/>
    <sheet name="Comparativo" sheetId="475" r:id="rId2"/>
    <sheet name="Ger_Tec e Adm" sheetId="446" r:id="rId3"/>
    <sheet name="Ger_Executivo" sheetId="436" r:id="rId4"/>
    <sheet name="Esquadrias" sheetId="445" state="hidden" r:id="rId5"/>
    <sheet name="EPCs" sheetId="433" r:id="rId6"/>
    <sheet name="CANTEIRO" sheetId="434" r:id="rId7"/>
    <sheet name="Ensaios " sheetId="440" r:id="rId8"/>
    <sheet name="Estacas" sheetId="344" r:id="rId9"/>
    <sheet name="Fundação Rasa" sheetId="438" r:id="rId10"/>
    <sheet name="Aço_Infraestrutura" sheetId="211" r:id="rId11"/>
    <sheet name="Supraestrutura" sheetId="401" r:id="rId12"/>
    <sheet name="ALVENARIA ESTRUTURAL" sheetId="441" r:id="rId13"/>
    <sheet name="Arquitetura" sheetId="447" r:id="rId14"/>
    <sheet name="Complementares" sheetId="442" state="hidden" r:id="rId15"/>
    <sheet name="PRECIFICAÇÃO ESQUADRIAS" sheetId="448" r:id="rId16"/>
    <sheet name="Louças e metais" sheetId="473" r:id="rId17"/>
    <sheet name="Instalações" sheetId="444" r:id="rId18"/>
    <sheet name="GÁS" sheetId="449" r:id="rId19"/>
    <sheet name="HIDRANTES" sheetId="453" r:id="rId20"/>
    <sheet name="PREVENTIVO" sheetId="455" r:id="rId21"/>
    <sheet name="SPDA" sheetId="458" r:id="rId22"/>
    <sheet name="CLIMATIZAÇÃO" sheetId="459" r:id="rId23"/>
    <sheet name="HIDROSSANITÁRIO" sheetId="471" r:id="rId24"/>
    <sheet name="COMUNICAÇÃO" sheetId="476" r:id="rId25"/>
    <sheet name="INST ELÉTRICAS" sheetId="463" r:id="rId26"/>
    <sheet name="PISCINA" sheetId="474" r:id="rId27"/>
  </sheets>
  <definedNames>
    <definedName name="\0" localSheetId="24">#REF!</definedName>
    <definedName name="\0" localSheetId="7">#REF!</definedName>
    <definedName name="\0" localSheetId="3">#REF!</definedName>
    <definedName name="\0" localSheetId="0">#REF!</definedName>
    <definedName name="\0">#REF!</definedName>
    <definedName name="\1" localSheetId="7">#REF!</definedName>
    <definedName name="\1" localSheetId="3">#REF!</definedName>
    <definedName name="\1">#REF!</definedName>
    <definedName name="\a" localSheetId="24">#REF!</definedName>
    <definedName name="\a" localSheetId="7">#REF!</definedName>
    <definedName name="\a" localSheetId="3">#REF!</definedName>
    <definedName name="\a" localSheetId="0">#REF!</definedName>
    <definedName name="\a">#REF!</definedName>
    <definedName name="\b" localSheetId="7">#REF!</definedName>
    <definedName name="\b" localSheetId="3">#REF!</definedName>
    <definedName name="\b">#REF!</definedName>
    <definedName name="\c" localSheetId="7">#REF!</definedName>
    <definedName name="\c" localSheetId="3">#REF!</definedName>
    <definedName name="\c">#REF!</definedName>
    <definedName name="\d" localSheetId="7">#REF!</definedName>
    <definedName name="\d" localSheetId="3">#REF!</definedName>
    <definedName name="\d">#REF!</definedName>
    <definedName name="\e" localSheetId="7">#REF!</definedName>
    <definedName name="\e" localSheetId="3">#REF!</definedName>
    <definedName name="\e">#REF!</definedName>
    <definedName name="\i" localSheetId="7">#REF!</definedName>
    <definedName name="\i" localSheetId="3">#REF!</definedName>
    <definedName name="\i">#REF!</definedName>
    <definedName name="\J" localSheetId="7">#REF!</definedName>
    <definedName name="\J" localSheetId="3">#REF!</definedName>
    <definedName name="\J">#REF!</definedName>
    <definedName name="\k" localSheetId="7">#REF!</definedName>
    <definedName name="\k" localSheetId="3">#REF!</definedName>
    <definedName name="\k">#REF!</definedName>
    <definedName name="\l">#N/A</definedName>
    <definedName name="\m" localSheetId="24">#REF!</definedName>
    <definedName name="\m" localSheetId="7">#REF!</definedName>
    <definedName name="\m" localSheetId="3">#REF!</definedName>
    <definedName name="\m" localSheetId="0">#REF!</definedName>
    <definedName name="\m">#REF!</definedName>
    <definedName name="\o" localSheetId="7">#REF!</definedName>
    <definedName name="\o" localSheetId="3">#REF!</definedName>
    <definedName name="\o">#REF!</definedName>
    <definedName name="\p" localSheetId="7">#REF!</definedName>
    <definedName name="\p" localSheetId="3">#REF!</definedName>
    <definedName name="\p">#REF!</definedName>
    <definedName name="\r" localSheetId="7">#REF!</definedName>
    <definedName name="\r" localSheetId="3">#REF!</definedName>
    <definedName name="\r">#REF!</definedName>
    <definedName name="\T" localSheetId="7">#REF!</definedName>
    <definedName name="\T" localSheetId="3">#REF!</definedName>
    <definedName name="\T">#REF!</definedName>
    <definedName name="\xasd" localSheetId="24" hidden="1">{#N/A,#N/A,FALSE,"Plan1";#N/A,#N/A,FALSE,"Plan2"}</definedName>
    <definedName name="\xasd" localSheetId="7" hidden="1">{#N/A,#N/A,FALSE,"Plan1";#N/A,#N/A,FALSE,"Plan2"}</definedName>
    <definedName name="\xasd" localSheetId="9" hidden="1">{#N/A,#N/A,FALSE,"Plan1";#N/A,#N/A,FALSE,"Plan2"}</definedName>
    <definedName name="\xasd" localSheetId="3" hidden="1">{#N/A,#N/A,FALSE,"Plan1";#N/A,#N/A,FALSE,"Plan2"}</definedName>
    <definedName name="\xasd" localSheetId="2" hidden="1">{#N/A,#N/A,FALSE,"Plan1";#N/A,#N/A,FALSE,"Plan2"}</definedName>
    <definedName name="\xasd" localSheetId="16" hidden="1">{#N/A,#N/A,FALSE,"Plan1";#N/A,#N/A,FALSE,"Plan2"}</definedName>
    <definedName name="\xasd" localSheetId="0" hidden="1">{#N/A,#N/A,FALSE,"Plan1";#N/A,#N/A,FALSE,"Plan2"}</definedName>
    <definedName name="\xasd" localSheetId="26" hidden="1">{#N/A,#N/A,FALSE,"Plan1";#N/A,#N/A,FALSE,"Plan2"}</definedName>
    <definedName name="\xasd" localSheetId="11" hidden="1">{#N/A,#N/A,FALSE,"Plan1";#N/A,#N/A,FALSE,"Plan2"}</definedName>
    <definedName name="\xasd" hidden="1">{#N/A,#N/A,FALSE,"Plan1";#N/A,#N/A,FALSE,"Plan2"}</definedName>
    <definedName name="\z" localSheetId="7">#REF!</definedName>
    <definedName name="\z" localSheetId="9">#REF!</definedName>
    <definedName name="\z" localSheetId="3">#REF!</definedName>
    <definedName name="\z">#REF!</definedName>
    <definedName name="_" localSheetId="7" hidden="1">#REF!</definedName>
    <definedName name="_" localSheetId="0" hidden="1">#REF!</definedName>
    <definedName name="_" hidden="1">#REF!</definedName>
    <definedName name="_\0">#REF!</definedName>
    <definedName name="_\1">#REF!</definedName>
    <definedName name="_\a">#REF!</definedName>
    <definedName name="_\b">#REF!</definedName>
    <definedName name="_\c">#REF!</definedName>
    <definedName name="_\d">#REF!</definedName>
    <definedName name="_\e">#REF!</definedName>
    <definedName name="_\i">#REF!</definedName>
    <definedName name="_\J">#REF!</definedName>
    <definedName name="_\k">#REF!</definedName>
    <definedName name="_\l">#N/A</definedName>
    <definedName name="_\m">#REF!</definedName>
    <definedName name="_\o">#REF!</definedName>
    <definedName name="_\p">#REF!</definedName>
    <definedName name="_\r">#REF!</definedName>
    <definedName name="_\T">#REF!</definedName>
    <definedName name="_\xasd" localSheetId="24" hidden="1">{#N/A,#N/A,FALSE,"Plan1";#N/A,#N/A,FALSE,"Plan2"}</definedName>
    <definedName name="_\xasd" localSheetId="2" hidden="1">{#N/A,#N/A,FALSE,"Plan1";#N/A,#N/A,FALSE,"Plan2"}</definedName>
    <definedName name="_\xasd" localSheetId="16" hidden="1">{#N/A,#N/A,FALSE,"Plan1";#N/A,#N/A,FALSE,"Plan2"}</definedName>
    <definedName name="_\xasd" localSheetId="26" hidden="1">{#N/A,#N/A,FALSE,"Plan1";#N/A,#N/A,FALSE,"Plan2"}</definedName>
    <definedName name="_\xasd" hidden="1">{#N/A,#N/A,FALSE,"Plan1";#N/A,#N/A,FALSE,"Plan2"}</definedName>
    <definedName name="_\z">#REF!</definedName>
    <definedName name="__" localSheetId="0" hidden="1">#REF!</definedName>
    <definedName name="__" hidden="1">#REF!</definedName>
    <definedName name="________________r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 localSheetId="24">#REF!</definedName>
    <definedName name="______ACR10" localSheetId="7">#REF!</definedName>
    <definedName name="______ACR10" localSheetId="3">#REF!</definedName>
    <definedName name="______ACR10" localSheetId="26">#REF!</definedName>
    <definedName name="______ACR10">#REF!</definedName>
    <definedName name="______ACR15" localSheetId="7">#REF!</definedName>
    <definedName name="______ACR15" localSheetId="3">#REF!</definedName>
    <definedName name="______ACR15">#REF!</definedName>
    <definedName name="______acr20" localSheetId="7">#REF!</definedName>
    <definedName name="______acr20" localSheetId="3">#REF!</definedName>
    <definedName name="______acr20">#REF!</definedName>
    <definedName name="______acr5" localSheetId="7">#REF!</definedName>
    <definedName name="______acr5" localSheetId="3">#REF!</definedName>
    <definedName name="______acr5">#REF!</definedName>
    <definedName name="______ARQ1" localSheetId="7">#REF!</definedName>
    <definedName name="______ARQ1" localSheetId="3">#REF!</definedName>
    <definedName name="______ARQ1">#REF!</definedName>
    <definedName name="______QT100" localSheetId="7">#REF!</definedName>
    <definedName name="______QT100" localSheetId="3">#REF!</definedName>
    <definedName name="______QT100">#REF!</definedName>
    <definedName name="______QT2" localSheetId="7">#REF!</definedName>
    <definedName name="______QT2" localSheetId="3">#REF!</definedName>
    <definedName name="______QT2">#REF!</definedName>
    <definedName name="______QT3" localSheetId="7">#REF!</definedName>
    <definedName name="______QT3" localSheetId="3">#REF!</definedName>
    <definedName name="______QT3">#REF!</definedName>
    <definedName name="______QT4" localSheetId="7">#REF!</definedName>
    <definedName name="______QT4" localSheetId="3">#REF!</definedName>
    <definedName name="______QT4">#REF!</definedName>
    <definedName name="______QT50" localSheetId="7">#REF!</definedName>
    <definedName name="______QT50" localSheetId="3">#REF!</definedName>
    <definedName name="______QT50">#REF!</definedName>
    <definedName name="______QT75" localSheetId="7">#REF!</definedName>
    <definedName name="______QT75" localSheetId="3">#REF!</definedName>
    <definedName name="______QT75">#REF!</definedName>
    <definedName name="______r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 localSheetId="24">#REF!</definedName>
    <definedName name="_____ACR10" localSheetId="7">#REF!</definedName>
    <definedName name="_____ACR10" localSheetId="3">#REF!</definedName>
    <definedName name="_____ACR10" localSheetId="26">#REF!</definedName>
    <definedName name="_____ACR10">#REF!</definedName>
    <definedName name="_____ACR15" localSheetId="7">#REF!</definedName>
    <definedName name="_____ACR15" localSheetId="3">#REF!</definedName>
    <definedName name="_____ACR15">#REF!</definedName>
    <definedName name="_____acr20" localSheetId="7">#REF!</definedName>
    <definedName name="_____acr20" localSheetId="3">#REF!</definedName>
    <definedName name="_____acr20">#REF!</definedName>
    <definedName name="_____acr5" localSheetId="7">#REF!</definedName>
    <definedName name="_____acr5" localSheetId="3">#REF!</definedName>
    <definedName name="_____acr5">#REF!</definedName>
    <definedName name="_____ARQ1" localSheetId="7">#REF!</definedName>
    <definedName name="_____ARQ1" localSheetId="3">#REF!</definedName>
    <definedName name="_____ARQ1">#REF!</definedName>
    <definedName name="_____key2" localSheetId="7" hidden="1">#REF!</definedName>
    <definedName name="_____key2" localSheetId="0" hidden="1">#REF!</definedName>
    <definedName name="_____key2" hidden="1">#REF!</definedName>
    <definedName name="_____QT100" localSheetId="7">#REF!</definedName>
    <definedName name="_____QT100" localSheetId="3">#REF!</definedName>
    <definedName name="_____QT100">#REF!</definedName>
    <definedName name="_____QT2" localSheetId="7">#REF!</definedName>
    <definedName name="_____QT2" localSheetId="3">#REF!</definedName>
    <definedName name="_____QT2">#REF!</definedName>
    <definedName name="_____QT3" localSheetId="7">#REF!</definedName>
    <definedName name="_____QT3" localSheetId="3">#REF!</definedName>
    <definedName name="_____QT3">#REF!</definedName>
    <definedName name="_____QT4" localSheetId="7">#REF!</definedName>
    <definedName name="_____QT4" localSheetId="3">#REF!</definedName>
    <definedName name="_____QT4">#REF!</definedName>
    <definedName name="_____QT50" localSheetId="7">#REF!</definedName>
    <definedName name="_____QT50" localSheetId="3">#REF!</definedName>
    <definedName name="_____QT50">#REF!</definedName>
    <definedName name="_____QT75" localSheetId="7">#REF!</definedName>
    <definedName name="_____QT75" localSheetId="3">#REF!</definedName>
    <definedName name="_____QT75">#REF!</definedName>
    <definedName name="_____r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 localSheetId="7" hidden="1">#REF!</definedName>
    <definedName name="____key2" localSheetId="3" hidden="1">#REF!</definedName>
    <definedName name="____key2" localSheetId="0" hidden="1">#REF!</definedName>
    <definedName name="____key2" hidden="1">#REF!</definedName>
    <definedName name="____la29" localSheetId="0" hidden="1">#REF!</definedName>
    <definedName name="____la29" hidden="1">#REF!</definedName>
    <definedName name="____la3" localSheetId="0" hidden="1">#REF!</definedName>
    <definedName name="____la3" hidden="1">#REF!</definedName>
    <definedName name="____la31" hidden="1">#REF!</definedName>
    <definedName name="____la32" hidden="1">#REF!</definedName>
    <definedName name="____la4" hidden="1">#REF!</definedName>
    <definedName name="____la5" hidden="1">#REF!</definedName>
    <definedName name="____la6" hidden="1">#REF!</definedName>
    <definedName name="____la7" hidden="1">#REF!</definedName>
    <definedName name="____la8" hidden="1">#REF!</definedName>
    <definedName name="____la9" hidden="1">#REF!</definedName>
    <definedName name="____lb1" hidden="1">#REF!</definedName>
    <definedName name="____lb10" hidden="1">#REF!</definedName>
    <definedName name="____lb11" hidden="1">#REF!</definedName>
    <definedName name="____lb12" hidden="1">#REF!</definedName>
    <definedName name="____lb13" hidden="1">#REF!</definedName>
    <definedName name="____lb14" hidden="1">#REF!</definedName>
    <definedName name="____lb15" hidden="1">#REF!</definedName>
    <definedName name="____lb16" hidden="1">#REF!</definedName>
    <definedName name="____lb17" hidden="1">#REF!</definedName>
    <definedName name="____lb18" hidden="1">#REF!</definedName>
    <definedName name="____lb19" hidden="1">#REF!</definedName>
    <definedName name="____lb2" hidden="1">#REF!</definedName>
    <definedName name="____lb20" hidden="1">#REF!</definedName>
    <definedName name="____lb21" hidden="1">#REF!</definedName>
    <definedName name="____lb22" hidden="1">#REF!</definedName>
    <definedName name="____lb23" hidden="1">#REF!</definedName>
    <definedName name="____lb24" hidden="1">#REF!</definedName>
    <definedName name="____lb25" hidden="1">#REF!</definedName>
    <definedName name="____lb27" hidden="1">#REF!</definedName>
    <definedName name="____lb28" hidden="1">#REF!</definedName>
    <definedName name="____lb29" hidden="1">#REF!</definedName>
    <definedName name="____lb3" hidden="1">#REF!</definedName>
    <definedName name="____lb30" hidden="1">#REF!</definedName>
    <definedName name="____lb31" hidden="1">#REF!</definedName>
    <definedName name="____lb32" hidden="1">#REF!</definedName>
    <definedName name="____lb4" hidden="1">#REF!</definedName>
    <definedName name="____lb5" hidden="1">#REF!</definedName>
    <definedName name="____lb6" hidden="1">#REF!</definedName>
    <definedName name="____lb7" hidden="1">#REF!</definedName>
    <definedName name="____lb8" hidden="1">#REF!</definedName>
    <definedName name="____lb9" hidden="1">#REF!</definedName>
    <definedName name="____lbc1" hidden="1">#REF!</definedName>
    <definedName name="____lbc10" hidden="1">#REF!</definedName>
    <definedName name="____lbc11" hidden="1">#REF!</definedName>
    <definedName name="____lbc12" hidden="1">#REF!</definedName>
    <definedName name="____lbc13" hidden="1">#REF!</definedName>
    <definedName name="____lbc14" hidden="1">#REF!</definedName>
    <definedName name="____lbc15" hidden="1">#REF!</definedName>
    <definedName name="____lbc16" hidden="1">#REF!</definedName>
    <definedName name="____lbc17" hidden="1">#REF!</definedName>
    <definedName name="____lbc18" hidden="1">#REF!</definedName>
    <definedName name="____lbc19" hidden="1">#REF!</definedName>
    <definedName name="____lbc2" hidden="1">#REF!</definedName>
    <definedName name="____lbc20" hidden="1">#REF!</definedName>
    <definedName name="____lbc21" hidden="1">#REF!</definedName>
    <definedName name="____lbc22" hidden="1">#REF!</definedName>
    <definedName name="____lbc23" hidden="1">#REF!</definedName>
    <definedName name="____lbc24" hidden="1">#REF!</definedName>
    <definedName name="____lbc25" hidden="1">#REF!</definedName>
    <definedName name="____lbc26" hidden="1">#REF!</definedName>
    <definedName name="____lbc27" hidden="1">#REF!</definedName>
    <definedName name="____lbc28" hidden="1">#REF!</definedName>
    <definedName name="____lbc29" hidden="1">#REF!</definedName>
    <definedName name="____lbc3" hidden="1">#REF!</definedName>
    <definedName name="____lbc31" hidden="1">#REF!</definedName>
    <definedName name="____lbc32" hidden="1">#REF!</definedName>
    <definedName name="____lbc4" hidden="1">#REF!</definedName>
    <definedName name="____lbc5" hidden="1">#REF!</definedName>
    <definedName name="____lbc6" hidden="1">#REF!</definedName>
    <definedName name="____lbc7" hidden="1">#REF!</definedName>
    <definedName name="____lbc8" hidden="1">#REF!</definedName>
    <definedName name="____lbc9" hidden="1">#REF!</definedName>
    <definedName name="____ld26" hidden="1">#REF!</definedName>
    <definedName name="____ld31" hidden="1">#REF!</definedName>
    <definedName name="____le31" hidden="1">#REF!</definedName>
    <definedName name="____lf31" hidden="1">#REF!</definedName>
    <definedName name="____PK2" localSheetId="24" hidden="1">{"'장비'!$A$3:$M$12"}</definedName>
    <definedName name="____PK2" localSheetId="7" hidden="1">{"'장비'!$A$3:$M$12"}</definedName>
    <definedName name="____PK2" localSheetId="9" hidden="1">{"'장비'!$A$3:$M$12"}</definedName>
    <definedName name="____PK2" localSheetId="3" hidden="1">{"'장비'!$A$3:$M$12"}</definedName>
    <definedName name="____PK2" localSheetId="2" hidden="1">{"'장비'!$A$3:$M$12"}</definedName>
    <definedName name="____PK2" localSheetId="16" hidden="1">{"'장비'!$A$3:$M$12"}</definedName>
    <definedName name="____PK2" localSheetId="0" hidden="1">{"'장비'!$A$3:$M$12"}</definedName>
    <definedName name="____PK2" localSheetId="26" hidden="1">{"'장비'!$A$3:$M$12"}</definedName>
    <definedName name="____PK2" localSheetId="11" hidden="1">{"'장비'!$A$3:$M$12"}</definedName>
    <definedName name="____PK2" hidden="1">{"'장비'!$A$3:$M$12"}</definedName>
    <definedName name="____PKG3" localSheetId="24" hidden="1">{"'장비'!$A$3:$M$12"}</definedName>
    <definedName name="____PKG3" localSheetId="7" hidden="1">{"'장비'!$A$3:$M$12"}</definedName>
    <definedName name="____PKG3" localSheetId="9" hidden="1">{"'장비'!$A$3:$M$12"}</definedName>
    <definedName name="____PKG3" localSheetId="3" hidden="1">{"'장비'!$A$3:$M$12"}</definedName>
    <definedName name="____PKG3" localSheetId="2" hidden="1">{"'장비'!$A$3:$M$12"}</definedName>
    <definedName name="____PKG3" localSheetId="16" hidden="1">{"'장비'!$A$3:$M$12"}</definedName>
    <definedName name="____PKG3" localSheetId="0" hidden="1">{"'장비'!$A$3:$M$12"}</definedName>
    <definedName name="____PKG3" localSheetId="26" hidden="1">{"'장비'!$A$3:$M$12"}</definedName>
    <definedName name="____PKG3" localSheetId="11" hidden="1">{"'장비'!$A$3:$M$12"}</definedName>
    <definedName name="____PKG3" hidden="1">{"'장비'!$A$3:$M$12"}</definedName>
    <definedName name="____qqq222" localSheetId="24" hidden="1">{"'장비'!$A$3:$M$12"}</definedName>
    <definedName name="____qqq222" localSheetId="7" hidden="1">{"'장비'!$A$3:$M$12"}</definedName>
    <definedName name="____qqq222" localSheetId="9" hidden="1">{"'장비'!$A$3:$M$12"}</definedName>
    <definedName name="____qqq222" localSheetId="3" hidden="1">{"'장비'!$A$3:$M$12"}</definedName>
    <definedName name="____qqq222" localSheetId="2" hidden="1">{"'장비'!$A$3:$M$12"}</definedName>
    <definedName name="____qqq222" localSheetId="16" hidden="1">{"'장비'!$A$3:$M$12"}</definedName>
    <definedName name="____qqq222" localSheetId="0" hidden="1">{"'장비'!$A$3:$M$12"}</definedName>
    <definedName name="____qqq222" localSheetId="26" hidden="1">{"'장비'!$A$3:$M$12"}</definedName>
    <definedName name="____qqq222" localSheetId="11" hidden="1">{"'장비'!$A$3:$M$12"}</definedName>
    <definedName name="____qqq222" hidden="1">{"'장비'!$A$3:$M$12"}</definedName>
    <definedName name="____r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 localSheetId="7" hidden="1">#REF!</definedName>
    <definedName name="____x10" localSheetId="9" hidden="1">#REF!</definedName>
    <definedName name="____x10" hidden="1">#REF!</definedName>
    <definedName name="____x11" localSheetId="7" hidden="1">#REF!</definedName>
    <definedName name="____x11" localSheetId="9" hidden="1">#REF!</definedName>
    <definedName name="____x11" hidden="1">#REF!</definedName>
    <definedName name="____x12" localSheetId="7" hidden="1">#REF!</definedName>
    <definedName name="____x12" localSheetId="9" hidden="1">#REF!</definedName>
    <definedName name="____x12" hidden="1">#REF!</definedName>
    <definedName name="____x13" hidden="1">#REF!</definedName>
    <definedName name="____x14" hidden="1">#REF!</definedName>
    <definedName name="____x15" hidden="1">#REF!</definedName>
    <definedName name="____x16" hidden="1">#REF!</definedName>
    <definedName name="____x17" hidden="1">#REF!</definedName>
    <definedName name="____x18" hidden="1">#REF!</definedName>
    <definedName name="____x19" hidden="1">#REF!</definedName>
    <definedName name="____x20" hidden="1">#REF!</definedName>
    <definedName name="____x21" hidden="1">#REF!</definedName>
    <definedName name="____x22" hidden="1">#REF!</definedName>
    <definedName name="____x23" hidden="1">#REF!</definedName>
    <definedName name="____x24" hidden="1">#REF!</definedName>
    <definedName name="____x25" hidden="1">#REF!</definedName>
    <definedName name="____x28" hidden="1">#REF!</definedName>
    <definedName name="____x29" hidden="1">#REF!</definedName>
    <definedName name="____x32" hidden="1">#REF!</definedName>
    <definedName name="____x4" hidden="1">#REF!</definedName>
    <definedName name="____x5" hidden="1">#REF!</definedName>
    <definedName name="____x6" hidden="1">#REF!</definedName>
    <definedName name="____x7" hidden="1">#REF!</definedName>
    <definedName name="____x8" hidden="1">#REF!</definedName>
    <definedName name="____x9" hidden="1">#REF!</definedName>
    <definedName name="___ACR10" localSheetId="7">#REF!</definedName>
    <definedName name="___ACR10" localSheetId="3">#REF!</definedName>
    <definedName name="___ACR10">#REF!</definedName>
    <definedName name="___ACR15" localSheetId="7">#REF!</definedName>
    <definedName name="___ACR15" localSheetId="3">#REF!</definedName>
    <definedName name="___ACR15">#REF!</definedName>
    <definedName name="___acr20" localSheetId="7">#REF!</definedName>
    <definedName name="___acr20" localSheetId="3">#REF!</definedName>
    <definedName name="___acr20">#REF!</definedName>
    <definedName name="___acr5" localSheetId="7">#REF!</definedName>
    <definedName name="___acr5" localSheetId="3">#REF!</definedName>
    <definedName name="___acr5">#REF!</definedName>
    <definedName name="___ARQ1" localSheetId="7">#REF!</definedName>
    <definedName name="___ARQ1" localSheetId="3">#REF!</definedName>
    <definedName name="___ARQ1">#REF!</definedName>
    <definedName name="___CO2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 localSheetId="7" hidden="1">#REF!</definedName>
    <definedName name="___key2" localSheetId="3" hidden="1">#REF!</definedName>
    <definedName name="___key2" localSheetId="0" hidden="1">#REF!</definedName>
    <definedName name="___key2" hidden="1">#REF!</definedName>
    <definedName name="___la29" localSheetId="0" hidden="1">#REF!</definedName>
    <definedName name="___la29" hidden="1">#REF!</definedName>
    <definedName name="___la3" localSheetId="0" hidden="1">#REF!</definedName>
    <definedName name="___la3" hidden="1">#REF!</definedName>
    <definedName name="___la31" hidden="1">#REF!</definedName>
    <definedName name="___la32" hidden="1">#REF!</definedName>
    <definedName name="___la4" hidden="1">#REF!</definedName>
    <definedName name="___la5" hidden="1">#REF!</definedName>
    <definedName name="___la6" hidden="1">#REF!</definedName>
    <definedName name="___la7" hidden="1">#REF!</definedName>
    <definedName name="___la8" hidden="1">#REF!</definedName>
    <definedName name="___la9" hidden="1">#REF!</definedName>
    <definedName name="___lb1" hidden="1">#REF!</definedName>
    <definedName name="___lb10" hidden="1">#REF!</definedName>
    <definedName name="___lb11" hidden="1">#REF!</definedName>
    <definedName name="___lb12" hidden="1">#REF!</definedName>
    <definedName name="___lb13" hidden="1">#REF!</definedName>
    <definedName name="___lb14" hidden="1">#REF!</definedName>
    <definedName name="___lb15" hidden="1">#REF!</definedName>
    <definedName name="___lb16" hidden="1">#REF!</definedName>
    <definedName name="___lb17" hidden="1">#REF!</definedName>
    <definedName name="___lb18" hidden="1">#REF!</definedName>
    <definedName name="___lb19" hidden="1">#REF!</definedName>
    <definedName name="___lb2" hidden="1">#REF!</definedName>
    <definedName name="___lb20" hidden="1">#REF!</definedName>
    <definedName name="___lb21" hidden="1">#REF!</definedName>
    <definedName name="___lb22" hidden="1">#REF!</definedName>
    <definedName name="___lb23" hidden="1">#REF!</definedName>
    <definedName name="___lb24" hidden="1">#REF!</definedName>
    <definedName name="___lb25" hidden="1">#REF!</definedName>
    <definedName name="___lb27" hidden="1">#REF!</definedName>
    <definedName name="___lb28" hidden="1">#REF!</definedName>
    <definedName name="___lb29" hidden="1">#REF!</definedName>
    <definedName name="___lb3" hidden="1">#REF!</definedName>
    <definedName name="___lb30" hidden="1">#REF!</definedName>
    <definedName name="___lb31" hidden="1">#REF!</definedName>
    <definedName name="___lb32" hidden="1">#REF!</definedName>
    <definedName name="___lb4" hidden="1">#REF!</definedName>
    <definedName name="___lb5" hidden="1">#REF!</definedName>
    <definedName name="___lb6" hidden="1">#REF!</definedName>
    <definedName name="___lb7" hidden="1">#REF!</definedName>
    <definedName name="___lb8" hidden="1">#REF!</definedName>
    <definedName name="___lb9" hidden="1">#REF!</definedName>
    <definedName name="___lbc1" hidden="1">#REF!</definedName>
    <definedName name="___lbc10" hidden="1">#REF!</definedName>
    <definedName name="___lbc11" hidden="1">#REF!</definedName>
    <definedName name="___lbc12" hidden="1">#REF!</definedName>
    <definedName name="___lbc13" hidden="1">#REF!</definedName>
    <definedName name="___lbc14" hidden="1">#REF!</definedName>
    <definedName name="___lbc15" hidden="1">#REF!</definedName>
    <definedName name="___lbc16" hidden="1">#REF!</definedName>
    <definedName name="___lbc17" hidden="1">#REF!</definedName>
    <definedName name="___lbc18" hidden="1">#REF!</definedName>
    <definedName name="___lbc19" hidden="1">#REF!</definedName>
    <definedName name="___lbc2" hidden="1">#REF!</definedName>
    <definedName name="___lbc20" hidden="1">#REF!</definedName>
    <definedName name="___lbc21" hidden="1">#REF!</definedName>
    <definedName name="___lbc22" hidden="1">#REF!</definedName>
    <definedName name="___lbc23" hidden="1">#REF!</definedName>
    <definedName name="___lbc24" hidden="1">#REF!</definedName>
    <definedName name="___lbc25" hidden="1">#REF!</definedName>
    <definedName name="___lbc26" hidden="1">#REF!</definedName>
    <definedName name="___lbc27" hidden="1">#REF!</definedName>
    <definedName name="___lbc28" hidden="1">#REF!</definedName>
    <definedName name="___lbc29" hidden="1">#REF!</definedName>
    <definedName name="___lbc3" hidden="1">#REF!</definedName>
    <definedName name="___lbc31" hidden="1">#REF!</definedName>
    <definedName name="___lbc32" hidden="1">#REF!</definedName>
    <definedName name="___lbc4" hidden="1">#REF!</definedName>
    <definedName name="___lbc5" hidden="1">#REF!</definedName>
    <definedName name="___lbc6" hidden="1">#REF!</definedName>
    <definedName name="___lbc7" hidden="1">#REF!</definedName>
    <definedName name="___lbc8" hidden="1">#REF!</definedName>
    <definedName name="___lbc9" hidden="1">#REF!</definedName>
    <definedName name="___ld26" hidden="1">#REF!</definedName>
    <definedName name="___ld31" hidden="1">#REF!</definedName>
    <definedName name="___le31" hidden="1">#REF!</definedName>
    <definedName name="___lf31" hidden="1">#REF!</definedName>
    <definedName name="___PK2" localSheetId="24" hidden="1">{"'장비'!$A$3:$M$12"}</definedName>
    <definedName name="___PK2" localSheetId="7" hidden="1">{"'장비'!$A$3:$M$12"}</definedName>
    <definedName name="___PK2" localSheetId="9" hidden="1">{"'장비'!$A$3:$M$12"}</definedName>
    <definedName name="___PK2" localSheetId="3" hidden="1">{"'장비'!$A$3:$M$12"}</definedName>
    <definedName name="___PK2" localSheetId="2" hidden="1">{"'장비'!$A$3:$M$12"}</definedName>
    <definedName name="___PK2" localSheetId="16" hidden="1">{"'장비'!$A$3:$M$12"}</definedName>
    <definedName name="___PK2" localSheetId="0" hidden="1">{"'장비'!$A$3:$M$12"}</definedName>
    <definedName name="___PK2" localSheetId="26" hidden="1">{"'장비'!$A$3:$M$12"}</definedName>
    <definedName name="___PK2" localSheetId="11" hidden="1">{"'장비'!$A$3:$M$12"}</definedName>
    <definedName name="___PK2" hidden="1">{"'장비'!$A$3:$M$12"}</definedName>
    <definedName name="___PKG3" localSheetId="24" hidden="1">{"'장비'!$A$3:$M$12"}</definedName>
    <definedName name="___PKG3" localSheetId="7" hidden="1">{"'장비'!$A$3:$M$12"}</definedName>
    <definedName name="___PKG3" localSheetId="9" hidden="1">{"'장비'!$A$3:$M$12"}</definedName>
    <definedName name="___PKG3" localSheetId="3" hidden="1">{"'장비'!$A$3:$M$12"}</definedName>
    <definedName name="___PKG3" localSheetId="2" hidden="1">{"'장비'!$A$3:$M$12"}</definedName>
    <definedName name="___PKG3" localSheetId="16" hidden="1">{"'장비'!$A$3:$M$12"}</definedName>
    <definedName name="___PKG3" localSheetId="0" hidden="1">{"'장비'!$A$3:$M$12"}</definedName>
    <definedName name="___PKG3" localSheetId="26" hidden="1">{"'장비'!$A$3:$M$12"}</definedName>
    <definedName name="___PKG3" localSheetId="11" hidden="1">{"'장비'!$A$3:$M$12"}</definedName>
    <definedName name="___PKG3" hidden="1">{"'장비'!$A$3:$M$12"}</definedName>
    <definedName name="___qqq222" localSheetId="24" hidden="1">{"'장비'!$A$3:$M$12"}</definedName>
    <definedName name="___qqq222" localSheetId="7" hidden="1">{"'장비'!$A$3:$M$12"}</definedName>
    <definedName name="___qqq222" localSheetId="9" hidden="1">{"'장비'!$A$3:$M$12"}</definedName>
    <definedName name="___qqq222" localSheetId="3" hidden="1">{"'장비'!$A$3:$M$12"}</definedName>
    <definedName name="___qqq222" localSheetId="2" hidden="1">{"'장비'!$A$3:$M$12"}</definedName>
    <definedName name="___qqq222" localSheetId="16" hidden="1">{"'장비'!$A$3:$M$12"}</definedName>
    <definedName name="___qqq222" localSheetId="0" hidden="1">{"'장비'!$A$3:$M$12"}</definedName>
    <definedName name="___qqq222" localSheetId="26" hidden="1">{"'장비'!$A$3:$M$12"}</definedName>
    <definedName name="___qqq222" localSheetId="11" hidden="1">{"'장비'!$A$3:$M$12"}</definedName>
    <definedName name="___qqq222" hidden="1">{"'장비'!$A$3:$M$12"}</definedName>
    <definedName name="___QT100" localSheetId="7">#REF!</definedName>
    <definedName name="___QT100" localSheetId="3">#REF!</definedName>
    <definedName name="___QT100">#REF!</definedName>
    <definedName name="___QT2" localSheetId="7">#REF!</definedName>
    <definedName name="___QT2" localSheetId="3">#REF!</definedName>
    <definedName name="___QT2">#REF!</definedName>
    <definedName name="___QT3" localSheetId="7">#REF!</definedName>
    <definedName name="___QT3" localSheetId="3">#REF!</definedName>
    <definedName name="___QT3">#REF!</definedName>
    <definedName name="___QT4" localSheetId="7">#REF!</definedName>
    <definedName name="___QT4" localSheetId="3">#REF!</definedName>
    <definedName name="___QT4">#REF!</definedName>
    <definedName name="___QT50" localSheetId="7">#REF!</definedName>
    <definedName name="___QT50" localSheetId="3">#REF!</definedName>
    <definedName name="___QT50">#REF!</definedName>
    <definedName name="___QT75" localSheetId="7">#REF!</definedName>
    <definedName name="___QT75" localSheetId="3">#REF!</definedName>
    <definedName name="___QT75">#REF!</definedName>
    <definedName name="___r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 localSheetId="7" hidden="1">#REF!</definedName>
    <definedName name="___x10" localSheetId="9" hidden="1">#REF!</definedName>
    <definedName name="___x10" hidden="1">#REF!</definedName>
    <definedName name="___x11" localSheetId="7" hidden="1">#REF!</definedName>
    <definedName name="___x11" localSheetId="9" hidden="1">#REF!</definedName>
    <definedName name="___x11" hidden="1">#REF!</definedName>
    <definedName name="___x12" localSheetId="7" hidden="1">#REF!</definedName>
    <definedName name="___x12" localSheetId="9" hidden="1">#REF!</definedName>
    <definedName name="___x12" hidden="1">#REF!</definedName>
    <definedName name="___x13" hidden="1">#REF!</definedName>
    <definedName name="___x14" hidden="1">#REF!</definedName>
    <definedName name="___x15" hidden="1">#REF!</definedName>
    <definedName name="___x16" hidden="1">#REF!</definedName>
    <definedName name="___x17" hidden="1">#REF!</definedName>
    <definedName name="___x18" hidden="1">#REF!</definedName>
    <definedName name="___x19" hidden="1">#REF!</definedName>
    <definedName name="___x20" hidden="1">#REF!</definedName>
    <definedName name="___x21" hidden="1">#REF!</definedName>
    <definedName name="___x22" hidden="1">#REF!</definedName>
    <definedName name="___x23" hidden="1">#REF!</definedName>
    <definedName name="___x24" hidden="1">#REF!</definedName>
    <definedName name="___x25" hidden="1">#REF!</definedName>
    <definedName name="___x28" hidden="1">#REF!</definedName>
    <definedName name="___x29" hidden="1">#REF!</definedName>
    <definedName name="___x32" hidden="1">#REF!</definedName>
    <definedName name="___x4" hidden="1">#REF!</definedName>
    <definedName name="___x5" hidden="1">#REF!</definedName>
    <definedName name="___x6" hidden="1">#REF!</definedName>
    <definedName name="___x7" hidden="1">#REF!</definedName>
    <definedName name="___x8" hidden="1">#REF!</definedName>
    <definedName name="___x9" hidden="1">#REF!</definedName>
    <definedName name="__123Graph_A" localSheetId="26" hidden="1">#REF!</definedName>
    <definedName name="__123Graph_A" hidden="1">#REF!</definedName>
    <definedName name="__123Graph_AChart1" localSheetId="7" hidden="1">#REF!</definedName>
    <definedName name="__123Graph_AChart1" localSheetId="3" hidden="1">#REF!</definedName>
    <definedName name="__123Graph_AChart1" localSheetId="0" hidden="1">#REF!</definedName>
    <definedName name="__123Graph_AChart1" hidden="1">#REF!</definedName>
    <definedName name="__123Graph_ACurrent" hidden="1">#REF!</definedName>
    <definedName name="__123Graph_ACUSTO" hidden="1">#REF!</definedName>
    <definedName name="__123Graph_AFAT" hidden="1">#REF!</definedName>
    <definedName name="__123Graph_AGRA1" localSheetId="7" hidden="1">#REF!</definedName>
    <definedName name="__123Graph_AGRA1" localSheetId="3" hidden="1">#REF!</definedName>
    <definedName name="__123Graph_AGRA1" localSheetId="0" hidden="1">#REF!</definedName>
    <definedName name="__123Graph_AGRA1" hidden="1">#REF!</definedName>
    <definedName name="__123Graph_ARES" localSheetId="7" hidden="1">#REF!</definedName>
    <definedName name="__123Graph_ARES" localSheetId="3" hidden="1">#REF!</definedName>
    <definedName name="__123Graph_ARES" localSheetId="0" hidden="1">#REF!</definedName>
    <definedName name="__123Graph_ARES" hidden="1">#REF!</definedName>
    <definedName name="__123Graph_B" localSheetId="7" hidden="1">#REF!</definedName>
    <definedName name="__123Graph_B" localSheetId="3" hidden="1">#REF!</definedName>
    <definedName name="__123Graph_B" localSheetId="0" hidden="1">#REF!</definedName>
    <definedName name="__123Graph_B" hidden="1">#REF!</definedName>
    <definedName name="__123Graph_BChart1" localSheetId="7" hidden="1">#REF!</definedName>
    <definedName name="__123Graph_BChart1" localSheetId="3" hidden="1">#REF!</definedName>
    <definedName name="__123Graph_BChart1" localSheetId="0" hidden="1">#REF!</definedName>
    <definedName name="__123Graph_BChart1" hidden="1">#REF!</definedName>
    <definedName name="__123Graph_BCurrent" hidden="1">#REF!</definedName>
    <definedName name="__123Graph_BCUSTO" hidden="1">#REF!</definedName>
    <definedName name="__123Graph_BFAT" hidden="1">#REF!</definedName>
    <definedName name="__123Graph_BPERFORMANCE" hidden="1">#REF!</definedName>
    <definedName name="__123Graph_BRES" hidden="1">#REF!</definedName>
    <definedName name="__123Graph_C" localSheetId="7" hidden="1">#REF!</definedName>
    <definedName name="__123Graph_C" localSheetId="3" hidden="1">#REF!</definedName>
    <definedName name="__123Graph_C" localSheetId="0" hidden="1">#REF!</definedName>
    <definedName name="__123Graph_C" hidden="1">#REF!</definedName>
    <definedName name="__123Graph_D" localSheetId="7" hidden="1">#REF!</definedName>
    <definedName name="__123Graph_D" localSheetId="3" hidden="1">#REF!</definedName>
    <definedName name="__123Graph_D" localSheetId="0" hidden="1">#REF!</definedName>
    <definedName name="__123Graph_D" hidden="1">#REF!</definedName>
    <definedName name="__123Graph_E" hidden="1">#REF!</definedName>
    <definedName name="__123Graph_F" hidden="1">#REF!</definedName>
    <definedName name="__123Graph_LBL_A" hidden="1">#REF!</definedName>
    <definedName name="__123Graph_LBL_B" hidden="1">#REF!</definedName>
    <definedName name="__123Graph_X" localSheetId="7" hidden="1">#REF!</definedName>
    <definedName name="__123Graph_X" localSheetId="3" hidden="1">#REF!</definedName>
    <definedName name="__123Graph_X" localSheetId="0" hidden="1">#REF!</definedName>
    <definedName name="__123Graph_X" hidden="1">#REF!</definedName>
    <definedName name="__123Graph_XChart1" localSheetId="7" hidden="1">#REF!</definedName>
    <definedName name="__123Graph_XChart1" localSheetId="3" hidden="1">#REF!</definedName>
    <definedName name="__123Graph_XChart1" localSheetId="0" hidden="1">#REF!</definedName>
    <definedName name="__123Graph_XChart1" hidden="1">#REF!</definedName>
    <definedName name="__123Graph_XCurrent" hidden="1">#REF!</definedName>
    <definedName name="__123Graph_XCUSTO" hidden="1">#REF!</definedName>
    <definedName name="__123Graph_XFAT" hidden="1">#REF!</definedName>
    <definedName name="__123Graph_XGRA1" localSheetId="7" hidden="1">#REF!</definedName>
    <definedName name="__123Graph_XGRA1" localSheetId="3" hidden="1">#REF!</definedName>
    <definedName name="__123Graph_XGRA1" localSheetId="0" hidden="1">#REF!</definedName>
    <definedName name="__123Graph_XGRA1" hidden="1">#REF!</definedName>
    <definedName name="__123Graph_XRES" localSheetId="7" hidden="1">#REF!</definedName>
    <definedName name="__123Graph_XRES" localSheetId="3" hidden="1">#REF!</definedName>
    <definedName name="__123Graph_XRES" localSheetId="0" hidden="1">#REF!</definedName>
    <definedName name="__123Graph_XRES" hidden="1">#REF!</definedName>
    <definedName name="__ACR10" localSheetId="7">#REF!</definedName>
    <definedName name="__ACR10" localSheetId="3">#REF!</definedName>
    <definedName name="__ACR10">#REF!</definedName>
    <definedName name="__ACR15" localSheetId="7">#REF!</definedName>
    <definedName name="__ACR15" localSheetId="3">#REF!</definedName>
    <definedName name="__ACR15">#REF!</definedName>
    <definedName name="__acr20" localSheetId="7">#REF!</definedName>
    <definedName name="__acr20" localSheetId="3">#REF!</definedName>
    <definedName name="__acr20">#REF!</definedName>
    <definedName name="__acr5" localSheetId="7">#REF!</definedName>
    <definedName name="__acr5" localSheetId="3">#REF!</definedName>
    <definedName name="__acr5">#REF!</definedName>
    <definedName name="__ARQ1" localSheetId="7">#REF!</definedName>
    <definedName name="__ARQ1" localSheetId="3">#REF!</definedName>
    <definedName name="__ARQ1">#REF!</definedName>
    <definedName name="__Axe3" localSheetId="7">#REF!</definedName>
    <definedName name="__Axe3" localSheetId="3">#REF!</definedName>
    <definedName name="__Axe3">#REF!</definedName>
    <definedName name="__Axe4" localSheetId="7">#REF!</definedName>
    <definedName name="__Axe4" localSheetId="3">#REF!</definedName>
    <definedName name="__Axe4">#REF!</definedName>
    <definedName name="__CO2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 localSheetId="24">#REF!</definedName>
    <definedName name="__htm2" localSheetId="7">#REF!</definedName>
    <definedName name="__htm2" localSheetId="3">#REF!</definedName>
    <definedName name="__htm2" localSheetId="26">#REF!</definedName>
    <definedName name="__htm2">#REF!</definedName>
    <definedName name="__htn2" localSheetId="7">#REF!</definedName>
    <definedName name="__htn2" localSheetId="3">#REF!</definedName>
    <definedName name="__htn2">#REF!</definedName>
    <definedName name="__iss2" localSheetId="7">#REF!</definedName>
    <definedName name="__iss2" localSheetId="3">#REF!</definedName>
    <definedName name="__iss2">#REF!</definedName>
    <definedName name="__key2" localSheetId="7" hidden="1">#REF!</definedName>
    <definedName name="__key2" localSheetId="0" hidden="1">#REF!</definedName>
    <definedName name="__key2" hidden="1">#REF!</definedName>
    <definedName name="__la29" localSheetId="0" hidden="1">#REF!</definedName>
    <definedName name="__la29" hidden="1">#REF!</definedName>
    <definedName name="__la3" localSheetId="0" hidden="1">#REF!</definedName>
    <definedName name="__la3" hidden="1">#REF!</definedName>
    <definedName name="__la31" hidden="1">#REF!</definedName>
    <definedName name="__la32" hidden="1">#REF!</definedName>
    <definedName name="__la4" hidden="1">#REF!</definedName>
    <definedName name="__la5" hidden="1">#REF!</definedName>
    <definedName name="__la6" hidden="1">#REF!</definedName>
    <definedName name="__la7" hidden="1">#REF!</definedName>
    <definedName name="__la8" hidden="1">#REF!</definedName>
    <definedName name="__la9" hidden="1">#REF!</definedName>
    <definedName name="__lb1" hidden="1">#REF!</definedName>
    <definedName name="__lb10" hidden="1">#REF!</definedName>
    <definedName name="__lb11" hidden="1">#REF!</definedName>
    <definedName name="__lb12" hidden="1">#REF!</definedName>
    <definedName name="__lb13" hidden="1">#REF!</definedName>
    <definedName name="__lb14" hidden="1">#REF!</definedName>
    <definedName name="__lb15" hidden="1">#REF!</definedName>
    <definedName name="__lb16" hidden="1">#REF!</definedName>
    <definedName name="__lb17" hidden="1">#REF!</definedName>
    <definedName name="__lb18" hidden="1">#REF!</definedName>
    <definedName name="__lb19" hidden="1">#REF!</definedName>
    <definedName name="__lb2" hidden="1">#REF!</definedName>
    <definedName name="__lb20" hidden="1">#REF!</definedName>
    <definedName name="__lb21" hidden="1">#REF!</definedName>
    <definedName name="__lb22" hidden="1">#REF!</definedName>
    <definedName name="__lb23" hidden="1">#REF!</definedName>
    <definedName name="__lb24" hidden="1">#REF!</definedName>
    <definedName name="__lb25" hidden="1">#REF!</definedName>
    <definedName name="__lb27" hidden="1">#REF!</definedName>
    <definedName name="__lb28" hidden="1">#REF!</definedName>
    <definedName name="__lb29" hidden="1">#REF!</definedName>
    <definedName name="__lb3" hidden="1">#REF!</definedName>
    <definedName name="__lb30" hidden="1">#REF!</definedName>
    <definedName name="__lb31" hidden="1">#REF!</definedName>
    <definedName name="__lb32" hidden="1">#REF!</definedName>
    <definedName name="__lb4" hidden="1">#REF!</definedName>
    <definedName name="__lb5" hidden="1">#REF!</definedName>
    <definedName name="__lb6" hidden="1">#REF!</definedName>
    <definedName name="__lb7" hidden="1">#REF!</definedName>
    <definedName name="__lb8" hidden="1">#REF!</definedName>
    <definedName name="__lb9" hidden="1">#REF!</definedName>
    <definedName name="__lbc1" hidden="1">#REF!</definedName>
    <definedName name="__lbc10" hidden="1">#REF!</definedName>
    <definedName name="__lbc11" hidden="1">#REF!</definedName>
    <definedName name="__lbc12" hidden="1">#REF!</definedName>
    <definedName name="__lbc13" hidden="1">#REF!</definedName>
    <definedName name="__lbc14" hidden="1">#REF!</definedName>
    <definedName name="__lbc15" hidden="1">#REF!</definedName>
    <definedName name="__lbc16" hidden="1">#REF!</definedName>
    <definedName name="__lbc17" hidden="1">#REF!</definedName>
    <definedName name="__lbc18" hidden="1">#REF!</definedName>
    <definedName name="__lbc19" hidden="1">#REF!</definedName>
    <definedName name="__lbc2" hidden="1">#REF!</definedName>
    <definedName name="__lbc20" hidden="1">#REF!</definedName>
    <definedName name="__lbc21" hidden="1">#REF!</definedName>
    <definedName name="__lbc22" hidden="1">#REF!</definedName>
    <definedName name="__lbc23" hidden="1">#REF!</definedName>
    <definedName name="__lbc24" hidden="1">#REF!</definedName>
    <definedName name="__lbc25" hidden="1">#REF!</definedName>
    <definedName name="__lbc26" hidden="1">#REF!</definedName>
    <definedName name="__lbc27" hidden="1">#REF!</definedName>
    <definedName name="__lbc28" hidden="1">#REF!</definedName>
    <definedName name="__lbc29" hidden="1">#REF!</definedName>
    <definedName name="__lbc3" hidden="1">#REF!</definedName>
    <definedName name="__lbc31" hidden="1">#REF!</definedName>
    <definedName name="__lbc32" hidden="1">#REF!</definedName>
    <definedName name="__lbc4" hidden="1">#REF!</definedName>
    <definedName name="__lbc5" hidden="1">#REF!</definedName>
    <definedName name="__lbc6" hidden="1">#REF!</definedName>
    <definedName name="__lbc7" hidden="1">#REF!</definedName>
    <definedName name="__lbc8" hidden="1">#REF!</definedName>
    <definedName name="__lbc9" hidden="1">#REF!</definedName>
    <definedName name="__ld26" hidden="1">#REF!</definedName>
    <definedName name="__ld31" hidden="1">#REF!</definedName>
    <definedName name="__le31" hidden="1">#REF!</definedName>
    <definedName name="__lf31" hidden="1">#REF!</definedName>
    <definedName name="__PK2" localSheetId="24" hidden="1">{"'장비'!$A$3:$M$12"}</definedName>
    <definedName name="__PK2" localSheetId="7" hidden="1">{"'장비'!$A$3:$M$12"}</definedName>
    <definedName name="__PK2" localSheetId="9" hidden="1">{"'장비'!$A$3:$M$12"}</definedName>
    <definedName name="__PK2" localSheetId="3" hidden="1">{"'장비'!$A$3:$M$12"}</definedName>
    <definedName name="__PK2" localSheetId="2" hidden="1">{"'장비'!$A$3:$M$12"}</definedName>
    <definedName name="__PK2" localSheetId="16" hidden="1">{"'장비'!$A$3:$M$12"}</definedName>
    <definedName name="__PK2" localSheetId="0" hidden="1">{"'장비'!$A$3:$M$12"}</definedName>
    <definedName name="__PK2" localSheetId="26" hidden="1">{"'장비'!$A$3:$M$12"}</definedName>
    <definedName name="__PK2" localSheetId="11" hidden="1">{"'장비'!$A$3:$M$12"}</definedName>
    <definedName name="__PK2" hidden="1">{"'장비'!$A$3:$M$12"}</definedName>
    <definedName name="__PKG3" localSheetId="24" hidden="1">{"'장비'!$A$3:$M$12"}</definedName>
    <definedName name="__PKG3" localSheetId="7" hidden="1">{"'장비'!$A$3:$M$12"}</definedName>
    <definedName name="__PKG3" localSheetId="9" hidden="1">{"'장비'!$A$3:$M$12"}</definedName>
    <definedName name="__PKG3" localSheetId="3" hidden="1">{"'장비'!$A$3:$M$12"}</definedName>
    <definedName name="__PKG3" localSheetId="2" hidden="1">{"'장비'!$A$3:$M$12"}</definedName>
    <definedName name="__PKG3" localSheetId="16" hidden="1">{"'장비'!$A$3:$M$12"}</definedName>
    <definedName name="__PKG3" localSheetId="0" hidden="1">{"'장비'!$A$3:$M$12"}</definedName>
    <definedName name="__PKG3" localSheetId="26" hidden="1">{"'장비'!$A$3:$M$12"}</definedName>
    <definedName name="__PKG3" localSheetId="11" hidden="1">{"'장비'!$A$3:$M$12"}</definedName>
    <definedName name="__PKG3" hidden="1">{"'장비'!$A$3:$M$12"}</definedName>
    <definedName name="__qqq222" localSheetId="24" hidden="1">{"'장비'!$A$3:$M$12"}</definedName>
    <definedName name="__qqq222" localSheetId="7" hidden="1">{"'장비'!$A$3:$M$12"}</definedName>
    <definedName name="__qqq222" localSheetId="9" hidden="1">{"'장비'!$A$3:$M$12"}</definedName>
    <definedName name="__qqq222" localSheetId="3" hidden="1">{"'장비'!$A$3:$M$12"}</definedName>
    <definedName name="__qqq222" localSheetId="2" hidden="1">{"'장비'!$A$3:$M$12"}</definedName>
    <definedName name="__qqq222" localSheetId="16" hidden="1">{"'장비'!$A$3:$M$12"}</definedName>
    <definedName name="__qqq222" localSheetId="0" hidden="1">{"'장비'!$A$3:$M$12"}</definedName>
    <definedName name="__qqq222" localSheetId="26" hidden="1">{"'장비'!$A$3:$M$12"}</definedName>
    <definedName name="__qqq222" localSheetId="11" hidden="1">{"'장비'!$A$3:$M$12"}</definedName>
    <definedName name="__qqq222" hidden="1">{"'장비'!$A$3:$M$12"}</definedName>
    <definedName name="__QT100" localSheetId="7">#REF!</definedName>
    <definedName name="__QT100" localSheetId="3">#REF!</definedName>
    <definedName name="__QT100">#REF!</definedName>
    <definedName name="__QT2" localSheetId="7">#REF!</definedName>
    <definedName name="__QT2" localSheetId="3">#REF!</definedName>
    <definedName name="__QT2">#REF!</definedName>
    <definedName name="__QT3" localSheetId="7">#REF!</definedName>
    <definedName name="__QT3" localSheetId="3">#REF!</definedName>
    <definedName name="__QT3">#REF!</definedName>
    <definedName name="__QT4" localSheetId="7">#REF!</definedName>
    <definedName name="__QT4" localSheetId="3">#REF!</definedName>
    <definedName name="__QT4">#REF!</definedName>
    <definedName name="__QT50" localSheetId="7">#REF!</definedName>
    <definedName name="__QT50" localSheetId="3">#REF!</definedName>
    <definedName name="__QT50">#REF!</definedName>
    <definedName name="__QT75" localSheetId="7">#REF!</definedName>
    <definedName name="__QT75" localSheetId="3">#REF!</definedName>
    <definedName name="__QT75">#REF!</definedName>
    <definedName name="__r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 localSheetId="7" hidden="1">#REF!</definedName>
    <definedName name="__x10" localSheetId="9" hidden="1">#REF!</definedName>
    <definedName name="__x10" hidden="1">#REF!</definedName>
    <definedName name="__x11" localSheetId="7" hidden="1">#REF!</definedName>
    <definedName name="__x11" localSheetId="9" hidden="1">#REF!</definedName>
    <definedName name="__x11" hidden="1">#REF!</definedName>
    <definedName name="__x12" localSheetId="7" hidden="1">#REF!</definedName>
    <definedName name="__x12" localSheetId="9" hidden="1">#REF!</definedName>
    <definedName name="__x12" hidden="1">#REF!</definedName>
    <definedName name="__x13" hidden="1">#REF!</definedName>
    <definedName name="__x14" hidden="1">#REF!</definedName>
    <definedName name="__x15" hidden="1">#REF!</definedName>
    <definedName name="__x16" hidden="1">#REF!</definedName>
    <definedName name="__x17" hidden="1">#REF!</definedName>
    <definedName name="__x18" hidden="1">#REF!</definedName>
    <definedName name="__x19" hidden="1">#REF!</definedName>
    <definedName name="__x20" hidden="1">#REF!</definedName>
    <definedName name="__x21" hidden="1">#REF!</definedName>
    <definedName name="__x22" hidden="1">#REF!</definedName>
    <definedName name="__x23" hidden="1">#REF!</definedName>
    <definedName name="__x24" hidden="1">#REF!</definedName>
    <definedName name="__x25" hidden="1">#REF!</definedName>
    <definedName name="__x28" hidden="1">#REF!</definedName>
    <definedName name="__x29" hidden="1">#REF!</definedName>
    <definedName name="__x32" hidden="1">#REF!</definedName>
    <definedName name="__x4" hidden="1">#REF!</definedName>
    <definedName name="__x5" hidden="1">#REF!</definedName>
    <definedName name="__x6" hidden="1">#REF!</definedName>
    <definedName name="__x7" hidden="1">#REF!</definedName>
    <definedName name="__x8" hidden="1">#REF!</definedName>
    <definedName name="__x9" hidden="1">#REF!</definedName>
    <definedName name="_0.CURVA_OBRA" localSheetId="7">#REF!</definedName>
    <definedName name="_0.CURVA_OBRA" localSheetId="3">#REF!</definedName>
    <definedName name="_0.CURVA_OBRA">#REF!</definedName>
    <definedName name="_00.VAR._GASTO" localSheetId="7">#REF!</definedName>
    <definedName name="_00.VAR._GASTO" localSheetId="3">#REF!</definedName>
    <definedName name="_00.VAR._GASTO">#REF!</definedName>
    <definedName name="_000.CURVA_FINA" localSheetId="7">#REF!</definedName>
    <definedName name="_000.CURVA_FINA" localSheetId="3">#REF!</definedName>
    <definedName name="_000.CURVA_FINA">#REF!</definedName>
    <definedName name="_1" localSheetId="7">#REF!</definedName>
    <definedName name="_1" localSheetId="3">#REF!</definedName>
    <definedName name="_1">#REF!</definedName>
    <definedName name="_1__123Graph_ACHART_1" localSheetId="7" hidden="1">#REF!</definedName>
    <definedName name="_1__123Graph_ACHART_1" localSheetId="3" hidden="1">#REF!</definedName>
    <definedName name="_1__123Graph_ACHART_1" localSheetId="0" hidden="1">#REF!</definedName>
    <definedName name="_1__123Graph_ACHART_1" hidden="1">#REF!</definedName>
    <definedName name="_10__123Graph_CCHART_1" localSheetId="7" hidden="1">#REF!</definedName>
    <definedName name="_10__123Graph_CCHART_1" localSheetId="3" hidden="1">#REF!</definedName>
    <definedName name="_10__123Graph_CCHART_1" localSheetId="0" hidden="1">#REF!</definedName>
    <definedName name="_10__123Graph_CCHART_1" hidden="1">#REF!</definedName>
    <definedName name="_11.SERV.TECNIC" localSheetId="7">#REF!</definedName>
    <definedName name="_11.SERV.TECNIC" localSheetId="3">#REF!</definedName>
    <definedName name="_11.SERV.TECNIC">#REF!</definedName>
    <definedName name="_11__123Graph_DCHART_1" localSheetId="7" hidden="1">#REF!</definedName>
    <definedName name="_11__123Graph_DCHART_1" localSheetId="3" hidden="1">#REF!</definedName>
    <definedName name="_11__123Graph_DCHART_1" localSheetId="0" hidden="1">#REF!</definedName>
    <definedName name="_11__123Graph_DCHART_1" hidden="1">#REF!</definedName>
    <definedName name="_12.GAST_GERAIS" localSheetId="7">#REF!</definedName>
    <definedName name="_12.GAST_GERAIS" localSheetId="3">#REF!</definedName>
    <definedName name="_12.GAST_GERAIS">#REF!</definedName>
    <definedName name="_12__123Graph_XChart_1A" hidden="1">#REF!</definedName>
    <definedName name="_13.P._PERMAN." localSheetId="7">#REF!</definedName>
    <definedName name="_13.P._PERMAN." localSheetId="3">#REF!</definedName>
    <definedName name="_13.P._PERMAN.">#REF!</definedName>
    <definedName name="_15.IMPL._CANT" localSheetId="7">#REF!</definedName>
    <definedName name="_15.IMPL._CANT" localSheetId="3">#REF!</definedName>
    <definedName name="_15.IMPL._CANT">#REF!</definedName>
    <definedName name="_16.EQUIPAM." localSheetId="7">#REF!</definedName>
    <definedName name="_16.EQUIPAM." localSheetId="3">#REF!</definedName>
    <definedName name="_16.EQUIPAM.">#REF!</definedName>
    <definedName name="_17.OPER._CANT." localSheetId="7">#REF!</definedName>
    <definedName name="_17.OPER._CANT." localSheetId="3">#REF!</definedName>
    <definedName name="_17.OPER._CANT.">#REF!</definedName>
    <definedName name="_19.TRANC_LIMP." localSheetId="7">#REF!</definedName>
    <definedName name="_19.TRANC_LIMP." localSheetId="3">#REF!</definedName>
    <definedName name="_19.TRANC_LIMP.">#REF!</definedName>
    <definedName name="_1Dist_Val" hidden="1">#REF!</definedName>
    <definedName name="_2" localSheetId="7">#REF!</definedName>
    <definedName name="_2" localSheetId="3">#REF!</definedName>
    <definedName name="_2">#REF!</definedName>
    <definedName name="_2__123Graph_BCHART_1" localSheetId="7" hidden="1">#REF!</definedName>
    <definedName name="_2__123Graph_BCHART_1" localSheetId="3" hidden="1">#REF!</definedName>
    <definedName name="_2__123Graph_BCHART_1" localSheetId="0" hidden="1">#REF!</definedName>
    <definedName name="_2__123Graph_BCHART_1" hidden="1">#REF!</definedName>
    <definedName name="_25.PREP.TERREN" localSheetId="7">#REF!</definedName>
    <definedName name="_25.PREP.TERREN" localSheetId="3">#REF!</definedName>
    <definedName name="_25.PREP.TERREN">#REF!</definedName>
    <definedName name="_27.FUND._ESCOR" localSheetId="7">#REF!</definedName>
    <definedName name="_27.FUND._ESCOR" localSheetId="3">#REF!</definedName>
    <definedName name="_27.FUND._ESCOR">#REF!</definedName>
    <definedName name="_2F" hidden="1">#REF!</definedName>
    <definedName name="_3__123Graph_XCHART_1" localSheetId="7" hidden="1">#REF!</definedName>
    <definedName name="_3__123Graph_XCHART_1" localSheetId="3" hidden="1">#REF!</definedName>
    <definedName name="_3__123Graph_XCHART_1" localSheetId="0" hidden="1">#REF!</definedName>
    <definedName name="_3__123Graph_XCHART_1" hidden="1">#REF!</definedName>
    <definedName name="_31_32_33.C_A" localSheetId="7">#REF!</definedName>
    <definedName name="_31_32_33.C_A" localSheetId="3">#REF!</definedName>
    <definedName name="_31_32_33.C_A">#REF!</definedName>
    <definedName name="_41.ALVENARIA" localSheetId="7">#REF!</definedName>
    <definedName name="_41.ALVENARIA" localSheetId="3">#REF!</definedName>
    <definedName name="_41.ALVENARIA">#REF!</definedName>
    <definedName name="_47.IMP._ISOLA." localSheetId="7">#REF!</definedName>
    <definedName name="_47.IMP._ISOLA." localSheetId="3">#REF!</definedName>
    <definedName name="_47.IMP._ISOLA.">#REF!</definedName>
    <definedName name="_5__123Graph_ACHART_1" localSheetId="7" hidden="1">#REF!</definedName>
    <definedName name="_5__123Graph_ACHART_1" localSheetId="3" hidden="1">#REF!</definedName>
    <definedName name="_5__123Graph_ACHART_1" localSheetId="0" hidden="1">#REF!</definedName>
    <definedName name="_5__123Graph_ACHART_1" hidden="1">#REF!</definedName>
    <definedName name="_51.REV.ARGAMAS" localSheetId="7">#REF!</definedName>
    <definedName name="_51.REV.ARGAMAS" localSheetId="3">#REF!</definedName>
    <definedName name="_51.REV.ARGAMAS">#REF!</definedName>
    <definedName name="_52.REV.CERAM.I" localSheetId="7">#REF!</definedName>
    <definedName name="_52.REV.CERAM.I" localSheetId="3">#REF!</definedName>
    <definedName name="_52.REV.CERAM.I">#REF!</definedName>
    <definedName name="_53.REV.CERAM.E" localSheetId="7">#REF!</definedName>
    <definedName name="_53.REV.CERAM.E" localSheetId="3">#REF!</definedName>
    <definedName name="_53.REV.CERAM.E">#REF!</definedName>
    <definedName name="_54.TACOS_E_ASS" localSheetId="7">#REF!</definedName>
    <definedName name="_54.TACOS_E_ASS" localSheetId="3">#REF!</definedName>
    <definedName name="_54.TACOS_E_ASS">#REF!</definedName>
    <definedName name="_55.MARM._E_GRA" localSheetId="7">#REF!</definedName>
    <definedName name="_55.MARM._E_GRA" localSheetId="3">#REF!</definedName>
    <definedName name="_55.MARM._E_GRA">#REF!</definedName>
    <definedName name="_56.MARMORITE" localSheetId="7">#REF!</definedName>
    <definedName name="_56.MARMORITE" localSheetId="3">#REF!</definedName>
    <definedName name="_56.MARMORITE">#REF!</definedName>
    <definedName name="_59.OUTRS_REVES" localSheetId="7">#REF!</definedName>
    <definedName name="_59.OUTRS_REVES" localSheetId="3">#REF!</definedName>
    <definedName name="_59.OUTRS_REVES">#REF!</definedName>
    <definedName name="_6__123Graph_AChart_1A" hidden="1">#REF!</definedName>
    <definedName name="_61.ESQUAD._MAD" localSheetId="7">#REF!</definedName>
    <definedName name="_61.ESQUAD._MAD" localSheetId="3">#REF!</definedName>
    <definedName name="_61.ESQUAD._MAD">#REF!</definedName>
    <definedName name="_63.ESQUAD._ALU" localSheetId="7">#REF!</definedName>
    <definedName name="_63.ESQUAD._ALU" localSheetId="3">#REF!</definedName>
    <definedName name="_63.ESQUAD._ALU">#REF!</definedName>
    <definedName name="_65.ESQUAD._FER" localSheetId="7">#REF!</definedName>
    <definedName name="_65.ESQUAD._FER" localSheetId="3">#REF!</definedName>
    <definedName name="_65.ESQUAD._FER">#REF!</definedName>
    <definedName name="_67.VIDROS" localSheetId="7">#REF!</definedName>
    <definedName name="_67.VIDROS" localSheetId="3">#REF!</definedName>
    <definedName name="_67.VIDROS">#REF!</definedName>
    <definedName name="_7__123Graph_ACHART_2" localSheetId="7" hidden="1">#REF!</definedName>
    <definedName name="_7__123Graph_ACHART_2" localSheetId="3" hidden="1">#REF!</definedName>
    <definedName name="_7__123Graph_ACHART_2" localSheetId="0" hidden="1">#REF!</definedName>
    <definedName name="_7__123Graph_ACHART_2" hidden="1">#REF!</definedName>
    <definedName name="_71_73.I.ELET_H" localSheetId="7">#REF!</definedName>
    <definedName name="_71_73.I.ELET_H" localSheetId="3">#REF!</definedName>
    <definedName name="_71_73.I.ELET_H">#REF!</definedName>
    <definedName name="_77.OUTRAS_INST." localSheetId="7">#REF!</definedName>
    <definedName name="_77.OUTRAS_INST." localSheetId="3">#REF!</definedName>
    <definedName name="_77.OUTRAS_INST.">#REF!</definedName>
    <definedName name="_78.ELEVADORES" localSheetId="7">#REF!</definedName>
    <definedName name="_78.ELEVADORES" localSheetId="3">#REF!</definedName>
    <definedName name="_78.ELEVADORES">#REF!</definedName>
    <definedName name="_8__123Graph_BChart_1A" hidden="1">#REF!</definedName>
    <definedName name="_81.APAR._SANIT" localSheetId="7">#REF!</definedName>
    <definedName name="_81.APAR._SANIT" localSheetId="3">#REF!</definedName>
    <definedName name="_81.APAR._SANIT">#REF!</definedName>
    <definedName name="_83_85.PINT_LIM" localSheetId="7">#REF!</definedName>
    <definedName name="_83_85.PINT_LIM" localSheetId="3">#REF!</definedName>
    <definedName name="_83_85.PINT_LIM">#REF!</definedName>
    <definedName name="_9__123Graph_BCHART_2" localSheetId="7" hidden="1">#REF!</definedName>
    <definedName name="_9__123Graph_BCHART_2" localSheetId="3" hidden="1">#REF!</definedName>
    <definedName name="_9__123Graph_BCHART_2" localSheetId="0" hidden="1">#REF!</definedName>
    <definedName name="_9__123Graph_BCHART_2" hidden="1">#REF!</definedName>
    <definedName name="_ACR10" localSheetId="7">#REF!</definedName>
    <definedName name="_ACR10" localSheetId="3">#REF!</definedName>
    <definedName name="_ACR10">#REF!</definedName>
    <definedName name="_ACR15" localSheetId="7">#REF!</definedName>
    <definedName name="_ACR15" localSheetId="3">#REF!</definedName>
    <definedName name="_ACR15">#REF!</definedName>
    <definedName name="_acr20" localSheetId="7">#REF!</definedName>
    <definedName name="_acr20" localSheetId="3">#REF!</definedName>
    <definedName name="_acr20">#REF!</definedName>
    <definedName name="_acr5" localSheetId="7">#REF!</definedName>
    <definedName name="_acr5" localSheetId="3">#REF!</definedName>
    <definedName name="_acr5">#REF!</definedName>
    <definedName name="_akhnsdkjsdb" localSheetId="7">#REF!</definedName>
    <definedName name="_akhnsdkjsdb" localSheetId="3">#REF!</definedName>
    <definedName name="_akhnsdkjsdb">#REF!</definedName>
    <definedName name="_AMO_UniqueIdentifier" hidden="1">"'54256040-62ff-475a-9348-dbdfce08df30'"</definedName>
    <definedName name="_ARQ1" localSheetId="24">#REF!</definedName>
    <definedName name="_ARQ1" localSheetId="7">#REF!</definedName>
    <definedName name="_ARQ1" localSheetId="3">#REF!</definedName>
    <definedName name="_ARQ1" localSheetId="26">#REF!</definedName>
    <definedName name="_ARQ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xe3" localSheetId="7">#REF!</definedName>
    <definedName name="_Axe3" localSheetId="3">#REF!</definedName>
    <definedName name="_Axe3">#REF!</definedName>
    <definedName name="_Axe4" localSheetId="7">#REF!</definedName>
    <definedName name="_Axe4" localSheetId="3">#REF!</definedName>
    <definedName name="_Axe4">#REF!</definedName>
    <definedName name="_Builtin13" localSheetId="7" hidden="1">#REF!</definedName>
    <definedName name="_Builtin13" localSheetId="3" hidden="1">#REF!</definedName>
    <definedName name="_Builtin13" localSheetId="0" hidden="1">#REF!</definedName>
    <definedName name="_Builtin13" hidden="1">#REF!</definedName>
    <definedName name="_CAB1" localSheetId="7">#REF!</definedName>
    <definedName name="_CAB1" localSheetId="3">#REF!</definedName>
    <definedName name="_CAB1">#REF!</definedName>
    <definedName name="_CAB2" localSheetId="7">#REF!</definedName>
    <definedName name="_CAB2" localSheetId="3">#REF!</definedName>
    <definedName name="_CAB2">#REF!</definedName>
    <definedName name="_CO2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 localSheetId="7" hidden="1">#REF!</definedName>
    <definedName name="_Dist_Bin" localSheetId="3" hidden="1">#REF!</definedName>
    <definedName name="_Dist_Bin" localSheetId="0" hidden="1">#REF!</definedName>
    <definedName name="_Dist_Bin" hidden="1">#REF!</definedName>
    <definedName name="_Dist_Values" localSheetId="7" hidden="1">#REF!</definedName>
    <definedName name="_Dist_Values" localSheetId="3" hidden="1">#REF!</definedName>
    <definedName name="_Dist_Values" localSheetId="0" hidden="1">#REF!</definedName>
    <definedName name="_Dist_Values" hidden="1">#REF!</definedName>
    <definedName name="_ECS1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 localSheetId="10" hidden="1">#REF!</definedName>
    <definedName name="_Fill" localSheetId="7" hidden="1">#REF!</definedName>
    <definedName name="_Fill" localSheetId="0" hidden="1">#REF!</definedName>
    <definedName name="_Fill" hidden="1">#REF!</definedName>
    <definedName name="_fill1" localSheetId="0" hidden="1">#REF!</definedName>
    <definedName name="_fill1" hidden="1">#REF!</definedName>
    <definedName name="_FiltrarBancoDados2" localSheetId="9" hidden="1">#REF!</definedName>
    <definedName name="_FiltrarBancoDados2" localSheetId="26" hidden="1">#REF!</definedName>
    <definedName name="_FiltrarBancoDados2" hidden="1">#REF!</definedName>
    <definedName name="_xlnm._FilterDatabase" localSheetId="10" hidden="1">Aço_Infraestrutura!$A$21:$N$22</definedName>
    <definedName name="_xlnm._FilterDatabase" localSheetId="22" hidden="1">CLIMATIZAÇÃO!$C$1:$C$74</definedName>
    <definedName name="_xlnm._FilterDatabase" localSheetId="24" hidden="1">#REF!</definedName>
    <definedName name="_xlnm._FilterDatabase" localSheetId="7" hidden="1">'Ensaios '!$A$5:$G$12</definedName>
    <definedName name="_xlnm._FilterDatabase" localSheetId="9" hidden="1">'Fundação Rasa'!$A$9:$Y$170</definedName>
    <definedName name="_xlnm._FilterDatabase" localSheetId="3" hidden="1">Ger_Executivo!$G$7:$P$1392</definedName>
    <definedName name="_xlnm._FilterDatabase" localSheetId="2" hidden="1">'Ger_Tec e Adm'!$G$7:$P$129</definedName>
    <definedName name="_xlnm._FilterDatabase" localSheetId="19" hidden="1">HIDRANTES!$D$1:$D$48</definedName>
    <definedName name="_xlnm._FilterDatabase" localSheetId="23" hidden="1">HIDROSSANITÁRIO!$N$1:$N$762</definedName>
    <definedName name="_xlnm._FilterDatabase" localSheetId="25" hidden="1">'INST ELÉTRICAS'!$N$1:$N$197</definedName>
    <definedName name="_xlnm._FilterDatabase" localSheetId="0" hidden="1">#REF!</definedName>
    <definedName name="_xlnm._FilterDatabase" localSheetId="26" hidden="1">PISCINA!$B$11:$B$25</definedName>
    <definedName name="_xlnm._FilterDatabase" localSheetId="15" hidden="1">'PRECIFICAÇÃO ESQUADRIAS'!$A$1:$A$56</definedName>
    <definedName name="_xlnm._FilterDatabase" hidden="1">#REF!</definedName>
    <definedName name="_htm2" localSheetId="7">#REF!</definedName>
    <definedName name="_htm2" localSheetId="3">#REF!</definedName>
    <definedName name="_htm2">#REF!</definedName>
    <definedName name="_htn2" localSheetId="7">#REF!</definedName>
    <definedName name="_htn2" localSheetId="3">#REF!</definedName>
    <definedName name="_htn2">#REF!</definedName>
    <definedName name="_IA0542" localSheetId="24" hidden="1">{#N/A,#N/A,FALSE,"Plan1";#N/A,#N/A,FALSE,"Plan2"}</definedName>
    <definedName name="_IA0542" localSheetId="7" hidden="1">{#N/A,#N/A,FALSE,"Plan1";#N/A,#N/A,FALSE,"Plan2"}</definedName>
    <definedName name="_IA0542" localSheetId="9" hidden="1">{#N/A,#N/A,FALSE,"Plan1";#N/A,#N/A,FALSE,"Plan2"}</definedName>
    <definedName name="_IA0542" localSheetId="3" hidden="1">{#N/A,#N/A,FALSE,"Plan1";#N/A,#N/A,FALSE,"Plan2"}</definedName>
    <definedName name="_IA0542" localSheetId="2" hidden="1">{#N/A,#N/A,FALSE,"Plan1";#N/A,#N/A,FALSE,"Plan2"}</definedName>
    <definedName name="_IA0542" localSheetId="16" hidden="1">{#N/A,#N/A,FALSE,"Plan1";#N/A,#N/A,FALSE,"Plan2"}</definedName>
    <definedName name="_IA0542" localSheetId="0" hidden="1">{#N/A,#N/A,FALSE,"Plan1";#N/A,#N/A,FALSE,"Plan2"}</definedName>
    <definedName name="_IA0542" localSheetId="26" hidden="1">{#N/A,#N/A,FALSE,"Plan1";#N/A,#N/A,FALSE,"Plan2"}</definedName>
    <definedName name="_IA0542" localSheetId="11" hidden="1">{#N/A,#N/A,FALSE,"Plan1";#N/A,#N/A,FALSE,"Plan2"}</definedName>
    <definedName name="_IA0542" hidden="1">{#N/A,#N/A,FALSE,"Plan1";#N/A,#N/A,FALSE,"Plan2"}</definedName>
    <definedName name="_iss2" localSheetId="24">#REF!</definedName>
    <definedName name="_iss2" localSheetId="7">#REF!</definedName>
    <definedName name="_iss2" localSheetId="3">#REF!</definedName>
    <definedName name="_iss2" localSheetId="26">#REF!</definedName>
    <definedName name="_iss2">#REF!</definedName>
    <definedName name="_IV65617" localSheetId="7">#REF!</definedName>
    <definedName name="_IV65617" localSheetId="3">#REF!</definedName>
    <definedName name="_IV65617">#REF!</definedName>
    <definedName name="_IV65999" localSheetId="7">#REF!</definedName>
    <definedName name="_IV65999" localSheetId="3">#REF!</definedName>
    <definedName name="_IV65999">#REF!</definedName>
    <definedName name="_IV66000" localSheetId="7">#REF!</definedName>
    <definedName name="_IV66000" localSheetId="3">#REF!</definedName>
    <definedName name="_IV66000">#REF!</definedName>
    <definedName name="_IV67021" localSheetId="7">#REF!</definedName>
    <definedName name="_IV67021" localSheetId="3">#REF!</definedName>
    <definedName name="_IV67021">#REF!</definedName>
    <definedName name="_IV67022" localSheetId="7">#REF!</definedName>
    <definedName name="_IV67022" localSheetId="3">#REF!</definedName>
    <definedName name="_IV67022">#REF!</definedName>
    <definedName name="_Key1" localSheetId="7" hidden="1">#REF!</definedName>
    <definedName name="_Key1" localSheetId="3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EY3" hidden="1">#REF!</definedName>
    <definedName name="_key4" hidden="1">#REF!</definedName>
    <definedName name="_l" localSheetId="7">#REF!</definedName>
    <definedName name="_l" localSheetId="3">#REF!</definedName>
    <definedName name="_l">#REF!</definedName>
    <definedName name="_la29" localSheetId="7" hidden="1">#REF!</definedName>
    <definedName name="_la29" localSheetId="3" hidden="1">#REF!</definedName>
    <definedName name="_la29" localSheetId="0" hidden="1">#REF!</definedName>
    <definedName name="_la29" hidden="1">#REF!</definedName>
    <definedName name="_la3" localSheetId="7" hidden="1">#REF!</definedName>
    <definedName name="_la3" localSheetId="3" hidden="1">#REF!</definedName>
    <definedName name="_la3" localSheetId="0" hidden="1">#REF!</definedName>
    <definedName name="_la3" hidden="1">#REF!</definedName>
    <definedName name="_la31" hidden="1">#REF!</definedName>
    <definedName name="_la32" hidden="1">#REF!</definedName>
    <definedName name="_la4" hidden="1">#REF!</definedName>
    <definedName name="_la5" hidden="1">#REF!</definedName>
    <definedName name="_la6" hidden="1">#REF!</definedName>
    <definedName name="_la7" hidden="1">#REF!</definedName>
    <definedName name="_la8" hidden="1">#REF!</definedName>
    <definedName name="_la9" hidden="1">#REF!</definedName>
    <definedName name="_lb1" hidden="1">#REF!</definedName>
    <definedName name="_lb10" hidden="1">#REF!</definedName>
    <definedName name="_lb11" hidden="1">#REF!</definedName>
    <definedName name="_lb12" hidden="1">#REF!</definedName>
    <definedName name="_lb13" hidden="1">#REF!</definedName>
    <definedName name="_lb14" hidden="1">#REF!</definedName>
    <definedName name="_lb15" hidden="1">#REF!</definedName>
    <definedName name="_lb16" hidden="1">#REF!</definedName>
    <definedName name="_lb17" hidden="1">#REF!</definedName>
    <definedName name="_lb18" hidden="1">#REF!</definedName>
    <definedName name="_lb19" hidden="1">#REF!</definedName>
    <definedName name="_lb2" hidden="1">#REF!</definedName>
    <definedName name="_lb20" hidden="1">#REF!</definedName>
    <definedName name="_lb21" hidden="1">#REF!</definedName>
    <definedName name="_lb22" hidden="1">#REF!</definedName>
    <definedName name="_lb23" hidden="1">#REF!</definedName>
    <definedName name="_lb24" hidden="1">#REF!</definedName>
    <definedName name="_lb25" hidden="1">#REF!</definedName>
    <definedName name="_lb27" hidden="1">#REF!</definedName>
    <definedName name="_lb28" hidden="1">#REF!</definedName>
    <definedName name="_lb29" hidden="1">#REF!</definedName>
    <definedName name="_lb3" hidden="1">#REF!</definedName>
    <definedName name="_lb30" hidden="1">#REF!</definedName>
    <definedName name="_lb31" hidden="1">#REF!</definedName>
    <definedName name="_lb32" hidden="1">#REF!</definedName>
    <definedName name="_lb4" hidden="1">#REF!</definedName>
    <definedName name="_lb5" hidden="1">#REF!</definedName>
    <definedName name="_lb6" hidden="1">#REF!</definedName>
    <definedName name="_lb7" hidden="1">#REF!</definedName>
    <definedName name="_lb8" hidden="1">#REF!</definedName>
    <definedName name="_lb9" hidden="1">#REF!</definedName>
    <definedName name="_lbc1" hidden="1">#REF!</definedName>
    <definedName name="_lbc10" hidden="1">#REF!</definedName>
    <definedName name="_lbc11" hidden="1">#REF!</definedName>
    <definedName name="_lbc12" hidden="1">#REF!</definedName>
    <definedName name="_lbc13" hidden="1">#REF!</definedName>
    <definedName name="_lbc14" hidden="1">#REF!</definedName>
    <definedName name="_lbc15" hidden="1">#REF!</definedName>
    <definedName name="_lbc16" hidden="1">#REF!</definedName>
    <definedName name="_lbc17" hidden="1">#REF!</definedName>
    <definedName name="_lbc18" hidden="1">#REF!</definedName>
    <definedName name="_lbc19" hidden="1">#REF!</definedName>
    <definedName name="_lbc2" hidden="1">#REF!</definedName>
    <definedName name="_lbc20" hidden="1">#REF!</definedName>
    <definedName name="_lbc21" hidden="1">#REF!</definedName>
    <definedName name="_lbc22" hidden="1">#REF!</definedName>
    <definedName name="_lbc23" hidden="1">#REF!</definedName>
    <definedName name="_lbc24" hidden="1">#REF!</definedName>
    <definedName name="_lbc25" hidden="1">#REF!</definedName>
    <definedName name="_lbc26" hidden="1">#REF!</definedName>
    <definedName name="_lbc27" hidden="1">#REF!</definedName>
    <definedName name="_lbc28" hidden="1">#REF!</definedName>
    <definedName name="_lbc29" hidden="1">#REF!</definedName>
    <definedName name="_lbc3" hidden="1">#REF!</definedName>
    <definedName name="_lbc31" hidden="1">#REF!</definedName>
    <definedName name="_lbc32" hidden="1">#REF!</definedName>
    <definedName name="_lbc4" hidden="1">#REF!</definedName>
    <definedName name="_lbc5" hidden="1">#REF!</definedName>
    <definedName name="_lbc6" hidden="1">#REF!</definedName>
    <definedName name="_lbc7" hidden="1">#REF!</definedName>
    <definedName name="_lbc8" hidden="1">#REF!</definedName>
    <definedName name="_lbc9" hidden="1">#REF!</definedName>
    <definedName name="_ld26" hidden="1">#REF!</definedName>
    <definedName name="_ld31" hidden="1">#REF!</definedName>
    <definedName name="_le31" hidden="1">#REF!</definedName>
    <definedName name="_lf31" hidden="1">#REF!</definedName>
    <definedName name="_MatInverse_In" hidden="1">#REF!</definedName>
    <definedName name="_MatMult_A" localSheetId="7" hidden="1">#REF!</definedName>
    <definedName name="_MatMult_A" localSheetId="3" hidden="1">#REF!</definedName>
    <definedName name="_MatMult_A" localSheetId="0" hidden="1">#REF!</definedName>
    <definedName name="_MatMult_A" hidden="1">#REF!</definedName>
    <definedName name="_MatMult_AxB" hidden="1">#REF!</definedName>
    <definedName name="_MatMult_B" hidden="1">#REF!</definedName>
    <definedName name="_new11" localSheetId="24" hidden="1">{#N/A,#N/A,FALSE,"Global by BU";#N/A,#N/A,FALSE,"U.S. by BU";#N/A,#N/A,FALSE,"Canada by BU";#N/A,#N/A,FALSE,"Europe by BU";#N/A,#N/A,FALSE,"Asia by BU";#N/A,#N/A,FALSE,"Cala by BU"}</definedName>
    <definedName name="_new11" localSheetId="7" hidden="1">{#N/A,#N/A,FALSE,"Global by BU";#N/A,#N/A,FALSE,"U.S. by BU";#N/A,#N/A,FALSE,"Canada by BU";#N/A,#N/A,FALSE,"Europe by BU";#N/A,#N/A,FALSE,"Asia by BU";#N/A,#N/A,FALSE,"Cala by BU"}</definedName>
    <definedName name="_new11" localSheetId="9" hidden="1">{#N/A,#N/A,FALSE,"Global by BU";#N/A,#N/A,FALSE,"U.S. by BU";#N/A,#N/A,FALSE,"Canada by BU";#N/A,#N/A,FALSE,"Europe by BU";#N/A,#N/A,FALSE,"Asia by BU";#N/A,#N/A,FALSE,"Cala by BU"}</definedName>
    <definedName name="_new11" localSheetId="3" hidden="1">{#N/A,#N/A,FALSE,"Global by BU";#N/A,#N/A,FALSE,"U.S. by BU";#N/A,#N/A,FALSE,"Canada by BU";#N/A,#N/A,FALSE,"Europe by BU";#N/A,#N/A,FALSE,"Asia by BU";#N/A,#N/A,FALSE,"Cala by BU"}</definedName>
    <definedName name="_new11" localSheetId="2" hidden="1">{#N/A,#N/A,FALSE,"Global by BU";#N/A,#N/A,FALSE,"U.S. by BU";#N/A,#N/A,FALSE,"Canada by BU";#N/A,#N/A,FALSE,"Europe by BU";#N/A,#N/A,FALSE,"Asia by BU";#N/A,#N/A,FALSE,"Cala by BU"}</definedName>
    <definedName name="_new11" localSheetId="16" hidden="1">{#N/A,#N/A,FALSE,"Global by BU";#N/A,#N/A,FALSE,"U.S. by BU";#N/A,#N/A,FALSE,"Canada by BU";#N/A,#N/A,FALSE,"Europe by BU";#N/A,#N/A,FALSE,"Asia by BU";#N/A,#N/A,FALSE,"Cala by BU"}</definedName>
    <definedName name="_new11" localSheetId="0" hidden="1">{#N/A,#N/A,FALSE,"Global by BU";#N/A,#N/A,FALSE,"U.S. by BU";#N/A,#N/A,FALSE,"Canada by BU";#N/A,#N/A,FALSE,"Europe by BU";#N/A,#N/A,FALSE,"Asia by BU";#N/A,#N/A,FALSE,"Cala by BU"}</definedName>
    <definedName name="_new11" localSheetId="26" hidden="1">{#N/A,#N/A,FALSE,"Global by BU";#N/A,#N/A,FALSE,"U.S. by BU";#N/A,#N/A,FALSE,"Canada by BU";#N/A,#N/A,FALSE,"Europe by BU";#N/A,#N/A,FALSE,"Asia by BU";#N/A,#N/A,FALSE,"Cala by BU"}</definedName>
    <definedName name="_new11" localSheetId="11" hidden="1">{#N/A,#N/A,FALSE,"Global by BU";#N/A,#N/A,FALSE,"U.S. by BU";#N/A,#N/A,FALSE,"Canada by BU";#N/A,#N/A,FALSE,"Europe by BU";#N/A,#N/A,FALSE,"Asia by BU";#N/A,#N/A,FALSE,"Cala by BU"}</definedName>
    <definedName name="_new11" hidden="1">{#N/A,#N/A,FALSE,"Global by BU";#N/A,#N/A,FALSE,"U.S. by BU";#N/A,#N/A,FALSE,"Canada by BU";#N/A,#N/A,FALSE,"Europe by BU";#N/A,#N/A,FALSE,"Asia by BU";#N/A,#N/A,FALSE,"Cala by BU"}</definedName>
    <definedName name="_Order1" hidden="1">0</definedName>
    <definedName name="_Order2" localSheetId="7" hidden="1">0</definedName>
    <definedName name="_Order2" localSheetId="9" hidden="1">0</definedName>
    <definedName name="_Order2" localSheetId="3" hidden="1">255</definedName>
    <definedName name="_Order2" localSheetId="0" hidden="1">255</definedName>
    <definedName name="_Order2" hidden="1">255</definedName>
    <definedName name="_Parse_Out" localSheetId="24" hidden="1">#REF!</definedName>
    <definedName name="_Parse_Out" localSheetId="7" hidden="1">#REF!</definedName>
    <definedName name="_Parse_Out" localSheetId="0" hidden="1">#REF!</definedName>
    <definedName name="_Parse_Out" localSheetId="26" hidden="1">#REF!</definedName>
    <definedName name="_Parse_Out" hidden="1">#REF!</definedName>
    <definedName name="_PAV01" localSheetId="7">#REF!</definedName>
    <definedName name="_PAV01" localSheetId="3">#REF!</definedName>
    <definedName name="_PAV01">#REF!</definedName>
    <definedName name="_PAV02" localSheetId="7">#REF!</definedName>
    <definedName name="_PAV02" localSheetId="3">#REF!</definedName>
    <definedName name="_PAV02">#REF!</definedName>
    <definedName name="_PAV03" localSheetId="7">#REF!</definedName>
    <definedName name="_PAV03" localSheetId="3">#REF!</definedName>
    <definedName name="_PAV03">#REF!</definedName>
    <definedName name="_PAV04" localSheetId="7">#REF!</definedName>
    <definedName name="_PAV04" localSheetId="3">#REF!</definedName>
    <definedName name="_PAV04">#REF!</definedName>
    <definedName name="_PAV05" localSheetId="7">#REF!</definedName>
    <definedName name="_PAV05" localSheetId="3">#REF!</definedName>
    <definedName name="_PAV05">#REF!</definedName>
    <definedName name="_PAV06" localSheetId="7">#REF!</definedName>
    <definedName name="_PAV06" localSheetId="3">#REF!</definedName>
    <definedName name="_PAV06">#REF!</definedName>
    <definedName name="_PAV07" localSheetId="7">#REF!</definedName>
    <definedName name="_PAV07" localSheetId="3">#REF!</definedName>
    <definedName name="_PAV07">#REF!</definedName>
    <definedName name="_PAV08" localSheetId="7">#REF!</definedName>
    <definedName name="_PAV08" localSheetId="3">#REF!</definedName>
    <definedName name="_PAV08">#REF!</definedName>
    <definedName name="_PAV09" localSheetId="7">#REF!</definedName>
    <definedName name="_PAV09" localSheetId="3">#REF!</definedName>
    <definedName name="_PAV09">#REF!</definedName>
    <definedName name="_PAV10" localSheetId="7">#REF!</definedName>
    <definedName name="_PAV10" localSheetId="3">#REF!</definedName>
    <definedName name="_PAV10">#REF!</definedName>
    <definedName name="_PAV11" localSheetId="7">#REF!</definedName>
    <definedName name="_PAV11" localSheetId="3">#REF!</definedName>
    <definedName name="_PAV11">#REF!</definedName>
    <definedName name="_PK2" localSheetId="24" hidden="1">{"'장비'!$A$3:$M$12"}</definedName>
    <definedName name="_PK2" localSheetId="7" hidden="1">{"'장비'!$A$3:$M$12"}</definedName>
    <definedName name="_PK2" localSheetId="9" hidden="1">{"'장비'!$A$3:$M$12"}</definedName>
    <definedName name="_PK2" localSheetId="3" hidden="1">{"'장비'!$A$3:$M$12"}</definedName>
    <definedName name="_PK2" localSheetId="2" hidden="1">{"'장비'!$A$3:$M$12"}</definedName>
    <definedName name="_PK2" localSheetId="16" hidden="1">{"'장비'!$A$3:$M$12"}</definedName>
    <definedName name="_PK2" localSheetId="0" hidden="1">{"'장비'!$A$3:$M$12"}</definedName>
    <definedName name="_PK2" localSheetId="26" hidden="1">{"'장비'!$A$3:$M$12"}</definedName>
    <definedName name="_PK2" localSheetId="11" hidden="1">{"'장비'!$A$3:$M$12"}</definedName>
    <definedName name="_PK2" hidden="1">{"'장비'!$A$3:$M$12"}</definedName>
    <definedName name="_PKG3" localSheetId="24" hidden="1">{"'장비'!$A$3:$M$12"}</definedName>
    <definedName name="_PKG3" localSheetId="7" hidden="1">{"'장비'!$A$3:$M$12"}</definedName>
    <definedName name="_PKG3" localSheetId="9" hidden="1">{"'장비'!$A$3:$M$12"}</definedName>
    <definedName name="_PKG3" localSheetId="3" hidden="1">{"'장비'!$A$3:$M$12"}</definedName>
    <definedName name="_PKG3" localSheetId="2" hidden="1">{"'장비'!$A$3:$M$12"}</definedName>
    <definedName name="_PKG3" localSheetId="16" hidden="1">{"'장비'!$A$3:$M$12"}</definedName>
    <definedName name="_PKG3" localSheetId="0" hidden="1">{"'장비'!$A$3:$M$12"}</definedName>
    <definedName name="_PKG3" localSheetId="26" hidden="1">{"'장비'!$A$3:$M$12"}</definedName>
    <definedName name="_PKG3" localSheetId="11" hidden="1">{"'장비'!$A$3:$M$12"}</definedName>
    <definedName name="_PKG3" hidden="1">{"'장비'!$A$3:$M$12"}</definedName>
    <definedName name="_qqq222" localSheetId="24" hidden="1">{"'장비'!$A$3:$M$12"}</definedName>
    <definedName name="_qqq222" localSheetId="7" hidden="1">{"'장비'!$A$3:$M$12"}</definedName>
    <definedName name="_qqq222" localSheetId="9" hidden="1">{"'장비'!$A$3:$M$12"}</definedName>
    <definedName name="_qqq222" localSheetId="3" hidden="1">{"'장비'!$A$3:$M$12"}</definedName>
    <definedName name="_qqq222" localSheetId="2" hidden="1">{"'장비'!$A$3:$M$12"}</definedName>
    <definedName name="_qqq222" localSheetId="16" hidden="1">{"'장비'!$A$3:$M$12"}</definedName>
    <definedName name="_qqq222" localSheetId="0" hidden="1">{"'장비'!$A$3:$M$12"}</definedName>
    <definedName name="_qqq222" localSheetId="26" hidden="1">{"'장비'!$A$3:$M$12"}</definedName>
    <definedName name="_qqq222" localSheetId="11" hidden="1">{"'장비'!$A$3:$M$12"}</definedName>
    <definedName name="_qqq222" hidden="1">{"'장비'!$A$3:$M$12"}</definedName>
    <definedName name="_QT100" localSheetId="7">#REF!</definedName>
    <definedName name="_QT100" localSheetId="3">#REF!</definedName>
    <definedName name="_QT100">#REF!</definedName>
    <definedName name="_QT2" localSheetId="7">#REF!</definedName>
    <definedName name="_QT2" localSheetId="3">#REF!</definedName>
    <definedName name="_QT2">#REF!</definedName>
    <definedName name="_QT3" localSheetId="7">#REF!</definedName>
    <definedName name="_QT3" localSheetId="3">#REF!</definedName>
    <definedName name="_QT3">#REF!</definedName>
    <definedName name="_QT4" localSheetId="7">#REF!</definedName>
    <definedName name="_QT4" localSheetId="3">#REF!</definedName>
    <definedName name="_QT4">#REF!</definedName>
    <definedName name="_QT50" localSheetId="7">#REF!</definedName>
    <definedName name="_QT50" localSheetId="3">#REF!</definedName>
    <definedName name="_QT50">#REF!</definedName>
    <definedName name="_QT75" localSheetId="7">#REF!</definedName>
    <definedName name="_QT75" localSheetId="3">#REF!</definedName>
    <definedName name="_QT75">#REF!</definedName>
    <definedName name="_r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 hidden="1">1</definedName>
    <definedName name="_Regression_Out" localSheetId="7" hidden="1">#REF!</definedName>
    <definedName name="_Regression_Out" localSheetId="3" hidden="1">#REF!</definedName>
    <definedName name="_Regression_Out" localSheetId="0" hidden="1">#REF!</definedName>
    <definedName name="_Regression_Out" hidden="1">#REF!</definedName>
    <definedName name="_Regression_X" localSheetId="0" hidden="1">#REF!</definedName>
    <definedName name="_Regression_X" hidden="1">#REF!</definedName>
    <definedName name="_Regression_Y" localSheetId="0" hidden="1">#REF!</definedName>
    <definedName name="_Regression_Y" hidden="1">#REF!</definedName>
    <definedName name="_sfe5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 localSheetId="7" hidden="1">#REF!</definedName>
    <definedName name="_Sort" localSheetId="3" hidden="1">#REF!</definedName>
    <definedName name="_Sort" localSheetId="0" hidden="1">#REF!</definedName>
    <definedName name="_Sort" hidden="1">#REF!</definedName>
    <definedName name="_T" localSheetId="7">#REF!</definedName>
    <definedName name="_T" localSheetId="3">#REF!</definedName>
    <definedName name="_T">#REF!</definedName>
    <definedName name="_Table1_In1" localSheetId="0" hidden="1">#REF!</definedName>
    <definedName name="_Table1_In1" hidden="1">#REF!</definedName>
    <definedName name="_Table1_Out" hidden="1">#REF!</definedName>
    <definedName name="_wer3" localSheetId="24" hidden="1">{#N/A,#N/A,FALSE,"Plan1";#N/A,#N/A,FALSE,"Plan2"}</definedName>
    <definedName name="_wer3" localSheetId="7" hidden="1">{#N/A,#N/A,FALSE,"Plan1";#N/A,#N/A,FALSE,"Plan2"}</definedName>
    <definedName name="_wer3" localSheetId="9" hidden="1">{#N/A,#N/A,FALSE,"Plan1";#N/A,#N/A,FALSE,"Plan2"}</definedName>
    <definedName name="_wer3" localSheetId="3" hidden="1">{#N/A,#N/A,FALSE,"Plan1";#N/A,#N/A,FALSE,"Plan2"}</definedName>
    <definedName name="_wer3" localSheetId="2" hidden="1">{#N/A,#N/A,FALSE,"Plan1";#N/A,#N/A,FALSE,"Plan2"}</definedName>
    <definedName name="_wer3" localSheetId="16" hidden="1">{#N/A,#N/A,FALSE,"Plan1";#N/A,#N/A,FALSE,"Plan2"}</definedName>
    <definedName name="_wer3" localSheetId="0" hidden="1">{#N/A,#N/A,FALSE,"Plan1";#N/A,#N/A,FALSE,"Plan2"}</definedName>
    <definedName name="_wer3" localSheetId="26" hidden="1">{#N/A,#N/A,FALSE,"Plan1";#N/A,#N/A,FALSE,"Plan2"}</definedName>
    <definedName name="_wer3" localSheetId="11" hidden="1">{#N/A,#N/A,FALSE,"Plan1";#N/A,#N/A,FALSE,"Plan2"}</definedName>
    <definedName name="_wer3" hidden="1">{#N/A,#N/A,FALSE,"Plan1";#N/A,#N/A,FALSE,"Plan2"}</definedName>
    <definedName name="_wrn.pendencias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 localSheetId="7" hidden="1">#REF!</definedName>
    <definedName name="_x10" localSheetId="3" hidden="1">#REF!</definedName>
    <definedName name="_x10" localSheetId="0" hidden="1">#REF!</definedName>
    <definedName name="_x10" hidden="1">#REF!</definedName>
    <definedName name="_x11" localSheetId="7" hidden="1">#REF!</definedName>
    <definedName name="_x11" localSheetId="3" hidden="1">#REF!</definedName>
    <definedName name="_x11" localSheetId="0" hidden="1">#REF!</definedName>
    <definedName name="_x11" hidden="1">#REF!</definedName>
    <definedName name="_x12" localSheetId="7" hidden="1">#REF!</definedName>
    <definedName name="_x12" localSheetId="3" hidden="1">#REF!</definedName>
    <definedName name="_x12" localSheetId="0" hidden="1">#REF!</definedName>
    <definedName name="_x12" hidden="1">#REF!</definedName>
    <definedName name="_x13" hidden="1">#REF!</definedName>
    <definedName name="_x14" hidden="1">#REF!</definedName>
    <definedName name="_x15" hidden="1">#REF!</definedName>
    <definedName name="_x16" hidden="1">#REF!</definedName>
    <definedName name="_x17" hidden="1">#REF!</definedName>
    <definedName name="_x18" hidden="1">#REF!</definedName>
    <definedName name="_x19" hidden="1">#REF!</definedName>
    <definedName name="_x20" hidden="1">#REF!</definedName>
    <definedName name="_x21" hidden="1">#REF!</definedName>
    <definedName name="_x22" hidden="1">#REF!</definedName>
    <definedName name="_x23" hidden="1">#REF!</definedName>
    <definedName name="_x24" hidden="1">#REF!</definedName>
    <definedName name="_x25" hidden="1">#REF!</definedName>
    <definedName name="_x28" hidden="1">#REF!</definedName>
    <definedName name="_x29" hidden="1">#REF!</definedName>
    <definedName name="_x32" hidden="1">#REF!</definedName>
    <definedName name="_x4" hidden="1">#REF!</definedName>
    <definedName name="_x5" hidden="1">#REF!</definedName>
    <definedName name="_x6" hidden="1">#REF!</definedName>
    <definedName name="_x7" hidden="1">#REF!</definedName>
    <definedName name="_x8" hidden="1">#REF!</definedName>
    <definedName name="_x9" hidden="1">#REF!</definedName>
    <definedName name="_xlcn.WorksheetConnection_2018_03ResumoRGOObrasRJ.xlsbTabela1" localSheetId="7" hidden="1">#REF!</definedName>
    <definedName name="_xlcn.WorksheetConnection_2018_03ResumoRGOObrasRJ.xlsbTabela1" localSheetId="3" hidden="1">#REF!</definedName>
    <definedName name="_xlcn.WorksheetConnection_2018_03ResumoRGOObrasRJ.xlsbTabela1" localSheetId="0" hidden="1">#REF!</definedName>
    <definedName name="_xlcn.WorksheetConnection_2018_03ResumoRGOObrasRJ.xlsbTabela1" hidden="1">#REF!</definedName>
    <definedName name="_xlcn.WorksheetConnection_ProjetocontrolefisicoefinanceiroRJ.xlsxTabela31" localSheetId="7" hidden="1">#REF!</definedName>
    <definedName name="_xlcn.WorksheetConnection_ProjetocontrolefisicoefinanceiroRJ.xlsxTabela31" localSheetId="3" hidden="1">#REF!</definedName>
    <definedName name="_xlcn.WorksheetConnection_ProjetocontrolefisicoefinanceiroRJ.xlsxTabela31" localSheetId="0" hidden="1">#REF!</definedName>
    <definedName name="_xlcn.WorksheetConnection_ProjetocontrolefisicoefinanceiroRJ.xlsxTabela31" hidden="1">#REF!</definedName>
    <definedName name="´cAE°eE¹" localSheetId="7" hidden="1">#REF!</definedName>
    <definedName name="´cAE°eE¹" localSheetId="3" hidden="1">#REF!</definedName>
    <definedName name="´cAE°eE¹" localSheetId="0" hidden="1">#REF!</definedName>
    <definedName name="´cAE°eE¹" hidden="1">#REF!</definedName>
    <definedName name="￠￥cAE¡ÆeEⓒo" hidden="1">#REF!</definedName>
    <definedName name="a" localSheetId="7" hidden="1">#REF!</definedName>
    <definedName name="a" localSheetId="3">#REF!</definedName>
    <definedName name="a" localSheetId="0" hidden="1">#REF!</definedName>
    <definedName name="a">#REF!</definedName>
    <definedName name="a\sgt" localSheetId="24" hidden="1">{#N/A,#N/A,FALSE,"Plan1";#N/A,#N/A,FALSE,"Plan2"}</definedName>
    <definedName name="a\sgt" localSheetId="7" hidden="1">{#N/A,#N/A,FALSE,"Plan1";#N/A,#N/A,FALSE,"Plan2"}</definedName>
    <definedName name="a\sgt" localSheetId="9" hidden="1">{#N/A,#N/A,FALSE,"Plan1";#N/A,#N/A,FALSE,"Plan2"}</definedName>
    <definedName name="a\sgt" localSheetId="3" hidden="1">{#N/A,#N/A,FALSE,"Plan1";#N/A,#N/A,FALSE,"Plan2"}</definedName>
    <definedName name="a\sgt" localSheetId="2" hidden="1">{#N/A,#N/A,FALSE,"Plan1";#N/A,#N/A,FALSE,"Plan2"}</definedName>
    <definedName name="a\sgt" localSheetId="16" hidden="1">{#N/A,#N/A,FALSE,"Plan1";#N/A,#N/A,FALSE,"Plan2"}</definedName>
    <definedName name="a\sgt" localSheetId="0" hidden="1">{#N/A,#N/A,FALSE,"Plan1";#N/A,#N/A,FALSE,"Plan2"}</definedName>
    <definedName name="a\sgt" localSheetId="26" hidden="1">{#N/A,#N/A,FALSE,"Plan1";#N/A,#N/A,FALSE,"Plan2"}</definedName>
    <definedName name="a\sgt" localSheetId="11" hidden="1">{#N/A,#N/A,FALSE,"Plan1";#N/A,#N/A,FALSE,"Plan2"}</definedName>
    <definedName name="a\sgt" hidden="1">{#N/A,#N/A,FALSE,"Plan1";#N/A,#N/A,FALSE,"Plan2"}</definedName>
    <definedName name="aa" localSheetId="6">#REF!</definedName>
    <definedName name="aa" localSheetId="24">#REF!</definedName>
    <definedName name="aa" localSheetId="7">#REF!</definedName>
    <definedName name="aa" localSheetId="5">#REF!</definedName>
    <definedName name="aa" localSheetId="3">#REF!</definedName>
    <definedName name="aa" localSheetId="0">#REF!</definedName>
    <definedName name="aa">#REF!</definedName>
    <definedName name="aaa" localSheetId="7">#REF!</definedName>
    <definedName name="aaa" localSheetId="3">#REF!</definedName>
    <definedName name="aaa">#REF!</definedName>
    <definedName name="aaaa" localSheetId="6">#REF!</definedName>
    <definedName name="aaaa" localSheetId="24">#REF!</definedName>
    <definedName name="AAAA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5">#REF!</definedName>
    <definedName name="aaaa" localSheetId="9">#REF!</definedName>
    <definedName name="AAAA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 localSheetId="24">#REF!</definedName>
    <definedName name="aaaadc" localSheetId="7">#REF!</definedName>
    <definedName name="aaaadc" localSheetId="3">#REF!</definedName>
    <definedName name="aaaadc" localSheetId="26">#REF!</definedName>
    <definedName name="aaaadc">#REF!</definedName>
    <definedName name="aaacccc" localSheetId="24" hidden="1">{#N/A,#N/A,FALSE,"Plan1";#N/A,#N/A,FALSE,"Plan2"}</definedName>
    <definedName name="aaacccc" localSheetId="7" hidden="1">{#N/A,#N/A,FALSE,"Plan1";#N/A,#N/A,FALSE,"Plan2"}</definedName>
    <definedName name="aaacccc" localSheetId="9" hidden="1">{#N/A,#N/A,FALSE,"Plan1";#N/A,#N/A,FALSE,"Plan2"}</definedName>
    <definedName name="aaacccc" localSheetId="3" hidden="1">{#N/A,#N/A,FALSE,"Plan1";#N/A,#N/A,FALSE,"Plan2"}</definedName>
    <definedName name="aaacccc" localSheetId="2" hidden="1">{#N/A,#N/A,FALSE,"Plan1";#N/A,#N/A,FALSE,"Plan2"}</definedName>
    <definedName name="aaacccc" localSheetId="16" hidden="1">{#N/A,#N/A,FALSE,"Plan1";#N/A,#N/A,FALSE,"Plan2"}</definedName>
    <definedName name="aaacccc" localSheetId="0" hidden="1">{#N/A,#N/A,FALSE,"Plan1";#N/A,#N/A,FALSE,"Plan2"}</definedName>
    <definedName name="aaacccc" localSheetId="26" hidden="1">{#N/A,#N/A,FALSE,"Plan1";#N/A,#N/A,FALSE,"Plan2"}</definedName>
    <definedName name="aaacccc" localSheetId="11" hidden="1">{#N/A,#N/A,FALSE,"Plan1";#N/A,#N/A,FALSE,"Plan2"}</definedName>
    <definedName name="aaacccc" hidden="1">{#N/A,#N/A,FALSE,"Plan1";#N/A,#N/A,FALSE,"Plan2"}</definedName>
    <definedName name="aaas" localSheetId="24">#REF!</definedName>
    <definedName name="aaas" localSheetId="7">#REF!</definedName>
    <definedName name="aaas" localSheetId="3">#REF!</definedName>
    <definedName name="aaas" localSheetId="26">#REF!</definedName>
    <definedName name="aaas">#REF!</definedName>
    <definedName name="AB" localSheetId="24">#REF!</definedName>
    <definedName name="AB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 localSheetId="3">#REF!</definedName>
    <definedName name="AB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>#REF!</definedName>
    <definedName name="Abat_ISS" localSheetId="7">#REF!</definedName>
    <definedName name="Abat_ISS" localSheetId="9">#REF!</definedName>
    <definedName name="Abat_ISS" localSheetId="3">#REF!</definedName>
    <definedName name="Abat_ISS">#REF!</definedName>
    <definedName name="abc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 localSheetId="24" hidden="1">#REF!</definedName>
    <definedName name="ABCD" localSheetId="7" hidden="1">#REF!</definedName>
    <definedName name="ABCD" localSheetId="0" hidden="1">#REF!</definedName>
    <definedName name="ABCD" localSheetId="26" hidden="1">#REF!</definedName>
    <definedName name="ABCD" hidden="1">#REF!</definedName>
    <definedName name="abebqt" localSheetId="7">#REF!</definedName>
    <definedName name="abebqt" localSheetId="3">#REF!</definedName>
    <definedName name="abebqt">#REF!</definedName>
    <definedName name="abr17RJ" localSheetId="7">#REF!</definedName>
    <definedName name="abr17RJ" localSheetId="3">#REF!</definedName>
    <definedName name="abr17RJ">#REF!</definedName>
    <definedName name="ABRIL" localSheetId="7">#REF!</definedName>
    <definedName name="ABRIL" localSheetId="3">#REF!</definedName>
    <definedName name="ABRIL">#REF!</definedName>
    <definedName name="ABRIL2001" localSheetId="7">#REF!</definedName>
    <definedName name="ABRIL2001" localSheetId="3">#REF!</definedName>
    <definedName name="ABRIL2001">#REF!</definedName>
    <definedName name="ac" localSheetId="0" hidden="1">#REF!</definedName>
    <definedName name="ac" hidden="1">#REF!</definedName>
    <definedName name="Acabam." localSheetId="7">#REF!</definedName>
    <definedName name="Acabam." localSheetId="3">#REF!</definedName>
    <definedName name="Acabam.">#REF!</definedName>
    <definedName name="ACADUC" localSheetId="7">#REF!</definedName>
    <definedName name="ACADUC" localSheetId="3">#REF!</definedName>
    <definedName name="ACADUC">#REF!</definedName>
    <definedName name="ACBEB" localSheetId="7">#REF!</definedName>
    <definedName name="ACBEB" localSheetId="3">#REF!</definedName>
    <definedName name="ACBEB">#REF!</definedName>
    <definedName name="ACBOMB" localSheetId="7">#REF!</definedName>
    <definedName name="ACBOMB" localSheetId="3">#REF!</definedName>
    <definedName name="ACBOMB">#REF!</definedName>
    <definedName name="AccessDatabase" hidden="1">"C:\posec\DATABASE\vlv_list\vlvlist1.mdb"</definedName>
    <definedName name="ACCHAF" localSheetId="24">#REF!</definedName>
    <definedName name="ACCHAF" localSheetId="7">#REF!</definedName>
    <definedName name="ACCHAF" localSheetId="3">#REF!</definedName>
    <definedName name="ACCHAF" localSheetId="26">#REF!</definedName>
    <definedName name="ACCHAF">#REF!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db" localSheetId="7" hidden="1">#REF!</definedName>
    <definedName name="acdb" localSheetId="3" hidden="1">#REF!</definedName>
    <definedName name="acdb" localSheetId="0" hidden="1">#REF!</definedName>
    <definedName name="acdb" hidden="1">#REF!</definedName>
    <definedName name="ACDER" localSheetId="7">#REF!</definedName>
    <definedName name="ACDER" localSheetId="3">#REF!</definedName>
    <definedName name="ACDER">#REF!</definedName>
    <definedName name="ACDIV" localSheetId="7">#REF!</definedName>
    <definedName name="ACDIV" localSheetId="3">#REF!</definedName>
    <definedName name="ACDIV">#REF!</definedName>
    <definedName name="ACDS" localSheetId="0" hidden="1">#REF!</definedName>
    <definedName name="ACDS" hidden="1">#REF!</definedName>
    <definedName name="ACEQP" localSheetId="7">#REF!</definedName>
    <definedName name="ACEQP" localSheetId="3">#REF!</definedName>
    <definedName name="ACEQP">#REF!</definedName>
    <definedName name="ACHAFQT" localSheetId="7">#REF!</definedName>
    <definedName name="ACHAFQT" localSheetId="3">#REF!</definedName>
    <definedName name="ACHAFQT">#REF!</definedName>
    <definedName name="achar18" localSheetId="0" hidden="1">#REF!</definedName>
    <definedName name="achar18" hidden="1">#REF!</definedName>
    <definedName name="achar19" hidden="1">#REF!</definedName>
    <definedName name="achart1" hidden="1">#REF!</definedName>
    <definedName name="achart10" hidden="1">#REF!</definedName>
    <definedName name="achart11" hidden="1">#REF!</definedName>
    <definedName name="achart12" hidden="1">#REF!</definedName>
    <definedName name="achart13" hidden="1">#REF!</definedName>
    <definedName name="achart14" hidden="1">#REF!</definedName>
    <definedName name="achart15" hidden="1">#REF!</definedName>
    <definedName name="achart16" hidden="1">#REF!</definedName>
    <definedName name="achart17" hidden="1">#REF!</definedName>
    <definedName name="achart2" hidden="1">#REF!</definedName>
    <definedName name="achart20" hidden="1">#REF!</definedName>
    <definedName name="achart21" hidden="1">#REF!</definedName>
    <definedName name="achart22" hidden="1">#REF!</definedName>
    <definedName name="achart23" hidden="1">#REF!</definedName>
    <definedName name="achart24" hidden="1">#REF!</definedName>
    <definedName name="achart25" hidden="1">#REF!</definedName>
    <definedName name="achart26" hidden="1">#REF!</definedName>
    <definedName name="achart27" hidden="1">#REF!</definedName>
    <definedName name="achart28" hidden="1">#REF!</definedName>
    <definedName name="achart29" hidden="1">#REF!</definedName>
    <definedName name="achart3" hidden="1">#REF!</definedName>
    <definedName name="achart30" hidden="1">#REF!</definedName>
    <definedName name="achart31" hidden="1">#REF!</definedName>
    <definedName name="achart32" hidden="1">#REF!</definedName>
    <definedName name="achart4" hidden="1">#REF!</definedName>
    <definedName name="achart5" hidden="1">#REF!</definedName>
    <definedName name="achart6" hidden="1">#REF!</definedName>
    <definedName name="achart7" hidden="1">#REF!</definedName>
    <definedName name="achart8" hidden="1">#REF!</definedName>
    <definedName name="achart9" hidden="1">#REF!</definedName>
    <definedName name="ACMUR" localSheetId="7">#REF!</definedName>
    <definedName name="ACMUR" localSheetId="3">#REF!</definedName>
    <definedName name="ACMUR">#REF!</definedName>
    <definedName name="açoeeer" localSheetId="24" hidden="1">{#N/A,#N/A,FALSE,"Plan1";#N/A,#N/A,FALSE,"Plan2"}</definedName>
    <definedName name="açoeeer" localSheetId="7" hidden="1">{#N/A,#N/A,FALSE,"Plan1";#N/A,#N/A,FALSE,"Plan2"}</definedName>
    <definedName name="açoeeer" localSheetId="9" hidden="1">{#N/A,#N/A,FALSE,"Plan1";#N/A,#N/A,FALSE,"Plan2"}</definedName>
    <definedName name="açoeeer" localSheetId="3" hidden="1">{#N/A,#N/A,FALSE,"Plan1";#N/A,#N/A,FALSE,"Plan2"}</definedName>
    <definedName name="açoeeer" localSheetId="2" hidden="1">{#N/A,#N/A,FALSE,"Plan1";#N/A,#N/A,FALSE,"Plan2"}</definedName>
    <definedName name="açoeeer" localSheetId="16" hidden="1">{#N/A,#N/A,FALSE,"Plan1";#N/A,#N/A,FALSE,"Plan2"}</definedName>
    <definedName name="açoeeer" localSheetId="0" hidden="1">{#N/A,#N/A,FALSE,"Plan1";#N/A,#N/A,FALSE,"Plan2"}</definedName>
    <definedName name="açoeeer" localSheetId="26" hidden="1">{#N/A,#N/A,FALSE,"Plan1";#N/A,#N/A,FALSE,"Plan2"}</definedName>
    <definedName name="açoeeer" localSheetId="11" hidden="1">{#N/A,#N/A,FALSE,"Plan1";#N/A,#N/A,FALSE,"Plan2"}</definedName>
    <definedName name="açoeeer" hidden="1">{#N/A,#N/A,FALSE,"Plan1";#N/A,#N/A,FALSE,"Plan2"}</definedName>
    <definedName name="ACOMP" localSheetId="24">#REF!</definedName>
    <definedName name="ACOMP" localSheetId="7">#REF!</definedName>
    <definedName name="ACOMP" localSheetId="3">#REF!</definedName>
    <definedName name="ACOMP" localSheetId="26">#REF!</definedName>
    <definedName name="ACOMP">#REF!</definedName>
    <definedName name="ACONT2" localSheetId="7">#REF!</definedName>
    <definedName name="ACONT2" localSheetId="3">#REF!</definedName>
    <definedName name="ACONT2">#REF!</definedName>
    <definedName name="ACPIPA" localSheetId="7">#REF!</definedName>
    <definedName name="ACPIPA" localSheetId="3">#REF!</definedName>
    <definedName name="ACPIPA">#REF!</definedName>
    <definedName name="ACTRANSP" localSheetId="7">#REF!</definedName>
    <definedName name="ACTRANSP" localSheetId="3">#REF!</definedName>
    <definedName name="ACTRANSP">#REF!</definedName>
    <definedName name="ACwvu.Características." localSheetId="7" hidden="1">#REF!</definedName>
    <definedName name="ACwvu.Características." localSheetId="0" hidden="1">#REF!</definedName>
    <definedName name="ACwvu.Características." hidden="1">#REF!</definedName>
    <definedName name="ACwvu.Ciclos." localSheetId="0" hidden="1">#REF!</definedName>
    <definedName name="ACwvu.Ciclos." hidden="1">#REF!</definedName>
    <definedName name="ACwvu.Custos." localSheetId="0" hidden="1">#REF!</definedName>
    <definedName name="ACwvu.Custos." hidden="1">#REF!</definedName>
    <definedName name="ACwvu.PLANILHA2." localSheetId="7" hidden="1">#REF!</definedName>
    <definedName name="ACwvu.PLANILHA2." localSheetId="3" hidden="1">#REF!</definedName>
    <definedName name="ACwvu.PLANILHA2." localSheetId="0" hidden="1">#REF!</definedName>
    <definedName name="ACwvu.PLANILHA2." hidden="1">#REF!</definedName>
    <definedName name="ACwvu.Recursos." hidden="1">#REF!</definedName>
    <definedName name="ad" localSheetId="24" hidden="1">{#N/A,#N/A,FALSE,"Plan1";#N/A,#N/A,FALSE,"Plan2"}</definedName>
    <definedName name="ad" localSheetId="7" hidden="1">{#N/A,#N/A,FALSE,"Plan1";#N/A,#N/A,FALSE,"Plan2"}</definedName>
    <definedName name="ad" localSheetId="9" hidden="1">{#N/A,#N/A,FALSE,"Plan1";#N/A,#N/A,FALSE,"Plan2"}</definedName>
    <definedName name="ad" localSheetId="3" hidden="1">{#N/A,#N/A,FALSE,"Plan1";#N/A,#N/A,FALSE,"Plan2"}</definedName>
    <definedName name="ad" localSheetId="2" hidden="1">{#N/A,#N/A,FALSE,"Plan1";#N/A,#N/A,FALSE,"Plan2"}</definedName>
    <definedName name="ad" localSheetId="16" hidden="1">{#N/A,#N/A,FALSE,"Plan1";#N/A,#N/A,FALSE,"Plan2"}</definedName>
    <definedName name="ad" localSheetId="0" hidden="1">{#N/A,#N/A,FALSE,"Plan1";#N/A,#N/A,FALSE,"Plan2"}</definedName>
    <definedName name="ad" localSheetId="26" hidden="1">{#N/A,#N/A,FALSE,"Plan1";#N/A,#N/A,FALSE,"Plan2"}</definedName>
    <definedName name="ad" localSheetId="11" hidden="1">{#N/A,#N/A,FALSE,"Plan1";#N/A,#N/A,FALSE,"Plan2"}</definedName>
    <definedName name="ad" hidden="1">{#N/A,#N/A,FALSE,"Plan1";#N/A,#N/A,FALSE,"Plan2"}</definedName>
    <definedName name="adads" localSheetId="24" hidden="1">{#N/A,#N/A,FALSE,"Plan1";#N/A,#N/A,FALSE,"Plan2"}</definedName>
    <definedName name="adads" localSheetId="7" hidden="1">{#N/A,#N/A,FALSE,"Plan1";#N/A,#N/A,FALSE,"Plan2"}</definedName>
    <definedName name="adads" localSheetId="9" hidden="1">{#N/A,#N/A,FALSE,"Plan1";#N/A,#N/A,FALSE,"Plan2"}</definedName>
    <definedName name="adads" localSheetId="3" hidden="1">{#N/A,#N/A,FALSE,"Plan1";#N/A,#N/A,FALSE,"Plan2"}</definedName>
    <definedName name="adads" localSheetId="2" hidden="1">{#N/A,#N/A,FALSE,"Plan1";#N/A,#N/A,FALSE,"Plan2"}</definedName>
    <definedName name="adads" localSheetId="16" hidden="1">{#N/A,#N/A,FALSE,"Plan1";#N/A,#N/A,FALSE,"Plan2"}</definedName>
    <definedName name="adads" localSheetId="0" hidden="1">{#N/A,#N/A,FALSE,"Plan1";#N/A,#N/A,FALSE,"Plan2"}</definedName>
    <definedName name="adads" localSheetId="26" hidden="1">{#N/A,#N/A,FALSE,"Plan1";#N/A,#N/A,FALSE,"Plan2"}</definedName>
    <definedName name="adads" localSheetId="11" hidden="1">{#N/A,#N/A,FALSE,"Plan1";#N/A,#N/A,FALSE,"Plan2"}</definedName>
    <definedName name="adads" hidden="1">{#N/A,#N/A,FALSE,"Plan1";#N/A,#N/A,FALSE,"Plan2"}</definedName>
    <definedName name="adads2" localSheetId="24" hidden="1">{#N/A,#N/A,FALSE,"Plan1";#N/A,#N/A,FALSE,"Plan2"}</definedName>
    <definedName name="adads2" localSheetId="7" hidden="1">{#N/A,#N/A,FALSE,"Plan1";#N/A,#N/A,FALSE,"Plan2"}</definedName>
    <definedName name="adads2" localSheetId="9" hidden="1">{#N/A,#N/A,FALSE,"Plan1";#N/A,#N/A,FALSE,"Plan2"}</definedName>
    <definedName name="adads2" localSheetId="3" hidden="1">{#N/A,#N/A,FALSE,"Plan1";#N/A,#N/A,FALSE,"Plan2"}</definedName>
    <definedName name="adads2" localSheetId="2" hidden="1">{#N/A,#N/A,FALSE,"Plan1";#N/A,#N/A,FALSE,"Plan2"}</definedName>
    <definedName name="adads2" localSheetId="16" hidden="1">{#N/A,#N/A,FALSE,"Plan1";#N/A,#N/A,FALSE,"Plan2"}</definedName>
    <definedName name="adads2" localSheetId="0" hidden="1">{#N/A,#N/A,FALSE,"Plan1";#N/A,#N/A,FALSE,"Plan2"}</definedName>
    <definedName name="adads2" localSheetId="26" hidden="1">{#N/A,#N/A,FALSE,"Plan1";#N/A,#N/A,FALSE,"Plan2"}</definedName>
    <definedName name="adads2" localSheetId="11" hidden="1">{#N/A,#N/A,FALSE,"Plan1";#N/A,#N/A,FALSE,"Plan2"}</definedName>
    <definedName name="adads2" hidden="1">{#N/A,#N/A,FALSE,"Plan1";#N/A,#N/A,FALSE,"Plan2"}</definedName>
    <definedName name="adced" localSheetId="24" hidden="1">{#N/A,#N/A,FALSE,"Plan1";#N/A,#N/A,FALSE,"Plan2"}</definedName>
    <definedName name="adced" localSheetId="7" hidden="1">{#N/A,#N/A,FALSE,"Plan1";#N/A,#N/A,FALSE,"Plan2"}</definedName>
    <definedName name="adced" localSheetId="9" hidden="1">{#N/A,#N/A,FALSE,"Plan1";#N/A,#N/A,FALSE,"Plan2"}</definedName>
    <definedName name="adced" localSheetId="3" hidden="1">{#N/A,#N/A,FALSE,"Plan1";#N/A,#N/A,FALSE,"Plan2"}</definedName>
    <definedName name="adced" localSheetId="2" hidden="1">{#N/A,#N/A,FALSE,"Plan1";#N/A,#N/A,FALSE,"Plan2"}</definedName>
    <definedName name="adced" localSheetId="16" hidden="1">{#N/A,#N/A,FALSE,"Plan1";#N/A,#N/A,FALSE,"Plan2"}</definedName>
    <definedName name="adced" localSheetId="0" hidden="1">{#N/A,#N/A,FALSE,"Plan1";#N/A,#N/A,FALSE,"Plan2"}</definedName>
    <definedName name="adced" localSheetId="26" hidden="1">{#N/A,#N/A,FALSE,"Plan1";#N/A,#N/A,FALSE,"Plan2"}</definedName>
    <definedName name="adced" localSheetId="11" hidden="1">{#N/A,#N/A,FALSE,"Plan1";#N/A,#N/A,FALSE,"Plan2"}</definedName>
    <definedName name="adced" hidden="1">{#N/A,#N/A,FALSE,"Plan1";#N/A,#N/A,FALSE,"Plan2"}</definedName>
    <definedName name="adced2" localSheetId="24" hidden="1">{#N/A,#N/A,FALSE,"Plan1";#N/A,#N/A,FALSE,"Plan2"}</definedName>
    <definedName name="adced2" localSheetId="7" hidden="1">{#N/A,#N/A,FALSE,"Plan1";#N/A,#N/A,FALSE,"Plan2"}</definedName>
    <definedName name="adced2" localSheetId="9" hidden="1">{#N/A,#N/A,FALSE,"Plan1";#N/A,#N/A,FALSE,"Plan2"}</definedName>
    <definedName name="adced2" localSheetId="3" hidden="1">{#N/A,#N/A,FALSE,"Plan1";#N/A,#N/A,FALSE,"Plan2"}</definedName>
    <definedName name="adced2" localSheetId="2" hidden="1">{#N/A,#N/A,FALSE,"Plan1";#N/A,#N/A,FALSE,"Plan2"}</definedName>
    <definedName name="adced2" localSheetId="16" hidden="1">{#N/A,#N/A,FALSE,"Plan1";#N/A,#N/A,FALSE,"Plan2"}</definedName>
    <definedName name="adced2" localSheetId="0" hidden="1">{#N/A,#N/A,FALSE,"Plan1";#N/A,#N/A,FALSE,"Plan2"}</definedName>
    <definedName name="adced2" localSheetId="26" hidden="1">{#N/A,#N/A,FALSE,"Plan1";#N/A,#N/A,FALSE,"Plan2"}</definedName>
    <definedName name="adced2" localSheetId="11" hidden="1">{#N/A,#N/A,FALSE,"Plan1";#N/A,#N/A,FALSE,"Plan2"}</definedName>
    <definedName name="adced2" hidden="1">{#N/A,#N/A,FALSE,"Plan1";#N/A,#N/A,FALSE,"Plan2"}</definedName>
    <definedName name="ader" localSheetId="24" hidden="1">{#N/A,#N/A,FALSE,"Plan1";#N/A,#N/A,FALSE,"Plan2"}</definedName>
    <definedName name="ader" localSheetId="7" hidden="1">{#N/A,#N/A,FALSE,"Plan1";#N/A,#N/A,FALSE,"Plan2"}</definedName>
    <definedName name="ader" localSheetId="9" hidden="1">{#N/A,#N/A,FALSE,"Plan1";#N/A,#N/A,FALSE,"Plan2"}</definedName>
    <definedName name="ader" localSheetId="3" hidden="1">{#N/A,#N/A,FALSE,"Plan1";#N/A,#N/A,FALSE,"Plan2"}</definedName>
    <definedName name="ader" localSheetId="2" hidden="1">{#N/A,#N/A,FALSE,"Plan1";#N/A,#N/A,FALSE,"Plan2"}</definedName>
    <definedName name="ader" localSheetId="16" hidden="1">{#N/A,#N/A,FALSE,"Plan1";#N/A,#N/A,FALSE,"Plan2"}</definedName>
    <definedName name="ader" localSheetId="0" hidden="1">{#N/A,#N/A,FALSE,"Plan1";#N/A,#N/A,FALSE,"Plan2"}</definedName>
    <definedName name="ader" localSheetId="26" hidden="1">{#N/A,#N/A,FALSE,"Plan1";#N/A,#N/A,FALSE,"Plan2"}</definedName>
    <definedName name="ader" localSheetId="11" hidden="1">{#N/A,#N/A,FALSE,"Plan1";#N/A,#N/A,FALSE,"Plan2"}</definedName>
    <definedName name="ader" hidden="1">{#N/A,#N/A,FALSE,"Plan1";#N/A,#N/A,FALSE,"Plan2"}</definedName>
    <definedName name="ader2" localSheetId="24" hidden="1">{#N/A,#N/A,FALSE,"Plan1";#N/A,#N/A,FALSE,"Plan2"}</definedName>
    <definedName name="ader2" localSheetId="7" hidden="1">{#N/A,#N/A,FALSE,"Plan1";#N/A,#N/A,FALSE,"Plan2"}</definedName>
    <definedName name="ader2" localSheetId="9" hidden="1">{#N/A,#N/A,FALSE,"Plan1";#N/A,#N/A,FALSE,"Plan2"}</definedName>
    <definedName name="ader2" localSheetId="3" hidden="1">{#N/A,#N/A,FALSE,"Plan1";#N/A,#N/A,FALSE,"Plan2"}</definedName>
    <definedName name="ader2" localSheetId="2" hidden="1">{#N/A,#N/A,FALSE,"Plan1";#N/A,#N/A,FALSE,"Plan2"}</definedName>
    <definedName name="ader2" localSheetId="16" hidden="1">{#N/A,#N/A,FALSE,"Plan1";#N/A,#N/A,FALSE,"Plan2"}</definedName>
    <definedName name="ader2" localSheetId="0" hidden="1">{#N/A,#N/A,FALSE,"Plan1";#N/A,#N/A,FALSE,"Plan2"}</definedName>
    <definedName name="ader2" localSheetId="26" hidden="1">{#N/A,#N/A,FALSE,"Plan1";#N/A,#N/A,FALSE,"Plan2"}</definedName>
    <definedName name="ader2" localSheetId="11" hidden="1">{#N/A,#N/A,FALSE,"Plan1";#N/A,#N/A,FALSE,"Plan2"}</definedName>
    <definedName name="ader2" hidden="1">{#N/A,#N/A,FALSE,"Plan1";#N/A,#N/A,FALSE,"Plan2"}</definedName>
    <definedName name="adesr" localSheetId="24" hidden="1">{#N/A,#N/A,FALSE,"Plan1";#N/A,#N/A,FALSE,"Plan2"}</definedName>
    <definedName name="adesr" localSheetId="7" hidden="1">{#N/A,#N/A,FALSE,"Plan1";#N/A,#N/A,FALSE,"Plan2"}</definedName>
    <definedName name="adesr" localSheetId="9" hidden="1">{#N/A,#N/A,FALSE,"Plan1";#N/A,#N/A,FALSE,"Plan2"}</definedName>
    <definedName name="adesr" localSheetId="3" hidden="1">{#N/A,#N/A,FALSE,"Plan1";#N/A,#N/A,FALSE,"Plan2"}</definedName>
    <definedName name="adesr" localSheetId="2" hidden="1">{#N/A,#N/A,FALSE,"Plan1";#N/A,#N/A,FALSE,"Plan2"}</definedName>
    <definedName name="adesr" localSheetId="16" hidden="1">{#N/A,#N/A,FALSE,"Plan1";#N/A,#N/A,FALSE,"Plan2"}</definedName>
    <definedName name="adesr" localSheetId="0" hidden="1">{#N/A,#N/A,FALSE,"Plan1";#N/A,#N/A,FALSE,"Plan2"}</definedName>
    <definedName name="adesr" localSheetId="26" hidden="1">{#N/A,#N/A,FALSE,"Plan1";#N/A,#N/A,FALSE,"Plan2"}</definedName>
    <definedName name="adesr" localSheetId="11" hidden="1">{#N/A,#N/A,FALSE,"Plan1";#N/A,#N/A,FALSE,"Plan2"}</definedName>
    <definedName name="adesr" hidden="1">{#N/A,#N/A,FALSE,"Plan1";#N/A,#N/A,FALSE,"Plan2"}</definedName>
    <definedName name="adew" hidden="1">"3ORZTPXRHBU97C8AJ5UM8CAVA"</definedName>
    <definedName name="adewr" localSheetId="24" hidden="1">{#N/A,#N/A,FALSE,"Plan1";#N/A,#N/A,FALSE,"Plan2"}</definedName>
    <definedName name="adewr" localSheetId="7" hidden="1">{#N/A,#N/A,FALSE,"Plan1";#N/A,#N/A,FALSE,"Plan2"}</definedName>
    <definedName name="adewr" localSheetId="9" hidden="1">{#N/A,#N/A,FALSE,"Plan1";#N/A,#N/A,FALSE,"Plan2"}</definedName>
    <definedName name="adewr" localSheetId="3" hidden="1">{#N/A,#N/A,FALSE,"Plan1";#N/A,#N/A,FALSE,"Plan2"}</definedName>
    <definedName name="adewr" localSheetId="2" hidden="1">{#N/A,#N/A,FALSE,"Plan1";#N/A,#N/A,FALSE,"Plan2"}</definedName>
    <definedName name="adewr" localSheetId="16" hidden="1">{#N/A,#N/A,FALSE,"Plan1";#N/A,#N/A,FALSE,"Plan2"}</definedName>
    <definedName name="adewr" localSheetId="0" hidden="1">{#N/A,#N/A,FALSE,"Plan1";#N/A,#N/A,FALSE,"Plan2"}</definedName>
    <definedName name="adewr" localSheetId="26" hidden="1">{#N/A,#N/A,FALSE,"Plan1";#N/A,#N/A,FALSE,"Plan2"}</definedName>
    <definedName name="adewr" localSheetId="11" hidden="1">{#N/A,#N/A,FALSE,"Plan1";#N/A,#N/A,FALSE,"Plan2"}</definedName>
    <definedName name="adewr" hidden="1">{#N/A,#N/A,FALSE,"Plan1";#N/A,#N/A,FALSE,"Plan2"}</definedName>
    <definedName name="adf" localSheetId="24" hidden="1">{#N/A,#N/A,FALSE,"Plan1";#N/A,#N/A,FALSE,"Plan2"}</definedName>
    <definedName name="adf" localSheetId="7" hidden="1">{#N/A,#N/A,FALSE,"Plan1";#N/A,#N/A,FALSE,"Plan2"}</definedName>
    <definedName name="adf" localSheetId="9" hidden="1">{#N/A,#N/A,FALSE,"Plan1";#N/A,#N/A,FALSE,"Plan2"}</definedName>
    <definedName name="adf" localSheetId="3" hidden="1">{#N/A,#N/A,FALSE,"Plan1";#N/A,#N/A,FALSE,"Plan2"}</definedName>
    <definedName name="adf" localSheetId="2" hidden="1">{#N/A,#N/A,FALSE,"Plan1";#N/A,#N/A,FALSE,"Plan2"}</definedName>
    <definedName name="adf" localSheetId="16" hidden="1">{#N/A,#N/A,FALSE,"Plan1";#N/A,#N/A,FALSE,"Plan2"}</definedName>
    <definedName name="adf" localSheetId="0" hidden="1">{#N/A,#N/A,FALSE,"Plan1";#N/A,#N/A,FALSE,"Plan2"}</definedName>
    <definedName name="adf" localSheetId="26" hidden="1">{#N/A,#N/A,FALSE,"Plan1";#N/A,#N/A,FALSE,"Plan2"}</definedName>
    <definedName name="adf" localSheetId="11" hidden="1">{#N/A,#N/A,FALSE,"Plan1";#N/A,#N/A,FALSE,"Plan2"}</definedName>
    <definedName name="adf" hidden="1">{#N/A,#N/A,FALSE,"Plan1";#N/A,#N/A,FALSE,"Plan2"}</definedName>
    <definedName name="ADITIVO_BRUTO" localSheetId="24">#REF!</definedName>
    <definedName name="ADITIVO_BRUTO" localSheetId="7">#REF!</definedName>
    <definedName name="ADITIVO_BRUTO" localSheetId="3">#REF!</definedName>
    <definedName name="ADITIVO_BRUTO" localSheetId="26">#REF!</definedName>
    <definedName name="ADITIVO_BRUTO">#REF!</definedName>
    <definedName name="ADITIVO_LIQUIDO" localSheetId="7">#REF!</definedName>
    <definedName name="ADITIVO_LIQUIDO" localSheetId="3">#REF!</definedName>
    <definedName name="ADITIVO_LIQUIDO">#REF!</definedName>
    <definedName name="ADM.EXTERNA" localSheetId="7">#REF!</definedName>
    <definedName name="ADM.EXTERNA" localSheetId="3">#REF!</definedName>
    <definedName name="ADM.EXTERNA">#REF!</definedName>
    <definedName name="adsfr" localSheetId="24" hidden="1">{#N/A,#N/A,FALSE,"Plan1";#N/A,#N/A,FALSE,"Plan2"}</definedName>
    <definedName name="adsfr" localSheetId="7" hidden="1">{#N/A,#N/A,FALSE,"Plan1";#N/A,#N/A,FALSE,"Plan2"}</definedName>
    <definedName name="adsfr" localSheetId="9" hidden="1">{#N/A,#N/A,FALSE,"Plan1";#N/A,#N/A,FALSE,"Plan2"}</definedName>
    <definedName name="adsfr" localSheetId="3" hidden="1">{#N/A,#N/A,FALSE,"Plan1";#N/A,#N/A,FALSE,"Plan2"}</definedName>
    <definedName name="adsfr" localSheetId="2" hidden="1">{#N/A,#N/A,FALSE,"Plan1";#N/A,#N/A,FALSE,"Plan2"}</definedName>
    <definedName name="adsfr" localSheetId="16" hidden="1">{#N/A,#N/A,FALSE,"Plan1";#N/A,#N/A,FALSE,"Plan2"}</definedName>
    <definedName name="adsfr" localSheetId="0" hidden="1">{#N/A,#N/A,FALSE,"Plan1";#N/A,#N/A,FALSE,"Plan2"}</definedName>
    <definedName name="adsfr" localSheetId="26" hidden="1">{#N/A,#N/A,FALSE,"Plan1";#N/A,#N/A,FALSE,"Plan2"}</definedName>
    <definedName name="adsfr" localSheetId="11" hidden="1">{#N/A,#N/A,FALSE,"Plan1";#N/A,#N/A,FALSE,"Plan2"}</definedName>
    <definedName name="adsfr" hidden="1">{#N/A,#N/A,FALSE,"Plan1";#N/A,#N/A,FALSE,"Plan2"}</definedName>
    <definedName name="adssrgtg" localSheetId="24" hidden="1">{#N/A,#N/A,FALSE,"Plan1";#N/A,#N/A,FALSE,"Plan2"}</definedName>
    <definedName name="adssrgtg" localSheetId="7" hidden="1">{#N/A,#N/A,FALSE,"Plan1";#N/A,#N/A,FALSE,"Plan2"}</definedName>
    <definedName name="adssrgtg" localSheetId="9" hidden="1">{#N/A,#N/A,FALSE,"Plan1";#N/A,#N/A,FALSE,"Plan2"}</definedName>
    <definedName name="adssrgtg" localSheetId="3" hidden="1">{#N/A,#N/A,FALSE,"Plan1";#N/A,#N/A,FALSE,"Plan2"}</definedName>
    <definedName name="adssrgtg" localSheetId="2" hidden="1">{#N/A,#N/A,FALSE,"Plan1";#N/A,#N/A,FALSE,"Plan2"}</definedName>
    <definedName name="adssrgtg" localSheetId="16" hidden="1">{#N/A,#N/A,FALSE,"Plan1";#N/A,#N/A,FALSE,"Plan2"}</definedName>
    <definedName name="adssrgtg" localSheetId="0" hidden="1">{#N/A,#N/A,FALSE,"Plan1";#N/A,#N/A,FALSE,"Plan2"}</definedName>
    <definedName name="adssrgtg" localSheetId="26" hidden="1">{#N/A,#N/A,FALSE,"Plan1";#N/A,#N/A,FALSE,"Plan2"}</definedName>
    <definedName name="adssrgtg" localSheetId="11" hidden="1">{#N/A,#N/A,FALSE,"Plan1";#N/A,#N/A,FALSE,"Plan2"}</definedName>
    <definedName name="adssrgtg" hidden="1">{#N/A,#N/A,FALSE,"Plan1";#N/A,#N/A,FALSE,"Plan2"}</definedName>
    <definedName name="adtsetrr6t" localSheetId="24" hidden="1">{#N/A,#N/A,FALSE,"Plan1";#N/A,#N/A,FALSE,"Plan2"}</definedName>
    <definedName name="adtsetrr6t" localSheetId="7" hidden="1">{#N/A,#N/A,FALSE,"Plan1";#N/A,#N/A,FALSE,"Plan2"}</definedName>
    <definedName name="adtsetrr6t" localSheetId="9" hidden="1">{#N/A,#N/A,FALSE,"Plan1";#N/A,#N/A,FALSE,"Plan2"}</definedName>
    <definedName name="adtsetrr6t" localSheetId="3" hidden="1">{#N/A,#N/A,FALSE,"Plan1";#N/A,#N/A,FALSE,"Plan2"}</definedName>
    <definedName name="adtsetrr6t" localSheetId="2" hidden="1">{#N/A,#N/A,FALSE,"Plan1";#N/A,#N/A,FALSE,"Plan2"}</definedName>
    <definedName name="adtsetrr6t" localSheetId="16" hidden="1">{#N/A,#N/A,FALSE,"Plan1";#N/A,#N/A,FALSE,"Plan2"}</definedName>
    <definedName name="adtsetrr6t" localSheetId="0" hidden="1">{#N/A,#N/A,FALSE,"Plan1";#N/A,#N/A,FALSE,"Plan2"}</definedName>
    <definedName name="adtsetrr6t" localSheetId="26" hidden="1">{#N/A,#N/A,FALSE,"Plan1";#N/A,#N/A,FALSE,"Plan2"}</definedName>
    <definedName name="adtsetrr6t" localSheetId="11" hidden="1">{#N/A,#N/A,FALSE,"Plan1";#N/A,#N/A,FALSE,"Plan2"}</definedName>
    <definedName name="adtsetrr6t" hidden="1">{#N/A,#N/A,FALSE,"Plan1";#N/A,#N/A,FALSE,"Plan2"}</definedName>
    <definedName name="ADUCQT" localSheetId="24">#REF!</definedName>
    <definedName name="ADUCQT" localSheetId="7">#REF!</definedName>
    <definedName name="ADUCQT" localSheetId="3">#REF!</definedName>
    <definedName name="ADUCQT" localSheetId="26">#REF!</definedName>
    <definedName name="ADUCQT">#REF!</definedName>
    <definedName name="adwr" localSheetId="24" hidden="1">{#N/A,#N/A,FALSE,"Plan1";#N/A,#N/A,FALSE,"Plan2"}</definedName>
    <definedName name="adwr" localSheetId="7" hidden="1">{#N/A,#N/A,FALSE,"Plan1";#N/A,#N/A,FALSE,"Plan2"}</definedName>
    <definedName name="adwr" localSheetId="9" hidden="1">{#N/A,#N/A,FALSE,"Plan1";#N/A,#N/A,FALSE,"Plan2"}</definedName>
    <definedName name="adwr" localSheetId="3" hidden="1">{#N/A,#N/A,FALSE,"Plan1";#N/A,#N/A,FALSE,"Plan2"}</definedName>
    <definedName name="adwr" localSheetId="2" hidden="1">{#N/A,#N/A,FALSE,"Plan1";#N/A,#N/A,FALSE,"Plan2"}</definedName>
    <definedName name="adwr" localSheetId="16" hidden="1">{#N/A,#N/A,FALSE,"Plan1";#N/A,#N/A,FALSE,"Plan2"}</definedName>
    <definedName name="adwr" localSheetId="0" hidden="1">{#N/A,#N/A,FALSE,"Plan1";#N/A,#N/A,FALSE,"Plan2"}</definedName>
    <definedName name="adwr" localSheetId="26" hidden="1">{#N/A,#N/A,FALSE,"Plan1";#N/A,#N/A,FALSE,"Plan2"}</definedName>
    <definedName name="adwr" localSheetId="11" hidden="1">{#N/A,#N/A,FALSE,"Plan1";#N/A,#N/A,FALSE,"Plan2"}</definedName>
    <definedName name="adwr" hidden="1">{#N/A,#N/A,FALSE,"Plan1";#N/A,#N/A,FALSE,"Plan2"}</definedName>
    <definedName name="aeiresft" localSheetId="24" hidden="1">{#N/A,#N/A,FALSE,"Plan1";#N/A,#N/A,FALSE,"Plan2"}</definedName>
    <definedName name="aeiresft" localSheetId="7" hidden="1">{#N/A,#N/A,FALSE,"Plan1";#N/A,#N/A,FALSE,"Plan2"}</definedName>
    <definedName name="aeiresft" localSheetId="9" hidden="1">{#N/A,#N/A,FALSE,"Plan1";#N/A,#N/A,FALSE,"Plan2"}</definedName>
    <definedName name="aeiresft" localSheetId="3" hidden="1">{#N/A,#N/A,FALSE,"Plan1";#N/A,#N/A,FALSE,"Plan2"}</definedName>
    <definedName name="aeiresft" localSheetId="2" hidden="1">{#N/A,#N/A,FALSE,"Plan1";#N/A,#N/A,FALSE,"Plan2"}</definedName>
    <definedName name="aeiresft" localSheetId="16" hidden="1">{#N/A,#N/A,FALSE,"Plan1";#N/A,#N/A,FALSE,"Plan2"}</definedName>
    <definedName name="aeiresft" localSheetId="0" hidden="1">{#N/A,#N/A,FALSE,"Plan1";#N/A,#N/A,FALSE,"Plan2"}</definedName>
    <definedName name="aeiresft" localSheetId="26" hidden="1">{#N/A,#N/A,FALSE,"Plan1";#N/A,#N/A,FALSE,"Plan2"}</definedName>
    <definedName name="aeiresft" localSheetId="11" hidden="1">{#N/A,#N/A,FALSE,"Plan1";#N/A,#N/A,FALSE,"Plan2"}</definedName>
    <definedName name="aeiresft" hidden="1">{#N/A,#N/A,FALSE,"Plan1";#N/A,#N/A,FALSE,"Plan2"}</definedName>
    <definedName name="aEL3QE" localSheetId="24" hidden="1">{#N/A,#N/A,FALSE,"Plan1";#N/A,#N/A,FALSE,"Plan2"}</definedName>
    <definedName name="aEL3QE" localSheetId="7" hidden="1">{#N/A,#N/A,FALSE,"Plan1";#N/A,#N/A,FALSE,"Plan2"}</definedName>
    <definedName name="aEL3QE" localSheetId="9" hidden="1">{#N/A,#N/A,FALSE,"Plan1";#N/A,#N/A,FALSE,"Plan2"}</definedName>
    <definedName name="aEL3QE" localSheetId="3" hidden="1">{#N/A,#N/A,FALSE,"Plan1";#N/A,#N/A,FALSE,"Plan2"}</definedName>
    <definedName name="aEL3QE" localSheetId="2" hidden="1">{#N/A,#N/A,FALSE,"Plan1";#N/A,#N/A,FALSE,"Plan2"}</definedName>
    <definedName name="aEL3QE" localSheetId="16" hidden="1">{#N/A,#N/A,FALSE,"Plan1";#N/A,#N/A,FALSE,"Plan2"}</definedName>
    <definedName name="aEL3QE" localSheetId="0" hidden="1">{#N/A,#N/A,FALSE,"Plan1";#N/A,#N/A,FALSE,"Plan2"}</definedName>
    <definedName name="aEL3QE" localSheetId="26" hidden="1">{#N/A,#N/A,FALSE,"Plan1";#N/A,#N/A,FALSE,"Plan2"}</definedName>
    <definedName name="aEL3QE" localSheetId="11" hidden="1">{#N/A,#N/A,FALSE,"Plan1";#N/A,#N/A,FALSE,"Plan2"}</definedName>
    <definedName name="aEL3QE" hidden="1">{#N/A,#N/A,FALSE,"Plan1";#N/A,#N/A,FALSE,"Plan2"}</definedName>
    <definedName name="afeasfre" localSheetId="24" hidden="1">{#N/A,#N/A,FALSE,"Plan1";#N/A,#N/A,FALSE,"Plan2"}</definedName>
    <definedName name="afeasfre" localSheetId="7" hidden="1">{#N/A,#N/A,FALSE,"Plan1";#N/A,#N/A,FALSE,"Plan2"}</definedName>
    <definedName name="afeasfre" localSheetId="9" hidden="1">{#N/A,#N/A,FALSE,"Plan1";#N/A,#N/A,FALSE,"Plan2"}</definedName>
    <definedName name="afeasfre" localSheetId="3" hidden="1">{#N/A,#N/A,FALSE,"Plan1";#N/A,#N/A,FALSE,"Plan2"}</definedName>
    <definedName name="afeasfre" localSheetId="2" hidden="1">{#N/A,#N/A,FALSE,"Plan1";#N/A,#N/A,FALSE,"Plan2"}</definedName>
    <definedName name="afeasfre" localSheetId="16" hidden="1">{#N/A,#N/A,FALSE,"Plan1";#N/A,#N/A,FALSE,"Plan2"}</definedName>
    <definedName name="afeasfre" localSheetId="0" hidden="1">{#N/A,#N/A,FALSE,"Plan1";#N/A,#N/A,FALSE,"Plan2"}</definedName>
    <definedName name="afeasfre" localSheetId="26" hidden="1">{#N/A,#N/A,FALSE,"Plan1";#N/A,#N/A,FALSE,"Plan2"}</definedName>
    <definedName name="afeasfre" localSheetId="11" hidden="1">{#N/A,#N/A,FALSE,"Plan1";#N/A,#N/A,FALSE,"Plan2"}</definedName>
    <definedName name="afeasfre" hidden="1">{#N/A,#N/A,FALSE,"Plan1";#N/A,#N/A,FALSE,"Plan2"}</definedName>
    <definedName name="agdsf" localSheetId="7" hidden="1">#REF!</definedName>
    <definedName name="agdsf" localSheetId="3" hidden="1">#REF!</definedName>
    <definedName name="agdsf" localSheetId="0" hidden="1">#REF!</definedName>
    <definedName name="agdsf" hidden="1">#REF!</definedName>
    <definedName name="ago17RJ" localSheetId="7">#REF!</definedName>
    <definedName name="ago17RJ" localSheetId="3">#REF!</definedName>
    <definedName name="ago17RJ">#REF!</definedName>
    <definedName name="AGOSTO" localSheetId="7">#REF!</definedName>
    <definedName name="AGOSTO" localSheetId="3">#REF!</definedName>
    <definedName name="AGOSTO">#REF!</definedName>
    <definedName name="agua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localSheetId="24" hidden="1">{#N/A,#N/A,FALSE,"CCTV"}</definedName>
    <definedName name="AH" localSheetId="7" hidden="1">{#N/A,#N/A,FALSE,"CCTV"}</definedName>
    <definedName name="AH" localSheetId="9" hidden="1">{#N/A,#N/A,FALSE,"CCTV"}</definedName>
    <definedName name="AH" localSheetId="3" hidden="1">{#N/A,#N/A,FALSE,"CCTV"}</definedName>
    <definedName name="AH" localSheetId="2" hidden="1">{#N/A,#N/A,FALSE,"CCTV"}</definedName>
    <definedName name="AH" localSheetId="16" hidden="1">{#N/A,#N/A,FALSE,"CCTV"}</definedName>
    <definedName name="AH" localSheetId="0" hidden="1">{#N/A,#N/A,FALSE,"CCTV"}</definedName>
    <definedName name="AH" localSheetId="26" hidden="1">{#N/A,#N/A,FALSE,"CCTV"}</definedName>
    <definedName name="AH" localSheetId="11" hidden="1">{#N/A,#N/A,FALSE,"CCTV"}</definedName>
    <definedName name="AH" hidden="1">{#N/A,#N/A,FALSE,"CCTV"}</definedName>
    <definedName name="AITEM" localSheetId="24">#REF!</definedName>
    <definedName name="AITEM" localSheetId="7">#REF!</definedName>
    <definedName name="AITEM" localSheetId="3">#REF!</definedName>
    <definedName name="AITEM" localSheetId="26">#REF!</definedName>
    <definedName name="AITEM">#REF!</definedName>
    <definedName name="Ajudante_Geral" localSheetId="7">#REF!</definedName>
    <definedName name="Ajudante_Geral" localSheetId="3">#REF!</definedName>
    <definedName name="Ajudante_Geral">#REF!</definedName>
    <definedName name="ajudante_mes" localSheetId="7">#REF!</definedName>
    <definedName name="ajudante_mes" localSheetId="3">#REF!</definedName>
    <definedName name="ajudante_mes">#REF!</definedName>
    <definedName name="AL" localSheetId="7">#REF!</definedName>
    <definedName name="AL" localSheetId="3">#REF!</definedName>
    <definedName name="AL">#REF!</definedName>
    <definedName name="ALTADUC" localSheetId="7">#REF!</definedName>
    <definedName name="ALTADUC" localSheetId="3">#REF!</definedName>
    <definedName name="ALTADUC">#REF!</definedName>
    <definedName name="ALTBOMB" localSheetId="7">#REF!</definedName>
    <definedName name="ALTBOMB" localSheetId="3">#REF!</definedName>
    <definedName name="ALTBOMB">#REF!</definedName>
    <definedName name="ALTCAP" localSheetId="7">#REF!</definedName>
    <definedName name="ALTCAP" localSheetId="3">#REF!</definedName>
    <definedName name="ALTCAP">#REF!</definedName>
    <definedName name="ALTDER" localSheetId="7">#REF!</definedName>
    <definedName name="ALTDER" localSheetId="3">#REF!</definedName>
    <definedName name="ALTDER">#REF!</definedName>
    <definedName name="ALTEQUIP" localSheetId="7">#REF!</definedName>
    <definedName name="ALTEQUIP" localSheetId="3">#REF!</definedName>
    <definedName name="ALTEQUIP">#REF!</definedName>
    <definedName name="ALTIEQP" localSheetId="7">#REF!</definedName>
    <definedName name="ALTIEQP" localSheetId="3">#REF!</definedName>
    <definedName name="ALTIEQP">#REF!</definedName>
    <definedName name="ALTMUR" localSheetId="7">#REF!</definedName>
    <definedName name="ALTMUR" localSheetId="3">#REF!</definedName>
    <definedName name="ALTMUR">#REF!</definedName>
    <definedName name="ALTRES10" localSheetId="7">#REF!</definedName>
    <definedName name="ALTRES10" localSheetId="3">#REF!</definedName>
    <definedName name="ALTRES10">#REF!</definedName>
    <definedName name="ALTRES15" localSheetId="7">#REF!</definedName>
    <definedName name="ALTRES15" localSheetId="3">#REF!</definedName>
    <definedName name="ALTRES15">#REF!</definedName>
    <definedName name="ALTRES20" localSheetId="7">#REF!</definedName>
    <definedName name="ALTRES20" localSheetId="3">#REF!</definedName>
    <definedName name="ALTRES20">#REF!</definedName>
    <definedName name="ALTTRANS" localSheetId="7">#REF!</definedName>
    <definedName name="ALTTRANS" localSheetId="3">#REF!</definedName>
    <definedName name="ALTTRANS">#REF!</definedName>
    <definedName name="ALUMÍNIO_2" localSheetId="7">#REF!</definedName>
    <definedName name="ALUMÍNIO_2" localSheetId="3">#REF!</definedName>
    <definedName name="ALUMÍNIO_2">#REF!</definedName>
    <definedName name="angelo" localSheetId="24">#REF!</definedName>
    <definedName name="angelo" localSheetId="7">#REF!</definedName>
    <definedName name="angelo" localSheetId="5">#REF!</definedName>
    <definedName name="angelo" localSheetId="3">#REF!</definedName>
    <definedName name="angelo" localSheetId="2">#REF!</definedName>
    <definedName name="angelo" localSheetId="0">#REF!</definedName>
    <definedName name="angelo" localSheetId="26">#REF!</definedName>
    <definedName name="angelo">#REF!</definedName>
    <definedName name="anscount" localSheetId="7" hidden="1">1</definedName>
    <definedName name="anscount" localSheetId="9" hidden="1">1</definedName>
    <definedName name="anscount" localSheetId="3" hidden="1">3</definedName>
    <definedName name="anscount" localSheetId="0" hidden="1">3</definedName>
    <definedName name="anscount" hidden="1">3</definedName>
    <definedName name="AQE" localSheetId="24" hidden="1">{"'장비'!$A$3:$M$12"}</definedName>
    <definedName name="AQE" localSheetId="7" hidden="1">{"'장비'!$A$3:$M$12"}</definedName>
    <definedName name="AQE" localSheetId="9" hidden="1">{"'장비'!$A$3:$M$12"}</definedName>
    <definedName name="AQE" localSheetId="3" hidden="1">{"'장비'!$A$3:$M$12"}</definedName>
    <definedName name="AQE" localSheetId="2" hidden="1">{"'장비'!$A$3:$M$12"}</definedName>
    <definedName name="AQE" localSheetId="16" hidden="1">{"'장비'!$A$3:$M$12"}</definedName>
    <definedName name="AQE" localSheetId="0" hidden="1">{"'장비'!$A$3:$M$12"}</definedName>
    <definedName name="AQE" localSheetId="26" hidden="1">{"'장비'!$A$3:$M$12"}</definedName>
    <definedName name="AQE" localSheetId="11" hidden="1">{"'장비'!$A$3:$M$12"}</definedName>
    <definedName name="AQE" hidden="1">{"'장비'!$A$3:$M$12"}</definedName>
    <definedName name="AQTEMP1" localSheetId="7">#REF!</definedName>
    <definedName name="AQTEMP1" localSheetId="3">#REF!</definedName>
    <definedName name="AQTEMP1">#REF!</definedName>
    <definedName name="AQTEMP2" localSheetId="7">#REF!</definedName>
    <definedName name="AQTEMP2" localSheetId="3">#REF!</definedName>
    <definedName name="AQTEMP2">#REF!</definedName>
    <definedName name="ArComprimido" localSheetId="24" hidden="1">{"'Estimativa de Lançamento-JAN'!$A$1:$AI$85"}</definedName>
    <definedName name="ArComprimido" localSheetId="7" hidden="1">{"'Estimativa de Lançamento-JAN'!$A$1:$AI$85"}</definedName>
    <definedName name="ArComprimido" localSheetId="9" hidden="1">{"'Estimativa de Lançamento-JAN'!$A$1:$AI$85"}</definedName>
    <definedName name="ArComprimido" localSheetId="3" hidden="1">{"'Estimativa de Lançamento-JAN'!$A$1:$AI$85"}</definedName>
    <definedName name="ArComprimido" localSheetId="2" hidden="1">{"'Estimativa de Lançamento-JAN'!$A$1:$AI$85"}</definedName>
    <definedName name="ArComprimido" localSheetId="16" hidden="1">{"'Estimativa de Lançamento-JAN'!$A$1:$AI$85"}</definedName>
    <definedName name="ArComprimido" localSheetId="0" hidden="1">{"'Estimativa de Lançamento-JAN'!$A$1:$AI$85"}</definedName>
    <definedName name="ArComprimido" localSheetId="26" hidden="1">{"'Estimativa de Lançamento-JAN'!$A$1:$AI$85"}</definedName>
    <definedName name="ArComprimido" localSheetId="11" hidden="1">{"'Estimativa de Lançamento-JAN'!$A$1:$AI$85"}</definedName>
    <definedName name="ArComprimido" hidden="1">{"'Estimativa de Lançamento-JAN'!$A$1:$AI$85"}</definedName>
    <definedName name="area" localSheetId="24">#REF!</definedName>
    <definedName name="area" localSheetId="7" hidden="1">{#N/A,#N/A,FALSE,"Plan1";#N/A,#N/A,FALSE,"Plan2"}</definedName>
    <definedName name="area" localSheetId="9">#REF!</definedName>
    <definedName name="area" localSheetId="3" hidden="1">{#N/A,#N/A,FALSE,"Plan1";#N/A,#N/A,FALSE,"Plan2"}</definedName>
    <definedName name="area" localSheetId="2" hidden="1">{#N/A,#N/A,FALSE,"Plan1";#N/A,#N/A,FALSE,"Plan2"}</definedName>
    <definedName name="area" localSheetId="16" hidden="1">{#N/A,#N/A,FALSE,"Plan1";#N/A,#N/A,FALSE,"Plan2"}</definedName>
    <definedName name="area" localSheetId="0" hidden="1">{#N/A,#N/A,FALSE,"Plan1";#N/A,#N/A,FALSE,"Plan2"}</definedName>
    <definedName name="area" localSheetId="26" hidden="1">{#N/A,#N/A,FALSE,"Plan1";#N/A,#N/A,FALSE,"Plan2"}</definedName>
    <definedName name="area" localSheetId="11" hidden="1">{#N/A,#N/A,FALSE,"Plan1";#N/A,#N/A,FALSE,"Plan2"}</definedName>
    <definedName name="area" hidden="1">{#N/A,#N/A,FALSE,"Plan1";#N/A,#N/A,FALSE,"Plan2"}</definedName>
    <definedName name="área" localSheetId="7">#REF!</definedName>
    <definedName name="área" localSheetId="9">#REF!</definedName>
    <definedName name="área" localSheetId="3">#REF!</definedName>
    <definedName name="área">#REF!</definedName>
    <definedName name="Área_Construída" localSheetId="7">#REF!</definedName>
    <definedName name="Área_Construída" localSheetId="3">#REF!</definedName>
    <definedName name="Área_Construída" localSheetId="0">#REF!</definedName>
    <definedName name="Área_Construída">#REF!</definedName>
    <definedName name="_xlnm.Extract" localSheetId="26">PISCINA!#REF!</definedName>
    <definedName name="_xlnm.Print_Area" localSheetId="6">CANTEIRO!$A$1:$H$54</definedName>
    <definedName name="_xlnm.Print_Area" localSheetId="24">#REF!</definedName>
    <definedName name="_xlnm.Print_Area" localSheetId="7">#REF!</definedName>
    <definedName name="_xlnm.Print_Area" localSheetId="5">EPCs!$A$1:$I$73</definedName>
    <definedName name="_xlnm.Print_Area" localSheetId="9">'Fundação Rasa'!$A$1:$AC$173</definedName>
    <definedName name="_xlnm.Print_Area" localSheetId="3">#REF!</definedName>
    <definedName name="_xlnm.Print_Area" localSheetId="16">'Louças e metais'!$A$1:$F$140</definedName>
    <definedName name="_xlnm.Print_Area" localSheetId="0">'Obra '!$A$1:$K$78</definedName>
    <definedName name="_xlnm.Print_Area" localSheetId="26">#REF!</definedName>
    <definedName name="_xlnm.Print_Area">#REF!</definedName>
    <definedName name="Área_impressão_IM" localSheetId="7">#REF!</definedName>
    <definedName name="Área_impressão_IM" localSheetId="3">#REF!</definedName>
    <definedName name="Área_impressão_IM">#REF!</definedName>
    <definedName name="Área_Privativa" localSheetId="7">#REF!</definedName>
    <definedName name="Área_Privativa" localSheetId="3">#REF!</definedName>
    <definedName name="Área_Privativa" localSheetId="0">#REF!</definedName>
    <definedName name="Área_Privativa">#REF!</definedName>
    <definedName name="Área_Terreno" localSheetId="7">#REF!</definedName>
    <definedName name="Área_Terreno" localSheetId="3">#REF!</definedName>
    <definedName name="Área_Terreno" localSheetId="0">#REF!</definedName>
    <definedName name="Área_Terreno">#REF!</definedName>
    <definedName name="area1" localSheetId="7">#REF!</definedName>
    <definedName name="area1" localSheetId="3">#REF!</definedName>
    <definedName name="area1">#REF!</definedName>
    <definedName name="Areaimpresso" localSheetId="24">#REF!</definedName>
    <definedName name="Areaimpresso" localSheetId="7">#REF!</definedName>
    <definedName name="Areaimpresso" localSheetId="3">#REF!</definedName>
    <definedName name="Areaimpresso" localSheetId="0">#REF!</definedName>
    <definedName name="Areaimpresso">#REF!</definedName>
    <definedName name="ARM" localSheetId="7">#REF!</definedName>
    <definedName name="ARM" localSheetId="3">#REF!</definedName>
    <definedName name="ARM">#REF!</definedName>
    <definedName name="ARMABLOCOS" localSheetId="7">#REF!</definedName>
    <definedName name="ARMABLOCOS" localSheetId="3">#REF!</definedName>
    <definedName name="ARMABLOCOS">#REF!</definedName>
    <definedName name="ARMAÇÃO" localSheetId="7">#REF!</definedName>
    <definedName name="ARMAÇÃO" localSheetId="3">#REF!</definedName>
    <definedName name="ARMAÇÃO">#REF!</definedName>
    <definedName name="ARQ" localSheetId="7">#REF!</definedName>
    <definedName name="ARQ" localSheetId="3">#REF!</definedName>
    <definedName name="ARQ">#REF!</definedName>
    <definedName name="ARQERR" localSheetId="7">#REF!</definedName>
    <definedName name="ARQERR" localSheetId="3">#REF!</definedName>
    <definedName name="ARQERR">#REF!</definedName>
    <definedName name="ARQPLAN" localSheetId="7">#REF!</definedName>
    <definedName name="ARQPLAN" localSheetId="3">#REF!</definedName>
    <definedName name="ARQPLAN">#REF!</definedName>
    <definedName name="ARQT" localSheetId="7">#REF!</definedName>
    <definedName name="ARQT" localSheetId="3">#REF!</definedName>
    <definedName name="ARQT">#REF!</definedName>
    <definedName name="ARQTEMP" localSheetId="7">#REF!</definedName>
    <definedName name="ARQTEMP" localSheetId="3">#REF!</definedName>
    <definedName name="ARQTEMP">#REF!</definedName>
    <definedName name="ARQTXT" localSheetId="7">#REF!</definedName>
    <definedName name="ARQTXT" localSheetId="3">#REF!</definedName>
    <definedName name="ARQTXT">#REF!</definedName>
    <definedName name="ARTEMP" localSheetId="7">#REF!</definedName>
    <definedName name="ARTEMP" localSheetId="3">#REF!</definedName>
    <definedName name="ARTEMP">#REF!</definedName>
    <definedName name="AS" localSheetId="7">#REF!</definedName>
    <definedName name="AS" localSheetId="3">#REF!</definedName>
    <definedName name="AS">#REF!</definedName>
    <definedName name="AS2DocOpenMode" hidden="1">"AS2DocumentBrowse"</definedName>
    <definedName name="asawe3" localSheetId="24" hidden="1">{#N/A,#N/A,FALSE,"Plan1";#N/A,#N/A,FALSE,"Plan2"}</definedName>
    <definedName name="asawe3" localSheetId="7" hidden="1">{#N/A,#N/A,FALSE,"Plan1";#N/A,#N/A,FALSE,"Plan2"}</definedName>
    <definedName name="asawe3" localSheetId="9" hidden="1">{#N/A,#N/A,FALSE,"Plan1";#N/A,#N/A,FALSE,"Plan2"}</definedName>
    <definedName name="asawe3" localSheetId="3" hidden="1">{#N/A,#N/A,FALSE,"Plan1";#N/A,#N/A,FALSE,"Plan2"}</definedName>
    <definedName name="asawe3" localSheetId="2" hidden="1">{#N/A,#N/A,FALSE,"Plan1";#N/A,#N/A,FALSE,"Plan2"}</definedName>
    <definedName name="asawe3" localSheetId="16" hidden="1">{#N/A,#N/A,FALSE,"Plan1";#N/A,#N/A,FALSE,"Plan2"}</definedName>
    <definedName name="asawe3" localSheetId="0" hidden="1">{#N/A,#N/A,FALSE,"Plan1";#N/A,#N/A,FALSE,"Plan2"}</definedName>
    <definedName name="asawe3" localSheetId="26" hidden="1">{#N/A,#N/A,FALSE,"Plan1";#N/A,#N/A,FALSE,"Plan2"}</definedName>
    <definedName name="asawe3" localSheetId="11" hidden="1">{#N/A,#N/A,FALSE,"Plan1";#N/A,#N/A,FALSE,"Plan2"}</definedName>
    <definedName name="asawe3" hidden="1">{#N/A,#N/A,FALSE,"Plan1";#N/A,#N/A,FALSE,"Plan2"}</definedName>
    <definedName name="asd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" localSheetId="3" hidden="1">17</definedName>
    <definedName name="ASD" localSheetId="0" hidden="1">17</definedName>
    <definedName name="ASD" hidden="1">17</definedName>
    <definedName name="ASDA" localSheetId="24" hidden="1">{#N/A,#N/A,FALSE,"Plan1";#N/A,#N/A,FALSE,"Plan2"}</definedName>
    <definedName name="ASDA" localSheetId="7" hidden="1">{#N/A,#N/A,FALSE,"Plan1";#N/A,#N/A,FALSE,"Plan2"}</definedName>
    <definedName name="ASDA" localSheetId="9" hidden="1">{#N/A,#N/A,FALSE,"Plan1";#N/A,#N/A,FALSE,"Plan2"}</definedName>
    <definedName name="ASDA" localSheetId="3" hidden="1">{#N/A,#N/A,FALSE,"Plan1";#N/A,#N/A,FALSE,"Plan2"}</definedName>
    <definedName name="ASDA" localSheetId="2" hidden="1">{#N/A,#N/A,FALSE,"Plan1";#N/A,#N/A,FALSE,"Plan2"}</definedName>
    <definedName name="ASDA" localSheetId="16" hidden="1">{#N/A,#N/A,FALSE,"Plan1";#N/A,#N/A,FALSE,"Plan2"}</definedName>
    <definedName name="ASDA" localSheetId="0" hidden="1">{#N/A,#N/A,FALSE,"Plan1";#N/A,#N/A,FALSE,"Plan2"}</definedName>
    <definedName name="ASDA" localSheetId="26" hidden="1">{#N/A,#N/A,FALSE,"Plan1";#N/A,#N/A,FALSE,"Plan2"}</definedName>
    <definedName name="ASDA" localSheetId="11" hidden="1">{#N/A,#N/A,FALSE,"Plan1";#N/A,#N/A,FALSE,"Plan2"}</definedName>
    <definedName name="ASDA" hidden="1">{#N/A,#N/A,FALSE,"Plan1";#N/A,#N/A,FALSE,"Plan2"}</definedName>
    <definedName name="asdade" localSheetId="24" hidden="1">{#N/A,#N/A,FALSE,"Plan1";#N/A,#N/A,FALSE,"Plan2"}</definedName>
    <definedName name="asdade" localSheetId="7" hidden="1">{#N/A,#N/A,FALSE,"Plan1";#N/A,#N/A,FALSE,"Plan2"}</definedName>
    <definedName name="asdade" localSheetId="9" hidden="1">{#N/A,#N/A,FALSE,"Plan1";#N/A,#N/A,FALSE,"Plan2"}</definedName>
    <definedName name="asdade" localSheetId="3" hidden="1">{#N/A,#N/A,FALSE,"Plan1";#N/A,#N/A,FALSE,"Plan2"}</definedName>
    <definedName name="asdade" localSheetId="2" hidden="1">{#N/A,#N/A,FALSE,"Plan1";#N/A,#N/A,FALSE,"Plan2"}</definedName>
    <definedName name="asdade" localSheetId="16" hidden="1">{#N/A,#N/A,FALSE,"Plan1";#N/A,#N/A,FALSE,"Plan2"}</definedName>
    <definedName name="asdade" localSheetId="0" hidden="1">{#N/A,#N/A,FALSE,"Plan1";#N/A,#N/A,FALSE,"Plan2"}</definedName>
    <definedName name="asdade" localSheetId="26" hidden="1">{#N/A,#N/A,FALSE,"Plan1";#N/A,#N/A,FALSE,"Plan2"}</definedName>
    <definedName name="asdade" localSheetId="11" hidden="1">{#N/A,#N/A,FALSE,"Plan1";#N/A,#N/A,FALSE,"Plan2"}</definedName>
    <definedName name="asdade" hidden="1">{#N/A,#N/A,FALSE,"Plan1";#N/A,#N/A,FALSE,"Plan2"}</definedName>
    <definedName name="asdas" localSheetId="24" hidden="1">{#N/A,#N/A,FALSE,"Plan1";#N/A,#N/A,FALSE,"Plan2"}</definedName>
    <definedName name="asdas" localSheetId="7" hidden="1">{#N/A,#N/A,FALSE,"Plan1";#N/A,#N/A,FALSE,"Plan2"}</definedName>
    <definedName name="asdas" localSheetId="9" hidden="1">{#N/A,#N/A,FALSE,"Plan1";#N/A,#N/A,FALSE,"Plan2"}</definedName>
    <definedName name="asdas" localSheetId="3" hidden="1">{#N/A,#N/A,FALSE,"Plan1";#N/A,#N/A,FALSE,"Plan2"}</definedName>
    <definedName name="asdas" localSheetId="2" hidden="1">{#N/A,#N/A,FALSE,"Plan1";#N/A,#N/A,FALSE,"Plan2"}</definedName>
    <definedName name="asdas" localSheetId="16" hidden="1">{#N/A,#N/A,FALSE,"Plan1";#N/A,#N/A,FALSE,"Plan2"}</definedName>
    <definedName name="asdas" localSheetId="0" hidden="1">{#N/A,#N/A,FALSE,"Plan1";#N/A,#N/A,FALSE,"Plan2"}</definedName>
    <definedName name="asdas" localSheetId="26" hidden="1">{#N/A,#N/A,FALSE,"Plan1";#N/A,#N/A,FALSE,"Plan2"}</definedName>
    <definedName name="asdas" localSheetId="11" hidden="1">{#N/A,#N/A,FALSE,"Plan1";#N/A,#N/A,FALSE,"Plan2"}</definedName>
    <definedName name="asdas" hidden="1">{#N/A,#N/A,FALSE,"Plan1";#N/A,#N/A,FALSE,"Plan2"}</definedName>
    <definedName name="asdawed" localSheetId="24" hidden="1">{#N/A,#N/A,FALSE,"Plan1";#N/A,#N/A,FALSE,"Plan2"}</definedName>
    <definedName name="asdawed" localSheetId="7" hidden="1">{#N/A,#N/A,FALSE,"Plan1";#N/A,#N/A,FALSE,"Plan2"}</definedName>
    <definedName name="asdawed" localSheetId="9" hidden="1">{#N/A,#N/A,FALSE,"Plan1";#N/A,#N/A,FALSE,"Plan2"}</definedName>
    <definedName name="asdawed" localSheetId="3" hidden="1">{#N/A,#N/A,FALSE,"Plan1";#N/A,#N/A,FALSE,"Plan2"}</definedName>
    <definedName name="asdawed" localSheetId="2" hidden="1">{#N/A,#N/A,FALSE,"Plan1";#N/A,#N/A,FALSE,"Plan2"}</definedName>
    <definedName name="asdawed" localSheetId="16" hidden="1">{#N/A,#N/A,FALSE,"Plan1";#N/A,#N/A,FALSE,"Plan2"}</definedName>
    <definedName name="asdawed" localSheetId="0" hidden="1">{#N/A,#N/A,FALSE,"Plan1";#N/A,#N/A,FALSE,"Plan2"}</definedName>
    <definedName name="asdawed" localSheetId="26" hidden="1">{#N/A,#N/A,FALSE,"Plan1";#N/A,#N/A,FALSE,"Plan2"}</definedName>
    <definedName name="asdawed" localSheetId="11" hidden="1">{#N/A,#N/A,FALSE,"Plan1";#N/A,#N/A,FALSE,"Plan2"}</definedName>
    <definedName name="asdawed" hidden="1">{#N/A,#N/A,FALSE,"Plan1";#N/A,#N/A,FALSE,"Plan2"}</definedName>
    <definedName name="ASDER" localSheetId="24" hidden="1">{#N/A,#N/A,FALSE,"Plan1";#N/A,#N/A,FALSE,"Plan2"}</definedName>
    <definedName name="ASDER" localSheetId="7" hidden="1">{#N/A,#N/A,FALSE,"Plan1";#N/A,#N/A,FALSE,"Plan2"}</definedName>
    <definedName name="ASDER" localSheetId="9" hidden="1">{#N/A,#N/A,FALSE,"Plan1";#N/A,#N/A,FALSE,"Plan2"}</definedName>
    <definedName name="ASDER" localSheetId="3" hidden="1">{#N/A,#N/A,FALSE,"Plan1";#N/A,#N/A,FALSE,"Plan2"}</definedName>
    <definedName name="ASDER" localSheetId="2" hidden="1">{#N/A,#N/A,FALSE,"Plan1";#N/A,#N/A,FALSE,"Plan2"}</definedName>
    <definedName name="ASDER" localSheetId="16" hidden="1">{#N/A,#N/A,FALSE,"Plan1";#N/A,#N/A,FALSE,"Plan2"}</definedName>
    <definedName name="ASDER" localSheetId="0" hidden="1">{#N/A,#N/A,FALSE,"Plan1";#N/A,#N/A,FALSE,"Plan2"}</definedName>
    <definedName name="ASDER" localSheetId="26" hidden="1">{#N/A,#N/A,FALSE,"Plan1";#N/A,#N/A,FALSE,"Plan2"}</definedName>
    <definedName name="ASDER" localSheetId="11" hidden="1">{#N/A,#N/A,FALSE,"Plan1";#N/A,#N/A,FALSE,"Plan2"}</definedName>
    <definedName name="ASDER" hidden="1">{#N/A,#N/A,FALSE,"Plan1";#N/A,#N/A,FALSE,"Plan2"}</definedName>
    <definedName name="asderr" localSheetId="24" hidden="1">{#N/A,#N/A,FALSE,"Plan1";#N/A,#N/A,FALSE,"Plan2"}</definedName>
    <definedName name="asderr" localSheetId="7" hidden="1">{#N/A,#N/A,FALSE,"Plan1";#N/A,#N/A,FALSE,"Plan2"}</definedName>
    <definedName name="asderr" localSheetId="9" hidden="1">{#N/A,#N/A,FALSE,"Plan1";#N/A,#N/A,FALSE,"Plan2"}</definedName>
    <definedName name="asderr" localSheetId="3" hidden="1">{#N/A,#N/A,FALSE,"Plan1";#N/A,#N/A,FALSE,"Plan2"}</definedName>
    <definedName name="asderr" localSheetId="2" hidden="1">{#N/A,#N/A,FALSE,"Plan1";#N/A,#N/A,FALSE,"Plan2"}</definedName>
    <definedName name="asderr" localSheetId="16" hidden="1">{#N/A,#N/A,FALSE,"Plan1";#N/A,#N/A,FALSE,"Plan2"}</definedName>
    <definedName name="asderr" localSheetId="0" hidden="1">{#N/A,#N/A,FALSE,"Plan1";#N/A,#N/A,FALSE,"Plan2"}</definedName>
    <definedName name="asderr" localSheetId="26" hidden="1">{#N/A,#N/A,FALSE,"Plan1";#N/A,#N/A,FALSE,"Plan2"}</definedName>
    <definedName name="asderr" localSheetId="11" hidden="1">{#N/A,#N/A,FALSE,"Plan1";#N/A,#N/A,FALSE,"Plan2"}</definedName>
    <definedName name="asderr" hidden="1">{#N/A,#N/A,FALSE,"Plan1";#N/A,#N/A,FALSE,"Plan2"}</definedName>
    <definedName name="asdesre" localSheetId="24" hidden="1">{#N/A,#N/A,FALSE,"Plan1";#N/A,#N/A,FALSE,"Plan2"}</definedName>
    <definedName name="asdesre" localSheetId="7" hidden="1">{#N/A,#N/A,FALSE,"Plan1";#N/A,#N/A,FALSE,"Plan2"}</definedName>
    <definedName name="asdesre" localSheetId="9" hidden="1">{#N/A,#N/A,FALSE,"Plan1";#N/A,#N/A,FALSE,"Plan2"}</definedName>
    <definedName name="asdesre" localSheetId="3" hidden="1">{#N/A,#N/A,FALSE,"Plan1";#N/A,#N/A,FALSE,"Plan2"}</definedName>
    <definedName name="asdesre" localSheetId="2" hidden="1">{#N/A,#N/A,FALSE,"Plan1";#N/A,#N/A,FALSE,"Plan2"}</definedName>
    <definedName name="asdesre" localSheetId="16" hidden="1">{#N/A,#N/A,FALSE,"Plan1";#N/A,#N/A,FALSE,"Plan2"}</definedName>
    <definedName name="asdesre" localSheetId="0" hidden="1">{#N/A,#N/A,FALSE,"Plan1";#N/A,#N/A,FALSE,"Plan2"}</definedName>
    <definedName name="asdesre" localSheetId="26" hidden="1">{#N/A,#N/A,FALSE,"Plan1";#N/A,#N/A,FALSE,"Plan2"}</definedName>
    <definedName name="asdesre" localSheetId="11" hidden="1">{#N/A,#N/A,FALSE,"Plan1";#N/A,#N/A,FALSE,"Plan2"}</definedName>
    <definedName name="asdesre" hidden="1">{#N/A,#N/A,FALSE,"Plan1";#N/A,#N/A,FALSE,"Plan2"}</definedName>
    <definedName name="asdewr" localSheetId="24" hidden="1">{#N/A,#N/A,FALSE,"Plan1";#N/A,#N/A,FALSE,"Plan2"}</definedName>
    <definedName name="asdewr" localSheetId="7" hidden="1">{#N/A,#N/A,FALSE,"Plan1";#N/A,#N/A,FALSE,"Plan2"}</definedName>
    <definedName name="asdewr" localSheetId="9" hidden="1">{#N/A,#N/A,FALSE,"Plan1";#N/A,#N/A,FALSE,"Plan2"}</definedName>
    <definedName name="asdewr" localSheetId="3" hidden="1">{#N/A,#N/A,FALSE,"Plan1";#N/A,#N/A,FALSE,"Plan2"}</definedName>
    <definedName name="asdewr" localSheetId="2" hidden="1">{#N/A,#N/A,FALSE,"Plan1";#N/A,#N/A,FALSE,"Plan2"}</definedName>
    <definedName name="asdewr" localSheetId="16" hidden="1">{#N/A,#N/A,FALSE,"Plan1";#N/A,#N/A,FALSE,"Plan2"}</definedName>
    <definedName name="asdewr" localSheetId="0" hidden="1">{#N/A,#N/A,FALSE,"Plan1";#N/A,#N/A,FALSE,"Plan2"}</definedName>
    <definedName name="asdewr" localSheetId="26" hidden="1">{#N/A,#N/A,FALSE,"Plan1";#N/A,#N/A,FALSE,"Plan2"}</definedName>
    <definedName name="asdewr" localSheetId="11" hidden="1">{#N/A,#N/A,FALSE,"Plan1";#N/A,#N/A,FALSE,"Plan2"}</definedName>
    <definedName name="asdewr" hidden="1">{#N/A,#N/A,FALSE,"Plan1";#N/A,#N/A,FALSE,"Plan2"}</definedName>
    <definedName name="ASDFASDFA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localSheetId="24" hidden="1">{#N/A,#N/A,FALSE,"Plan1";#N/A,#N/A,FALSE,"Plan2"}</definedName>
    <definedName name="asdfs" localSheetId="7" hidden="1">{#N/A,#N/A,FALSE,"Plan1";#N/A,#N/A,FALSE,"Plan2"}</definedName>
    <definedName name="asdfs" localSheetId="9" hidden="1">{#N/A,#N/A,FALSE,"Plan1";#N/A,#N/A,FALSE,"Plan2"}</definedName>
    <definedName name="asdfs" localSheetId="3" hidden="1">{#N/A,#N/A,FALSE,"Plan1";#N/A,#N/A,FALSE,"Plan2"}</definedName>
    <definedName name="asdfs" localSheetId="2" hidden="1">{#N/A,#N/A,FALSE,"Plan1";#N/A,#N/A,FALSE,"Plan2"}</definedName>
    <definedName name="asdfs" localSheetId="16" hidden="1">{#N/A,#N/A,FALSE,"Plan1";#N/A,#N/A,FALSE,"Plan2"}</definedName>
    <definedName name="asdfs" localSheetId="0" hidden="1">{#N/A,#N/A,FALSE,"Plan1";#N/A,#N/A,FALSE,"Plan2"}</definedName>
    <definedName name="asdfs" localSheetId="26" hidden="1">{#N/A,#N/A,FALSE,"Plan1";#N/A,#N/A,FALSE,"Plan2"}</definedName>
    <definedName name="asdfs" localSheetId="11" hidden="1">{#N/A,#N/A,FALSE,"Plan1";#N/A,#N/A,FALSE,"Plan2"}</definedName>
    <definedName name="asdfs" hidden="1">{#N/A,#N/A,FALSE,"Plan1";#N/A,#N/A,FALSE,"Plan2"}</definedName>
    <definedName name="asdg" localSheetId="24" hidden="1">{#N/A,#N/A,FALSE,"Plan1";#N/A,#N/A,FALSE,"Plan2"}</definedName>
    <definedName name="asdg" localSheetId="7" hidden="1">{#N/A,#N/A,FALSE,"Plan1";#N/A,#N/A,FALSE,"Plan2"}</definedName>
    <definedName name="asdg" localSheetId="9" hidden="1">{#N/A,#N/A,FALSE,"Plan1";#N/A,#N/A,FALSE,"Plan2"}</definedName>
    <definedName name="asdg" localSheetId="3" hidden="1">{#N/A,#N/A,FALSE,"Plan1";#N/A,#N/A,FALSE,"Plan2"}</definedName>
    <definedName name="asdg" localSheetId="2" hidden="1">{#N/A,#N/A,FALSE,"Plan1";#N/A,#N/A,FALSE,"Plan2"}</definedName>
    <definedName name="asdg" localSheetId="16" hidden="1">{#N/A,#N/A,FALSE,"Plan1";#N/A,#N/A,FALSE,"Plan2"}</definedName>
    <definedName name="asdg" localSheetId="0" hidden="1">{#N/A,#N/A,FALSE,"Plan1";#N/A,#N/A,FALSE,"Plan2"}</definedName>
    <definedName name="asdg" localSheetId="26" hidden="1">{#N/A,#N/A,FALSE,"Plan1";#N/A,#N/A,FALSE,"Plan2"}</definedName>
    <definedName name="asdg" localSheetId="11" hidden="1">{#N/A,#N/A,FALSE,"Plan1";#N/A,#N/A,FALSE,"Plan2"}</definedName>
    <definedName name="asdg" hidden="1">{#N/A,#N/A,FALSE,"Plan1";#N/A,#N/A,FALSE,"Plan2"}</definedName>
    <definedName name="asdjksej" localSheetId="7" hidden="1">#REF!</definedName>
    <definedName name="asdjksej" localSheetId="3" hidden="1">#REF!</definedName>
    <definedName name="asdjksej" localSheetId="0" hidden="1">#REF!</definedName>
    <definedName name="asdjksej" hidden="1">#REF!</definedName>
    <definedName name="asdked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localSheetId="24" hidden="1">{#N/A,#N/A,FALSE,"Plan1";#N/A,#N/A,FALSE,"Plan2"}</definedName>
    <definedName name="asdlas" localSheetId="7" hidden="1">{#N/A,#N/A,FALSE,"Plan1";#N/A,#N/A,FALSE,"Plan2"}</definedName>
    <definedName name="asdlas" localSheetId="9" hidden="1">{#N/A,#N/A,FALSE,"Plan1";#N/A,#N/A,FALSE,"Plan2"}</definedName>
    <definedName name="asdlas" localSheetId="3" hidden="1">{#N/A,#N/A,FALSE,"Plan1";#N/A,#N/A,FALSE,"Plan2"}</definedName>
    <definedName name="asdlas" localSheetId="2" hidden="1">{#N/A,#N/A,FALSE,"Plan1";#N/A,#N/A,FALSE,"Plan2"}</definedName>
    <definedName name="asdlas" localSheetId="16" hidden="1">{#N/A,#N/A,FALSE,"Plan1";#N/A,#N/A,FALSE,"Plan2"}</definedName>
    <definedName name="asdlas" localSheetId="0" hidden="1">{#N/A,#N/A,FALSE,"Plan1";#N/A,#N/A,FALSE,"Plan2"}</definedName>
    <definedName name="asdlas" localSheetId="26" hidden="1">{#N/A,#N/A,FALSE,"Plan1";#N/A,#N/A,FALSE,"Plan2"}</definedName>
    <definedName name="asdlas" localSheetId="11" hidden="1">{#N/A,#N/A,FALSE,"Plan1";#N/A,#N/A,FALSE,"Plan2"}</definedName>
    <definedName name="asdlas" hidden="1">{#N/A,#N/A,FALSE,"Plan1";#N/A,#N/A,FALSE,"Plan2"}</definedName>
    <definedName name="asdqwe" localSheetId="24" hidden="1">{#N/A,#N/A,FALSE,"Plan1";#N/A,#N/A,FALSE,"Plan2"}</definedName>
    <definedName name="asdqwe" localSheetId="7" hidden="1">{#N/A,#N/A,FALSE,"Plan1";#N/A,#N/A,FALSE,"Plan2"}</definedName>
    <definedName name="asdqwe" localSheetId="9" hidden="1">{#N/A,#N/A,FALSE,"Plan1";#N/A,#N/A,FALSE,"Plan2"}</definedName>
    <definedName name="asdqwe" localSheetId="3" hidden="1">{#N/A,#N/A,FALSE,"Plan1";#N/A,#N/A,FALSE,"Plan2"}</definedName>
    <definedName name="asdqwe" localSheetId="2" hidden="1">{#N/A,#N/A,FALSE,"Plan1";#N/A,#N/A,FALSE,"Plan2"}</definedName>
    <definedName name="asdqwe" localSheetId="16" hidden="1">{#N/A,#N/A,FALSE,"Plan1";#N/A,#N/A,FALSE,"Plan2"}</definedName>
    <definedName name="asdqwe" localSheetId="0" hidden="1">{#N/A,#N/A,FALSE,"Plan1";#N/A,#N/A,FALSE,"Plan2"}</definedName>
    <definedName name="asdqwe" localSheetId="26" hidden="1">{#N/A,#N/A,FALSE,"Plan1";#N/A,#N/A,FALSE,"Plan2"}</definedName>
    <definedName name="asdqwe" localSheetId="11" hidden="1">{#N/A,#N/A,FALSE,"Plan1";#N/A,#N/A,FALSE,"Plan2"}</definedName>
    <definedName name="asdqwe" hidden="1">{#N/A,#N/A,FALSE,"Plan1";#N/A,#N/A,FALSE,"Plan2"}</definedName>
    <definedName name="asdsa" localSheetId="24" hidden="1">{#N/A,#N/A,FALSE,"Plan1";#N/A,#N/A,FALSE,"Plan2"}</definedName>
    <definedName name="asdsa" localSheetId="7" hidden="1">{#N/A,#N/A,FALSE,"Plan1";#N/A,#N/A,FALSE,"Plan2"}</definedName>
    <definedName name="asdsa" localSheetId="9" hidden="1">{#N/A,#N/A,FALSE,"Plan1";#N/A,#N/A,FALSE,"Plan2"}</definedName>
    <definedName name="asdsa" localSheetId="3" hidden="1">{#N/A,#N/A,FALSE,"Plan1";#N/A,#N/A,FALSE,"Plan2"}</definedName>
    <definedName name="asdsa" localSheetId="2" hidden="1">{#N/A,#N/A,FALSE,"Plan1";#N/A,#N/A,FALSE,"Plan2"}</definedName>
    <definedName name="asdsa" localSheetId="16" hidden="1">{#N/A,#N/A,FALSE,"Plan1";#N/A,#N/A,FALSE,"Plan2"}</definedName>
    <definedName name="asdsa" localSheetId="0" hidden="1">{#N/A,#N/A,FALSE,"Plan1";#N/A,#N/A,FALSE,"Plan2"}</definedName>
    <definedName name="asdsa" localSheetId="26" hidden="1">{#N/A,#N/A,FALSE,"Plan1";#N/A,#N/A,FALSE,"Plan2"}</definedName>
    <definedName name="asdsa" localSheetId="11" hidden="1">{#N/A,#N/A,FALSE,"Plan1";#N/A,#N/A,FALSE,"Plan2"}</definedName>
    <definedName name="asdsa" hidden="1">{#N/A,#N/A,FALSE,"Plan1";#N/A,#N/A,FALSE,"Plan2"}</definedName>
    <definedName name="asdser" localSheetId="24" hidden="1">{#N/A,#N/A,FALSE,"Plan1";#N/A,#N/A,FALSE,"Plan2"}</definedName>
    <definedName name="asdser" localSheetId="7" hidden="1">{#N/A,#N/A,FALSE,"Plan1";#N/A,#N/A,FALSE,"Plan2"}</definedName>
    <definedName name="asdser" localSheetId="9" hidden="1">{#N/A,#N/A,FALSE,"Plan1";#N/A,#N/A,FALSE,"Plan2"}</definedName>
    <definedName name="asdser" localSheetId="3" hidden="1">{#N/A,#N/A,FALSE,"Plan1";#N/A,#N/A,FALSE,"Plan2"}</definedName>
    <definedName name="asdser" localSheetId="2" hidden="1">{#N/A,#N/A,FALSE,"Plan1";#N/A,#N/A,FALSE,"Plan2"}</definedName>
    <definedName name="asdser" localSheetId="16" hidden="1">{#N/A,#N/A,FALSE,"Plan1";#N/A,#N/A,FALSE,"Plan2"}</definedName>
    <definedName name="asdser" localSheetId="0" hidden="1">{#N/A,#N/A,FALSE,"Plan1";#N/A,#N/A,FALSE,"Plan2"}</definedName>
    <definedName name="asdser" localSheetId="26" hidden="1">{#N/A,#N/A,FALSE,"Plan1";#N/A,#N/A,FALSE,"Plan2"}</definedName>
    <definedName name="asdser" localSheetId="11" hidden="1">{#N/A,#N/A,FALSE,"Plan1";#N/A,#N/A,FALSE,"Plan2"}</definedName>
    <definedName name="asdser" hidden="1">{#N/A,#N/A,FALSE,"Plan1";#N/A,#N/A,FALSE,"Plan2"}</definedName>
    <definedName name="asdwef" localSheetId="24" hidden="1">{#N/A,#N/A,FALSE,"Plan1";#N/A,#N/A,FALSE,"Plan2"}</definedName>
    <definedName name="asdwef" localSheetId="7" hidden="1">{#N/A,#N/A,FALSE,"Plan1";#N/A,#N/A,FALSE,"Plan2"}</definedName>
    <definedName name="asdwef" localSheetId="9" hidden="1">{#N/A,#N/A,FALSE,"Plan1";#N/A,#N/A,FALSE,"Plan2"}</definedName>
    <definedName name="asdwef" localSheetId="3" hidden="1">{#N/A,#N/A,FALSE,"Plan1";#N/A,#N/A,FALSE,"Plan2"}</definedName>
    <definedName name="asdwef" localSheetId="2" hidden="1">{#N/A,#N/A,FALSE,"Plan1";#N/A,#N/A,FALSE,"Plan2"}</definedName>
    <definedName name="asdwef" localSheetId="16" hidden="1">{#N/A,#N/A,FALSE,"Plan1";#N/A,#N/A,FALSE,"Plan2"}</definedName>
    <definedName name="asdwef" localSheetId="0" hidden="1">{#N/A,#N/A,FALSE,"Plan1";#N/A,#N/A,FALSE,"Plan2"}</definedName>
    <definedName name="asdwef" localSheetId="26" hidden="1">{#N/A,#N/A,FALSE,"Plan1";#N/A,#N/A,FALSE,"Plan2"}</definedName>
    <definedName name="asdwef" localSheetId="11" hidden="1">{#N/A,#N/A,FALSE,"Plan1";#N/A,#N/A,FALSE,"Plan2"}</definedName>
    <definedName name="asdwef" hidden="1">{#N/A,#N/A,FALSE,"Plan1";#N/A,#N/A,FALSE,"Plan2"}</definedName>
    <definedName name="aseiuw" localSheetId="7" hidden="1">#REF!</definedName>
    <definedName name="aseiuw" localSheetId="3" hidden="1">#REF!</definedName>
    <definedName name="aseiuw" localSheetId="0" hidden="1">#REF!</definedName>
    <definedName name="aseiuw" hidden="1">#REF!</definedName>
    <definedName name="ASET" localSheetId="24" hidden="1">{#N/A,#N/A,FALSE,"Plan1";#N/A,#N/A,FALSE,"Plan2"}</definedName>
    <definedName name="ASET" localSheetId="7" hidden="1">{#N/A,#N/A,FALSE,"Plan1";#N/A,#N/A,FALSE,"Plan2"}</definedName>
    <definedName name="ASET" localSheetId="9" hidden="1">{#N/A,#N/A,FALSE,"Plan1";#N/A,#N/A,FALSE,"Plan2"}</definedName>
    <definedName name="ASET" localSheetId="3" hidden="1">{#N/A,#N/A,FALSE,"Plan1";#N/A,#N/A,FALSE,"Plan2"}</definedName>
    <definedName name="ASET" localSheetId="2" hidden="1">{#N/A,#N/A,FALSE,"Plan1";#N/A,#N/A,FALSE,"Plan2"}</definedName>
    <definedName name="ASET" localSheetId="16" hidden="1">{#N/A,#N/A,FALSE,"Plan1";#N/A,#N/A,FALSE,"Plan2"}</definedName>
    <definedName name="ASET" localSheetId="0" hidden="1">{#N/A,#N/A,FALSE,"Plan1";#N/A,#N/A,FALSE,"Plan2"}</definedName>
    <definedName name="ASET" localSheetId="26" hidden="1">{#N/A,#N/A,FALSE,"Plan1";#N/A,#N/A,FALSE,"Plan2"}</definedName>
    <definedName name="ASET" localSheetId="11" hidden="1">{#N/A,#N/A,FALSE,"Plan1";#N/A,#N/A,FALSE,"Plan2"}</definedName>
    <definedName name="ASET" hidden="1">{#N/A,#N/A,FALSE,"Plan1";#N/A,#N/A,FALSE,"Plan2"}</definedName>
    <definedName name="asfDSF" localSheetId="24" hidden="1">{#N/A,#N/A,FALSE,"Plan1";#N/A,#N/A,FALSE,"Plan2"}</definedName>
    <definedName name="asfDSF" localSheetId="7" hidden="1">{#N/A,#N/A,FALSE,"Plan1";#N/A,#N/A,FALSE,"Plan2"}</definedName>
    <definedName name="asfDSF" localSheetId="9" hidden="1">{#N/A,#N/A,FALSE,"Plan1";#N/A,#N/A,FALSE,"Plan2"}</definedName>
    <definedName name="asfDSF" localSheetId="3" hidden="1">{#N/A,#N/A,FALSE,"Plan1";#N/A,#N/A,FALSE,"Plan2"}</definedName>
    <definedName name="asfDSF" localSheetId="2" hidden="1">{#N/A,#N/A,FALSE,"Plan1";#N/A,#N/A,FALSE,"Plan2"}</definedName>
    <definedName name="asfDSF" localSheetId="16" hidden="1">{#N/A,#N/A,FALSE,"Plan1";#N/A,#N/A,FALSE,"Plan2"}</definedName>
    <definedName name="asfDSF" localSheetId="0" hidden="1">{#N/A,#N/A,FALSE,"Plan1";#N/A,#N/A,FALSE,"Plan2"}</definedName>
    <definedName name="asfDSF" localSheetId="26" hidden="1">{#N/A,#N/A,FALSE,"Plan1";#N/A,#N/A,FALSE,"Plan2"}</definedName>
    <definedName name="asfDSF" localSheetId="11" hidden="1">{#N/A,#N/A,FALSE,"Plan1";#N/A,#N/A,FALSE,"Plan2"}</definedName>
    <definedName name="asfDSF" hidden="1">{#N/A,#N/A,FALSE,"Plan1";#N/A,#N/A,FALSE,"Plan2"}</definedName>
    <definedName name="ASFERTE" localSheetId="24" hidden="1">{#N/A,#N/A,FALSE,"Plan1";#N/A,#N/A,FALSE,"Plan2"}</definedName>
    <definedName name="ASFERTE" localSheetId="7" hidden="1">{#N/A,#N/A,FALSE,"Plan1";#N/A,#N/A,FALSE,"Plan2"}</definedName>
    <definedName name="ASFERTE" localSheetId="9" hidden="1">{#N/A,#N/A,FALSE,"Plan1";#N/A,#N/A,FALSE,"Plan2"}</definedName>
    <definedName name="ASFERTE" localSheetId="3" hidden="1">{#N/A,#N/A,FALSE,"Plan1";#N/A,#N/A,FALSE,"Plan2"}</definedName>
    <definedName name="ASFERTE" localSheetId="2" hidden="1">{#N/A,#N/A,FALSE,"Plan1";#N/A,#N/A,FALSE,"Plan2"}</definedName>
    <definedName name="ASFERTE" localSheetId="16" hidden="1">{#N/A,#N/A,FALSE,"Plan1";#N/A,#N/A,FALSE,"Plan2"}</definedName>
    <definedName name="ASFERTE" localSheetId="0" hidden="1">{#N/A,#N/A,FALSE,"Plan1";#N/A,#N/A,FALSE,"Plan2"}</definedName>
    <definedName name="ASFERTE" localSheetId="26" hidden="1">{#N/A,#N/A,FALSE,"Plan1";#N/A,#N/A,FALSE,"Plan2"}</definedName>
    <definedName name="ASFERTE" localSheetId="11" hidden="1">{#N/A,#N/A,FALSE,"Plan1";#N/A,#N/A,FALSE,"Plan2"}</definedName>
    <definedName name="ASFERTE" hidden="1">{#N/A,#N/A,FALSE,"Plan1";#N/A,#N/A,FALSE,"Plan2"}</definedName>
    <definedName name="asfl" localSheetId="24" hidden="1">{#N/A,#N/A,FALSE,"Plan1";#N/A,#N/A,FALSE,"Plan2"}</definedName>
    <definedName name="asfl" localSheetId="7" hidden="1">{#N/A,#N/A,FALSE,"Plan1";#N/A,#N/A,FALSE,"Plan2"}</definedName>
    <definedName name="asfl" localSheetId="9" hidden="1">{#N/A,#N/A,FALSE,"Plan1";#N/A,#N/A,FALSE,"Plan2"}</definedName>
    <definedName name="asfl" localSheetId="3" hidden="1">{#N/A,#N/A,FALSE,"Plan1";#N/A,#N/A,FALSE,"Plan2"}</definedName>
    <definedName name="asfl" localSheetId="2" hidden="1">{#N/A,#N/A,FALSE,"Plan1";#N/A,#N/A,FALSE,"Plan2"}</definedName>
    <definedName name="asfl" localSheetId="16" hidden="1">{#N/A,#N/A,FALSE,"Plan1";#N/A,#N/A,FALSE,"Plan2"}</definedName>
    <definedName name="asfl" localSheetId="0" hidden="1">{#N/A,#N/A,FALSE,"Plan1";#N/A,#N/A,FALSE,"Plan2"}</definedName>
    <definedName name="asfl" localSheetId="26" hidden="1">{#N/A,#N/A,FALSE,"Plan1";#N/A,#N/A,FALSE,"Plan2"}</definedName>
    <definedName name="asfl" localSheetId="11" hidden="1">{#N/A,#N/A,FALSE,"Plan1";#N/A,#N/A,FALSE,"Plan2"}</definedName>
    <definedName name="asfl" hidden="1">{#N/A,#N/A,FALSE,"Plan1";#N/A,#N/A,FALSE,"Plan2"}</definedName>
    <definedName name="asfsz" localSheetId="24" hidden="1">{#N/A,#N/A,FALSE,"Plan1";#N/A,#N/A,FALSE,"Plan2"}</definedName>
    <definedName name="asfsz" localSheetId="7" hidden="1">{#N/A,#N/A,FALSE,"Plan1";#N/A,#N/A,FALSE,"Plan2"}</definedName>
    <definedName name="asfsz" localSheetId="9" hidden="1">{#N/A,#N/A,FALSE,"Plan1";#N/A,#N/A,FALSE,"Plan2"}</definedName>
    <definedName name="asfsz" localSheetId="3" hidden="1">{#N/A,#N/A,FALSE,"Plan1";#N/A,#N/A,FALSE,"Plan2"}</definedName>
    <definedName name="asfsz" localSheetId="2" hidden="1">{#N/A,#N/A,FALSE,"Plan1";#N/A,#N/A,FALSE,"Plan2"}</definedName>
    <definedName name="asfsz" localSheetId="16" hidden="1">{#N/A,#N/A,FALSE,"Plan1";#N/A,#N/A,FALSE,"Plan2"}</definedName>
    <definedName name="asfsz" localSheetId="0" hidden="1">{#N/A,#N/A,FALSE,"Plan1";#N/A,#N/A,FALSE,"Plan2"}</definedName>
    <definedName name="asfsz" localSheetId="26" hidden="1">{#N/A,#N/A,FALSE,"Plan1";#N/A,#N/A,FALSE,"Plan2"}</definedName>
    <definedName name="asfsz" localSheetId="11" hidden="1">{#N/A,#N/A,FALSE,"Plan1";#N/A,#N/A,FALSE,"Plan2"}</definedName>
    <definedName name="asfsz" hidden="1">{#N/A,#N/A,FALSE,"Plan1";#N/A,#N/A,FALSE,"Plan2"}</definedName>
    <definedName name="askserf" localSheetId="24" hidden="1">{#N/A,#N/A,FALSE,"Plan1";#N/A,#N/A,FALSE,"Plan2"}</definedName>
    <definedName name="askserf" localSheetId="7" hidden="1">{#N/A,#N/A,FALSE,"Plan1";#N/A,#N/A,FALSE,"Plan2"}</definedName>
    <definedName name="askserf" localSheetId="9" hidden="1">{#N/A,#N/A,FALSE,"Plan1";#N/A,#N/A,FALSE,"Plan2"}</definedName>
    <definedName name="askserf" localSheetId="3" hidden="1">{#N/A,#N/A,FALSE,"Plan1";#N/A,#N/A,FALSE,"Plan2"}</definedName>
    <definedName name="askserf" localSheetId="2" hidden="1">{#N/A,#N/A,FALSE,"Plan1";#N/A,#N/A,FALSE,"Plan2"}</definedName>
    <definedName name="askserf" localSheetId="16" hidden="1">{#N/A,#N/A,FALSE,"Plan1";#N/A,#N/A,FALSE,"Plan2"}</definedName>
    <definedName name="askserf" localSheetId="0" hidden="1">{#N/A,#N/A,FALSE,"Plan1";#N/A,#N/A,FALSE,"Plan2"}</definedName>
    <definedName name="askserf" localSheetId="26" hidden="1">{#N/A,#N/A,FALSE,"Plan1";#N/A,#N/A,FALSE,"Plan2"}</definedName>
    <definedName name="askserf" localSheetId="11" hidden="1">{#N/A,#N/A,FALSE,"Plan1";#N/A,#N/A,FALSE,"Plan2"}</definedName>
    <definedName name="askserf" hidden="1">{#N/A,#N/A,FALSE,"Plan1";#N/A,#N/A,FALSE,"Plan2"}</definedName>
    <definedName name="ASSFSDF" localSheetId="24" hidden="1">{#N/A,#N/A,FALSE,"Plan1";#N/A,#N/A,FALSE,"Plan2"}</definedName>
    <definedName name="ASSFSDF" localSheetId="7" hidden="1">{#N/A,#N/A,FALSE,"Plan1";#N/A,#N/A,FALSE,"Plan2"}</definedName>
    <definedName name="ASSFSDF" localSheetId="9" hidden="1">{#N/A,#N/A,FALSE,"Plan1";#N/A,#N/A,FALSE,"Plan2"}</definedName>
    <definedName name="ASSFSDF" localSheetId="3" hidden="1">{#N/A,#N/A,FALSE,"Plan1";#N/A,#N/A,FALSE,"Plan2"}</definedName>
    <definedName name="ASSFSDF" localSheetId="2" hidden="1">{#N/A,#N/A,FALSE,"Plan1";#N/A,#N/A,FALSE,"Plan2"}</definedName>
    <definedName name="ASSFSDF" localSheetId="16" hidden="1">{#N/A,#N/A,FALSE,"Plan1";#N/A,#N/A,FALSE,"Plan2"}</definedName>
    <definedName name="ASSFSDF" localSheetId="0" hidden="1">{#N/A,#N/A,FALSE,"Plan1";#N/A,#N/A,FALSE,"Plan2"}</definedName>
    <definedName name="ASSFSDF" localSheetId="26" hidden="1">{#N/A,#N/A,FALSE,"Plan1";#N/A,#N/A,FALSE,"Plan2"}</definedName>
    <definedName name="ASSFSDF" localSheetId="11" hidden="1">{#N/A,#N/A,FALSE,"Plan1";#N/A,#N/A,FALSE,"Plan2"}</definedName>
    <definedName name="ASSFSDF" hidden="1">{#N/A,#N/A,FALSE,"Plan1";#N/A,#N/A,FALSE,"Plan2"}</definedName>
    <definedName name="asw" localSheetId="24" hidden="1">{#N/A,#N/A,FALSE,"Plan1";#N/A,#N/A,FALSE,"Plan2"}</definedName>
    <definedName name="asw" localSheetId="7" hidden="1">{#N/A,#N/A,FALSE,"Plan1";#N/A,#N/A,FALSE,"Plan2"}</definedName>
    <definedName name="asw" localSheetId="9" hidden="1">{#N/A,#N/A,FALSE,"Plan1";#N/A,#N/A,FALSE,"Plan2"}</definedName>
    <definedName name="asw" localSheetId="3" hidden="1">{#N/A,#N/A,FALSE,"Plan1";#N/A,#N/A,FALSE,"Plan2"}</definedName>
    <definedName name="asw" localSheetId="2" hidden="1">{#N/A,#N/A,FALSE,"Plan1";#N/A,#N/A,FALSE,"Plan2"}</definedName>
    <definedName name="asw" localSheetId="16" hidden="1">{#N/A,#N/A,FALSE,"Plan1";#N/A,#N/A,FALSE,"Plan2"}</definedName>
    <definedName name="asw" localSheetId="0" hidden="1">{#N/A,#N/A,FALSE,"Plan1";#N/A,#N/A,FALSE,"Plan2"}</definedName>
    <definedName name="asw" localSheetId="26" hidden="1">{#N/A,#N/A,FALSE,"Plan1";#N/A,#N/A,FALSE,"Plan2"}</definedName>
    <definedName name="asw" localSheetId="11" hidden="1">{#N/A,#N/A,FALSE,"Plan1";#N/A,#N/A,FALSE,"Plan2"}</definedName>
    <definedName name="asw" hidden="1">{#N/A,#N/A,FALSE,"Plan1";#N/A,#N/A,FALSE,"Plan2"}</definedName>
    <definedName name="Até_Chaves" localSheetId="24">#REF!</definedName>
    <definedName name="Até_Chaves" localSheetId="7">#REF!</definedName>
    <definedName name="Até_Chaves" localSheetId="3">#REF!</definedName>
    <definedName name="Até_Chaves" localSheetId="26">#REF!</definedName>
    <definedName name="Até_Chaves">#REF!</definedName>
    <definedName name="ATIVOS" localSheetId="24" hidden="1">{#N/A,#N/A,FALSE,"F-01"}</definedName>
    <definedName name="ATIVOS" localSheetId="7" hidden="1">{#N/A,#N/A,FALSE,"F-01"}</definedName>
    <definedName name="ATIVOS" localSheetId="9" hidden="1">{#N/A,#N/A,FALSE,"F-01"}</definedName>
    <definedName name="ATIVOS" localSheetId="3" hidden="1">{#N/A,#N/A,FALSE,"F-01"}</definedName>
    <definedName name="ATIVOS" localSheetId="2" hidden="1">{#N/A,#N/A,FALSE,"F-01"}</definedName>
    <definedName name="ATIVOS" localSheetId="16" hidden="1">{#N/A,#N/A,FALSE,"F-01"}</definedName>
    <definedName name="ATIVOS" localSheetId="0" hidden="1">{#N/A,#N/A,FALSE,"F-01"}</definedName>
    <definedName name="ATIVOS" localSheetId="26" hidden="1">{#N/A,#N/A,FALSE,"F-01"}</definedName>
    <definedName name="ATIVOS" localSheetId="11" hidden="1">{#N/A,#N/A,FALSE,"F-01"}</definedName>
    <definedName name="ATIVOS" hidden="1">{#N/A,#N/A,FALSE,"F-01"}</definedName>
    <definedName name="Ato" localSheetId="24">#REF!</definedName>
    <definedName name="Ato" localSheetId="7">#REF!</definedName>
    <definedName name="Ato" localSheetId="3">#REF!</definedName>
    <definedName name="Ato" localSheetId="26">#REF!</definedName>
    <definedName name="Ato">#REF!</definedName>
    <definedName name="ATUAL" localSheetId="7">#REF!</definedName>
    <definedName name="ATUAL" localSheetId="3">#REF!</definedName>
    <definedName name="ATUAL">#REF!</definedName>
    <definedName name="aux" localSheetId="24">#REF!</definedName>
    <definedName name="aux" localSheetId="7">#REF!</definedName>
    <definedName name="aux" localSheetId="5">#REF!</definedName>
    <definedName name="aux" localSheetId="3">#REF!</definedName>
    <definedName name="aux" localSheetId="0">#REF!</definedName>
    <definedName name="aux">#REF!</definedName>
    <definedName name="AUXILIO" localSheetId="7">#REF!</definedName>
    <definedName name="AUXILIO" localSheetId="3">#REF!</definedName>
    <definedName name="AUXILIO">#REF!</definedName>
    <definedName name="avulsos" localSheetId="7">#REF!</definedName>
    <definedName name="avulsos" localSheetId="3">#REF!</definedName>
    <definedName name="avulsos">#REF!</definedName>
    <definedName name="awdjw" localSheetId="24" hidden="1">{#N/A,#N/A,FALSE,"Plan1";#N/A,#N/A,FALSE,"Plan2"}</definedName>
    <definedName name="awdjw" localSheetId="7" hidden="1">{#N/A,#N/A,FALSE,"Plan1";#N/A,#N/A,FALSE,"Plan2"}</definedName>
    <definedName name="awdjw" localSheetId="9" hidden="1">{#N/A,#N/A,FALSE,"Plan1";#N/A,#N/A,FALSE,"Plan2"}</definedName>
    <definedName name="awdjw" localSheetId="3" hidden="1">{#N/A,#N/A,FALSE,"Plan1";#N/A,#N/A,FALSE,"Plan2"}</definedName>
    <definedName name="awdjw" localSheetId="2" hidden="1">{#N/A,#N/A,FALSE,"Plan1";#N/A,#N/A,FALSE,"Plan2"}</definedName>
    <definedName name="awdjw" localSheetId="16" hidden="1">{#N/A,#N/A,FALSE,"Plan1";#N/A,#N/A,FALSE,"Plan2"}</definedName>
    <definedName name="awdjw" localSheetId="0" hidden="1">{#N/A,#N/A,FALSE,"Plan1";#N/A,#N/A,FALSE,"Plan2"}</definedName>
    <definedName name="awdjw" localSheetId="26" hidden="1">{#N/A,#N/A,FALSE,"Plan1";#N/A,#N/A,FALSE,"Plan2"}</definedName>
    <definedName name="awdjw" localSheetId="11" hidden="1">{#N/A,#N/A,FALSE,"Plan1";#N/A,#N/A,FALSE,"Plan2"}</definedName>
    <definedName name="awdjw" hidden="1">{#N/A,#N/A,FALSE,"Plan1";#N/A,#N/A,FALSE,"Plan2"}</definedName>
    <definedName name="aweqw4" localSheetId="24" hidden="1">{#N/A,#N/A,FALSE,"Plan1";#N/A,#N/A,FALSE,"Plan2"}</definedName>
    <definedName name="aweqw4" localSheetId="7" hidden="1">{#N/A,#N/A,FALSE,"Plan1";#N/A,#N/A,FALSE,"Plan2"}</definedName>
    <definedName name="aweqw4" localSheetId="9" hidden="1">{#N/A,#N/A,FALSE,"Plan1";#N/A,#N/A,FALSE,"Plan2"}</definedName>
    <definedName name="aweqw4" localSheetId="3" hidden="1">{#N/A,#N/A,FALSE,"Plan1";#N/A,#N/A,FALSE,"Plan2"}</definedName>
    <definedName name="aweqw4" localSheetId="2" hidden="1">{#N/A,#N/A,FALSE,"Plan1";#N/A,#N/A,FALSE,"Plan2"}</definedName>
    <definedName name="aweqw4" localSheetId="16" hidden="1">{#N/A,#N/A,FALSE,"Plan1";#N/A,#N/A,FALSE,"Plan2"}</definedName>
    <definedName name="aweqw4" localSheetId="0" hidden="1">{#N/A,#N/A,FALSE,"Plan1";#N/A,#N/A,FALSE,"Plan2"}</definedName>
    <definedName name="aweqw4" localSheetId="26" hidden="1">{#N/A,#N/A,FALSE,"Plan1";#N/A,#N/A,FALSE,"Plan2"}</definedName>
    <definedName name="aweqw4" localSheetId="11" hidden="1">{#N/A,#N/A,FALSE,"Plan1";#N/A,#N/A,FALSE,"Plan2"}</definedName>
    <definedName name="aweqw4" hidden="1">{#N/A,#N/A,FALSE,"Plan1";#N/A,#N/A,FALSE,"Plan2"}</definedName>
    <definedName name="awssdwaer" localSheetId="24" hidden="1">{#N/A,#N/A,FALSE,"Plan1";#N/A,#N/A,FALSE,"Plan2"}</definedName>
    <definedName name="awssdwaer" localSheetId="7" hidden="1">{#N/A,#N/A,FALSE,"Plan1";#N/A,#N/A,FALSE,"Plan2"}</definedName>
    <definedName name="awssdwaer" localSheetId="9" hidden="1">{#N/A,#N/A,FALSE,"Plan1";#N/A,#N/A,FALSE,"Plan2"}</definedName>
    <definedName name="awssdwaer" localSheetId="3" hidden="1">{#N/A,#N/A,FALSE,"Plan1";#N/A,#N/A,FALSE,"Plan2"}</definedName>
    <definedName name="awssdwaer" localSheetId="2" hidden="1">{#N/A,#N/A,FALSE,"Plan1";#N/A,#N/A,FALSE,"Plan2"}</definedName>
    <definedName name="awssdwaer" localSheetId="16" hidden="1">{#N/A,#N/A,FALSE,"Plan1";#N/A,#N/A,FALSE,"Plan2"}</definedName>
    <definedName name="awssdwaer" localSheetId="0" hidden="1">{#N/A,#N/A,FALSE,"Plan1";#N/A,#N/A,FALSE,"Plan2"}</definedName>
    <definedName name="awssdwaer" localSheetId="26" hidden="1">{#N/A,#N/A,FALSE,"Plan1";#N/A,#N/A,FALSE,"Plan2"}</definedName>
    <definedName name="awssdwaer" localSheetId="11" hidden="1">{#N/A,#N/A,FALSE,"Plan1";#N/A,#N/A,FALSE,"Plan2"}</definedName>
    <definedName name="awssdwaer" hidden="1">{#N/A,#N/A,FALSE,"Plan1";#N/A,#N/A,FALSE,"Plan2"}</definedName>
    <definedName name="AZ" localSheetId="7" hidden="1">#REF!</definedName>
    <definedName name="AZ" localSheetId="3" hidden="1">#REF!</definedName>
    <definedName name="AZ" localSheetId="0" hidden="1">#REF!</definedName>
    <definedName name="AZ" hidden="1">#REF!</definedName>
    <definedName name="b" localSheetId="7" hidden="1">{#N/A,#N/A,FALSE,"Plan1";#N/A,#N/A,FALSE,"Plan2"}</definedName>
    <definedName name="b" localSheetId="9" hidden="1">{#N/A,#N/A,FALSE,"Plan1";#N/A,#N/A,FALSE,"Plan2"}</definedName>
    <definedName name="B" localSheetId="3">#REF!</definedName>
    <definedName name="b" localSheetId="0" hidden="1">{#N/A,#N/A,FALSE,"Plan1";#N/A,#N/A,FALSE,"Plan2"}</definedName>
    <definedName name="B">#REF!</definedName>
    <definedName name="BA" localSheetId="7">#REF!</definedName>
    <definedName name="BA" localSheetId="9">#REF!</definedName>
    <definedName name="BA" localSheetId="3">#REF!</definedName>
    <definedName name="BA">#REF!</definedName>
    <definedName name="balão1">"AutoForma 17"</definedName>
    <definedName name="BANCO" localSheetId="24">#REF!</definedName>
    <definedName name="BANCO" localSheetId="7">#REF!</definedName>
    <definedName name="BANCO" localSheetId="3">#REF!</definedName>
    <definedName name="BANCO" localSheetId="26">#REF!</definedName>
    <definedName name="BANCO">#REF!</definedName>
    <definedName name="Banco_dados_IM" localSheetId="7">#REF!</definedName>
    <definedName name="Banco_dados_IM" localSheetId="3">#REF!</definedName>
    <definedName name="Banco_dados_IM">#REF!</definedName>
    <definedName name="_xlnm.Database" localSheetId="3">#REF!</definedName>
    <definedName name="_xlnm.Database">#REF!</definedName>
    <definedName name="BANCO1" localSheetId="7">#REF!</definedName>
    <definedName name="BANCO1" localSheetId="3">#REF!</definedName>
    <definedName name="BANCO1">#REF!</definedName>
    <definedName name="BANCO2" localSheetId="7">#REF!</definedName>
    <definedName name="BANCO2" localSheetId="3">#REF!</definedName>
    <definedName name="BANCO2">#REF!</definedName>
    <definedName name="BANCO3" localSheetId="7">#REF!</definedName>
    <definedName name="BANCO3" localSheetId="3">#REF!</definedName>
    <definedName name="BANCO3">#REF!</definedName>
    <definedName name="BANCO4" localSheetId="7">#REF!</definedName>
    <definedName name="BANCO4" localSheetId="3">#REF!</definedName>
    <definedName name="BANCO4">#REF!</definedName>
    <definedName name="BASE" localSheetId="7">OFFSET(#REF!,0,0,COUNTA(#REF!)+1,5)</definedName>
    <definedName name="BASE" localSheetId="3">OFFSET(#REF!,0,0,COUNTA(#REF!)+1,5)</definedName>
    <definedName name="BASE">OFFSET(#REF!,0,0,COUNTA(#REF!)+1,5)</definedName>
    <definedName name="BASE_DE_DADOS_FLUXO_DE_CAIXA" localSheetId="7">OFFSET(#REF!,0,0,COUNTA(#REF!),COUNTA(#REF!))</definedName>
    <definedName name="BASE_DE_DADOS_FLUXO_DE_CAIXA" localSheetId="3">OFFSET(#REF!,0,0,COUNTA(#REF!),COUNTA(#REF!))</definedName>
    <definedName name="BASE_DE_DADOS_FLUXO_DE_CAIXA">OFFSET(#REF!,0,0,COUNTA(#REF!),COUNTA(#REF!))</definedName>
    <definedName name="BASE_FL_CX_3S" localSheetId="7">OFFSET(#REF!,0,0,COUNTA(#REF!),COUNTA(#REF!))</definedName>
    <definedName name="BASE_FL_CX_3S" localSheetId="3">OFFSET(#REF!,0,0,COUNTA(#REF!),COUNTA(#REF!))</definedName>
    <definedName name="BASE_FL_CX_3S">OFFSET(#REF!,0,0,COUNTA(#REF!),COUNTA(#REF!))</definedName>
    <definedName name="BASE_FLUXO_CAIXA_2017" localSheetId="7">OFFSET(#REF!,0,0,COUNTA(#REF!),COUNTA(#REF!))</definedName>
    <definedName name="BASE_FLUXO_CAIXA_2017" localSheetId="3">OFFSET(#REF!,0,0,COUNTA(#REF!),COUNTA(#REF!))</definedName>
    <definedName name="BASE_FLUXO_CAIXA_2017">OFFSET(#REF!,0,0,COUNTA(#REF!),COUNTA(#REF!))</definedName>
    <definedName name="bb" localSheetId="24">#REF!</definedName>
    <definedName name="bb" localSheetId="7">#REF!</definedName>
    <definedName name="bb" localSheetId="3">#REF!</definedName>
    <definedName name="bb" localSheetId="26">#REF!</definedName>
    <definedName name="bb">#REF!</definedName>
    <definedName name="bbb" localSheetId="7">#REF!</definedName>
    <definedName name="bbb" localSheetId="3">#REF!</definedName>
    <definedName name="bbb">#REF!</definedName>
    <definedName name="bbbbbbbbbbbbbbb" localSheetId="24" hidden="1">{"'Edit'!$A$1:$V$2277"}</definedName>
    <definedName name="bbbbbbbbbbbbbbb" localSheetId="7" hidden="1">{"'Edit'!$A$1:$V$2277"}</definedName>
    <definedName name="bbbbbbbbbbbbbbb" localSheetId="9" hidden="1">{"'Edit'!$A$1:$V$2277"}</definedName>
    <definedName name="bbbbbbbbbbbbbbb" localSheetId="3" hidden="1">{"'Edit'!$A$1:$V$2277"}</definedName>
    <definedName name="bbbbbbbbbbbbbbb" localSheetId="2" hidden="1">{"'Edit'!$A$1:$V$2277"}</definedName>
    <definedName name="bbbbbbbbbbbbbbb" localSheetId="16" hidden="1">{"'Edit'!$A$1:$V$2277"}</definedName>
    <definedName name="bbbbbbbbbbbbbbb" localSheetId="0" hidden="1">{"'Edit'!$A$1:$V$2277"}</definedName>
    <definedName name="bbbbbbbbbbbbbbb" localSheetId="26" hidden="1">{"'Edit'!$A$1:$V$2277"}</definedName>
    <definedName name="bbbbbbbbbbbbbbb" localSheetId="11" hidden="1">{"'Edit'!$A$1:$V$2277"}</definedName>
    <definedName name="bbbbbbbbbbbbbbb" hidden="1">{"'Edit'!$A$1:$V$2277"}</definedName>
    <definedName name="bchar10" hidden="1">#REF!</definedName>
    <definedName name="bchart1" hidden="1">#REF!</definedName>
    <definedName name="bchart11" hidden="1">#REF!</definedName>
    <definedName name="bchart12" hidden="1">#REF!</definedName>
    <definedName name="bchart13" hidden="1">#REF!</definedName>
    <definedName name="bchart14" hidden="1">#REF!</definedName>
    <definedName name="bchart15" hidden="1">#REF!</definedName>
    <definedName name="bchart16" hidden="1">#REF!</definedName>
    <definedName name="bchart17" hidden="1">#REF!</definedName>
    <definedName name="bchart18" hidden="1">#REF!</definedName>
    <definedName name="bchart19" hidden="1">#REF!</definedName>
    <definedName name="bchart2" hidden="1">#REF!</definedName>
    <definedName name="bchart20" hidden="1">#REF!</definedName>
    <definedName name="bchart21" hidden="1">#REF!</definedName>
    <definedName name="bchart22" hidden="1">#REF!</definedName>
    <definedName name="bchart23" hidden="1">#REF!</definedName>
    <definedName name="bchart24" hidden="1">#REF!</definedName>
    <definedName name="bchart25" hidden="1">#REF!</definedName>
    <definedName name="bchart26" hidden="1">#REF!</definedName>
    <definedName name="bchart27" hidden="1">#REF!</definedName>
    <definedName name="bchart28" hidden="1">#REF!</definedName>
    <definedName name="bchart29" hidden="1">#REF!</definedName>
    <definedName name="bchart3" hidden="1">#REF!</definedName>
    <definedName name="bchart30" hidden="1">#REF!</definedName>
    <definedName name="bchart31" hidden="1">#REF!</definedName>
    <definedName name="bchart32" hidden="1">#REF!</definedName>
    <definedName name="bchart4" hidden="1">#REF!</definedName>
    <definedName name="bchart5" hidden="1">#REF!</definedName>
    <definedName name="bchart6" hidden="1">#REF!</definedName>
    <definedName name="bchart7" hidden="1">#REF!</definedName>
    <definedName name="bchart8" hidden="1">#REF!</definedName>
    <definedName name="bchart9" hidden="1">#REF!</definedName>
    <definedName name="BD" localSheetId="7">#REF!</definedName>
    <definedName name="BD" localSheetId="3">#REF!</definedName>
    <definedName name="BD">#REF!</definedName>
    <definedName name="BDA" localSheetId="24">#REF!</definedName>
    <definedName name="BDA" localSheetId="7">#REF!</definedName>
    <definedName name="BDA" localSheetId="5">#REF!</definedName>
    <definedName name="BDA" localSheetId="3">#REF!</definedName>
    <definedName name="BDA" localSheetId="0">#REF!</definedName>
    <definedName name="BDA">#REF!</definedName>
    <definedName name="bdfjghf" localSheetId="24" hidden="1">{#N/A,#N/A,FALSE,"Plan1";#N/A,#N/A,FALSE,"Plan2"}</definedName>
    <definedName name="bdfjghf" localSheetId="7" hidden="1">{#N/A,#N/A,FALSE,"Plan1";#N/A,#N/A,FALSE,"Plan2"}</definedName>
    <definedName name="bdfjghf" localSheetId="9" hidden="1">{#N/A,#N/A,FALSE,"Plan1";#N/A,#N/A,FALSE,"Plan2"}</definedName>
    <definedName name="bdfjghf" localSheetId="3" hidden="1">{#N/A,#N/A,FALSE,"Plan1";#N/A,#N/A,FALSE,"Plan2"}</definedName>
    <definedName name="bdfjghf" localSheetId="2" hidden="1">{#N/A,#N/A,FALSE,"Plan1";#N/A,#N/A,FALSE,"Plan2"}</definedName>
    <definedName name="bdfjghf" localSheetId="16" hidden="1">{#N/A,#N/A,FALSE,"Plan1";#N/A,#N/A,FALSE,"Plan2"}</definedName>
    <definedName name="bdfjghf" localSheetId="0" hidden="1">{#N/A,#N/A,FALSE,"Plan1";#N/A,#N/A,FALSE,"Plan2"}</definedName>
    <definedName name="bdfjghf" localSheetId="26" hidden="1">{#N/A,#N/A,FALSE,"Plan1";#N/A,#N/A,FALSE,"Plan2"}</definedName>
    <definedName name="bdfjghf" localSheetId="11" hidden="1">{#N/A,#N/A,FALSE,"Plan1";#N/A,#N/A,FALSE,"Plan2"}</definedName>
    <definedName name="bdfjghf" hidden="1">{#N/A,#N/A,FALSE,"Plan1";#N/A,#N/A,FALSE,"Plan2"}</definedName>
    <definedName name="BDI" localSheetId="24">#REF!</definedName>
    <definedName name="BDI" localSheetId="7">#REF!</definedName>
    <definedName name="BDI" localSheetId="5">#REF!</definedName>
    <definedName name="BDI" localSheetId="3">#REF!</definedName>
    <definedName name="BDI" localSheetId="0">#REF!</definedName>
    <definedName name="BDI">#REF!</definedName>
    <definedName name="bdzbfbdr" localSheetId="24" hidden="1">{#N/A,#N/A,FALSE,"Plan1";#N/A,#N/A,FALSE,"Plan2"}</definedName>
    <definedName name="bdzbfbdr" localSheetId="7" hidden="1">{#N/A,#N/A,FALSE,"Plan1";#N/A,#N/A,FALSE,"Plan2"}</definedName>
    <definedName name="bdzbfbdr" localSheetId="9" hidden="1">{#N/A,#N/A,FALSE,"Plan1";#N/A,#N/A,FALSE,"Plan2"}</definedName>
    <definedName name="bdzbfbdr" localSheetId="3" hidden="1">{#N/A,#N/A,FALSE,"Plan1";#N/A,#N/A,FALSE,"Plan2"}</definedName>
    <definedName name="bdzbfbdr" localSheetId="2" hidden="1">{#N/A,#N/A,FALSE,"Plan1";#N/A,#N/A,FALSE,"Plan2"}</definedName>
    <definedName name="bdzbfbdr" localSheetId="16" hidden="1">{#N/A,#N/A,FALSE,"Plan1";#N/A,#N/A,FALSE,"Plan2"}</definedName>
    <definedName name="bdzbfbdr" localSheetId="0" hidden="1">{#N/A,#N/A,FALSE,"Plan1";#N/A,#N/A,FALSE,"Plan2"}</definedName>
    <definedName name="bdzbfbdr" localSheetId="26" hidden="1">{#N/A,#N/A,FALSE,"Plan1";#N/A,#N/A,FALSE,"Plan2"}</definedName>
    <definedName name="bdzbfbdr" localSheetId="11" hidden="1">{#N/A,#N/A,FALSE,"Plan1";#N/A,#N/A,FALSE,"Plan2"}</definedName>
    <definedName name="bdzbfbdr" hidden="1">{#N/A,#N/A,FALSE,"Plan1";#N/A,#N/A,FALSE,"Plan2"}</definedName>
    <definedName name="be" localSheetId="24">#REF!</definedName>
    <definedName name="be" localSheetId="7">#REF!</definedName>
    <definedName name="be" localSheetId="3">#REF!</definedName>
    <definedName name="be" localSheetId="26">#REF!</definedName>
    <definedName name="be">#REF!</definedName>
    <definedName name="bebqt" localSheetId="7">#REF!</definedName>
    <definedName name="bebqt" localSheetId="3">#REF!</definedName>
    <definedName name="bebqt">#REF!</definedName>
    <definedName name="bela_cdi" localSheetId="7">#REF!</definedName>
    <definedName name="bela_cdi" localSheetId="3">#REF!</definedName>
    <definedName name="bela_cdi">#REF!</definedName>
    <definedName name="bela_hist" localSheetId="7">#REF!</definedName>
    <definedName name="bela_hist" localSheetId="3">#REF!</definedName>
    <definedName name="bela_hist">#REF!</definedName>
    <definedName name="bela_uss" localSheetId="7">#REF!</definedName>
    <definedName name="bela_uss" localSheetId="3">#REF!</definedName>
    <definedName name="bela_uss">#REF!</definedName>
    <definedName name="bg" localSheetId="7" hidden="1">#REF!</definedName>
    <definedName name="bg" localSheetId="0" hidden="1">#REF!</definedName>
    <definedName name="bg" hidden="1">#REF!</definedName>
    <definedName name="BGG" localSheetId="24" hidden="1">{#N/A,#N/A,FALSE,"Plan1";#N/A,#N/A,FALSE,"Plan2"}</definedName>
    <definedName name="BGG" localSheetId="7" hidden="1">{#N/A,#N/A,FALSE,"Plan1";#N/A,#N/A,FALSE,"Plan2"}</definedName>
    <definedName name="BGG" localSheetId="9" hidden="1">{#N/A,#N/A,FALSE,"Plan1";#N/A,#N/A,FALSE,"Plan2"}</definedName>
    <definedName name="BGG" localSheetId="3" hidden="1">{#N/A,#N/A,FALSE,"Plan1";#N/A,#N/A,FALSE,"Plan2"}</definedName>
    <definedName name="BGG" localSheetId="2" hidden="1">{#N/A,#N/A,FALSE,"Plan1";#N/A,#N/A,FALSE,"Plan2"}</definedName>
    <definedName name="BGG" localSheetId="16" hidden="1">{#N/A,#N/A,FALSE,"Plan1";#N/A,#N/A,FALSE,"Plan2"}</definedName>
    <definedName name="BGG" localSheetId="0" hidden="1">{#N/A,#N/A,FALSE,"Plan1";#N/A,#N/A,FALSE,"Plan2"}</definedName>
    <definedName name="BGG" localSheetId="26" hidden="1">{#N/A,#N/A,FALSE,"Plan1";#N/A,#N/A,FALSE,"Plan2"}</definedName>
    <definedName name="BGG" localSheetId="11" hidden="1">{#N/A,#N/A,FALSE,"Plan1";#N/A,#N/A,FALSE,"Plan2"}</definedName>
    <definedName name="BGG" hidden="1">{#N/A,#N/A,FALSE,"Plan1";#N/A,#N/A,FALSE,"Plan2"}</definedName>
    <definedName name="bhjgfhfhg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localSheetId="24" hidden="1">{#N/A,#N/A,FALSE,"Plan1";#N/A,#N/A,FALSE,"Plan2"}</definedName>
    <definedName name="BJSDKHFE" localSheetId="7" hidden="1">{#N/A,#N/A,FALSE,"Plan1";#N/A,#N/A,FALSE,"Plan2"}</definedName>
    <definedName name="BJSDKHFE" localSheetId="9" hidden="1">{#N/A,#N/A,FALSE,"Plan1";#N/A,#N/A,FALSE,"Plan2"}</definedName>
    <definedName name="BJSDKHFE" localSheetId="3" hidden="1">{#N/A,#N/A,FALSE,"Plan1";#N/A,#N/A,FALSE,"Plan2"}</definedName>
    <definedName name="BJSDKHFE" localSheetId="2" hidden="1">{#N/A,#N/A,FALSE,"Plan1";#N/A,#N/A,FALSE,"Plan2"}</definedName>
    <definedName name="BJSDKHFE" localSheetId="16" hidden="1">{#N/A,#N/A,FALSE,"Plan1";#N/A,#N/A,FALSE,"Plan2"}</definedName>
    <definedName name="BJSDKHFE" localSheetId="0" hidden="1">{#N/A,#N/A,FALSE,"Plan1";#N/A,#N/A,FALSE,"Plan2"}</definedName>
    <definedName name="BJSDKHFE" localSheetId="26" hidden="1">{#N/A,#N/A,FALSE,"Plan1";#N/A,#N/A,FALSE,"Plan2"}</definedName>
    <definedName name="BJSDKHFE" localSheetId="11" hidden="1">{#N/A,#N/A,FALSE,"Plan1";#N/A,#N/A,FALSE,"Plan2"}</definedName>
    <definedName name="BJSDKHFE" hidden="1">{#N/A,#N/A,FALSE,"Plan1";#N/A,#N/A,FALSE,"Plan2"}</definedName>
    <definedName name="bloco" localSheetId="24">#REF!</definedName>
    <definedName name="bloco" localSheetId="7">#REF!</definedName>
    <definedName name="bloco" localSheetId="3">#REF!</definedName>
    <definedName name="bloco" localSheetId="26">#REF!</definedName>
    <definedName name="bloco">#REF!</definedName>
    <definedName name="BLPH1" localSheetId="7" hidden="1">#REF!</definedName>
    <definedName name="BLPH1" localSheetId="3" hidden="1">#REF!</definedName>
    <definedName name="BLPH1" localSheetId="0" hidden="1">#REF!</definedName>
    <definedName name="BLPH1" hidden="1">#REF!</definedName>
    <definedName name="BLPH100" localSheetId="7" hidden="1">#REF!</definedName>
    <definedName name="BLPH100" localSheetId="3" hidden="1">#REF!</definedName>
    <definedName name="BLPH100" localSheetId="0" hidden="1">#REF!</definedName>
    <definedName name="BLPH100" hidden="1">#REF!</definedName>
    <definedName name="BLPH101" localSheetId="7" hidden="1">#REF!</definedName>
    <definedName name="BLPH101" localSheetId="3" hidden="1">#REF!</definedName>
    <definedName name="BLPH101" localSheetId="0" hidden="1">#REF!</definedName>
    <definedName name="BLPH101" hidden="1">#REF!</definedName>
    <definedName name="BLPH102" localSheetId="7" hidden="1">#REF!</definedName>
    <definedName name="BLPH102" localSheetId="3" hidden="1">#REF!</definedName>
    <definedName name="BLPH102" localSheetId="0" hidden="1">#REF!</definedName>
    <definedName name="BLPH102" hidden="1">#REF!</definedName>
    <definedName name="BLPH103" localSheetId="7" hidden="1">#REF!</definedName>
    <definedName name="BLPH103" localSheetId="3" hidden="1">#REF!</definedName>
    <definedName name="BLPH103" localSheetId="0" hidden="1">#REF!</definedName>
    <definedName name="BLPH103" hidden="1">#REF!</definedName>
    <definedName name="BLPH104" localSheetId="7" hidden="1">#REF!</definedName>
    <definedName name="BLPH104" localSheetId="3" hidden="1">#REF!</definedName>
    <definedName name="BLPH104" localSheetId="0" hidden="1">#REF!</definedName>
    <definedName name="BLPH104" hidden="1">#REF!</definedName>
    <definedName name="BLPH107" hidden="1">#REF!</definedName>
    <definedName name="BLPH2" localSheetId="7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6" localSheetId="7" hidden="1">#REF!</definedName>
    <definedName name="BLPH96" localSheetId="3" hidden="1">#REF!</definedName>
    <definedName name="BLPH96" localSheetId="0" hidden="1">#REF!</definedName>
    <definedName name="BLPH96" hidden="1">#REF!</definedName>
    <definedName name="BLPH97" localSheetId="7" hidden="1">#REF!</definedName>
    <definedName name="BLPH97" localSheetId="3" hidden="1">#REF!</definedName>
    <definedName name="BLPH97" localSheetId="0" hidden="1">#REF!</definedName>
    <definedName name="BLPH97" hidden="1">#REF!</definedName>
    <definedName name="BLPH98" localSheetId="7" hidden="1">#REF!</definedName>
    <definedName name="BLPH98" localSheetId="3" hidden="1">#REF!</definedName>
    <definedName name="BLPH98" localSheetId="0" hidden="1">#REF!</definedName>
    <definedName name="BLPH98" hidden="1">#REF!</definedName>
    <definedName name="BLPH99" localSheetId="7" hidden="1">#REF!</definedName>
    <definedName name="BLPH99" localSheetId="3" hidden="1">#REF!</definedName>
    <definedName name="BLPH99" localSheetId="0" hidden="1">#REF!</definedName>
    <definedName name="BLPH99" hidden="1">#REF!</definedName>
    <definedName name="bmdgghrtfde" localSheetId="24" hidden="1">{#N/A,#N/A,FALSE,"Plan1";#N/A,#N/A,FALSE,"Plan2"}</definedName>
    <definedName name="bmdgghrtfde" localSheetId="7" hidden="1">{#N/A,#N/A,FALSE,"Plan1";#N/A,#N/A,FALSE,"Plan2"}</definedName>
    <definedName name="bmdgghrtfde" localSheetId="9" hidden="1">{#N/A,#N/A,FALSE,"Plan1";#N/A,#N/A,FALSE,"Plan2"}</definedName>
    <definedName name="bmdgghrtfde" localSheetId="3" hidden="1">{#N/A,#N/A,FALSE,"Plan1";#N/A,#N/A,FALSE,"Plan2"}</definedName>
    <definedName name="bmdgghrtfde" localSheetId="2" hidden="1">{#N/A,#N/A,FALSE,"Plan1";#N/A,#N/A,FALSE,"Plan2"}</definedName>
    <definedName name="bmdgghrtfde" localSheetId="16" hidden="1">{#N/A,#N/A,FALSE,"Plan1";#N/A,#N/A,FALSE,"Plan2"}</definedName>
    <definedName name="bmdgghrtfde" localSheetId="0" hidden="1">{#N/A,#N/A,FALSE,"Plan1";#N/A,#N/A,FALSE,"Plan2"}</definedName>
    <definedName name="bmdgghrtfde" localSheetId="26" hidden="1">{#N/A,#N/A,FALSE,"Plan1";#N/A,#N/A,FALSE,"Plan2"}</definedName>
    <definedName name="bmdgghrtfde" localSheetId="11" hidden="1">{#N/A,#N/A,FALSE,"Plan1";#N/A,#N/A,FALSE,"Plan2"}</definedName>
    <definedName name="bmdgghrtfde" hidden="1">{#N/A,#N/A,FALSE,"Plan1";#N/A,#N/A,FALSE,"Plan2"}</definedName>
    <definedName name="bnkjhjhdfxgt" localSheetId="24" hidden="1">{#N/A,#N/A,FALSE,"Plan1";#N/A,#N/A,FALSE,"Plan2"}</definedName>
    <definedName name="bnkjhjhdfxgt" localSheetId="7" hidden="1">{#N/A,#N/A,FALSE,"Plan1";#N/A,#N/A,FALSE,"Plan2"}</definedName>
    <definedName name="bnkjhjhdfxgt" localSheetId="9" hidden="1">{#N/A,#N/A,FALSE,"Plan1";#N/A,#N/A,FALSE,"Plan2"}</definedName>
    <definedName name="bnkjhjhdfxgt" localSheetId="3" hidden="1">{#N/A,#N/A,FALSE,"Plan1";#N/A,#N/A,FALSE,"Plan2"}</definedName>
    <definedName name="bnkjhjhdfxgt" localSheetId="2" hidden="1">{#N/A,#N/A,FALSE,"Plan1";#N/A,#N/A,FALSE,"Plan2"}</definedName>
    <definedName name="bnkjhjhdfxgt" localSheetId="16" hidden="1">{#N/A,#N/A,FALSE,"Plan1";#N/A,#N/A,FALSE,"Plan2"}</definedName>
    <definedName name="bnkjhjhdfxgt" localSheetId="0" hidden="1">{#N/A,#N/A,FALSE,"Plan1";#N/A,#N/A,FALSE,"Plan2"}</definedName>
    <definedName name="bnkjhjhdfxgt" localSheetId="26" hidden="1">{#N/A,#N/A,FALSE,"Plan1";#N/A,#N/A,FALSE,"Plan2"}</definedName>
    <definedName name="bnkjhjhdfxgt" localSheetId="11" hidden="1">{#N/A,#N/A,FALSE,"Plan1";#N/A,#N/A,FALSE,"Plan2"}</definedName>
    <definedName name="bnkjhjhdfxgt" hidden="1">{#N/A,#N/A,FALSE,"Plan1";#N/A,#N/A,FALSE,"Plan2"}</definedName>
    <definedName name="BORBA2" localSheetId="24">#REF!</definedName>
    <definedName name="BORBA2" localSheetId="7">#REF!</definedName>
    <definedName name="BORBA2" localSheetId="3">#REF!</definedName>
    <definedName name="BORBA2" localSheetId="26">#REF!</definedName>
    <definedName name="BORBA2">#REF!</definedName>
    <definedName name="BORDA1">#N/A</definedName>
    <definedName name="BuiltIn_Print_Area" localSheetId="24">#REF!</definedName>
    <definedName name="BuiltIn_Print_Area" localSheetId="7">#REF!</definedName>
    <definedName name="BuiltIn_Print_Area" localSheetId="3">#REF!</definedName>
    <definedName name="BuiltIn_Print_Area" localSheetId="26">#REF!</definedName>
    <definedName name="BuiltIn_Print_Area">#REF!</definedName>
    <definedName name="BuiltIn_Print_Area___0" localSheetId="7">#REF!</definedName>
    <definedName name="BuiltIn_Print_Area___0" localSheetId="3">#REF!</definedName>
    <definedName name="BuiltIn_Print_Area___0">#REF!</definedName>
    <definedName name="BuiltIn_Print_Titles" localSheetId="7">#REF!</definedName>
    <definedName name="BuiltIn_Print_Titles" localSheetId="3">#REF!</definedName>
    <definedName name="BuiltIn_Print_Titles">#REF!</definedName>
    <definedName name="BuiltIn_Print_Titles___0" localSheetId="7">#REF!</definedName>
    <definedName name="BuiltIn_Print_Titles___0" localSheetId="3">#REF!</definedName>
    <definedName name="BuiltIn_Print_Titles___0">#REF!</definedName>
    <definedName name="BV" localSheetId="7" hidden="1">#REF!</definedName>
    <definedName name="BV" localSheetId="0" hidden="1">#REF!</definedName>
    <definedName name="BV" hidden="1">#REF!</definedName>
    <definedName name="bxnzfmkzxbhdf" localSheetId="24" hidden="1">{#N/A,#N/A,FALSE,"Plan1";#N/A,#N/A,FALSE,"Plan2"}</definedName>
    <definedName name="bxnzfmkzxbhdf" localSheetId="7" hidden="1">{#N/A,#N/A,FALSE,"Plan1";#N/A,#N/A,FALSE,"Plan2"}</definedName>
    <definedName name="bxnzfmkzxbhdf" localSheetId="9" hidden="1">{#N/A,#N/A,FALSE,"Plan1";#N/A,#N/A,FALSE,"Plan2"}</definedName>
    <definedName name="bxnzfmkzxbhdf" localSheetId="3" hidden="1">{#N/A,#N/A,FALSE,"Plan1";#N/A,#N/A,FALSE,"Plan2"}</definedName>
    <definedName name="bxnzfmkzxbhdf" localSheetId="2" hidden="1">{#N/A,#N/A,FALSE,"Plan1";#N/A,#N/A,FALSE,"Plan2"}</definedName>
    <definedName name="bxnzfmkzxbhdf" localSheetId="16" hidden="1">{#N/A,#N/A,FALSE,"Plan1";#N/A,#N/A,FALSE,"Plan2"}</definedName>
    <definedName name="bxnzfmkzxbhdf" localSheetId="0" hidden="1">{#N/A,#N/A,FALSE,"Plan1";#N/A,#N/A,FALSE,"Plan2"}</definedName>
    <definedName name="bxnzfmkzxbhdf" localSheetId="26" hidden="1">{#N/A,#N/A,FALSE,"Plan1";#N/A,#N/A,FALSE,"Plan2"}</definedName>
    <definedName name="bxnzfmkzxbhdf" localSheetId="11" hidden="1">{#N/A,#N/A,FALSE,"Plan1";#N/A,#N/A,FALSE,"Plan2"}</definedName>
    <definedName name="bxnzfmkzxbhdf" hidden="1">{#N/A,#N/A,FALSE,"Plan1";#N/A,#N/A,FALSE,"Plan2"}</definedName>
    <definedName name="ca" localSheetId="24">#REF!</definedName>
    <definedName name="ca" localSheetId="7">#REF!</definedName>
    <definedName name="ca" localSheetId="5">#REF!</definedName>
    <definedName name="ca" localSheetId="3">#REF!</definedName>
    <definedName name="ca" localSheetId="0">#REF!</definedName>
    <definedName name="ca">#REF!</definedName>
    <definedName name="CAB">#N/A</definedName>
    <definedName name="CAFS">"Carlos Antonio Fernandes da Silva"</definedName>
    <definedName name="CAGR" localSheetId="24">#REF!</definedName>
    <definedName name="CAGR" localSheetId="7">#REF!</definedName>
    <definedName name="CAGR" localSheetId="3">#REF!</definedName>
    <definedName name="CAGR" localSheetId="26">#REF!</definedName>
    <definedName name="CAGR">#REF!</definedName>
    <definedName name="caixa" localSheetId="7">#REF!</definedName>
    <definedName name="caixa" localSheetId="3">#REF!</definedName>
    <definedName name="caixa">#REF!</definedName>
    <definedName name="caixas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 localSheetId="24">#REF!</definedName>
    <definedName name="Cambio" localSheetId="7">#REF!</definedName>
    <definedName name="Cambio" localSheetId="3">#REF!</definedName>
    <definedName name="Cambio" localSheetId="26">#REF!</definedName>
    <definedName name="Cambio">#REF!</definedName>
    <definedName name="CAMP" localSheetId="7">#REF!</definedName>
    <definedName name="CAMP" localSheetId="3">#REF!</definedName>
    <definedName name="CAMP">#REF!</definedName>
    <definedName name="CAMPOS" localSheetId="7">#REF!</definedName>
    <definedName name="CAMPOS" localSheetId="3">#REF!</definedName>
    <definedName name="CAMPOS">#REF!</definedName>
    <definedName name="çaos\ewapo" localSheetId="24" hidden="1">{#N/A,#N/A,FALSE,"Plan1";#N/A,#N/A,FALSE,"Plan2"}</definedName>
    <definedName name="çaos\ewapo" localSheetId="7" hidden="1">{#N/A,#N/A,FALSE,"Plan1";#N/A,#N/A,FALSE,"Plan2"}</definedName>
    <definedName name="çaos\ewapo" localSheetId="9" hidden="1">{#N/A,#N/A,FALSE,"Plan1";#N/A,#N/A,FALSE,"Plan2"}</definedName>
    <definedName name="çaos\ewapo" localSheetId="3" hidden="1">{#N/A,#N/A,FALSE,"Plan1";#N/A,#N/A,FALSE,"Plan2"}</definedName>
    <definedName name="çaos\ewapo" localSheetId="2" hidden="1">{#N/A,#N/A,FALSE,"Plan1";#N/A,#N/A,FALSE,"Plan2"}</definedName>
    <definedName name="çaos\ewapo" localSheetId="16" hidden="1">{#N/A,#N/A,FALSE,"Plan1";#N/A,#N/A,FALSE,"Plan2"}</definedName>
    <definedName name="çaos\ewapo" localSheetId="0" hidden="1">{#N/A,#N/A,FALSE,"Plan1";#N/A,#N/A,FALSE,"Plan2"}</definedName>
    <definedName name="çaos\ewapo" localSheetId="26" hidden="1">{#N/A,#N/A,FALSE,"Plan1";#N/A,#N/A,FALSE,"Plan2"}</definedName>
    <definedName name="çaos\ewapo" localSheetId="11" hidden="1">{#N/A,#N/A,FALSE,"Plan1";#N/A,#N/A,FALSE,"Plan2"}</definedName>
    <definedName name="çaos\ewapo" hidden="1">{#N/A,#N/A,FALSE,"Plan1";#N/A,#N/A,FALSE,"Plan2"}</definedName>
    <definedName name="Capa" localSheetId="24">#REF!</definedName>
    <definedName name="Capa" localSheetId="7">#REF!</definedName>
    <definedName name="Capa" localSheetId="5">#REF!</definedName>
    <definedName name="Capa" localSheetId="3">#REF!</definedName>
    <definedName name="Capa" localSheetId="0">#REF!</definedName>
    <definedName name="Capa">#REF!</definedName>
    <definedName name="CAPA2" localSheetId="7">#REF!</definedName>
    <definedName name="CAPA2" localSheetId="3">#REF!</definedName>
    <definedName name="CAPA2">#REF!</definedName>
    <definedName name="CAPA55" localSheetId="7">#REF!</definedName>
    <definedName name="CAPA55" localSheetId="3">#REF!</definedName>
    <definedName name="CAPA55">#REF!</definedName>
    <definedName name="CAPA55A" localSheetId="7">#REF!</definedName>
    <definedName name="CAPA55A" localSheetId="3">#REF!</definedName>
    <definedName name="CAPA55A">#REF!</definedName>
    <definedName name="CAPELA" localSheetId="7">#REF!</definedName>
    <definedName name="CAPELA" localSheetId="3">#REF!</definedName>
    <definedName name="CAPELA">#REF!</definedName>
    <definedName name="CARLA" localSheetId="7" hidden="1">#REF!</definedName>
    <definedName name="CARLA" hidden="1">#REF!</definedName>
    <definedName name="CARLOS1" localSheetId="7">#REF!</definedName>
    <definedName name="CARLOS1" localSheetId="3">#REF!</definedName>
    <definedName name="CARLOS1">#REF!</definedName>
    <definedName name="CARTÃO4" localSheetId="7">#REF!</definedName>
    <definedName name="CARTÃO4" localSheetId="3">#REF!</definedName>
    <definedName name="CARTÃO4">#REF!</definedName>
    <definedName name="CAT6_IP" localSheetId="24" hidden="1">{#N/A,#N/A,FALSE,"F-01"}</definedName>
    <definedName name="CAT6_IP" localSheetId="7" hidden="1">{#N/A,#N/A,FALSE,"F-01"}</definedName>
    <definedName name="CAT6_IP" localSheetId="9" hidden="1">{#N/A,#N/A,FALSE,"F-01"}</definedName>
    <definedName name="CAT6_IP" localSheetId="3" hidden="1">{#N/A,#N/A,FALSE,"F-01"}</definedName>
    <definedName name="CAT6_IP" localSheetId="2" hidden="1">{#N/A,#N/A,FALSE,"F-01"}</definedName>
    <definedName name="CAT6_IP" localSheetId="16" hidden="1">{#N/A,#N/A,FALSE,"F-01"}</definedName>
    <definedName name="CAT6_IP" localSheetId="0" hidden="1">{#N/A,#N/A,FALSE,"F-01"}</definedName>
    <definedName name="CAT6_IP" localSheetId="26" hidden="1">{#N/A,#N/A,FALSE,"F-01"}</definedName>
    <definedName name="CAT6_IP" localSheetId="11" hidden="1">{#N/A,#N/A,FALSE,"F-01"}</definedName>
    <definedName name="CAT6_IP" hidden="1">{#N/A,#N/A,FALSE,"F-01"}</definedName>
    <definedName name="categori45" localSheetId="24">#REF!</definedName>
    <definedName name="categori45" localSheetId="7">#REF!</definedName>
    <definedName name="categori45" localSheetId="3">#REF!</definedName>
    <definedName name="categori45" localSheetId="26">#REF!</definedName>
    <definedName name="categori45">#REF!</definedName>
    <definedName name="CATEGORIA1" localSheetId="7">#REF!</definedName>
    <definedName name="CATEGORIA1" localSheetId="3">#REF!</definedName>
    <definedName name="CATEGORIA1">#REF!</definedName>
    <definedName name="CATEGORIA10" localSheetId="7">#REF!</definedName>
    <definedName name="CATEGORIA10" localSheetId="3">#REF!</definedName>
    <definedName name="CATEGORIA10">#REF!</definedName>
    <definedName name="CATEGORIA11" localSheetId="7">#REF!</definedName>
    <definedName name="CATEGORIA11" localSheetId="3">#REF!</definedName>
    <definedName name="CATEGORIA11">#REF!</definedName>
    <definedName name="CATEGORIA12" localSheetId="7">#REF!</definedName>
    <definedName name="CATEGORIA12" localSheetId="3">#REF!</definedName>
    <definedName name="CATEGORIA12">#REF!</definedName>
    <definedName name="CATEGORIA13" localSheetId="7">#REF!</definedName>
    <definedName name="CATEGORIA13" localSheetId="3">#REF!</definedName>
    <definedName name="CATEGORIA13">#REF!</definedName>
    <definedName name="CATEGORIA14" localSheetId="7">#REF!</definedName>
    <definedName name="CATEGORIA14" localSheetId="3">#REF!</definedName>
    <definedName name="CATEGORIA14">#REF!</definedName>
    <definedName name="CATEGORIA15" localSheetId="7">#REF!</definedName>
    <definedName name="CATEGORIA15" localSheetId="3">#REF!</definedName>
    <definedName name="CATEGORIA15">#REF!</definedName>
    <definedName name="CATEGORIA16" localSheetId="7">#REF!</definedName>
    <definedName name="CATEGORIA16" localSheetId="3">#REF!</definedName>
    <definedName name="CATEGORIA16">#REF!</definedName>
    <definedName name="CATEGORIA17" localSheetId="7">#REF!</definedName>
    <definedName name="CATEGORIA17" localSheetId="3">#REF!</definedName>
    <definedName name="CATEGORIA17">#REF!</definedName>
    <definedName name="CATEGORIA18" localSheetId="7">#REF!</definedName>
    <definedName name="CATEGORIA18" localSheetId="3">#REF!</definedName>
    <definedName name="CATEGORIA18">#REF!</definedName>
    <definedName name="CATEGORIA19" localSheetId="7">#REF!</definedName>
    <definedName name="CATEGORIA19" localSheetId="3">#REF!</definedName>
    <definedName name="CATEGORIA19">#REF!</definedName>
    <definedName name="CATEGORIA2" localSheetId="7">#REF!</definedName>
    <definedName name="CATEGORIA2" localSheetId="3">#REF!</definedName>
    <definedName name="CATEGORIA2">#REF!</definedName>
    <definedName name="CATEGORIA20" localSheetId="7">#REF!</definedName>
    <definedName name="CATEGORIA20" localSheetId="3">#REF!</definedName>
    <definedName name="CATEGORIA20">#REF!</definedName>
    <definedName name="CATEGORIA21" localSheetId="7">#REF!</definedName>
    <definedName name="CATEGORIA21" localSheetId="3">#REF!</definedName>
    <definedName name="CATEGORIA21">#REF!</definedName>
    <definedName name="CATEGORIA22" localSheetId="7">#REF!</definedName>
    <definedName name="CATEGORIA22" localSheetId="3">#REF!</definedName>
    <definedName name="CATEGORIA22">#REF!</definedName>
    <definedName name="CATEGORIA3" localSheetId="7">#REF!</definedName>
    <definedName name="CATEGORIA3" localSheetId="3">#REF!</definedName>
    <definedName name="CATEGORIA3">#REF!</definedName>
    <definedName name="CATEGORIA4" localSheetId="7">#REF!</definedName>
    <definedName name="CATEGORIA4" localSheetId="3">#REF!</definedName>
    <definedName name="CATEGORIA4">#REF!</definedName>
    <definedName name="CATEGORIA5" localSheetId="7">#REF!</definedName>
    <definedName name="CATEGORIA5" localSheetId="3">#REF!</definedName>
    <definedName name="CATEGORIA5">#REF!</definedName>
    <definedName name="CATEGORIA6" localSheetId="7">#REF!</definedName>
    <definedName name="CATEGORIA6" localSheetId="3">#REF!</definedName>
    <definedName name="CATEGORIA6">#REF!</definedName>
    <definedName name="CATEGORIA7" localSheetId="7">#REF!</definedName>
    <definedName name="CATEGORIA7" localSheetId="3">#REF!</definedName>
    <definedName name="CATEGORIA7">#REF!</definedName>
    <definedName name="CATEGORIA8" localSheetId="7">#REF!</definedName>
    <definedName name="CATEGORIA8" localSheetId="3">#REF!</definedName>
    <definedName name="CATEGORIA8">#REF!</definedName>
    <definedName name="CATEGORIA9" localSheetId="7">#REF!</definedName>
    <definedName name="CATEGORIA9" localSheetId="3">#REF!</definedName>
    <definedName name="CATEGORIA9">#REF!</definedName>
    <definedName name="CATORZE" localSheetId="7">#REF!</definedName>
    <definedName name="CATORZE" localSheetId="3">#REF!</definedName>
    <definedName name="CATORZE">#REF!</definedName>
    <definedName name="CAUX2" localSheetId="7">OFFSET(#REF!,0,0,COUNTA(#REF!)+1,1)</definedName>
    <definedName name="CAUX2" localSheetId="3">OFFSET(#REF!,0,0,COUNTA(#REF!)+1,1)</definedName>
    <definedName name="CAUX2">OFFSET(#REF!,0,0,COUNTA(#REF!)+1,1)</definedName>
    <definedName name="CAUX3" localSheetId="7">OFFSET(#REF!,0,0,COUNTA(#REF!)+1,1)</definedName>
    <definedName name="CAUX3" localSheetId="3">OFFSET(#REF!,0,0,COUNTA(#REF!)+1,1)</definedName>
    <definedName name="CAUX3">OFFSET(#REF!,0,0,COUNTA(#REF!)+1,1)</definedName>
    <definedName name="CCC" localSheetId="24">#REF!</definedName>
    <definedName name="CCC" localSheetId="7">#REF!</definedName>
    <definedName name="CCC" localSheetId="3">#REF!</definedName>
    <definedName name="CCC" localSheetId="26">#REF!</definedName>
    <definedName name="CCC">#REF!</definedName>
    <definedName name="ççç" localSheetId="24" hidden="1">{#N/A,#N/A,FALSE,"Plan1";#N/A,#N/A,FALSE,"Plan2"}</definedName>
    <definedName name="ççç" localSheetId="7" hidden="1">{#N/A,#N/A,FALSE,"Plan1";#N/A,#N/A,FALSE,"Plan2"}</definedName>
    <definedName name="ççç" localSheetId="9" hidden="1">{#N/A,#N/A,FALSE,"Plan1";#N/A,#N/A,FALSE,"Plan2"}</definedName>
    <definedName name="ççç" localSheetId="3" hidden="1">{#N/A,#N/A,FALSE,"Plan1";#N/A,#N/A,FALSE,"Plan2"}</definedName>
    <definedName name="ççç" localSheetId="2" hidden="1">{#N/A,#N/A,FALSE,"Plan1";#N/A,#N/A,FALSE,"Plan2"}</definedName>
    <definedName name="ççç" localSheetId="16" hidden="1">{#N/A,#N/A,FALSE,"Plan1";#N/A,#N/A,FALSE,"Plan2"}</definedName>
    <definedName name="ççç" localSheetId="0" hidden="1">{#N/A,#N/A,FALSE,"Plan1";#N/A,#N/A,FALSE,"Plan2"}</definedName>
    <definedName name="ççç" localSheetId="26" hidden="1">{#N/A,#N/A,FALSE,"Plan1";#N/A,#N/A,FALSE,"Plan2"}</definedName>
    <definedName name="ççç" localSheetId="11" hidden="1">{#N/A,#N/A,FALSE,"Plan1";#N/A,#N/A,FALSE,"Plan2"}</definedName>
    <definedName name="ççç" hidden="1">{#N/A,#N/A,FALSE,"Plan1";#N/A,#N/A,FALSE,"Plan2"}</definedName>
    <definedName name="cccc" localSheetId="24" hidden="1">{#N/A,#N/A,FALSE,"Plan1";#N/A,#N/A,FALSE,"Plan2"}</definedName>
    <definedName name="cccc" localSheetId="7" hidden="1">{#N/A,#N/A,FALSE,"Plan1";#N/A,#N/A,FALSE,"Plan2"}</definedName>
    <definedName name="cccc" localSheetId="9" hidden="1">{#N/A,#N/A,FALSE,"Plan1";#N/A,#N/A,FALSE,"Plan2"}</definedName>
    <definedName name="cccc" localSheetId="3" hidden="1">{#N/A,#N/A,FALSE,"Plan1";#N/A,#N/A,FALSE,"Plan2"}</definedName>
    <definedName name="cccc" localSheetId="2" hidden="1">{#N/A,#N/A,FALSE,"Plan1";#N/A,#N/A,FALSE,"Plan2"}</definedName>
    <definedName name="cccc" localSheetId="16" hidden="1">{#N/A,#N/A,FALSE,"Plan1";#N/A,#N/A,FALSE,"Plan2"}</definedName>
    <definedName name="cccc" localSheetId="0" hidden="1">{#N/A,#N/A,FALSE,"Plan1";#N/A,#N/A,FALSE,"Plan2"}</definedName>
    <definedName name="cccc" localSheetId="26" hidden="1">{#N/A,#N/A,FALSE,"Plan1";#N/A,#N/A,FALSE,"Plan2"}</definedName>
    <definedName name="cccc" localSheetId="11" hidden="1">{#N/A,#N/A,FALSE,"Plan1";#N/A,#N/A,FALSE,"Plan2"}</definedName>
    <definedName name="cccc" hidden="1">{#N/A,#N/A,FALSE,"Plan1";#N/A,#N/A,FALSE,"Plan2"}</definedName>
    <definedName name="ççççççç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localSheetId="24" hidden="1">{"HW",#N/A,FALSE,"1998"}</definedName>
    <definedName name="cccccccccccccccc" localSheetId="7" hidden="1">{"HW",#N/A,FALSE,"1998"}</definedName>
    <definedName name="cccccccccccccccc" localSheetId="9" hidden="1">{"HW",#N/A,FALSE,"1998"}</definedName>
    <definedName name="cccccccccccccccc" localSheetId="3" hidden="1">{"HW",#N/A,FALSE,"1998"}</definedName>
    <definedName name="cccccccccccccccc" localSheetId="2" hidden="1">{"HW",#N/A,FALSE,"1998"}</definedName>
    <definedName name="cccccccccccccccc" localSheetId="16" hidden="1">{"HW",#N/A,FALSE,"1998"}</definedName>
    <definedName name="cccccccccccccccc" localSheetId="0" hidden="1">{"HW",#N/A,FALSE,"1998"}</definedName>
    <definedName name="cccccccccccccccc" localSheetId="26" hidden="1">{"HW",#N/A,FALSE,"1998"}</definedName>
    <definedName name="cccccccccccccccc" localSheetId="11" hidden="1">{"HW",#N/A,FALSE,"1998"}</definedName>
    <definedName name="cccccccccccccccc" hidden="1">{"HW",#N/A,FALSE,"1998"}</definedName>
    <definedName name="cchart1" localSheetId="7" hidden="1">#REF!</definedName>
    <definedName name="cchart1" localSheetId="3" hidden="1">#REF!</definedName>
    <definedName name="cchart1" localSheetId="0" hidden="1">#REF!</definedName>
    <definedName name="cchart1" hidden="1">#REF!</definedName>
    <definedName name="cchart10" localSheetId="7" hidden="1">#REF!</definedName>
    <definedName name="cchart10" localSheetId="3" hidden="1">#REF!</definedName>
    <definedName name="cchart10" localSheetId="0" hidden="1">#REF!</definedName>
    <definedName name="cchart10" hidden="1">#REF!</definedName>
    <definedName name="cchart11" localSheetId="7" hidden="1">#REF!</definedName>
    <definedName name="cchart11" localSheetId="3" hidden="1">#REF!</definedName>
    <definedName name="cchart11" localSheetId="0" hidden="1">#REF!</definedName>
    <definedName name="cchart11" hidden="1">#REF!</definedName>
    <definedName name="cchart12" hidden="1">#REF!</definedName>
    <definedName name="cchart13" hidden="1">#REF!</definedName>
    <definedName name="cchart14" hidden="1">#REF!</definedName>
    <definedName name="cchart15" hidden="1">#REF!</definedName>
    <definedName name="cchart16" hidden="1">#REF!</definedName>
    <definedName name="cchart17" hidden="1">#REF!</definedName>
    <definedName name="cchart18" hidden="1">#REF!</definedName>
    <definedName name="cchart19" hidden="1">#REF!</definedName>
    <definedName name="cchart2" hidden="1">#REF!</definedName>
    <definedName name="cchart20" hidden="1">#REF!</definedName>
    <definedName name="cchart21" hidden="1">#REF!</definedName>
    <definedName name="cchart22" hidden="1">#REF!</definedName>
    <definedName name="cchart23" hidden="1">#REF!</definedName>
    <definedName name="cchart24" hidden="1">#REF!</definedName>
    <definedName name="cchart25" hidden="1">#REF!</definedName>
    <definedName name="cchart26" hidden="1">#REF!</definedName>
    <definedName name="cchart27" hidden="1">#REF!</definedName>
    <definedName name="cchart28" hidden="1">#REF!</definedName>
    <definedName name="cchart29" hidden="1">#REF!</definedName>
    <definedName name="cchart3" hidden="1">#REF!</definedName>
    <definedName name="cchart31" hidden="1">#REF!</definedName>
    <definedName name="cchart32" hidden="1">#REF!</definedName>
    <definedName name="cchart4" hidden="1">#REF!</definedName>
    <definedName name="cchart5" hidden="1">#REF!</definedName>
    <definedName name="cchart6" hidden="1">#REF!</definedName>
    <definedName name="cchart7" hidden="1">#REF!</definedName>
    <definedName name="cchart8" hidden="1">#REF!</definedName>
    <definedName name="cchart9" hidden="1">#REF!</definedName>
    <definedName name="çcklfjk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 localSheetId="24">#REF!</definedName>
    <definedName name="CD" localSheetId="7">#REF!</definedName>
    <definedName name="CD" localSheetId="3">#REF!</definedName>
    <definedName name="CD" localSheetId="26">#REF!</definedName>
    <definedName name="CD">#REF!</definedName>
    <definedName name="çdfmerf" localSheetId="24" hidden="1">{#N/A,#N/A,FALSE,"Plan1";#N/A,#N/A,FALSE,"Plan2"}</definedName>
    <definedName name="çdfmerf" localSheetId="7" hidden="1">{#N/A,#N/A,FALSE,"Plan1";#N/A,#N/A,FALSE,"Plan2"}</definedName>
    <definedName name="çdfmerf" localSheetId="9" hidden="1">{#N/A,#N/A,FALSE,"Plan1";#N/A,#N/A,FALSE,"Plan2"}</definedName>
    <definedName name="çdfmerf" localSheetId="3" hidden="1">{#N/A,#N/A,FALSE,"Plan1";#N/A,#N/A,FALSE,"Plan2"}</definedName>
    <definedName name="çdfmerf" localSheetId="2" hidden="1">{#N/A,#N/A,FALSE,"Plan1";#N/A,#N/A,FALSE,"Plan2"}</definedName>
    <definedName name="çdfmerf" localSheetId="16" hidden="1">{#N/A,#N/A,FALSE,"Plan1";#N/A,#N/A,FALSE,"Plan2"}</definedName>
    <definedName name="çdfmerf" localSheetId="0" hidden="1">{#N/A,#N/A,FALSE,"Plan1";#N/A,#N/A,FALSE,"Plan2"}</definedName>
    <definedName name="çdfmerf" localSheetId="26" hidden="1">{#N/A,#N/A,FALSE,"Plan1";#N/A,#N/A,FALSE,"Plan2"}</definedName>
    <definedName name="çdfmerf" localSheetId="11" hidden="1">{#N/A,#N/A,FALSE,"Plan1";#N/A,#N/A,FALSE,"Plan2"}</definedName>
    <definedName name="çdfmerf" hidden="1">{#N/A,#N/A,FALSE,"Plan1";#N/A,#N/A,FALSE,"Plan2"}</definedName>
    <definedName name="CDSGHE" localSheetId="24" hidden="1">{#N/A,#N/A,FALSE,"Plan1";#N/A,#N/A,FALSE,"Plan2"}</definedName>
    <definedName name="CDSGHE" localSheetId="7" hidden="1">{#N/A,#N/A,FALSE,"Plan1";#N/A,#N/A,FALSE,"Plan2"}</definedName>
    <definedName name="CDSGHE" localSheetId="9" hidden="1">{#N/A,#N/A,FALSE,"Plan1";#N/A,#N/A,FALSE,"Plan2"}</definedName>
    <definedName name="CDSGHE" localSheetId="3" hidden="1">{#N/A,#N/A,FALSE,"Plan1";#N/A,#N/A,FALSE,"Plan2"}</definedName>
    <definedName name="CDSGHE" localSheetId="2" hidden="1">{#N/A,#N/A,FALSE,"Plan1";#N/A,#N/A,FALSE,"Plan2"}</definedName>
    <definedName name="CDSGHE" localSheetId="16" hidden="1">{#N/A,#N/A,FALSE,"Plan1";#N/A,#N/A,FALSE,"Plan2"}</definedName>
    <definedName name="CDSGHE" localSheetId="0" hidden="1">{#N/A,#N/A,FALSE,"Plan1";#N/A,#N/A,FALSE,"Plan2"}</definedName>
    <definedName name="CDSGHE" localSheetId="26" hidden="1">{#N/A,#N/A,FALSE,"Plan1";#N/A,#N/A,FALSE,"Plan2"}</definedName>
    <definedName name="CDSGHE" localSheetId="11" hidden="1">{#N/A,#N/A,FALSE,"Plan1";#N/A,#N/A,FALSE,"Plan2"}</definedName>
    <definedName name="CDSGHE" hidden="1">{#N/A,#N/A,FALSE,"Plan1";#N/A,#N/A,FALSE,"Plan2"}</definedName>
    <definedName name="cdvthd" localSheetId="24">#REF!</definedName>
    <definedName name="cdvthd" localSheetId="7">#REF!</definedName>
    <definedName name="cdvthd" localSheetId="3">#REF!</definedName>
    <definedName name="cdvthd" localSheetId="26">#REF!</definedName>
    <definedName name="cdvthd">#REF!</definedName>
    <definedName name="Cel_Constr" localSheetId="7">#REF!</definedName>
    <definedName name="Cel_Constr" localSheetId="3">#REF!</definedName>
    <definedName name="Cel_Constr">#REF!</definedName>
    <definedName name="CestaExcel" localSheetId="7">#REF!</definedName>
    <definedName name="CestaExcel" localSheetId="3">#REF!</definedName>
    <definedName name="CestaExcel">#REF!</definedName>
    <definedName name="CevaG" localSheetId="7">#REF!</definedName>
    <definedName name="CevaG" localSheetId="3">#REF!</definedName>
    <definedName name="CevaG">#REF!</definedName>
    <definedName name="CevaGS" localSheetId="7">#REF!</definedName>
    <definedName name="CevaGS" localSheetId="3">#REF!</definedName>
    <definedName name="CevaGS">#REF!</definedName>
    <definedName name="çfhjglkjhkljyhj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localSheetId="24" hidden="1">{#N/A,#N/A,FALSE,"Plan1";#N/A,#N/A,FALSE,"Plan2"}</definedName>
    <definedName name="çflçf" localSheetId="7" hidden="1">{#N/A,#N/A,FALSE,"Plan1";#N/A,#N/A,FALSE,"Plan2"}</definedName>
    <definedName name="çflçf" localSheetId="9" hidden="1">{#N/A,#N/A,FALSE,"Plan1";#N/A,#N/A,FALSE,"Plan2"}</definedName>
    <definedName name="çflçf" localSheetId="3" hidden="1">{#N/A,#N/A,FALSE,"Plan1";#N/A,#N/A,FALSE,"Plan2"}</definedName>
    <definedName name="çflçf" localSheetId="2" hidden="1">{#N/A,#N/A,FALSE,"Plan1";#N/A,#N/A,FALSE,"Plan2"}</definedName>
    <definedName name="çflçf" localSheetId="16" hidden="1">{#N/A,#N/A,FALSE,"Plan1";#N/A,#N/A,FALSE,"Plan2"}</definedName>
    <definedName name="çflçf" localSheetId="0" hidden="1">{#N/A,#N/A,FALSE,"Plan1";#N/A,#N/A,FALSE,"Plan2"}</definedName>
    <definedName name="çflçf" localSheetId="26" hidden="1">{#N/A,#N/A,FALSE,"Plan1";#N/A,#N/A,FALSE,"Plan2"}</definedName>
    <definedName name="çflçf" localSheetId="11" hidden="1">{#N/A,#N/A,FALSE,"Plan1";#N/A,#N/A,FALSE,"Plan2"}</definedName>
    <definedName name="çflçf" hidden="1">{#N/A,#N/A,FALSE,"Plan1";#N/A,#N/A,FALSE,"Plan2"}</definedName>
    <definedName name="CHAFQT" localSheetId="24">#REF!</definedName>
    <definedName name="CHAFQT" localSheetId="7">#REF!</definedName>
    <definedName name="CHAFQT" localSheetId="3">#REF!</definedName>
    <definedName name="CHAFQT" localSheetId="26">#REF!</definedName>
    <definedName name="CHAFQT">#REF!</definedName>
    <definedName name="Chaves" localSheetId="7">#REF!</definedName>
    <definedName name="Chaves" localSheetId="3">#REF!</definedName>
    <definedName name="Chaves">#REF!</definedName>
    <definedName name="chfch" localSheetId="24" hidden="1">{#N/A,#N/A,FALSE,"Plan1";#N/A,#N/A,FALSE,"Plan2"}</definedName>
    <definedName name="chfch" localSheetId="7" hidden="1">{#N/A,#N/A,FALSE,"Plan1";#N/A,#N/A,FALSE,"Plan2"}</definedName>
    <definedName name="chfch" localSheetId="9" hidden="1">{#N/A,#N/A,FALSE,"Plan1";#N/A,#N/A,FALSE,"Plan2"}</definedName>
    <definedName name="chfch" localSheetId="3" hidden="1">{#N/A,#N/A,FALSE,"Plan1";#N/A,#N/A,FALSE,"Plan2"}</definedName>
    <definedName name="chfch" localSheetId="2" hidden="1">{#N/A,#N/A,FALSE,"Plan1";#N/A,#N/A,FALSE,"Plan2"}</definedName>
    <definedName name="chfch" localSheetId="16" hidden="1">{#N/A,#N/A,FALSE,"Plan1";#N/A,#N/A,FALSE,"Plan2"}</definedName>
    <definedName name="chfch" localSheetId="0" hidden="1">{#N/A,#N/A,FALSE,"Plan1";#N/A,#N/A,FALSE,"Plan2"}</definedName>
    <definedName name="chfch" localSheetId="26" hidden="1">{#N/A,#N/A,FALSE,"Plan1";#N/A,#N/A,FALSE,"Plan2"}</definedName>
    <definedName name="chfch" localSheetId="11" hidden="1">{#N/A,#N/A,FALSE,"Plan1";#N/A,#N/A,FALSE,"Plan2"}</definedName>
    <definedName name="chfch" hidden="1">{#N/A,#N/A,FALSE,"Plan1";#N/A,#N/A,FALSE,"Plan2"}</definedName>
    <definedName name="CI" localSheetId="24">#REF!</definedName>
    <definedName name="CI" localSheetId="7">#REF!</definedName>
    <definedName name="CI" localSheetId="3">#REF!</definedName>
    <definedName name="CI" localSheetId="26">#REF!</definedName>
    <definedName name="CI">#REF!</definedName>
    <definedName name="cidades" localSheetId="7">#REF!</definedName>
    <definedName name="cidades" localSheetId="3">#REF!</definedName>
    <definedName name="cidades">#REF!</definedName>
    <definedName name="CIFIXA" localSheetId="7">#REF!</definedName>
    <definedName name="CIFIXA" localSheetId="3">#REF!</definedName>
    <definedName name="CIFIXA">#REF!</definedName>
    <definedName name="CINCO" localSheetId="7">#REF!</definedName>
    <definedName name="CINCO" localSheetId="3">#REF!</definedName>
    <definedName name="CINCO">#REF!</definedName>
    <definedName name="CITOTAL" localSheetId="7">#REF!</definedName>
    <definedName name="CITOTAL" localSheetId="3">#REF!</definedName>
    <definedName name="CITOTAL">#REF!</definedName>
    <definedName name="CIVAR" localSheetId="7">#REF!</definedName>
    <definedName name="CIVAR" localSheetId="3">#REF!</definedName>
    <definedName name="CIVAR">#REF!</definedName>
    <definedName name="ÇJKRÇLFS" localSheetId="24" hidden="1">{"Econ Consolidado",#N/A,FALSE,"Econ Consol";"Fluxo de Caixa",#N/A,FALSE,"Fluxo Caixa";"Investimentos",#N/A,FALSE,"Investimentos"}</definedName>
    <definedName name="ÇJKRÇLFS" localSheetId="7" hidden="1">{"Econ Consolidado",#N/A,FALSE,"Econ Consol";"Fluxo de Caixa",#N/A,FALSE,"Fluxo Caixa";"Investimentos",#N/A,FALSE,"Investimentos"}</definedName>
    <definedName name="ÇJKRÇLFS" localSheetId="9" hidden="1">{"Econ Consolidado",#N/A,FALSE,"Econ Consol";"Fluxo de Caixa",#N/A,FALSE,"Fluxo Caixa";"Investimentos",#N/A,FALSE,"Investimentos"}</definedName>
    <definedName name="ÇJKRÇLFS" localSheetId="3" hidden="1">{"Econ Consolidado",#N/A,FALSE,"Econ Consol";"Fluxo de Caixa",#N/A,FALSE,"Fluxo Caixa";"Investimentos",#N/A,FALSE,"Investimentos"}</definedName>
    <definedName name="ÇJKRÇLFS" localSheetId="2" hidden="1">{"Econ Consolidado",#N/A,FALSE,"Econ Consol";"Fluxo de Caixa",#N/A,FALSE,"Fluxo Caixa";"Investimentos",#N/A,FALSE,"Investimentos"}</definedName>
    <definedName name="ÇJKRÇLFS" localSheetId="16" hidden="1">{"Econ Consolidado",#N/A,FALSE,"Econ Consol";"Fluxo de Caixa",#N/A,FALSE,"Fluxo Caixa";"Investimentos",#N/A,FALSE,"Investimentos"}</definedName>
    <definedName name="ÇJKRÇLFS" localSheetId="0" hidden="1">{"Econ Consolidado",#N/A,FALSE,"Econ Consol";"Fluxo de Caixa",#N/A,FALSE,"Fluxo Caixa";"Investimentos",#N/A,FALSE,"Investimentos"}</definedName>
    <definedName name="ÇJKRÇLFS" localSheetId="26" hidden="1">{"Econ Consolidado",#N/A,FALSE,"Econ Consol";"Fluxo de Caixa",#N/A,FALSE,"Fluxo Caixa";"Investimentos",#N/A,FALSE,"Investimentos"}</definedName>
    <definedName name="ÇJKRÇLFS" localSheetId="11" hidden="1">{"Econ Consolidado",#N/A,FALSE,"Econ Consol";"Fluxo de Caixa",#N/A,FALSE,"Fluxo Caixa";"Investimentos",#N/A,FALSE,"Investimentos"}</definedName>
    <definedName name="ÇJKRÇLFS" hidden="1">{"Econ Consolidado",#N/A,FALSE,"Econ Consol";"Fluxo de Caixa",#N/A,FALSE,"Fluxo Caixa";"Investimentos",#N/A,FALSE,"Investimentos"}</definedName>
    <definedName name="ÇJsrejtçe" localSheetId="24" hidden="1">{#N/A,#N/A,FALSE,"Plan1";#N/A,#N/A,FALSE,"Plan2"}</definedName>
    <definedName name="ÇJsrejtçe" localSheetId="7" hidden="1">{#N/A,#N/A,FALSE,"Plan1";#N/A,#N/A,FALSE,"Plan2"}</definedName>
    <definedName name="ÇJsrejtçe" localSheetId="9" hidden="1">{#N/A,#N/A,FALSE,"Plan1";#N/A,#N/A,FALSE,"Plan2"}</definedName>
    <definedName name="ÇJsrejtçe" localSheetId="3" hidden="1">{#N/A,#N/A,FALSE,"Plan1";#N/A,#N/A,FALSE,"Plan2"}</definedName>
    <definedName name="ÇJsrejtçe" localSheetId="2" hidden="1">{#N/A,#N/A,FALSE,"Plan1";#N/A,#N/A,FALSE,"Plan2"}</definedName>
    <definedName name="ÇJsrejtçe" localSheetId="16" hidden="1">{#N/A,#N/A,FALSE,"Plan1";#N/A,#N/A,FALSE,"Plan2"}</definedName>
    <definedName name="ÇJsrejtçe" localSheetId="0" hidden="1">{#N/A,#N/A,FALSE,"Plan1";#N/A,#N/A,FALSE,"Plan2"}</definedName>
    <definedName name="ÇJsrejtçe" localSheetId="26" hidden="1">{#N/A,#N/A,FALSE,"Plan1";#N/A,#N/A,FALSE,"Plan2"}</definedName>
    <definedName name="ÇJsrejtçe" localSheetId="11" hidden="1">{#N/A,#N/A,FALSE,"Plan1";#N/A,#N/A,FALSE,"Plan2"}</definedName>
    <definedName name="ÇJsrejtçe" hidden="1">{#N/A,#N/A,FALSE,"Plan1";#N/A,#N/A,FALSE,"Plan2"}</definedName>
    <definedName name="çkaçekow" localSheetId="24" hidden="1">{#N/A,#N/A,FALSE,"Plan1";#N/A,#N/A,FALSE,"Plan2"}</definedName>
    <definedName name="çkaçekow" localSheetId="7" hidden="1">{#N/A,#N/A,FALSE,"Plan1";#N/A,#N/A,FALSE,"Plan2"}</definedName>
    <definedName name="çkaçekow" localSheetId="9" hidden="1">{#N/A,#N/A,FALSE,"Plan1";#N/A,#N/A,FALSE,"Plan2"}</definedName>
    <definedName name="çkaçekow" localSheetId="3" hidden="1">{#N/A,#N/A,FALSE,"Plan1";#N/A,#N/A,FALSE,"Plan2"}</definedName>
    <definedName name="çkaçekow" localSheetId="2" hidden="1">{#N/A,#N/A,FALSE,"Plan1";#N/A,#N/A,FALSE,"Plan2"}</definedName>
    <definedName name="çkaçekow" localSheetId="16" hidden="1">{#N/A,#N/A,FALSE,"Plan1";#N/A,#N/A,FALSE,"Plan2"}</definedName>
    <definedName name="çkaçekow" localSheetId="0" hidden="1">{#N/A,#N/A,FALSE,"Plan1";#N/A,#N/A,FALSE,"Plan2"}</definedName>
    <definedName name="çkaçekow" localSheetId="26" hidden="1">{#N/A,#N/A,FALSE,"Plan1";#N/A,#N/A,FALSE,"Plan2"}</definedName>
    <definedName name="çkaçekow" localSheetId="11" hidden="1">{#N/A,#N/A,FALSE,"Plan1";#N/A,#N/A,FALSE,"Plan2"}</definedName>
    <definedName name="çkaçekow" hidden="1">{#N/A,#N/A,FALSE,"Plan1";#N/A,#N/A,FALSE,"Plan2"}</definedName>
    <definedName name="ÇKSDOEKR" localSheetId="24" hidden="1">{#N/A,#N/A,FALSE,"Plan1";#N/A,#N/A,FALSE,"Plan2"}</definedName>
    <definedName name="ÇKSDOEKR" localSheetId="7" hidden="1">{#N/A,#N/A,FALSE,"Plan1";#N/A,#N/A,FALSE,"Plan2"}</definedName>
    <definedName name="ÇKSDOEKR" localSheetId="9" hidden="1">{#N/A,#N/A,FALSE,"Plan1";#N/A,#N/A,FALSE,"Plan2"}</definedName>
    <definedName name="ÇKSDOEKR" localSheetId="3" hidden="1">{#N/A,#N/A,FALSE,"Plan1";#N/A,#N/A,FALSE,"Plan2"}</definedName>
    <definedName name="ÇKSDOEKR" localSheetId="2" hidden="1">{#N/A,#N/A,FALSE,"Plan1";#N/A,#N/A,FALSE,"Plan2"}</definedName>
    <definedName name="ÇKSDOEKR" localSheetId="16" hidden="1">{#N/A,#N/A,FALSE,"Plan1";#N/A,#N/A,FALSE,"Plan2"}</definedName>
    <definedName name="ÇKSDOEKR" localSheetId="0" hidden="1">{#N/A,#N/A,FALSE,"Plan1";#N/A,#N/A,FALSE,"Plan2"}</definedName>
    <definedName name="ÇKSDOEKR" localSheetId="26" hidden="1">{#N/A,#N/A,FALSE,"Plan1";#N/A,#N/A,FALSE,"Plan2"}</definedName>
    <definedName name="ÇKSDOEKR" localSheetId="11" hidden="1">{#N/A,#N/A,FALSE,"Plan1";#N/A,#N/A,FALSE,"Plan2"}</definedName>
    <definedName name="ÇKSDOEKR" hidden="1">{#N/A,#N/A,FALSE,"Plan1";#N/A,#N/A,FALSE,"Plan2"}</definedName>
    <definedName name="çl" localSheetId="24" hidden="1">{#N/A,#N/A,FALSE,"Plan1";#N/A,#N/A,FALSE,"Plan2"}</definedName>
    <definedName name="çl" localSheetId="7" hidden="1">{#N/A,#N/A,FALSE,"Plan1";#N/A,#N/A,FALSE,"Plan2"}</definedName>
    <definedName name="çl" localSheetId="9" hidden="1">{#N/A,#N/A,FALSE,"Plan1";#N/A,#N/A,FALSE,"Plan2"}</definedName>
    <definedName name="çl" localSheetId="3" hidden="1">{#N/A,#N/A,FALSE,"Plan1";#N/A,#N/A,FALSE,"Plan2"}</definedName>
    <definedName name="çl" localSheetId="2" hidden="1">{#N/A,#N/A,FALSE,"Plan1";#N/A,#N/A,FALSE,"Plan2"}</definedName>
    <definedName name="çl" localSheetId="16" hidden="1">{#N/A,#N/A,FALSE,"Plan1";#N/A,#N/A,FALSE,"Plan2"}</definedName>
    <definedName name="çl" localSheetId="0" hidden="1">{#N/A,#N/A,FALSE,"Plan1";#N/A,#N/A,FALSE,"Plan2"}</definedName>
    <definedName name="çl" localSheetId="26" hidden="1">{#N/A,#N/A,FALSE,"Plan1";#N/A,#N/A,FALSE,"Plan2"}</definedName>
    <definedName name="çl" localSheetId="11" hidden="1">{#N/A,#N/A,FALSE,"Plan1";#N/A,#N/A,FALSE,"Plan2"}</definedName>
    <definedName name="çl" hidden="1">{#N/A,#N/A,FALSE,"Plan1";#N/A,#N/A,FALSE,"Plan2"}</definedName>
    <definedName name="çlassde" localSheetId="24" hidden="1">{#N/A,#N/A,FALSE,"Plan1";#N/A,#N/A,FALSE,"Plan2"}</definedName>
    <definedName name="çlassde" localSheetId="7" hidden="1">{#N/A,#N/A,FALSE,"Plan1";#N/A,#N/A,FALSE,"Plan2"}</definedName>
    <definedName name="çlassde" localSheetId="9" hidden="1">{#N/A,#N/A,FALSE,"Plan1";#N/A,#N/A,FALSE,"Plan2"}</definedName>
    <definedName name="çlassde" localSheetId="3" hidden="1">{#N/A,#N/A,FALSE,"Plan1";#N/A,#N/A,FALSE,"Plan2"}</definedName>
    <definedName name="çlassde" localSheetId="2" hidden="1">{#N/A,#N/A,FALSE,"Plan1";#N/A,#N/A,FALSE,"Plan2"}</definedName>
    <definedName name="çlassde" localSheetId="16" hidden="1">{#N/A,#N/A,FALSE,"Plan1";#N/A,#N/A,FALSE,"Plan2"}</definedName>
    <definedName name="çlassde" localSheetId="0" hidden="1">{#N/A,#N/A,FALSE,"Plan1";#N/A,#N/A,FALSE,"Plan2"}</definedName>
    <definedName name="çlassde" localSheetId="26" hidden="1">{#N/A,#N/A,FALSE,"Plan1";#N/A,#N/A,FALSE,"Plan2"}</definedName>
    <definedName name="çlassde" localSheetId="11" hidden="1">{#N/A,#N/A,FALSE,"Plan1";#N/A,#N/A,FALSE,"Plan2"}</definedName>
    <definedName name="çlassde" hidden="1">{#N/A,#N/A,FALSE,"Plan1";#N/A,#N/A,FALSE,"Plan2"}</definedName>
    <definedName name="Classificação" localSheetId="24">#REF!</definedName>
    <definedName name="Classificação" localSheetId="7">#REF!</definedName>
    <definedName name="Classificação" localSheetId="3">#REF!</definedName>
    <definedName name="Classificação" localSheetId="26">#REF!</definedName>
    <definedName name="Classificação">#REF!</definedName>
    <definedName name="çlçlç" localSheetId="24" hidden="1">{#N/A,#N/A,FALSE,"Plan1";#N/A,#N/A,FALSE,"Plan2"}</definedName>
    <definedName name="çlçlç" localSheetId="7" hidden="1">{#N/A,#N/A,FALSE,"Plan1";#N/A,#N/A,FALSE,"Plan2"}</definedName>
    <definedName name="çlçlç" localSheetId="9" hidden="1">{#N/A,#N/A,FALSE,"Plan1";#N/A,#N/A,FALSE,"Plan2"}</definedName>
    <definedName name="çlçlç" localSheetId="3" hidden="1">{#N/A,#N/A,FALSE,"Plan1";#N/A,#N/A,FALSE,"Plan2"}</definedName>
    <definedName name="çlçlç" localSheetId="2" hidden="1">{#N/A,#N/A,FALSE,"Plan1";#N/A,#N/A,FALSE,"Plan2"}</definedName>
    <definedName name="çlçlç" localSheetId="16" hidden="1">{#N/A,#N/A,FALSE,"Plan1";#N/A,#N/A,FALSE,"Plan2"}</definedName>
    <definedName name="çlçlç" localSheetId="0" hidden="1">{#N/A,#N/A,FALSE,"Plan1";#N/A,#N/A,FALSE,"Plan2"}</definedName>
    <definedName name="çlçlç" localSheetId="26" hidden="1">{#N/A,#N/A,FALSE,"Plan1";#N/A,#N/A,FALSE,"Plan2"}</definedName>
    <definedName name="çlçlç" localSheetId="11" hidden="1">{#N/A,#N/A,FALSE,"Plan1";#N/A,#N/A,FALSE,"Plan2"}</definedName>
    <definedName name="çlçlç" hidden="1">{#N/A,#N/A,FALSE,"Plan1";#N/A,#N/A,FALSE,"Plan2"}</definedName>
    <definedName name="çld" localSheetId="24" hidden="1">{#N/A,#N/A,FALSE,"Plan1";#N/A,#N/A,FALSE,"Plan2"}</definedName>
    <definedName name="çld" localSheetId="7" hidden="1">{#N/A,#N/A,FALSE,"Plan1";#N/A,#N/A,FALSE,"Plan2"}</definedName>
    <definedName name="çld" localSheetId="9" hidden="1">{#N/A,#N/A,FALSE,"Plan1";#N/A,#N/A,FALSE,"Plan2"}</definedName>
    <definedName name="çld" localSheetId="3" hidden="1">{#N/A,#N/A,FALSE,"Plan1";#N/A,#N/A,FALSE,"Plan2"}</definedName>
    <definedName name="çld" localSheetId="2" hidden="1">{#N/A,#N/A,FALSE,"Plan1";#N/A,#N/A,FALSE,"Plan2"}</definedName>
    <definedName name="çld" localSheetId="16" hidden="1">{#N/A,#N/A,FALSE,"Plan1";#N/A,#N/A,FALSE,"Plan2"}</definedName>
    <definedName name="çld" localSheetId="0" hidden="1">{#N/A,#N/A,FALSE,"Plan1";#N/A,#N/A,FALSE,"Plan2"}</definedName>
    <definedName name="çld" localSheetId="26" hidden="1">{#N/A,#N/A,FALSE,"Plan1";#N/A,#N/A,FALSE,"Plan2"}</definedName>
    <definedName name="çld" localSheetId="11" hidden="1">{#N/A,#N/A,FALSE,"Plan1";#N/A,#N/A,FALSE,"Plan2"}</definedName>
    <definedName name="çld" hidden="1">{#N/A,#N/A,FALSE,"Plan1";#N/A,#N/A,FALSE,"Plan2"}</definedName>
    <definedName name="çlererr" localSheetId="24" hidden="1">{#N/A,#N/A,FALSE,"Plan1";#N/A,#N/A,FALSE,"Plan2"}</definedName>
    <definedName name="çlererr" localSheetId="7" hidden="1">{#N/A,#N/A,FALSE,"Plan1";#N/A,#N/A,FALSE,"Plan2"}</definedName>
    <definedName name="çlererr" localSheetId="9" hidden="1">{#N/A,#N/A,FALSE,"Plan1";#N/A,#N/A,FALSE,"Plan2"}</definedName>
    <definedName name="çlererr" localSheetId="3" hidden="1">{#N/A,#N/A,FALSE,"Plan1";#N/A,#N/A,FALSE,"Plan2"}</definedName>
    <definedName name="çlererr" localSheetId="2" hidden="1">{#N/A,#N/A,FALSE,"Plan1";#N/A,#N/A,FALSE,"Plan2"}</definedName>
    <definedName name="çlererr" localSheetId="16" hidden="1">{#N/A,#N/A,FALSE,"Plan1";#N/A,#N/A,FALSE,"Plan2"}</definedName>
    <definedName name="çlererr" localSheetId="0" hidden="1">{#N/A,#N/A,FALSE,"Plan1";#N/A,#N/A,FALSE,"Plan2"}</definedName>
    <definedName name="çlererr" localSheetId="26" hidden="1">{#N/A,#N/A,FALSE,"Plan1";#N/A,#N/A,FALSE,"Plan2"}</definedName>
    <definedName name="çlererr" localSheetId="11" hidden="1">{#N/A,#N/A,FALSE,"Plan1";#N/A,#N/A,FALSE,"Plan2"}</definedName>
    <definedName name="çlererr" hidden="1">{#N/A,#N/A,FALSE,"Plan1";#N/A,#N/A,FALSE,"Plan2"}</definedName>
    <definedName name="çlertert" localSheetId="24" hidden="1">{#N/A,#N/A,FALSE,"Plan1";#N/A,#N/A,FALSE,"Plan2"}</definedName>
    <definedName name="çlertert" localSheetId="7" hidden="1">{#N/A,#N/A,FALSE,"Plan1";#N/A,#N/A,FALSE,"Plan2"}</definedName>
    <definedName name="çlertert" localSheetId="9" hidden="1">{#N/A,#N/A,FALSE,"Plan1";#N/A,#N/A,FALSE,"Plan2"}</definedName>
    <definedName name="çlertert" localSheetId="3" hidden="1">{#N/A,#N/A,FALSE,"Plan1";#N/A,#N/A,FALSE,"Plan2"}</definedName>
    <definedName name="çlertert" localSheetId="2" hidden="1">{#N/A,#N/A,FALSE,"Plan1";#N/A,#N/A,FALSE,"Plan2"}</definedName>
    <definedName name="çlertert" localSheetId="16" hidden="1">{#N/A,#N/A,FALSE,"Plan1";#N/A,#N/A,FALSE,"Plan2"}</definedName>
    <definedName name="çlertert" localSheetId="0" hidden="1">{#N/A,#N/A,FALSE,"Plan1";#N/A,#N/A,FALSE,"Plan2"}</definedName>
    <definedName name="çlertert" localSheetId="26" hidden="1">{#N/A,#N/A,FALSE,"Plan1";#N/A,#N/A,FALSE,"Plan2"}</definedName>
    <definedName name="çlertert" localSheetId="11" hidden="1">{#N/A,#N/A,FALSE,"Plan1";#N/A,#N/A,FALSE,"Plan2"}</definedName>
    <definedName name="çlertert" hidden="1">{#N/A,#N/A,FALSE,"Plan1";#N/A,#N/A,FALSE,"Plan2"}</definedName>
    <definedName name="çlkdflçkrlr" localSheetId="7" hidden="1">#REF!</definedName>
    <definedName name="çlkdflçkrlr" localSheetId="3" hidden="1">#REF!</definedName>
    <definedName name="çlkdflçkrlr" localSheetId="0" hidden="1">#REF!</definedName>
    <definedName name="çlkdflçkrlr" hidden="1">#REF!</definedName>
    <definedName name="çll" localSheetId="24" hidden="1">{#N/A,#N/A,FALSE,"Plan1";#N/A,#N/A,FALSE,"Plan2"}</definedName>
    <definedName name="çll" localSheetId="7" hidden="1">{#N/A,#N/A,FALSE,"Plan1";#N/A,#N/A,FALSE,"Plan2"}</definedName>
    <definedName name="çll" localSheetId="9" hidden="1">{#N/A,#N/A,FALSE,"Plan1";#N/A,#N/A,FALSE,"Plan2"}</definedName>
    <definedName name="çll" localSheetId="3" hidden="1">{#N/A,#N/A,FALSE,"Plan1";#N/A,#N/A,FALSE,"Plan2"}</definedName>
    <definedName name="çll" localSheetId="2" hidden="1">{#N/A,#N/A,FALSE,"Plan1";#N/A,#N/A,FALSE,"Plan2"}</definedName>
    <definedName name="çll" localSheetId="16" hidden="1">{#N/A,#N/A,FALSE,"Plan1";#N/A,#N/A,FALSE,"Plan2"}</definedName>
    <definedName name="çll" localSheetId="0" hidden="1">{#N/A,#N/A,FALSE,"Plan1";#N/A,#N/A,FALSE,"Plan2"}</definedName>
    <definedName name="çll" localSheetId="26" hidden="1">{#N/A,#N/A,FALSE,"Plan1";#N/A,#N/A,FALSE,"Plan2"}</definedName>
    <definedName name="çll" localSheetId="11" hidden="1">{#N/A,#N/A,FALSE,"Plan1";#N/A,#N/A,FALSE,"Plan2"}</definedName>
    <definedName name="çll" hidden="1">{#N/A,#N/A,FALSE,"Plan1";#N/A,#N/A,FALSE,"Plan2"}</definedName>
    <definedName name="CMC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 localSheetId="24">#REF!</definedName>
    <definedName name="COBRANÇA" localSheetId="7">#REF!</definedName>
    <definedName name="COBRANÇA" localSheetId="3">#REF!</definedName>
    <definedName name="COBRANÇA" localSheetId="26">#REF!</definedName>
    <definedName name="COBRANÇA">#REF!</definedName>
    <definedName name="Cod_Esquadrias" localSheetId="7">#REF!</definedName>
    <definedName name="Cod_Esquadrias" localSheetId="3">#REF!</definedName>
    <definedName name="Cod_Esquadrias">#REF!</definedName>
    <definedName name="CÓDG" localSheetId="7">OFFSET(#REF!,0,0,COUNTA(#REF!),1)</definedName>
    <definedName name="CÓDG" localSheetId="3">OFFSET(#REF!,0,0,COUNTA(#REF!),1)</definedName>
    <definedName name="CÓDG">OFFSET(#REF!,0,0,COUNTA(#REF!),1)</definedName>
    <definedName name="codigo2" localSheetId="24">#REF!</definedName>
    <definedName name="codigo2" localSheetId="7">#REF!</definedName>
    <definedName name="codigo2" localSheetId="3">#REF!</definedName>
    <definedName name="codigo2" localSheetId="26">#REF!</definedName>
    <definedName name="codigo2">#REF!</definedName>
    <definedName name="codigo3" localSheetId="7">#REF!</definedName>
    <definedName name="codigo3" localSheetId="3">#REF!</definedName>
    <definedName name="codigo3">#REF!</definedName>
    <definedName name="CÓDT" localSheetId="7">OFFSET(#REF!,0,0,COUNTA(#REF!)+1,1)</definedName>
    <definedName name="CÓDT" localSheetId="3">OFFSET(#REF!,0,0,COUNTA(#REF!)+1,1)</definedName>
    <definedName name="CÓDT">OFFSET(#REF!,0,0,COUNTA(#REF!)+1,1)</definedName>
    <definedName name="COFINS" localSheetId="24">#REF!</definedName>
    <definedName name="COFINS" localSheetId="7">#REF!</definedName>
    <definedName name="COFINS" localSheetId="3">#REF!</definedName>
    <definedName name="COFINS" localSheetId="26">#REF!</definedName>
    <definedName name="COFINS">#REF!</definedName>
    <definedName name="cofins2" localSheetId="7">#REF!</definedName>
    <definedName name="cofins2" localSheetId="3">#REF!</definedName>
    <definedName name="cofins2">#REF!</definedName>
    <definedName name="COGS" localSheetId="7">#REF!</definedName>
    <definedName name="COGS" localSheetId="3">#REF!</definedName>
    <definedName name="COGS">#REF!</definedName>
    <definedName name="COLSUB" localSheetId="7">#REF!</definedName>
    <definedName name="COLSUB" localSheetId="3">#REF!</definedName>
    <definedName name="COLSUB">#REF!</definedName>
    <definedName name="COMISSOES" localSheetId="7">#REF!</definedName>
    <definedName name="COMISSOES" localSheetId="3">#REF!</definedName>
    <definedName name="COMISSOES">#REF!</definedName>
    <definedName name="COMPOSICAO" localSheetId="7">#REF!</definedName>
    <definedName name="COMPOSICAO" localSheetId="3">#REF!</definedName>
    <definedName name="COMPOSICAO">#REF!</definedName>
    <definedName name="composição" localSheetId="7">#REF!</definedName>
    <definedName name="composição" localSheetId="3">#REF!</definedName>
    <definedName name="composição">#REF!</definedName>
    <definedName name="COMPR" localSheetId="7">#REF!</definedName>
    <definedName name="COMPR" localSheetId="3">#REF!</definedName>
    <definedName name="COMPR">#REF!</definedName>
    <definedName name="COMPRIMENTO" localSheetId="7">#REF!</definedName>
    <definedName name="COMPRIMENTO" localSheetId="3">#REF!</definedName>
    <definedName name="COMPRIMENTO">#REF!</definedName>
    <definedName name="COMPROMETIDO" localSheetId="7">#REF!</definedName>
    <definedName name="COMPROMETIDO" localSheetId="3">#REF!</definedName>
    <definedName name="COMPROMETIDO">#REF!</definedName>
    <definedName name="CONFIRMAR" localSheetId="24" hidden="1">{#N/A,#N/A,TRUE,"Quinzena 01 à 15-04-98 "}</definedName>
    <definedName name="CONFIRMAR" localSheetId="7" hidden="1">{#N/A,#N/A,TRUE,"Quinzena 01 à 15-04-98 "}</definedName>
    <definedName name="CONFIRMAR" localSheetId="9" hidden="1">{#N/A,#N/A,TRUE,"Quinzena 01 à 15-04-98 "}</definedName>
    <definedName name="CONFIRMAR" localSheetId="3" hidden="1">{#N/A,#N/A,TRUE,"Quinzena 01 à 15-04-98 "}</definedName>
    <definedName name="CONFIRMAR" localSheetId="2" hidden="1">{#N/A,#N/A,TRUE,"Quinzena 01 à 15-04-98 "}</definedName>
    <definedName name="CONFIRMAR" localSheetId="16" hidden="1">{#N/A,#N/A,TRUE,"Quinzena 01 à 15-04-98 "}</definedName>
    <definedName name="CONFIRMAR" localSheetId="0" hidden="1">{#N/A,#N/A,TRUE,"Quinzena 01 à 15-04-98 "}</definedName>
    <definedName name="CONFIRMAR" localSheetId="26" hidden="1">{#N/A,#N/A,TRUE,"Quinzena 01 à 15-04-98 "}</definedName>
    <definedName name="CONFIRMAR" localSheetId="11" hidden="1">{#N/A,#N/A,TRUE,"Quinzena 01 à 15-04-98 "}</definedName>
    <definedName name="CONFIRMAR" hidden="1">{#N/A,#N/A,TRUE,"Quinzena 01 à 15-04-98 "}</definedName>
    <definedName name="cont" localSheetId="24" hidden="1">{#N/A,#N/A,FALSE,"Plan1";#N/A,#N/A,FALSE,"Plan2"}</definedName>
    <definedName name="cont" localSheetId="7" hidden="1">{#N/A,#N/A,FALSE,"Plan1";#N/A,#N/A,FALSE,"Plan2"}</definedName>
    <definedName name="cont" localSheetId="9" hidden="1">{#N/A,#N/A,FALSE,"Plan1";#N/A,#N/A,FALSE,"Plan2"}</definedName>
    <definedName name="cont" localSheetId="3" hidden="1">{#N/A,#N/A,FALSE,"Plan1";#N/A,#N/A,FALSE,"Plan2"}</definedName>
    <definedName name="cont" localSheetId="2" hidden="1">{#N/A,#N/A,FALSE,"Plan1";#N/A,#N/A,FALSE,"Plan2"}</definedName>
    <definedName name="cont" localSheetId="16" hidden="1">{#N/A,#N/A,FALSE,"Plan1";#N/A,#N/A,FALSE,"Plan2"}</definedName>
    <definedName name="cont" localSheetId="0" hidden="1">{#N/A,#N/A,FALSE,"Plan1";#N/A,#N/A,FALSE,"Plan2"}</definedName>
    <definedName name="cont" localSheetId="26" hidden="1">{#N/A,#N/A,FALSE,"Plan1";#N/A,#N/A,FALSE,"Plan2"}</definedName>
    <definedName name="cont" localSheetId="11" hidden="1">{#N/A,#N/A,FALSE,"Plan1";#N/A,#N/A,FALSE,"Plan2"}</definedName>
    <definedName name="cont" hidden="1">{#N/A,#N/A,FALSE,"Plan1";#N/A,#N/A,FALSE,"Plan2"}</definedName>
    <definedName name="CONT1" localSheetId="24">#REF!</definedName>
    <definedName name="CONT1" localSheetId="7">#REF!</definedName>
    <definedName name="CONT1" localSheetId="3">#REF!</definedName>
    <definedName name="CONT1" localSheetId="26">#REF!</definedName>
    <definedName name="CONT1">#REF!</definedName>
    <definedName name="CONT2" localSheetId="7">#REF!</definedName>
    <definedName name="CONT2" localSheetId="3">#REF!</definedName>
    <definedName name="CONT2">#REF!</definedName>
    <definedName name="CONT3" localSheetId="7">#REF!</definedName>
    <definedName name="CONT3" localSheetId="3">#REF!</definedName>
    <definedName name="CONT3">#REF!</definedName>
    <definedName name="CONTAIT" localSheetId="7">#REF!</definedName>
    <definedName name="CONTAIT" localSheetId="3">#REF!</definedName>
    <definedName name="CONTAIT">#REF!</definedName>
    <definedName name="CONTREC" localSheetId="7">#REF!</definedName>
    <definedName name="CONTREC" localSheetId="3">#REF!</definedName>
    <definedName name="CONTREC">#REF!</definedName>
    <definedName name="CONTRES" localSheetId="7">#REF!</definedName>
    <definedName name="CONTRES" localSheetId="3">#REF!</definedName>
    <definedName name="CONTRES">#REF!</definedName>
    <definedName name="CONTROLE" localSheetId="7">#REF!</definedName>
    <definedName name="CONTROLE" localSheetId="3">#REF!</definedName>
    <definedName name="CONTROLE">#REF!</definedName>
    <definedName name="Controle_Tecnologico" hidden="1">{#N/A,#N/A,FALSE,"Plan1";#N/A,#N/A,FALSE,"Plan2"}</definedName>
    <definedName name="Controle_tecnologico1" hidden="1">#REF!</definedName>
    <definedName name="CONVERSÃO" localSheetId="7">#REF!</definedName>
    <definedName name="CONVERSÃO" localSheetId="3">#REF!</definedName>
    <definedName name="CONVERSÃO">#REF!</definedName>
    <definedName name="cpmf" localSheetId="7">#REF!</definedName>
    <definedName name="cpmf" localSheetId="3">#REF!</definedName>
    <definedName name="cpmf">#REF!</definedName>
    <definedName name="Credor_Rel_Sienge" localSheetId="7">#REF!</definedName>
    <definedName name="Credor_Rel_Sienge" localSheetId="3">#REF!</definedName>
    <definedName name="Credor_Rel_Sienge">#REF!</definedName>
    <definedName name="_xlnm.Criteria" localSheetId="24">#REF!</definedName>
    <definedName name="_xlnm.Criteria" localSheetId="7">#REF!</definedName>
    <definedName name="_xlnm.Criteria" localSheetId="9">#REF!</definedName>
    <definedName name="_xlnm.Criteria" localSheetId="3">#REF!</definedName>
    <definedName name="_xlnm.Criteria" localSheetId="26">PISCINA!$B$11:$B$25</definedName>
    <definedName name="_xlnm.Criteria">#REF!</definedName>
    <definedName name="CRONG" localSheetId="7">#REF!</definedName>
    <definedName name="CRONG" localSheetId="3">#REF!</definedName>
    <definedName name="CRONG">#REF!</definedName>
    <definedName name="cronograma" localSheetId="24">#REF!</definedName>
    <definedName name="cronograma" localSheetId="7">#REF!</definedName>
    <definedName name="cronograma" localSheetId="5">#REF!</definedName>
    <definedName name="cronograma" localSheetId="3">#REF!</definedName>
    <definedName name="cronograma" localSheetId="0">#REF!</definedName>
    <definedName name="cronograma">#REF!</definedName>
    <definedName name="CRONOGRAMA_FÍSICO_FINANCEIRO" localSheetId="7">#REF!</definedName>
    <definedName name="CRONOGRAMA_FÍSICO_FINANCEIRO" localSheetId="3">#REF!</definedName>
    <definedName name="CRONOGRAMA_FÍSICO_FINANCEIRO">#REF!</definedName>
    <definedName name="CS" localSheetId="7">#REF!</definedName>
    <definedName name="CS" localSheetId="3">#REF!</definedName>
    <definedName name="CS">#REF!</definedName>
    <definedName name="cs_diferida" localSheetId="7">#REF!</definedName>
    <definedName name="cs_diferida" localSheetId="3">#REF!</definedName>
    <definedName name="cs_diferida">#REF!</definedName>
    <definedName name="ÇSAÇDFW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 localSheetId="7" hidden="1">#REF!</definedName>
    <definedName name="çsdkfçdrkt" localSheetId="3" hidden="1">#REF!</definedName>
    <definedName name="çsdkfçdrkt" localSheetId="0" hidden="1">#REF!</definedName>
    <definedName name="çsdkfçdrkt" hidden="1">#REF!</definedName>
    <definedName name="CSE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localSheetId="24" hidden="1">{#N/A,#N/A,FALSE,"Plan1";#N/A,#N/A,FALSE,"Plan2"}</definedName>
    <definedName name="ÇSLÇDLFKD" localSheetId="7" hidden="1">{#N/A,#N/A,FALSE,"Plan1";#N/A,#N/A,FALSE,"Plan2"}</definedName>
    <definedName name="ÇSLÇDLFKD" localSheetId="9" hidden="1">{#N/A,#N/A,FALSE,"Plan1";#N/A,#N/A,FALSE,"Plan2"}</definedName>
    <definedName name="ÇSLÇDLFKD" localSheetId="3" hidden="1">{#N/A,#N/A,FALSE,"Plan1";#N/A,#N/A,FALSE,"Plan2"}</definedName>
    <definedName name="ÇSLÇDLFKD" localSheetId="2" hidden="1">{#N/A,#N/A,FALSE,"Plan1";#N/A,#N/A,FALSE,"Plan2"}</definedName>
    <definedName name="ÇSLÇDLFKD" localSheetId="16" hidden="1">{#N/A,#N/A,FALSE,"Plan1";#N/A,#N/A,FALSE,"Plan2"}</definedName>
    <definedName name="ÇSLÇDLFKD" localSheetId="0" hidden="1">{#N/A,#N/A,FALSE,"Plan1";#N/A,#N/A,FALSE,"Plan2"}</definedName>
    <definedName name="ÇSLÇDLFKD" localSheetId="26" hidden="1">{#N/A,#N/A,FALSE,"Plan1";#N/A,#N/A,FALSE,"Plan2"}</definedName>
    <definedName name="ÇSLÇDLFKD" localSheetId="11" hidden="1">{#N/A,#N/A,FALSE,"Plan1";#N/A,#N/A,FALSE,"Plan2"}</definedName>
    <definedName name="ÇSLÇDLFKD" hidden="1">{#N/A,#N/A,FALSE,"Plan1";#N/A,#N/A,FALSE,"Plan2"}</definedName>
    <definedName name="CTH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 localSheetId="24">#REF!</definedName>
    <definedName name="CUST_DIR_IND" localSheetId="7">#REF!</definedName>
    <definedName name="CUST_DIR_IND" localSheetId="3">#REF!</definedName>
    <definedName name="CUST_DIR_IND" localSheetId="26">#REF!</definedName>
    <definedName name="CUST_DIR_IND">#REF!</definedName>
    <definedName name="CUSTINDIRETO" localSheetId="7">#REF!</definedName>
    <definedName name="CUSTINDIRETO" localSheetId="3">#REF!</definedName>
    <definedName name="CUSTINDIRETO">#REF!</definedName>
    <definedName name="CUSTO_DIR_IND" localSheetId="7">#REF!</definedName>
    <definedName name="CUSTO_DIR_IND" localSheetId="3">#REF!</definedName>
    <definedName name="CUSTO_DIR_IND">#REF!</definedName>
    <definedName name="Custo_Direto_de_Obras_Civis_e_Instalações_..........................................." localSheetId="7">#REF!</definedName>
    <definedName name="Custo_Direto_de_Obras_Civis_e_Instalações_..........................................." localSheetId="3">#REF!</definedName>
    <definedName name="Custo_Direto_de_Obras_Civis_e_Instalações_...........................................">#REF!</definedName>
    <definedName name="Custo_Direto_em_geral" localSheetId="7">#REF!</definedName>
    <definedName name="Custo_Direto_em_geral" localSheetId="3">#REF!</definedName>
    <definedName name="Custo_Direto_em_geral">#REF!</definedName>
    <definedName name="custo_financing" localSheetId="7">#REF!</definedName>
    <definedName name="custo_financing" localSheetId="3">#REF!</definedName>
    <definedName name="custo_financing">#REF!</definedName>
    <definedName name="CUSTO_OUTROS" localSheetId="7">#REF!</definedName>
    <definedName name="CUSTO_OUTROS" localSheetId="3">#REF!</definedName>
    <definedName name="CUSTO_OUTROS">#REF!</definedName>
    <definedName name="Custo_Outros1" localSheetId="7">#REF!</definedName>
    <definedName name="Custo_Outros1" localSheetId="3">#REF!</definedName>
    <definedName name="Custo_Outros1">#REF!</definedName>
    <definedName name="CUSTODIRETO" localSheetId="7">#REF!</definedName>
    <definedName name="CUSTODIRETO" localSheetId="3">#REF!</definedName>
    <definedName name="CUSTODIRETO">#REF!</definedName>
    <definedName name="CUSTODIRETO_R" localSheetId="7">#REF!</definedName>
    <definedName name="CUSTODIRETO_R" localSheetId="3">#REF!</definedName>
    <definedName name="CUSTODIRETO_R">#REF!</definedName>
    <definedName name="CUSTODIRETO_U" localSheetId="7">#REF!</definedName>
    <definedName name="CUSTODIRETO_U" localSheetId="3">#REF!</definedName>
    <definedName name="CUSTODIRETO_U">#REF!</definedName>
    <definedName name="CUSTODIRETO1" localSheetId="7">#REF!</definedName>
    <definedName name="CUSTODIRETO1" localSheetId="3">#REF!</definedName>
    <definedName name="CUSTODIRETO1">#REF!</definedName>
    <definedName name="CUSTOFIN" localSheetId="7">#REF!</definedName>
    <definedName name="CUSTOFIN" localSheetId="3">#REF!</definedName>
    <definedName name="CUSTOFIN">#REF!</definedName>
    <definedName name="D" localSheetId="24">#REF!</definedName>
    <definedName name="D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" localSheetId="5">#REF!</definedName>
    <definedName name="D" localSheetId="9">#REF!</definedName>
    <definedName name="D" localSheetId="3">#REF!</definedName>
    <definedName name="D" localSheetId="0">#REF!</definedName>
    <definedName name="D">#REF!</definedName>
    <definedName name="da" localSheetId="7">#REF!</definedName>
    <definedName name="da" localSheetId="3">#REF!</definedName>
    <definedName name="da">#REF!</definedName>
    <definedName name="dalmo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localSheetId="24" hidden="1">{#N/A,#N/A,FALSE,"Plan1";#N/A,#N/A,FALSE,"Plan2"}</definedName>
    <definedName name="dasfrt" localSheetId="7" hidden="1">{#N/A,#N/A,FALSE,"Plan1";#N/A,#N/A,FALSE,"Plan2"}</definedName>
    <definedName name="dasfrt" localSheetId="9" hidden="1">{#N/A,#N/A,FALSE,"Plan1";#N/A,#N/A,FALSE,"Plan2"}</definedName>
    <definedName name="dasfrt" localSheetId="3" hidden="1">{#N/A,#N/A,FALSE,"Plan1";#N/A,#N/A,FALSE,"Plan2"}</definedName>
    <definedName name="dasfrt" localSheetId="2" hidden="1">{#N/A,#N/A,FALSE,"Plan1";#N/A,#N/A,FALSE,"Plan2"}</definedName>
    <definedName name="dasfrt" localSheetId="16" hidden="1">{#N/A,#N/A,FALSE,"Plan1";#N/A,#N/A,FALSE,"Plan2"}</definedName>
    <definedName name="dasfrt" localSheetId="0" hidden="1">{#N/A,#N/A,FALSE,"Plan1";#N/A,#N/A,FALSE,"Plan2"}</definedName>
    <definedName name="dasfrt" localSheetId="26" hidden="1">{#N/A,#N/A,FALSE,"Plan1";#N/A,#N/A,FALSE,"Plan2"}</definedName>
    <definedName name="dasfrt" localSheetId="11" hidden="1">{#N/A,#N/A,FALSE,"Plan1";#N/A,#N/A,FALSE,"Plan2"}</definedName>
    <definedName name="dasfrt" hidden="1">{#N/A,#N/A,FALSE,"Plan1";#N/A,#N/A,FALSE,"Plan2"}</definedName>
    <definedName name="DATA" localSheetId="24">#REF!</definedName>
    <definedName name="DATA" localSheetId="7">#REF!</definedName>
    <definedName name="DATA" localSheetId="3">#REF!</definedName>
    <definedName name="DATA" localSheetId="26">#REF!</definedName>
    <definedName name="DATA">#REF!</definedName>
    <definedName name="Data_base" localSheetId="7">#REF!</definedName>
    <definedName name="Data_base" localSheetId="3">#REF!</definedName>
    <definedName name="Data_base">#REF!</definedName>
    <definedName name="data_base_VL" localSheetId="7">#REF!</definedName>
    <definedName name="data_base_VL" localSheetId="3">#REF!</definedName>
    <definedName name="data_base_VL">#REF!</definedName>
    <definedName name="DATA_COTAÇÃO" localSheetId="7">#REF!</definedName>
    <definedName name="DATA_COTAÇÃO" localSheetId="3">#REF!</definedName>
    <definedName name="DATA_COTAÇÃO">#REF!</definedName>
    <definedName name="DATA_ENTREGA" localSheetId="7">#REF!</definedName>
    <definedName name="DATA_ENTREGA" localSheetId="3">#REF!</definedName>
    <definedName name="DATA_ENTREGA">#REF!</definedName>
    <definedName name="DATA_FECHA" localSheetId="7">#REF!</definedName>
    <definedName name="DATA_FECHA" localSheetId="3">#REF!</definedName>
    <definedName name="DATA_FECHA">#REF!</definedName>
    <definedName name="Data_Inicio" localSheetId="7">#REF!</definedName>
    <definedName name="Data_Inicio" localSheetId="3">#REF!</definedName>
    <definedName name="Data_Inicio">#REF!</definedName>
    <definedName name="Data_Lançado_Sienge" localSheetId="7">#REF!</definedName>
    <definedName name="Data_Lançado_Sienge" localSheetId="3">#REF!</definedName>
    <definedName name="Data_Lançado_Sienge">#REF!</definedName>
    <definedName name="Data_Pagamento_Sienge" localSheetId="7">#REF!</definedName>
    <definedName name="Data_Pagamento_Sienge" localSheetId="3">#REF!</definedName>
    <definedName name="Data_Pagamento_Sienge">#REF!</definedName>
    <definedName name="Data_Previsão_Medição_Fin_Medição" localSheetId="7">#REF!</definedName>
    <definedName name="Data_Previsão_Medição_Fin_Medição" localSheetId="3">#REF!</definedName>
    <definedName name="Data_Previsão_Medição_Fin_Medição">#REF!</definedName>
    <definedName name="Data_Tendência_Recebimento_Fin_Medições" localSheetId="7">#REF!</definedName>
    <definedName name="Data_Tendência_Recebimento_Fin_Medições" localSheetId="3">#REF!</definedName>
    <definedName name="Data_Tendência_Recebimento_Fin_Medições">#REF!</definedName>
    <definedName name="DATA1" localSheetId="7">#REF!</definedName>
    <definedName name="DATA1" localSheetId="3">#REF!</definedName>
    <definedName name="DATA1">#REF!</definedName>
    <definedName name="DATA3" localSheetId="7">#REF!</definedName>
    <definedName name="DATA3" localSheetId="3">#REF!</definedName>
    <definedName name="DATA3">#REF!</definedName>
    <definedName name="DATA4" localSheetId="7">#REF!</definedName>
    <definedName name="DATA4" localSheetId="3">#REF!</definedName>
    <definedName name="DATA4">#REF!</definedName>
    <definedName name="DATA6" localSheetId="7">#REF!</definedName>
    <definedName name="DATA6" localSheetId="3">#REF!</definedName>
    <definedName name="DATA6">#REF!</definedName>
    <definedName name="Database">#REF!</definedName>
    <definedName name="DataChaves_MAP" localSheetId="7">#REF!</definedName>
    <definedName name="DataChaves_MAP" localSheetId="3">#REF!</definedName>
    <definedName name="DataChaves_MAP">#REF!</definedName>
    <definedName name="DatasOut13AteDez20" localSheetId="7">#REF!</definedName>
    <definedName name="DatasOut13AteDez20" localSheetId="3">#REF!</definedName>
    <definedName name="DatasOut13AteDez20">#REF!</definedName>
    <definedName name="DÇDL" localSheetId="24" hidden="1">{#N/A,#N/A,FALSE,"Plan1";#N/A,#N/A,FALSE,"Plan2"}</definedName>
    <definedName name="DÇDL" localSheetId="7" hidden="1">{#N/A,#N/A,FALSE,"Plan1";#N/A,#N/A,FALSE,"Plan2"}</definedName>
    <definedName name="DÇDL" localSheetId="9" hidden="1">{#N/A,#N/A,FALSE,"Plan1";#N/A,#N/A,FALSE,"Plan2"}</definedName>
    <definedName name="DÇDL" localSheetId="3" hidden="1">{#N/A,#N/A,FALSE,"Plan1";#N/A,#N/A,FALSE,"Plan2"}</definedName>
    <definedName name="DÇDL" localSheetId="2" hidden="1">{#N/A,#N/A,FALSE,"Plan1";#N/A,#N/A,FALSE,"Plan2"}</definedName>
    <definedName name="DÇDL" localSheetId="16" hidden="1">{#N/A,#N/A,FALSE,"Plan1";#N/A,#N/A,FALSE,"Plan2"}</definedName>
    <definedName name="DÇDL" localSheetId="0" hidden="1">{#N/A,#N/A,FALSE,"Plan1";#N/A,#N/A,FALSE,"Plan2"}</definedName>
    <definedName name="DÇDL" localSheetId="26" hidden="1">{#N/A,#N/A,FALSE,"Plan1";#N/A,#N/A,FALSE,"Plan2"}</definedName>
    <definedName name="DÇDL" localSheetId="11" hidden="1">{#N/A,#N/A,FALSE,"Plan1";#N/A,#N/A,FALSE,"Plan2"}</definedName>
    <definedName name="DÇDL" hidden="1">{#N/A,#N/A,FALSE,"Plan1";#N/A,#N/A,FALSE,"Plan2"}</definedName>
    <definedName name="dchart26" localSheetId="7" hidden="1">#REF!</definedName>
    <definedName name="dchart26" localSheetId="3" hidden="1">#REF!</definedName>
    <definedName name="dchart26" localSheetId="0" hidden="1">#REF!</definedName>
    <definedName name="dchart26" hidden="1">#REF!</definedName>
    <definedName name="dchart31" localSheetId="7" hidden="1">#REF!</definedName>
    <definedName name="dchart31" localSheetId="3" hidden="1">#REF!</definedName>
    <definedName name="dchart31" localSheetId="0" hidden="1">#REF!</definedName>
    <definedName name="dchart31" hidden="1">#REF!</definedName>
    <definedName name="dcnsfgdjkgb" localSheetId="24" hidden="1">{#N/A,#N/A,FALSE,"Plan1";#N/A,#N/A,FALSE,"Plan2"}</definedName>
    <definedName name="dcnsfgdjkgb" localSheetId="7" hidden="1">{#N/A,#N/A,FALSE,"Plan1";#N/A,#N/A,FALSE,"Plan2"}</definedName>
    <definedName name="dcnsfgdjkgb" localSheetId="9" hidden="1">{#N/A,#N/A,FALSE,"Plan1";#N/A,#N/A,FALSE,"Plan2"}</definedName>
    <definedName name="dcnsfgdjkgb" localSheetId="3" hidden="1">{#N/A,#N/A,FALSE,"Plan1";#N/A,#N/A,FALSE,"Plan2"}</definedName>
    <definedName name="dcnsfgdjkgb" localSheetId="2" hidden="1">{#N/A,#N/A,FALSE,"Plan1";#N/A,#N/A,FALSE,"Plan2"}</definedName>
    <definedName name="dcnsfgdjkgb" localSheetId="16" hidden="1">{#N/A,#N/A,FALSE,"Plan1";#N/A,#N/A,FALSE,"Plan2"}</definedName>
    <definedName name="dcnsfgdjkgb" localSheetId="0" hidden="1">{#N/A,#N/A,FALSE,"Plan1";#N/A,#N/A,FALSE,"Plan2"}</definedName>
    <definedName name="dcnsfgdjkgb" localSheetId="26" hidden="1">{#N/A,#N/A,FALSE,"Plan1";#N/A,#N/A,FALSE,"Plan2"}</definedName>
    <definedName name="dcnsfgdjkgb" localSheetId="11" hidden="1">{#N/A,#N/A,FALSE,"Plan1";#N/A,#N/A,FALSE,"Plan2"}</definedName>
    <definedName name="dcnsfgdjkgb" hidden="1">{#N/A,#N/A,FALSE,"Plan1";#N/A,#N/A,FALSE,"Plan2"}</definedName>
    <definedName name="DÇWK" localSheetId="24" hidden="1">{#N/A,#N/A,FALSE,"Plan1";#N/A,#N/A,FALSE,"Plan2"}</definedName>
    <definedName name="DÇWK" localSheetId="7" hidden="1">{#N/A,#N/A,FALSE,"Plan1";#N/A,#N/A,FALSE,"Plan2"}</definedName>
    <definedName name="DÇWK" localSheetId="9" hidden="1">{#N/A,#N/A,FALSE,"Plan1";#N/A,#N/A,FALSE,"Plan2"}</definedName>
    <definedName name="DÇWK" localSheetId="3" hidden="1">{#N/A,#N/A,FALSE,"Plan1";#N/A,#N/A,FALSE,"Plan2"}</definedName>
    <definedName name="DÇWK" localSheetId="2" hidden="1">{#N/A,#N/A,FALSE,"Plan1";#N/A,#N/A,FALSE,"Plan2"}</definedName>
    <definedName name="DÇWK" localSheetId="16" hidden="1">{#N/A,#N/A,FALSE,"Plan1";#N/A,#N/A,FALSE,"Plan2"}</definedName>
    <definedName name="DÇWK" localSheetId="0" hidden="1">{#N/A,#N/A,FALSE,"Plan1";#N/A,#N/A,FALSE,"Plan2"}</definedName>
    <definedName name="DÇWK" localSheetId="26" hidden="1">{#N/A,#N/A,FALSE,"Plan1";#N/A,#N/A,FALSE,"Plan2"}</definedName>
    <definedName name="DÇWK" localSheetId="11" hidden="1">{#N/A,#N/A,FALSE,"Plan1";#N/A,#N/A,FALSE,"Plan2"}</definedName>
    <definedName name="DÇWK" hidden="1">{#N/A,#N/A,FALSE,"Plan1";#N/A,#N/A,FALSE,"Plan2"}</definedName>
    <definedName name="DD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 localSheetId="7" hidden="1">{"'장비'!$A$3:$M$12"}</definedName>
    <definedName name="ddd" localSheetId="9" hidden="1">{"'장비'!$A$3:$M$12"}</definedName>
    <definedName name="DDD" localSheetId="3">#REF!</definedName>
    <definedName name="ddd" localSheetId="0" hidden="1">{"'장비'!$A$3:$M$12"}</definedName>
    <definedName name="DDD">#REF!</definedName>
    <definedName name="ddddd" localSheetId="24" hidden="1">{#N/A,#N/A,FALSE,"Plan1";#N/A,#N/A,FALSE,"Plan2"}</definedName>
    <definedName name="ddddd" localSheetId="7" hidden="1">{#N/A,#N/A,FALSE,"Plan1";#N/A,#N/A,FALSE,"Plan2"}</definedName>
    <definedName name="ddddd" localSheetId="9" hidden="1">{#N/A,#N/A,FALSE,"Plan1";#N/A,#N/A,FALSE,"Plan2"}</definedName>
    <definedName name="ddddd" localSheetId="3" hidden="1">{#N/A,#N/A,FALSE,"Plan1";#N/A,#N/A,FALSE,"Plan2"}</definedName>
    <definedName name="ddddd" localSheetId="2" hidden="1">{#N/A,#N/A,FALSE,"Plan1";#N/A,#N/A,FALSE,"Plan2"}</definedName>
    <definedName name="ddddd" localSheetId="16" hidden="1">{#N/A,#N/A,FALSE,"Plan1";#N/A,#N/A,FALSE,"Plan2"}</definedName>
    <definedName name="ddddd" localSheetId="0" hidden="1">{#N/A,#N/A,FALSE,"Plan1";#N/A,#N/A,FALSE,"Plan2"}</definedName>
    <definedName name="ddddd" localSheetId="26" hidden="1">{#N/A,#N/A,FALSE,"Plan1";#N/A,#N/A,FALSE,"Plan2"}</definedName>
    <definedName name="ddddd" localSheetId="11" hidden="1">{#N/A,#N/A,FALSE,"Plan1";#N/A,#N/A,FALSE,"Plan2"}</definedName>
    <definedName name="ddddd" hidden="1">{#N/A,#N/A,FALSE,"Plan1";#N/A,#N/A,FALSE,"Plan2"}</definedName>
    <definedName name="ddddddddddd" localSheetId="7">#REF!</definedName>
    <definedName name="ddddddddddd" localSheetId="9">#REF!</definedName>
    <definedName name="ddddddddddd" localSheetId="3">#REF!</definedName>
    <definedName name="ddddddddddd">#REF!</definedName>
    <definedName name="dddddddddddddddddddddddddd" localSheetId="7">#REF!</definedName>
    <definedName name="dddddddddddddddddddddddddd" localSheetId="3">#REF!</definedName>
    <definedName name="dddddddddddddddddddddddddd">#REF!</definedName>
    <definedName name="dddddddddddddppppppppp" localSheetId="7">#REF!</definedName>
    <definedName name="dddddddddddddppppppppp" localSheetId="3">#REF!</definedName>
    <definedName name="dddddddddddddppppppppp">#REF!</definedName>
    <definedName name="dde" localSheetId="24" hidden="1">{#N/A,#N/A,FALSE,"Plan1";#N/A,#N/A,FALSE,"Plan2"}</definedName>
    <definedName name="dde" localSheetId="7" hidden="1">{#N/A,#N/A,FALSE,"Plan1";#N/A,#N/A,FALSE,"Plan2"}</definedName>
    <definedName name="dde" localSheetId="9" hidden="1">{#N/A,#N/A,FALSE,"Plan1";#N/A,#N/A,FALSE,"Plan2"}</definedName>
    <definedName name="dde" localSheetId="3" hidden="1">{#N/A,#N/A,FALSE,"Plan1";#N/A,#N/A,FALSE,"Plan2"}</definedName>
    <definedName name="dde" localSheetId="2" hidden="1">{#N/A,#N/A,FALSE,"Plan1";#N/A,#N/A,FALSE,"Plan2"}</definedName>
    <definedName name="dde" localSheetId="16" hidden="1">{#N/A,#N/A,FALSE,"Plan1";#N/A,#N/A,FALSE,"Plan2"}</definedName>
    <definedName name="dde" localSheetId="0" hidden="1">{#N/A,#N/A,FALSE,"Plan1";#N/A,#N/A,FALSE,"Plan2"}</definedName>
    <definedName name="dde" localSheetId="26" hidden="1">{#N/A,#N/A,FALSE,"Plan1";#N/A,#N/A,FALSE,"Plan2"}</definedName>
    <definedName name="dde" localSheetId="11" hidden="1">{#N/A,#N/A,FALSE,"Plan1";#N/A,#N/A,FALSE,"Plan2"}</definedName>
    <definedName name="dde" hidden="1">{#N/A,#N/A,FALSE,"Plan1";#N/A,#N/A,FALSE,"Plan2"}</definedName>
    <definedName name="ddfs" localSheetId="7" hidden="1">#REF!</definedName>
    <definedName name="ddfs" localSheetId="3" hidden="1">#REF!</definedName>
    <definedName name="ddfs" localSheetId="0" hidden="1">#REF!</definedName>
    <definedName name="ddfs" hidden="1">#REF!</definedName>
    <definedName name="ddgfdvgdg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localSheetId="24" hidden="1">{#N/A,#N/A,FALSE,"Plan1";#N/A,#N/A,FALSE,"Plan2"}</definedName>
    <definedName name="DDGSFG" localSheetId="7" hidden="1">{#N/A,#N/A,FALSE,"Plan1";#N/A,#N/A,FALSE,"Plan2"}</definedName>
    <definedName name="DDGSFG" localSheetId="9" hidden="1">{#N/A,#N/A,FALSE,"Plan1";#N/A,#N/A,FALSE,"Plan2"}</definedName>
    <definedName name="DDGSFG" localSheetId="3" hidden="1">{#N/A,#N/A,FALSE,"Plan1";#N/A,#N/A,FALSE,"Plan2"}</definedName>
    <definedName name="DDGSFG" localSheetId="2" hidden="1">{#N/A,#N/A,FALSE,"Plan1";#N/A,#N/A,FALSE,"Plan2"}</definedName>
    <definedName name="DDGSFG" localSheetId="16" hidden="1">{#N/A,#N/A,FALSE,"Plan1";#N/A,#N/A,FALSE,"Plan2"}</definedName>
    <definedName name="DDGSFG" localSheetId="0" hidden="1">{#N/A,#N/A,FALSE,"Plan1";#N/A,#N/A,FALSE,"Plan2"}</definedName>
    <definedName name="DDGSFG" localSheetId="26" hidden="1">{#N/A,#N/A,FALSE,"Plan1";#N/A,#N/A,FALSE,"Plan2"}</definedName>
    <definedName name="DDGSFG" localSheetId="11" hidden="1">{#N/A,#N/A,FALSE,"Plan1";#N/A,#N/A,FALSE,"Plan2"}</definedName>
    <definedName name="DDGSFG" hidden="1">{#N/A,#N/A,FALSE,"Plan1";#N/A,#N/A,FALSE,"Plan2"}</definedName>
    <definedName name="dede" localSheetId="24" hidden="1">{#N/A,#N/A,FALSE,"Plan1";#N/A,#N/A,FALSE,"Plan2"}</definedName>
    <definedName name="dede" localSheetId="7" hidden="1">{#N/A,#N/A,FALSE,"Plan1";#N/A,#N/A,FALSE,"Plan2"}</definedName>
    <definedName name="dede" localSheetId="9" hidden="1">{#N/A,#N/A,FALSE,"Plan1";#N/A,#N/A,FALSE,"Plan2"}</definedName>
    <definedName name="dede" localSheetId="3" hidden="1">{#N/A,#N/A,FALSE,"Plan1";#N/A,#N/A,FALSE,"Plan2"}</definedName>
    <definedName name="dede" localSheetId="2" hidden="1">{#N/A,#N/A,FALSE,"Plan1";#N/A,#N/A,FALSE,"Plan2"}</definedName>
    <definedName name="dede" localSheetId="16" hidden="1">{#N/A,#N/A,FALSE,"Plan1";#N/A,#N/A,FALSE,"Plan2"}</definedName>
    <definedName name="dede" localSheetId="0" hidden="1">{#N/A,#N/A,FALSE,"Plan1";#N/A,#N/A,FALSE,"Plan2"}</definedName>
    <definedName name="dede" localSheetId="26" hidden="1">{#N/A,#N/A,FALSE,"Plan1";#N/A,#N/A,FALSE,"Plan2"}</definedName>
    <definedName name="dede" localSheetId="11" hidden="1">{#N/A,#N/A,FALSE,"Plan1";#N/A,#N/A,FALSE,"Plan2"}</definedName>
    <definedName name="dede" hidden="1">{#N/A,#N/A,FALSE,"Plan1";#N/A,#N/A,FALSE,"Plan2"}</definedName>
    <definedName name="defasagem" localSheetId="7">OFFSET(INDEX(#REF!,MATCH(#REF!,#REF!,0)),1,0,COUNTA(#REF!)-1)</definedName>
    <definedName name="defasagem" localSheetId="3">OFFSET(INDEX(#REF!,MATCH(#REF!,#REF!,0)),1,0,COUNTA(#REF!)-1)</definedName>
    <definedName name="defasagem">OFFSET(INDEX(#REF!,MATCH(#REF!,#REF!,0)),1,0,COUNTA(#REF!)-1)</definedName>
    <definedName name="depara" localSheetId="24">#REF!</definedName>
    <definedName name="depara" localSheetId="7">#REF!</definedName>
    <definedName name="depara" localSheetId="3">#REF!</definedName>
    <definedName name="depara" localSheetId="26">#REF!</definedName>
    <definedName name="depara">#REF!</definedName>
    <definedName name="DERIVQT" localSheetId="7">#REF!</definedName>
    <definedName name="DERIVQT" localSheetId="3">#REF!</definedName>
    <definedName name="DERIVQT">#REF!</definedName>
    <definedName name="des" localSheetId="24" hidden="1">{#N/A,#N/A,FALSE,"Plan1";#N/A,#N/A,FALSE,"Plan2"}</definedName>
    <definedName name="des" localSheetId="7" hidden="1">{#N/A,#N/A,FALSE,"Plan1";#N/A,#N/A,FALSE,"Plan2"}</definedName>
    <definedName name="des" localSheetId="9" hidden="1">{#N/A,#N/A,FALSE,"Plan1";#N/A,#N/A,FALSE,"Plan2"}</definedName>
    <definedName name="des" localSheetId="3" hidden="1">{#N/A,#N/A,FALSE,"Plan1";#N/A,#N/A,FALSE,"Plan2"}</definedName>
    <definedName name="des" localSheetId="2" hidden="1">{#N/A,#N/A,FALSE,"Plan1";#N/A,#N/A,FALSE,"Plan2"}</definedName>
    <definedName name="des" localSheetId="16" hidden="1">{#N/A,#N/A,FALSE,"Plan1";#N/A,#N/A,FALSE,"Plan2"}</definedName>
    <definedName name="des" localSheetId="0" hidden="1">{#N/A,#N/A,FALSE,"Plan1";#N/A,#N/A,FALSE,"Plan2"}</definedName>
    <definedName name="des" localSheetId="26" hidden="1">{#N/A,#N/A,FALSE,"Plan1";#N/A,#N/A,FALSE,"Plan2"}</definedName>
    <definedName name="des" localSheetId="11" hidden="1">{#N/A,#N/A,FALSE,"Plan1";#N/A,#N/A,FALSE,"Plan2"}</definedName>
    <definedName name="des" hidden="1">{#N/A,#N/A,FALSE,"Plan1";#N/A,#N/A,FALSE,"Plan2"}</definedName>
    <definedName name="desc" localSheetId="24" hidden="1">{#N/A,#N/A,FALSE,"Plan1";#N/A,#N/A,FALSE,"Plan2"}</definedName>
    <definedName name="desc" localSheetId="7" hidden="1">{#N/A,#N/A,FALSE,"Plan1";#N/A,#N/A,FALSE,"Plan2"}</definedName>
    <definedName name="desc" localSheetId="9" hidden="1">{#N/A,#N/A,FALSE,"Plan1";#N/A,#N/A,FALSE,"Plan2"}</definedName>
    <definedName name="desc" localSheetId="3" hidden="1">{#N/A,#N/A,FALSE,"Plan1";#N/A,#N/A,FALSE,"Plan2"}</definedName>
    <definedName name="desc" localSheetId="2" hidden="1">{#N/A,#N/A,FALSE,"Plan1";#N/A,#N/A,FALSE,"Plan2"}</definedName>
    <definedName name="desc" localSheetId="16" hidden="1">{#N/A,#N/A,FALSE,"Plan1";#N/A,#N/A,FALSE,"Plan2"}</definedName>
    <definedName name="desc" localSheetId="0" hidden="1">{#N/A,#N/A,FALSE,"Plan1";#N/A,#N/A,FALSE,"Plan2"}</definedName>
    <definedName name="desc" localSheetId="26" hidden="1">{#N/A,#N/A,FALSE,"Plan1";#N/A,#N/A,FALSE,"Plan2"}</definedName>
    <definedName name="desc" localSheetId="11" hidden="1">{#N/A,#N/A,FALSE,"Plan1";#N/A,#N/A,FALSE,"Plan2"}</definedName>
    <definedName name="desc" hidden="1">{#N/A,#N/A,FALSE,"Plan1";#N/A,#N/A,FALSE,"Plan2"}</definedName>
    <definedName name="DESCONTO" localSheetId="7">#REF!</definedName>
    <definedName name="DESCONTO" localSheetId="9">#REF!</definedName>
    <definedName name="DESCONTO" localSheetId="3">#REF!</definedName>
    <definedName name="DESCONTO">#REF!</definedName>
    <definedName name="DESCRIÇÃO_OBRA" localSheetId="7">#REF!</definedName>
    <definedName name="DESCRIÇÃO_OBRA" localSheetId="3">#REF!</definedName>
    <definedName name="DESCRIÇÃO_OBRA">#REF!</definedName>
    <definedName name="DespFatur" localSheetId="7">#REF!</definedName>
    <definedName name="DespFatur" localSheetId="3">#REF!</definedName>
    <definedName name="DespFatur">#REF!</definedName>
    <definedName name="DEZ" localSheetId="7">#REF!</definedName>
    <definedName name="DEZ" localSheetId="3">#REF!</definedName>
    <definedName name="DEZ">#REF!</definedName>
    <definedName name="dez17RJ" localSheetId="7">#REF!</definedName>
    <definedName name="dez17RJ" localSheetId="3">#REF!</definedName>
    <definedName name="dez17RJ">#REF!</definedName>
    <definedName name="DEZEMBRO" localSheetId="7">#REF!</definedName>
    <definedName name="DEZEMBRO" localSheetId="3">#REF!</definedName>
    <definedName name="DEZEMBRO">#REF!</definedName>
    <definedName name="DEZENOVE" localSheetId="7">#REF!</definedName>
    <definedName name="DEZENOVE" localSheetId="3">#REF!</definedName>
    <definedName name="DEZENOVE">#REF!</definedName>
    <definedName name="DEZESSEIS" localSheetId="7">#REF!</definedName>
    <definedName name="DEZESSEIS" localSheetId="3">#REF!</definedName>
    <definedName name="DEZESSEIS">#REF!</definedName>
    <definedName name="DEZESSETE" localSheetId="7">#REF!</definedName>
    <definedName name="DEZESSETE" localSheetId="3">#REF!</definedName>
    <definedName name="DEZESSETE">#REF!</definedName>
    <definedName name="DEZOITO" localSheetId="7">#REF!</definedName>
    <definedName name="DEZOITO" localSheetId="3">#REF!</definedName>
    <definedName name="DEZOITO">#REF!</definedName>
    <definedName name="df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localSheetId="24" hidden="1">{#N/A,#N/A,FALSE,"명세표"}</definedName>
    <definedName name="DFD" localSheetId="7" hidden="1">{#N/A,#N/A,FALSE,"명세표"}</definedName>
    <definedName name="DFD" localSheetId="9" hidden="1">{#N/A,#N/A,FALSE,"명세표"}</definedName>
    <definedName name="DFD" localSheetId="3" hidden="1">{#N/A,#N/A,FALSE,"명세표"}</definedName>
    <definedName name="DFD" localSheetId="2" hidden="1">{#N/A,#N/A,FALSE,"명세표"}</definedName>
    <definedName name="DFD" localSheetId="16" hidden="1">{#N/A,#N/A,FALSE,"명세표"}</definedName>
    <definedName name="DFD" localSheetId="0" hidden="1">{#N/A,#N/A,FALSE,"명세표"}</definedName>
    <definedName name="DFD" localSheetId="26" hidden="1">{#N/A,#N/A,FALSE,"명세표"}</definedName>
    <definedName name="DFD" localSheetId="11" hidden="1">{#N/A,#N/A,FALSE,"명세표"}</definedName>
    <definedName name="DFD" hidden="1">{#N/A,#N/A,FALSE,"명세표"}</definedName>
    <definedName name="dfdfty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localSheetId="24" hidden="1">{#N/A,#N/A,FALSE,"Plan1";#N/A,#N/A,FALSE,"Plan2"}</definedName>
    <definedName name="dfdjgfdfgdf" localSheetId="7" hidden="1">{#N/A,#N/A,FALSE,"Plan1";#N/A,#N/A,FALSE,"Plan2"}</definedName>
    <definedName name="dfdjgfdfgdf" localSheetId="9" hidden="1">{#N/A,#N/A,FALSE,"Plan1";#N/A,#N/A,FALSE,"Plan2"}</definedName>
    <definedName name="dfdjgfdfgdf" localSheetId="3" hidden="1">{#N/A,#N/A,FALSE,"Plan1";#N/A,#N/A,FALSE,"Plan2"}</definedName>
    <definedName name="dfdjgfdfgdf" localSheetId="2" hidden="1">{#N/A,#N/A,FALSE,"Plan1";#N/A,#N/A,FALSE,"Plan2"}</definedName>
    <definedName name="dfdjgfdfgdf" localSheetId="16" hidden="1">{#N/A,#N/A,FALSE,"Plan1";#N/A,#N/A,FALSE,"Plan2"}</definedName>
    <definedName name="dfdjgfdfgdf" localSheetId="0" hidden="1">{#N/A,#N/A,FALSE,"Plan1";#N/A,#N/A,FALSE,"Plan2"}</definedName>
    <definedName name="dfdjgfdfgdf" localSheetId="26" hidden="1">{#N/A,#N/A,FALSE,"Plan1";#N/A,#N/A,FALSE,"Plan2"}</definedName>
    <definedName name="dfdjgfdfgdf" localSheetId="11" hidden="1">{#N/A,#N/A,FALSE,"Plan1";#N/A,#N/A,FALSE,"Plan2"}</definedName>
    <definedName name="dfdjgfdfgdf" hidden="1">{#N/A,#N/A,FALSE,"Plan1";#N/A,#N/A,FALSE,"Plan2"}</definedName>
    <definedName name="dfdrtrr" localSheetId="24" hidden="1">{#N/A,#N/A,FALSE,"Plan1";#N/A,#N/A,FALSE,"Plan2"}</definedName>
    <definedName name="dfdrtrr" localSheetId="7" hidden="1">{#N/A,#N/A,FALSE,"Plan1";#N/A,#N/A,FALSE,"Plan2"}</definedName>
    <definedName name="dfdrtrr" localSheetId="9" hidden="1">{#N/A,#N/A,FALSE,"Plan1";#N/A,#N/A,FALSE,"Plan2"}</definedName>
    <definedName name="dfdrtrr" localSheetId="3" hidden="1">{#N/A,#N/A,FALSE,"Plan1";#N/A,#N/A,FALSE,"Plan2"}</definedName>
    <definedName name="dfdrtrr" localSheetId="2" hidden="1">{#N/A,#N/A,FALSE,"Plan1";#N/A,#N/A,FALSE,"Plan2"}</definedName>
    <definedName name="dfdrtrr" localSheetId="16" hidden="1">{#N/A,#N/A,FALSE,"Plan1";#N/A,#N/A,FALSE,"Plan2"}</definedName>
    <definedName name="dfdrtrr" localSheetId="0" hidden="1">{#N/A,#N/A,FALSE,"Plan1";#N/A,#N/A,FALSE,"Plan2"}</definedName>
    <definedName name="dfdrtrr" localSheetId="26" hidden="1">{#N/A,#N/A,FALSE,"Plan1";#N/A,#N/A,FALSE,"Plan2"}</definedName>
    <definedName name="dfdrtrr" localSheetId="11" hidden="1">{#N/A,#N/A,FALSE,"Plan1";#N/A,#N/A,FALSE,"Plan2"}</definedName>
    <definedName name="dfdrtrr" hidden="1">{#N/A,#N/A,FALSE,"Plan1";#N/A,#N/A,FALSE,"Plan2"}</definedName>
    <definedName name="DFDSG" localSheetId="24" hidden="1">{#N/A,#N/A,FALSE,"Plan1";#N/A,#N/A,FALSE,"Plan2"}</definedName>
    <definedName name="DFDSG" localSheetId="7" hidden="1">{#N/A,#N/A,FALSE,"Plan1";#N/A,#N/A,FALSE,"Plan2"}</definedName>
    <definedName name="DFDSG" localSheetId="9" hidden="1">{#N/A,#N/A,FALSE,"Plan1";#N/A,#N/A,FALSE,"Plan2"}</definedName>
    <definedName name="DFDSG" localSheetId="3" hidden="1">{#N/A,#N/A,FALSE,"Plan1";#N/A,#N/A,FALSE,"Plan2"}</definedName>
    <definedName name="DFDSG" localSheetId="2" hidden="1">{#N/A,#N/A,FALSE,"Plan1";#N/A,#N/A,FALSE,"Plan2"}</definedName>
    <definedName name="DFDSG" localSheetId="16" hidden="1">{#N/A,#N/A,FALSE,"Plan1";#N/A,#N/A,FALSE,"Plan2"}</definedName>
    <definedName name="DFDSG" localSheetId="0" hidden="1">{#N/A,#N/A,FALSE,"Plan1";#N/A,#N/A,FALSE,"Plan2"}</definedName>
    <definedName name="DFDSG" localSheetId="26" hidden="1">{#N/A,#N/A,FALSE,"Plan1";#N/A,#N/A,FALSE,"Plan2"}</definedName>
    <definedName name="DFDSG" localSheetId="11" hidden="1">{#N/A,#N/A,FALSE,"Plan1";#N/A,#N/A,FALSE,"Plan2"}</definedName>
    <definedName name="DFDSG" hidden="1">{#N/A,#N/A,FALSE,"Plan1";#N/A,#N/A,FALSE,"Plan2"}</definedName>
    <definedName name="dfer" localSheetId="24" hidden="1">{#N/A,#N/A,FALSE,"Plan1";#N/A,#N/A,FALSE,"Plan2"}</definedName>
    <definedName name="dfer" localSheetId="7" hidden="1">{#N/A,#N/A,FALSE,"Plan1";#N/A,#N/A,FALSE,"Plan2"}</definedName>
    <definedName name="dfer" localSheetId="9" hidden="1">{#N/A,#N/A,FALSE,"Plan1";#N/A,#N/A,FALSE,"Plan2"}</definedName>
    <definedName name="dfer" localSheetId="3" hidden="1">{#N/A,#N/A,FALSE,"Plan1";#N/A,#N/A,FALSE,"Plan2"}</definedName>
    <definedName name="dfer" localSheetId="2" hidden="1">{#N/A,#N/A,FALSE,"Plan1";#N/A,#N/A,FALSE,"Plan2"}</definedName>
    <definedName name="dfer" localSheetId="16" hidden="1">{#N/A,#N/A,FALSE,"Plan1";#N/A,#N/A,FALSE,"Plan2"}</definedName>
    <definedName name="dfer" localSheetId="0" hidden="1">{#N/A,#N/A,FALSE,"Plan1";#N/A,#N/A,FALSE,"Plan2"}</definedName>
    <definedName name="dfer" localSheetId="26" hidden="1">{#N/A,#N/A,FALSE,"Plan1";#N/A,#N/A,FALSE,"Plan2"}</definedName>
    <definedName name="dfer" localSheetId="11" hidden="1">{#N/A,#N/A,FALSE,"Plan1";#N/A,#N/A,FALSE,"Plan2"}</definedName>
    <definedName name="dfer" hidden="1">{#N/A,#N/A,FALSE,"Plan1";#N/A,#N/A,FALSE,"Plan2"}</definedName>
    <definedName name="dffbty" localSheetId="24" hidden="1">{#N/A,#N/A,FALSE,"Plan1";#N/A,#N/A,FALSE,"Plan2"}</definedName>
    <definedName name="dffbty" localSheetId="7" hidden="1">{#N/A,#N/A,FALSE,"Plan1";#N/A,#N/A,FALSE,"Plan2"}</definedName>
    <definedName name="dffbty" localSheetId="9" hidden="1">{#N/A,#N/A,FALSE,"Plan1";#N/A,#N/A,FALSE,"Plan2"}</definedName>
    <definedName name="dffbty" localSheetId="3" hidden="1">{#N/A,#N/A,FALSE,"Plan1";#N/A,#N/A,FALSE,"Plan2"}</definedName>
    <definedName name="dffbty" localSheetId="2" hidden="1">{#N/A,#N/A,FALSE,"Plan1";#N/A,#N/A,FALSE,"Plan2"}</definedName>
    <definedName name="dffbty" localSheetId="16" hidden="1">{#N/A,#N/A,FALSE,"Plan1";#N/A,#N/A,FALSE,"Plan2"}</definedName>
    <definedName name="dffbty" localSheetId="0" hidden="1">{#N/A,#N/A,FALSE,"Plan1";#N/A,#N/A,FALSE,"Plan2"}</definedName>
    <definedName name="dffbty" localSheetId="26" hidden="1">{#N/A,#N/A,FALSE,"Plan1";#N/A,#N/A,FALSE,"Plan2"}</definedName>
    <definedName name="dffbty" localSheetId="11" hidden="1">{#N/A,#N/A,FALSE,"Plan1";#N/A,#N/A,FALSE,"Plan2"}</definedName>
    <definedName name="dffbty" hidden="1">{#N/A,#N/A,FALSE,"Plan1";#N/A,#N/A,FALSE,"Plan2"}</definedName>
    <definedName name="dffgk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localSheetId="24" hidden="1">{#N/A,#N/A,FALSE,"Plan1";#N/A,#N/A,FALSE,"Plan2"}</definedName>
    <definedName name="dffhg" localSheetId="7" hidden="1">{#N/A,#N/A,FALSE,"Plan1";#N/A,#N/A,FALSE,"Plan2"}</definedName>
    <definedName name="dffhg" localSheetId="9" hidden="1">{#N/A,#N/A,FALSE,"Plan1";#N/A,#N/A,FALSE,"Plan2"}</definedName>
    <definedName name="dffhg" localSheetId="3" hidden="1">{#N/A,#N/A,FALSE,"Plan1";#N/A,#N/A,FALSE,"Plan2"}</definedName>
    <definedName name="dffhg" localSheetId="2" hidden="1">{#N/A,#N/A,FALSE,"Plan1";#N/A,#N/A,FALSE,"Plan2"}</definedName>
    <definedName name="dffhg" localSheetId="16" hidden="1">{#N/A,#N/A,FALSE,"Plan1";#N/A,#N/A,FALSE,"Plan2"}</definedName>
    <definedName name="dffhg" localSheetId="0" hidden="1">{#N/A,#N/A,FALSE,"Plan1";#N/A,#N/A,FALSE,"Plan2"}</definedName>
    <definedName name="dffhg" localSheetId="26" hidden="1">{#N/A,#N/A,FALSE,"Plan1";#N/A,#N/A,FALSE,"Plan2"}</definedName>
    <definedName name="dffhg" localSheetId="11" hidden="1">{#N/A,#N/A,FALSE,"Plan1";#N/A,#N/A,FALSE,"Plan2"}</definedName>
    <definedName name="dffhg" hidden="1">{#N/A,#N/A,FALSE,"Plan1";#N/A,#N/A,FALSE,"Plan2"}</definedName>
    <definedName name="dfg" localSheetId="24" hidden="1">{#N/A,#N/A,FALSE,"Plan1";#N/A,#N/A,FALSE,"Plan2"}</definedName>
    <definedName name="dfg" localSheetId="7" hidden="1">{#N/A,#N/A,FALSE,"Plan1";#N/A,#N/A,FALSE,"Plan2"}</definedName>
    <definedName name="dfg" localSheetId="9" hidden="1">{#N/A,#N/A,FALSE,"Plan1";#N/A,#N/A,FALSE,"Plan2"}</definedName>
    <definedName name="dfg" localSheetId="3" hidden="1">{#N/A,#N/A,FALSE,"Plan1";#N/A,#N/A,FALSE,"Plan2"}</definedName>
    <definedName name="dfg" localSheetId="2" hidden="1">{#N/A,#N/A,FALSE,"Plan1";#N/A,#N/A,FALSE,"Plan2"}</definedName>
    <definedName name="dfg" localSheetId="16" hidden="1">{#N/A,#N/A,FALSE,"Plan1";#N/A,#N/A,FALSE,"Plan2"}</definedName>
    <definedName name="dfg" localSheetId="0" hidden="1">{#N/A,#N/A,FALSE,"Plan1";#N/A,#N/A,FALSE,"Plan2"}</definedName>
    <definedName name="dfg" localSheetId="26" hidden="1">{#N/A,#N/A,FALSE,"Plan1";#N/A,#N/A,FALSE,"Plan2"}</definedName>
    <definedName name="dfg" localSheetId="11" hidden="1">{#N/A,#N/A,FALSE,"Plan1";#N/A,#N/A,FALSE,"Plan2"}</definedName>
    <definedName name="dfg" hidden="1">{#N/A,#N/A,FALSE,"Plan1";#N/A,#N/A,FALSE,"Plan2"}</definedName>
    <definedName name="dfgdf" localSheetId="24" hidden="1">{#N/A,#N/A,FALSE,"Plan1";#N/A,#N/A,FALSE,"Plan2"}</definedName>
    <definedName name="dfgdf" localSheetId="7" hidden="1">{#N/A,#N/A,FALSE,"Plan1";#N/A,#N/A,FALSE,"Plan2"}</definedName>
    <definedName name="dfgdf" localSheetId="9" hidden="1">{#N/A,#N/A,FALSE,"Plan1";#N/A,#N/A,FALSE,"Plan2"}</definedName>
    <definedName name="dfgdf" localSheetId="3" hidden="1">{#N/A,#N/A,FALSE,"Plan1";#N/A,#N/A,FALSE,"Plan2"}</definedName>
    <definedName name="dfgdf" localSheetId="2" hidden="1">{#N/A,#N/A,FALSE,"Plan1";#N/A,#N/A,FALSE,"Plan2"}</definedName>
    <definedName name="dfgdf" localSheetId="16" hidden="1">{#N/A,#N/A,FALSE,"Plan1";#N/A,#N/A,FALSE,"Plan2"}</definedName>
    <definedName name="dfgdf" localSheetId="0" hidden="1">{#N/A,#N/A,FALSE,"Plan1";#N/A,#N/A,FALSE,"Plan2"}</definedName>
    <definedName name="dfgdf" localSheetId="26" hidden="1">{#N/A,#N/A,FALSE,"Plan1";#N/A,#N/A,FALSE,"Plan2"}</definedName>
    <definedName name="dfgdf" localSheetId="11" hidden="1">{#N/A,#N/A,FALSE,"Plan1";#N/A,#N/A,FALSE,"Plan2"}</definedName>
    <definedName name="dfgdf" hidden="1">{#N/A,#N/A,FALSE,"Plan1";#N/A,#N/A,FALSE,"Plan2"}</definedName>
    <definedName name="dfgdytygr" localSheetId="24" hidden="1">{#N/A,#N/A,FALSE,"Plan1";#N/A,#N/A,FALSE,"Plan2"}</definedName>
    <definedName name="dfgdytygr" localSheetId="7" hidden="1">{#N/A,#N/A,FALSE,"Plan1";#N/A,#N/A,FALSE,"Plan2"}</definedName>
    <definedName name="dfgdytygr" localSheetId="9" hidden="1">{#N/A,#N/A,FALSE,"Plan1";#N/A,#N/A,FALSE,"Plan2"}</definedName>
    <definedName name="dfgdytygr" localSheetId="3" hidden="1">{#N/A,#N/A,FALSE,"Plan1";#N/A,#N/A,FALSE,"Plan2"}</definedName>
    <definedName name="dfgdytygr" localSheetId="2" hidden="1">{#N/A,#N/A,FALSE,"Plan1";#N/A,#N/A,FALSE,"Plan2"}</definedName>
    <definedName name="dfgdytygr" localSheetId="16" hidden="1">{#N/A,#N/A,FALSE,"Plan1";#N/A,#N/A,FALSE,"Plan2"}</definedName>
    <definedName name="dfgdytygr" localSheetId="0" hidden="1">{#N/A,#N/A,FALSE,"Plan1";#N/A,#N/A,FALSE,"Plan2"}</definedName>
    <definedName name="dfgdytygr" localSheetId="26" hidden="1">{#N/A,#N/A,FALSE,"Plan1";#N/A,#N/A,FALSE,"Plan2"}</definedName>
    <definedName name="dfgdytygr" localSheetId="11" hidden="1">{#N/A,#N/A,FALSE,"Plan1";#N/A,#N/A,FALSE,"Plan2"}</definedName>
    <definedName name="dfgdytygr" hidden="1">{#N/A,#N/A,FALSE,"Plan1";#N/A,#N/A,FALSE,"Plan2"}</definedName>
    <definedName name="dfgftrrdt5" localSheetId="24" hidden="1">{#N/A,#N/A,FALSE,"Plan1";#N/A,#N/A,FALSE,"Plan2"}</definedName>
    <definedName name="dfgftrrdt5" localSheetId="7" hidden="1">{#N/A,#N/A,FALSE,"Plan1";#N/A,#N/A,FALSE,"Plan2"}</definedName>
    <definedName name="dfgftrrdt5" localSheetId="9" hidden="1">{#N/A,#N/A,FALSE,"Plan1";#N/A,#N/A,FALSE,"Plan2"}</definedName>
    <definedName name="dfgftrrdt5" localSheetId="3" hidden="1">{#N/A,#N/A,FALSE,"Plan1";#N/A,#N/A,FALSE,"Plan2"}</definedName>
    <definedName name="dfgftrrdt5" localSheetId="2" hidden="1">{#N/A,#N/A,FALSE,"Plan1";#N/A,#N/A,FALSE,"Plan2"}</definedName>
    <definedName name="dfgftrrdt5" localSheetId="16" hidden="1">{#N/A,#N/A,FALSE,"Plan1";#N/A,#N/A,FALSE,"Plan2"}</definedName>
    <definedName name="dfgftrrdt5" localSheetId="0" hidden="1">{#N/A,#N/A,FALSE,"Plan1";#N/A,#N/A,FALSE,"Plan2"}</definedName>
    <definedName name="dfgftrrdt5" localSheetId="26" hidden="1">{#N/A,#N/A,FALSE,"Plan1";#N/A,#N/A,FALSE,"Plan2"}</definedName>
    <definedName name="dfgftrrdt5" localSheetId="11" hidden="1">{#N/A,#N/A,FALSE,"Plan1";#N/A,#N/A,FALSE,"Plan2"}</definedName>
    <definedName name="dfgftrrdt5" hidden="1">{#N/A,#N/A,FALSE,"Plan1";#N/A,#N/A,FALSE,"Plan2"}</definedName>
    <definedName name="dfgh" localSheetId="24">#REF!</definedName>
    <definedName name="dfgh" localSheetId="7">#REF!</definedName>
    <definedName name="dfgh" localSheetId="3">#REF!</definedName>
    <definedName name="dfgh" localSheetId="26">#REF!</definedName>
    <definedName name="dfgh">#REF!</definedName>
    <definedName name="dfghjfhsg" localSheetId="24" hidden="1">{#N/A,#N/A,FALSE,"Plan1";#N/A,#N/A,FALSE,"Plan2"}</definedName>
    <definedName name="dfghjfhsg" localSheetId="7" hidden="1">{#N/A,#N/A,FALSE,"Plan1";#N/A,#N/A,FALSE,"Plan2"}</definedName>
    <definedName name="dfghjfhsg" localSheetId="9" hidden="1">{#N/A,#N/A,FALSE,"Plan1";#N/A,#N/A,FALSE,"Plan2"}</definedName>
    <definedName name="dfghjfhsg" localSheetId="3" hidden="1">{#N/A,#N/A,FALSE,"Plan1";#N/A,#N/A,FALSE,"Plan2"}</definedName>
    <definedName name="dfghjfhsg" localSheetId="2" hidden="1">{#N/A,#N/A,FALSE,"Plan1";#N/A,#N/A,FALSE,"Plan2"}</definedName>
    <definedName name="dfghjfhsg" localSheetId="16" hidden="1">{#N/A,#N/A,FALSE,"Plan1";#N/A,#N/A,FALSE,"Plan2"}</definedName>
    <definedName name="dfghjfhsg" localSheetId="0" hidden="1">{#N/A,#N/A,FALSE,"Plan1";#N/A,#N/A,FALSE,"Plan2"}</definedName>
    <definedName name="dfghjfhsg" localSheetId="26" hidden="1">{#N/A,#N/A,FALSE,"Plan1";#N/A,#N/A,FALSE,"Plan2"}</definedName>
    <definedName name="dfghjfhsg" localSheetId="11" hidden="1">{#N/A,#N/A,FALSE,"Plan1";#N/A,#N/A,FALSE,"Plan2"}</definedName>
    <definedName name="dfghjfhsg" hidden="1">{#N/A,#N/A,FALSE,"Plan1";#N/A,#N/A,FALSE,"Plan2"}</definedName>
    <definedName name="dfgj" localSheetId="24" hidden="1">{#N/A,#N/A,FALSE,"Plan1";#N/A,#N/A,FALSE,"Plan2"}</definedName>
    <definedName name="dfgj" localSheetId="7" hidden="1">{#N/A,#N/A,FALSE,"Plan1";#N/A,#N/A,FALSE,"Plan2"}</definedName>
    <definedName name="dfgj" localSheetId="9" hidden="1">{#N/A,#N/A,FALSE,"Plan1";#N/A,#N/A,FALSE,"Plan2"}</definedName>
    <definedName name="dfgj" localSheetId="3" hidden="1">{#N/A,#N/A,FALSE,"Plan1";#N/A,#N/A,FALSE,"Plan2"}</definedName>
    <definedName name="dfgj" localSheetId="2" hidden="1">{#N/A,#N/A,FALSE,"Plan1";#N/A,#N/A,FALSE,"Plan2"}</definedName>
    <definedName name="dfgj" localSheetId="16" hidden="1">{#N/A,#N/A,FALSE,"Plan1";#N/A,#N/A,FALSE,"Plan2"}</definedName>
    <definedName name="dfgj" localSheetId="0" hidden="1">{#N/A,#N/A,FALSE,"Plan1";#N/A,#N/A,FALSE,"Plan2"}</definedName>
    <definedName name="dfgj" localSheetId="26" hidden="1">{#N/A,#N/A,FALSE,"Plan1";#N/A,#N/A,FALSE,"Plan2"}</definedName>
    <definedName name="dfgj" localSheetId="11" hidden="1">{#N/A,#N/A,FALSE,"Plan1";#N/A,#N/A,FALSE,"Plan2"}</definedName>
    <definedName name="dfgj" hidden="1">{#N/A,#N/A,FALSE,"Plan1";#N/A,#N/A,FALSE,"Plan2"}</definedName>
    <definedName name="dfgjfttyd" localSheetId="24" hidden="1">{#N/A,#N/A,FALSE,"Plan1";#N/A,#N/A,FALSE,"Plan2"}</definedName>
    <definedName name="dfgjfttyd" localSheetId="7" hidden="1">{#N/A,#N/A,FALSE,"Plan1";#N/A,#N/A,FALSE,"Plan2"}</definedName>
    <definedName name="dfgjfttyd" localSheetId="9" hidden="1">{#N/A,#N/A,FALSE,"Plan1";#N/A,#N/A,FALSE,"Plan2"}</definedName>
    <definedName name="dfgjfttyd" localSheetId="3" hidden="1">{#N/A,#N/A,FALSE,"Plan1";#N/A,#N/A,FALSE,"Plan2"}</definedName>
    <definedName name="dfgjfttyd" localSheetId="2" hidden="1">{#N/A,#N/A,FALSE,"Plan1";#N/A,#N/A,FALSE,"Plan2"}</definedName>
    <definedName name="dfgjfttyd" localSheetId="16" hidden="1">{#N/A,#N/A,FALSE,"Plan1";#N/A,#N/A,FALSE,"Plan2"}</definedName>
    <definedName name="dfgjfttyd" localSheetId="0" hidden="1">{#N/A,#N/A,FALSE,"Plan1";#N/A,#N/A,FALSE,"Plan2"}</definedName>
    <definedName name="dfgjfttyd" localSheetId="26" hidden="1">{#N/A,#N/A,FALSE,"Plan1";#N/A,#N/A,FALSE,"Plan2"}</definedName>
    <definedName name="dfgjfttyd" localSheetId="11" hidden="1">{#N/A,#N/A,FALSE,"Plan1";#N/A,#N/A,FALSE,"Plan2"}</definedName>
    <definedName name="dfgjfttyd" hidden="1">{#N/A,#N/A,FALSE,"Plan1";#N/A,#N/A,FALSE,"Plan2"}</definedName>
    <definedName name="dfgjjtdrtg" localSheetId="24" hidden="1">{#N/A,#N/A,FALSE,"Plan1";#N/A,#N/A,FALSE,"Plan2"}</definedName>
    <definedName name="dfgjjtdrtg" localSheetId="7" hidden="1">{#N/A,#N/A,FALSE,"Plan1";#N/A,#N/A,FALSE,"Plan2"}</definedName>
    <definedName name="dfgjjtdrtg" localSheetId="9" hidden="1">{#N/A,#N/A,FALSE,"Plan1";#N/A,#N/A,FALSE,"Plan2"}</definedName>
    <definedName name="dfgjjtdrtg" localSheetId="3" hidden="1">{#N/A,#N/A,FALSE,"Plan1";#N/A,#N/A,FALSE,"Plan2"}</definedName>
    <definedName name="dfgjjtdrtg" localSheetId="2" hidden="1">{#N/A,#N/A,FALSE,"Plan1";#N/A,#N/A,FALSE,"Plan2"}</definedName>
    <definedName name="dfgjjtdrtg" localSheetId="16" hidden="1">{#N/A,#N/A,FALSE,"Plan1";#N/A,#N/A,FALSE,"Plan2"}</definedName>
    <definedName name="dfgjjtdrtg" localSheetId="0" hidden="1">{#N/A,#N/A,FALSE,"Plan1";#N/A,#N/A,FALSE,"Plan2"}</definedName>
    <definedName name="dfgjjtdrtg" localSheetId="26" hidden="1">{#N/A,#N/A,FALSE,"Plan1";#N/A,#N/A,FALSE,"Plan2"}</definedName>
    <definedName name="dfgjjtdrtg" localSheetId="11" hidden="1">{#N/A,#N/A,FALSE,"Plan1";#N/A,#N/A,FALSE,"Plan2"}</definedName>
    <definedName name="dfgjjtdrtg" hidden="1">{#N/A,#N/A,FALSE,"Plan1";#N/A,#N/A,FALSE,"Plan2"}</definedName>
    <definedName name="dfgt" localSheetId="24" hidden="1">{#N/A,#N/A,FALSE,"Plan1";#N/A,#N/A,FALSE,"Plan2"}</definedName>
    <definedName name="dfgt" localSheetId="7" hidden="1">{#N/A,#N/A,FALSE,"Plan1";#N/A,#N/A,FALSE,"Plan2"}</definedName>
    <definedName name="dfgt" localSheetId="9" hidden="1">{#N/A,#N/A,FALSE,"Plan1";#N/A,#N/A,FALSE,"Plan2"}</definedName>
    <definedName name="dfgt" localSheetId="3" hidden="1">{#N/A,#N/A,FALSE,"Plan1";#N/A,#N/A,FALSE,"Plan2"}</definedName>
    <definedName name="dfgt" localSheetId="2" hidden="1">{#N/A,#N/A,FALSE,"Plan1";#N/A,#N/A,FALSE,"Plan2"}</definedName>
    <definedName name="dfgt" localSheetId="16" hidden="1">{#N/A,#N/A,FALSE,"Plan1";#N/A,#N/A,FALSE,"Plan2"}</definedName>
    <definedName name="dfgt" localSheetId="0" hidden="1">{#N/A,#N/A,FALSE,"Plan1";#N/A,#N/A,FALSE,"Plan2"}</definedName>
    <definedName name="dfgt" localSheetId="26" hidden="1">{#N/A,#N/A,FALSE,"Plan1";#N/A,#N/A,FALSE,"Plan2"}</definedName>
    <definedName name="dfgt" localSheetId="11" hidden="1">{#N/A,#N/A,FALSE,"Plan1";#N/A,#N/A,FALSE,"Plan2"}</definedName>
    <definedName name="dfgt" hidden="1">{#N/A,#N/A,FALSE,"Plan1";#N/A,#N/A,FALSE,"Plan2"}</definedName>
    <definedName name="dfgtrkjhk" localSheetId="24" hidden="1">{#N/A,#N/A,FALSE,"Plan1";#N/A,#N/A,FALSE,"Plan2"}</definedName>
    <definedName name="dfgtrkjhk" localSheetId="7" hidden="1">{#N/A,#N/A,FALSE,"Plan1";#N/A,#N/A,FALSE,"Plan2"}</definedName>
    <definedName name="dfgtrkjhk" localSheetId="9" hidden="1">{#N/A,#N/A,FALSE,"Plan1";#N/A,#N/A,FALSE,"Plan2"}</definedName>
    <definedName name="dfgtrkjhk" localSheetId="3" hidden="1">{#N/A,#N/A,FALSE,"Plan1";#N/A,#N/A,FALSE,"Plan2"}</definedName>
    <definedName name="dfgtrkjhk" localSheetId="2" hidden="1">{#N/A,#N/A,FALSE,"Plan1";#N/A,#N/A,FALSE,"Plan2"}</definedName>
    <definedName name="dfgtrkjhk" localSheetId="16" hidden="1">{#N/A,#N/A,FALSE,"Plan1";#N/A,#N/A,FALSE,"Plan2"}</definedName>
    <definedName name="dfgtrkjhk" localSheetId="0" hidden="1">{#N/A,#N/A,FALSE,"Plan1";#N/A,#N/A,FALSE,"Plan2"}</definedName>
    <definedName name="dfgtrkjhk" localSheetId="26" hidden="1">{#N/A,#N/A,FALSE,"Plan1";#N/A,#N/A,FALSE,"Plan2"}</definedName>
    <definedName name="dfgtrkjhk" localSheetId="11" hidden="1">{#N/A,#N/A,FALSE,"Plan1";#N/A,#N/A,FALSE,"Plan2"}</definedName>
    <definedName name="dfgtrkjhk" hidden="1">{#N/A,#N/A,FALSE,"Plan1";#N/A,#N/A,FALSE,"Plan2"}</definedName>
    <definedName name="dfgty" localSheetId="24" hidden="1">{#N/A,#N/A,FALSE,"Plan1";#N/A,#N/A,FALSE,"Plan2"}</definedName>
    <definedName name="dfgty" localSheetId="7" hidden="1">{#N/A,#N/A,FALSE,"Plan1";#N/A,#N/A,FALSE,"Plan2"}</definedName>
    <definedName name="dfgty" localSheetId="9" hidden="1">{#N/A,#N/A,FALSE,"Plan1";#N/A,#N/A,FALSE,"Plan2"}</definedName>
    <definedName name="dfgty" localSheetId="3" hidden="1">{#N/A,#N/A,FALSE,"Plan1";#N/A,#N/A,FALSE,"Plan2"}</definedName>
    <definedName name="dfgty" localSheetId="2" hidden="1">{#N/A,#N/A,FALSE,"Plan1";#N/A,#N/A,FALSE,"Plan2"}</definedName>
    <definedName name="dfgty" localSheetId="16" hidden="1">{#N/A,#N/A,FALSE,"Plan1";#N/A,#N/A,FALSE,"Plan2"}</definedName>
    <definedName name="dfgty" localSheetId="0" hidden="1">{#N/A,#N/A,FALSE,"Plan1";#N/A,#N/A,FALSE,"Plan2"}</definedName>
    <definedName name="dfgty" localSheetId="26" hidden="1">{#N/A,#N/A,FALSE,"Plan1";#N/A,#N/A,FALSE,"Plan2"}</definedName>
    <definedName name="dfgty" localSheetId="11" hidden="1">{#N/A,#N/A,FALSE,"Plan1";#N/A,#N/A,FALSE,"Plan2"}</definedName>
    <definedName name="dfgty" hidden="1">{#N/A,#N/A,FALSE,"Plan1";#N/A,#N/A,FALSE,"Plan2"}</definedName>
    <definedName name="dfhdgfdgf" localSheetId="24" hidden="1">{#N/A,#N/A,FALSE,"Plan1";#N/A,#N/A,FALSE,"Plan2"}</definedName>
    <definedName name="dfhdgfdgf" localSheetId="7" hidden="1">{#N/A,#N/A,FALSE,"Plan1";#N/A,#N/A,FALSE,"Plan2"}</definedName>
    <definedName name="dfhdgfdgf" localSheetId="9" hidden="1">{#N/A,#N/A,FALSE,"Plan1";#N/A,#N/A,FALSE,"Plan2"}</definedName>
    <definedName name="dfhdgfdgf" localSheetId="3" hidden="1">{#N/A,#N/A,FALSE,"Plan1";#N/A,#N/A,FALSE,"Plan2"}</definedName>
    <definedName name="dfhdgfdgf" localSheetId="2" hidden="1">{#N/A,#N/A,FALSE,"Plan1";#N/A,#N/A,FALSE,"Plan2"}</definedName>
    <definedName name="dfhdgfdgf" localSheetId="16" hidden="1">{#N/A,#N/A,FALSE,"Plan1";#N/A,#N/A,FALSE,"Plan2"}</definedName>
    <definedName name="dfhdgfdgf" localSheetId="0" hidden="1">{#N/A,#N/A,FALSE,"Plan1";#N/A,#N/A,FALSE,"Plan2"}</definedName>
    <definedName name="dfhdgfdgf" localSheetId="26" hidden="1">{#N/A,#N/A,FALSE,"Plan1";#N/A,#N/A,FALSE,"Plan2"}</definedName>
    <definedName name="dfhdgfdgf" localSheetId="11" hidden="1">{#N/A,#N/A,FALSE,"Plan1";#N/A,#N/A,FALSE,"Plan2"}</definedName>
    <definedName name="dfhdgfdgf" hidden="1">{#N/A,#N/A,FALSE,"Plan1";#N/A,#N/A,FALSE,"Plan2"}</definedName>
    <definedName name="DFHDJGJFHJGF" localSheetId="24" hidden="1">{#N/A,#N/A,FALSE,"Plan1";#N/A,#N/A,FALSE,"Plan2"}</definedName>
    <definedName name="DFHDJGJFHJGF" localSheetId="7" hidden="1">{#N/A,#N/A,FALSE,"Plan1";#N/A,#N/A,FALSE,"Plan2"}</definedName>
    <definedName name="DFHDJGJFHJGF" localSheetId="9" hidden="1">{#N/A,#N/A,FALSE,"Plan1";#N/A,#N/A,FALSE,"Plan2"}</definedName>
    <definedName name="DFHDJGJFHJGF" localSheetId="3" hidden="1">{#N/A,#N/A,FALSE,"Plan1";#N/A,#N/A,FALSE,"Plan2"}</definedName>
    <definedName name="DFHDJGJFHJGF" localSheetId="2" hidden="1">{#N/A,#N/A,FALSE,"Plan1";#N/A,#N/A,FALSE,"Plan2"}</definedName>
    <definedName name="DFHDJGJFHJGF" localSheetId="16" hidden="1">{#N/A,#N/A,FALSE,"Plan1";#N/A,#N/A,FALSE,"Plan2"}</definedName>
    <definedName name="DFHDJGJFHJGF" localSheetId="0" hidden="1">{#N/A,#N/A,FALSE,"Plan1";#N/A,#N/A,FALSE,"Plan2"}</definedName>
    <definedName name="DFHDJGJFHJGF" localSheetId="26" hidden="1">{#N/A,#N/A,FALSE,"Plan1";#N/A,#N/A,FALSE,"Plan2"}</definedName>
    <definedName name="DFHDJGJFHJGF" localSheetId="11" hidden="1">{#N/A,#N/A,FALSE,"Plan1";#N/A,#N/A,FALSE,"Plan2"}</definedName>
    <definedName name="DFHDJGJFHJGF" hidden="1">{#N/A,#N/A,FALSE,"Plan1";#N/A,#N/A,FALSE,"Plan2"}</definedName>
    <definedName name="dfhdyg" localSheetId="24" hidden="1">{#N/A,#N/A,FALSE,"Plan1";#N/A,#N/A,FALSE,"Plan2"}</definedName>
    <definedName name="dfhdyg" localSheetId="7" hidden="1">{#N/A,#N/A,FALSE,"Plan1";#N/A,#N/A,FALSE,"Plan2"}</definedName>
    <definedName name="dfhdyg" localSheetId="9" hidden="1">{#N/A,#N/A,FALSE,"Plan1";#N/A,#N/A,FALSE,"Plan2"}</definedName>
    <definedName name="dfhdyg" localSheetId="3" hidden="1">{#N/A,#N/A,FALSE,"Plan1";#N/A,#N/A,FALSE,"Plan2"}</definedName>
    <definedName name="dfhdyg" localSheetId="2" hidden="1">{#N/A,#N/A,FALSE,"Plan1";#N/A,#N/A,FALSE,"Plan2"}</definedName>
    <definedName name="dfhdyg" localSheetId="16" hidden="1">{#N/A,#N/A,FALSE,"Plan1";#N/A,#N/A,FALSE,"Plan2"}</definedName>
    <definedName name="dfhdyg" localSheetId="0" hidden="1">{#N/A,#N/A,FALSE,"Plan1";#N/A,#N/A,FALSE,"Plan2"}</definedName>
    <definedName name="dfhdyg" localSheetId="26" hidden="1">{#N/A,#N/A,FALSE,"Plan1";#N/A,#N/A,FALSE,"Plan2"}</definedName>
    <definedName name="dfhdyg" localSheetId="11" hidden="1">{#N/A,#N/A,FALSE,"Plan1";#N/A,#N/A,FALSE,"Plan2"}</definedName>
    <definedName name="dfhdyg" hidden="1">{#N/A,#N/A,FALSE,"Plan1";#N/A,#N/A,FALSE,"Plan2"}</definedName>
    <definedName name="DFHGDHUR" localSheetId="24" hidden="1">{#N/A,#N/A,FALSE,"Plan1";#N/A,#N/A,FALSE,"Plan2"}</definedName>
    <definedName name="DFHGDHUR" localSheetId="7" hidden="1">{#N/A,#N/A,FALSE,"Plan1";#N/A,#N/A,FALSE,"Plan2"}</definedName>
    <definedName name="DFHGDHUR" localSheetId="9" hidden="1">{#N/A,#N/A,FALSE,"Plan1";#N/A,#N/A,FALSE,"Plan2"}</definedName>
    <definedName name="DFHGDHUR" localSheetId="3" hidden="1">{#N/A,#N/A,FALSE,"Plan1";#N/A,#N/A,FALSE,"Plan2"}</definedName>
    <definedName name="DFHGDHUR" localSheetId="2" hidden="1">{#N/A,#N/A,FALSE,"Plan1";#N/A,#N/A,FALSE,"Plan2"}</definedName>
    <definedName name="DFHGDHUR" localSheetId="16" hidden="1">{#N/A,#N/A,FALSE,"Plan1";#N/A,#N/A,FALSE,"Plan2"}</definedName>
    <definedName name="DFHGDHUR" localSheetId="0" hidden="1">{#N/A,#N/A,FALSE,"Plan1";#N/A,#N/A,FALSE,"Plan2"}</definedName>
    <definedName name="DFHGDHUR" localSheetId="26" hidden="1">{#N/A,#N/A,FALSE,"Plan1";#N/A,#N/A,FALSE,"Plan2"}</definedName>
    <definedName name="DFHGDHUR" localSheetId="11" hidden="1">{#N/A,#N/A,FALSE,"Plan1";#N/A,#N/A,FALSE,"Plan2"}</definedName>
    <definedName name="DFHGDHUR" hidden="1">{#N/A,#N/A,FALSE,"Plan1";#N/A,#N/A,FALSE,"Plan2"}</definedName>
    <definedName name="dfhgjfgdhfjdrf" localSheetId="24" hidden="1">{#N/A,#N/A,FALSE,"Plan1";#N/A,#N/A,FALSE,"Plan2"}</definedName>
    <definedName name="dfhgjfgdhfjdrf" localSheetId="7" hidden="1">{#N/A,#N/A,FALSE,"Plan1";#N/A,#N/A,FALSE,"Plan2"}</definedName>
    <definedName name="dfhgjfgdhfjdrf" localSheetId="9" hidden="1">{#N/A,#N/A,FALSE,"Plan1";#N/A,#N/A,FALSE,"Plan2"}</definedName>
    <definedName name="dfhgjfgdhfjdrf" localSheetId="3" hidden="1">{#N/A,#N/A,FALSE,"Plan1";#N/A,#N/A,FALSE,"Plan2"}</definedName>
    <definedName name="dfhgjfgdhfjdrf" localSheetId="2" hidden="1">{#N/A,#N/A,FALSE,"Plan1";#N/A,#N/A,FALSE,"Plan2"}</definedName>
    <definedName name="dfhgjfgdhfjdrf" localSheetId="16" hidden="1">{#N/A,#N/A,FALSE,"Plan1";#N/A,#N/A,FALSE,"Plan2"}</definedName>
    <definedName name="dfhgjfgdhfjdrf" localSheetId="0" hidden="1">{#N/A,#N/A,FALSE,"Plan1";#N/A,#N/A,FALSE,"Plan2"}</definedName>
    <definedName name="dfhgjfgdhfjdrf" localSheetId="26" hidden="1">{#N/A,#N/A,FALSE,"Plan1";#N/A,#N/A,FALSE,"Plan2"}</definedName>
    <definedName name="dfhgjfgdhfjdrf" localSheetId="11" hidden="1">{#N/A,#N/A,FALSE,"Plan1";#N/A,#N/A,FALSE,"Plan2"}</definedName>
    <definedName name="dfhgjfgdhfjdrf" hidden="1">{#N/A,#N/A,FALSE,"Plan1";#N/A,#N/A,FALSE,"Plan2"}</definedName>
    <definedName name="dfhgkhfut" localSheetId="24" hidden="1">{#N/A,#N/A,FALSE,"Plan1";#N/A,#N/A,FALSE,"Plan2"}</definedName>
    <definedName name="dfhgkhfut" localSheetId="7" hidden="1">{#N/A,#N/A,FALSE,"Plan1";#N/A,#N/A,FALSE,"Plan2"}</definedName>
    <definedName name="dfhgkhfut" localSheetId="9" hidden="1">{#N/A,#N/A,FALSE,"Plan1";#N/A,#N/A,FALSE,"Plan2"}</definedName>
    <definedName name="dfhgkhfut" localSheetId="3" hidden="1">{#N/A,#N/A,FALSE,"Plan1";#N/A,#N/A,FALSE,"Plan2"}</definedName>
    <definedName name="dfhgkhfut" localSheetId="2" hidden="1">{#N/A,#N/A,FALSE,"Plan1";#N/A,#N/A,FALSE,"Plan2"}</definedName>
    <definedName name="dfhgkhfut" localSheetId="16" hidden="1">{#N/A,#N/A,FALSE,"Plan1";#N/A,#N/A,FALSE,"Plan2"}</definedName>
    <definedName name="dfhgkhfut" localSheetId="0" hidden="1">{#N/A,#N/A,FALSE,"Plan1";#N/A,#N/A,FALSE,"Plan2"}</definedName>
    <definedName name="dfhgkhfut" localSheetId="26" hidden="1">{#N/A,#N/A,FALSE,"Plan1";#N/A,#N/A,FALSE,"Plan2"}</definedName>
    <definedName name="dfhgkhfut" localSheetId="11" hidden="1">{#N/A,#N/A,FALSE,"Plan1";#N/A,#N/A,FALSE,"Plan2"}</definedName>
    <definedName name="dfhgkhfut" hidden="1">{#N/A,#N/A,FALSE,"Plan1";#N/A,#N/A,FALSE,"Plan2"}</definedName>
    <definedName name="dfhgkjdhkjghjd" localSheetId="7" hidden="1">#REF!</definedName>
    <definedName name="dfhgkjdhkjghjd" localSheetId="3" hidden="1">#REF!</definedName>
    <definedName name="dfhgkjdhkjghjd" localSheetId="0" hidden="1">#REF!</definedName>
    <definedName name="dfhgkjdhkjghjd" hidden="1">#REF!</definedName>
    <definedName name="dfhguitrhfg" localSheetId="24" hidden="1">{#N/A,#N/A,FALSE,"Plan1";#N/A,#N/A,FALSE,"Plan2"}</definedName>
    <definedName name="dfhguitrhfg" localSheetId="7" hidden="1">{#N/A,#N/A,FALSE,"Plan1";#N/A,#N/A,FALSE,"Plan2"}</definedName>
    <definedName name="dfhguitrhfg" localSheetId="9" hidden="1">{#N/A,#N/A,FALSE,"Plan1";#N/A,#N/A,FALSE,"Plan2"}</definedName>
    <definedName name="dfhguitrhfg" localSheetId="3" hidden="1">{#N/A,#N/A,FALSE,"Plan1";#N/A,#N/A,FALSE,"Plan2"}</definedName>
    <definedName name="dfhguitrhfg" localSheetId="2" hidden="1">{#N/A,#N/A,FALSE,"Plan1";#N/A,#N/A,FALSE,"Plan2"}</definedName>
    <definedName name="dfhguitrhfg" localSheetId="16" hidden="1">{#N/A,#N/A,FALSE,"Plan1";#N/A,#N/A,FALSE,"Plan2"}</definedName>
    <definedName name="dfhguitrhfg" localSheetId="0" hidden="1">{#N/A,#N/A,FALSE,"Plan1";#N/A,#N/A,FALSE,"Plan2"}</definedName>
    <definedName name="dfhguitrhfg" localSheetId="26" hidden="1">{#N/A,#N/A,FALSE,"Plan1";#N/A,#N/A,FALSE,"Plan2"}</definedName>
    <definedName name="dfhguitrhfg" localSheetId="11" hidden="1">{#N/A,#N/A,FALSE,"Plan1";#N/A,#N/A,FALSE,"Plan2"}</definedName>
    <definedName name="dfhguitrhfg" hidden="1">{#N/A,#N/A,FALSE,"Plan1";#N/A,#N/A,FALSE,"Plan2"}</definedName>
    <definedName name="DFHKHDGKJHDKS" localSheetId="24" hidden="1">{#N/A,#N/A,FALSE,"Plan1";#N/A,#N/A,FALSE,"Plan2"}</definedName>
    <definedName name="DFHKHDGKJHDKS" localSheetId="7" hidden="1">{#N/A,#N/A,FALSE,"Plan1";#N/A,#N/A,FALSE,"Plan2"}</definedName>
    <definedName name="DFHKHDGKJHDKS" localSheetId="9" hidden="1">{#N/A,#N/A,FALSE,"Plan1";#N/A,#N/A,FALSE,"Plan2"}</definedName>
    <definedName name="DFHKHDGKJHDKS" localSheetId="3" hidden="1">{#N/A,#N/A,FALSE,"Plan1";#N/A,#N/A,FALSE,"Plan2"}</definedName>
    <definedName name="DFHKHDGKJHDKS" localSheetId="2" hidden="1">{#N/A,#N/A,FALSE,"Plan1";#N/A,#N/A,FALSE,"Plan2"}</definedName>
    <definedName name="DFHKHDGKJHDKS" localSheetId="16" hidden="1">{#N/A,#N/A,FALSE,"Plan1";#N/A,#N/A,FALSE,"Plan2"}</definedName>
    <definedName name="DFHKHDGKJHDKS" localSheetId="0" hidden="1">{#N/A,#N/A,FALSE,"Plan1";#N/A,#N/A,FALSE,"Plan2"}</definedName>
    <definedName name="DFHKHDGKJHDKS" localSheetId="26" hidden="1">{#N/A,#N/A,FALSE,"Plan1";#N/A,#N/A,FALSE,"Plan2"}</definedName>
    <definedName name="DFHKHDGKJHDKS" localSheetId="11" hidden="1">{#N/A,#N/A,FALSE,"Plan1";#N/A,#N/A,FALSE,"Plan2"}</definedName>
    <definedName name="DFHKHDGKJHDKS" hidden="1">{#N/A,#N/A,FALSE,"Plan1";#N/A,#N/A,FALSE,"Plan2"}</definedName>
    <definedName name="dfijvnqienvvnjv" localSheetId="24">#REF!</definedName>
    <definedName name="dfijvnqienvvnjv" localSheetId="7">#REF!</definedName>
    <definedName name="dfijvnqienvvnjv" localSheetId="3">#REF!</definedName>
    <definedName name="dfijvnqienvvnjv" localSheetId="26">#REF!</definedName>
    <definedName name="dfijvnqienvvnjv">#REF!</definedName>
    <definedName name="dfjgjfhykjt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localSheetId="24" hidden="1">{#N/A,#N/A,FALSE,"Plan1";#N/A,#N/A,FALSE,"Plan2"}</definedName>
    <definedName name="dfjkgtdftr" localSheetId="7" hidden="1">{#N/A,#N/A,FALSE,"Plan1";#N/A,#N/A,FALSE,"Plan2"}</definedName>
    <definedName name="dfjkgtdftr" localSheetId="9" hidden="1">{#N/A,#N/A,FALSE,"Plan1";#N/A,#N/A,FALSE,"Plan2"}</definedName>
    <definedName name="dfjkgtdftr" localSheetId="3" hidden="1">{#N/A,#N/A,FALSE,"Plan1";#N/A,#N/A,FALSE,"Plan2"}</definedName>
    <definedName name="dfjkgtdftr" localSheetId="2" hidden="1">{#N/A,#N/A,FALSE,"Plan1";#N/A,#N/A,FALSE,"Plan2"}</definedName>
    <definedName name="dfjkgtdftr" localSheetId="16" hidden="1">{#N/A,#N/A,FALSE,"Plan1";#N/A,#N/A,FALSE,"Plan2"}</definedName>
    <definedName name="dfjkgtdftr" localSheetId="0" hidden="1">{#N/A,#N/A,FALSE,"Plan1";#N/A,#N/A,FALSE,"Plan2"}</definedName>
    <definedName name="dfjkgtdftr" localSheetId="26" hidden="1">{#N/A,#N/A,FALSE,"Plan1";#N/A,#N/A,FALSE,"Plan2"}</definedName>
    <definedName name="dfjkgtdftr" localSheetId="11" hidden="1">{#N/A,#N/A,FALSE,"Plan1";#N/A,#N/A,FALSE,"Plan2"}</definedName>
    <definedName name="dfjkgtdftr" hidden="1">{#N/A,#N/A,FALSE,"Plan1";#N/A,#N/A,FALSE,"Plan2"}</definedName>
    <definedName name="dfkhgfgf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localSheetId="24" hidden="1">{#N/A,#N/A,FALSE,"Plan1";#N/A,#N/A,FALSE,"Plan2"}</definedName>
    <definedName name="dfknfhkdrj" localSheetId="7" hidden="1">{#N/A,#N/A,FALSE,"Plan1";#N/A,#N/A,FALSE,"Plan2"}</definedName>
    <definedName name="dfknfhkdrj" localSheetId="9" hidden="1">{#N/A,#N/A,FALSE,"Plan1";#N/A,#N/A,FALSE,"Plan2"}</definedName>
    <definedName name="dfknfhkdrj" localSheetId="3" hidden="1">{#N/A,#N/A,FALSE,"Plan1";#N/A,#N/A,FALSE,"Plan2"}</definedName>
    <definedName name="dfknfhkdrj" localSheetId="2" hidden="1">{#N/A,#N/A,FALSE,"Plan1";#N/A,#N/A,FALSE,"Plan2"}</definedName>
    <definedName name="dfknfhkdrj" localSheetId="16" hidden="1">{#N/A,#N/A,FALSE,"Plan1";#N/A,#N/A,FALSE,"Plan2"}</definedName>
    <definedName name="dfknfhkdrj" localSheetId="0" hidden="1">{#N/A,#N/A,FALSE,"Plan1";#N/A,#N/A,FALSE,"Plan2"}</definedName>
    <definedName name="dfknfhkdrj" localSheetId="26" hidden="1">{#N/A,#N/A,FALSE,"Plan1";#N/A,#N/A,FALSE,"Plan2"}</definedName>
    <definedName name="dfknfhkdrj" localSheetId="11" hidden="1">{#N/A,#N/A,FALSE,"Plan1";#N/A,#N/A,FALSE,"Plan2"}</definedName>
    <definedName name="dfknfhkdrj" hidden="1">{#N/A,#N/A,FALSE,"Plan1";#N/A,#N/A,FALSE,"Plan2"}</definedName>
    <definedName name="dfnert" localSheetId="24" hidden="1">{#N/A,#N/A,FALSE,"Plan1";#N/A,#N/A,FALSE,"Plan2"}</definedName>
    <definedName name="dfnert" localSheetId="7" hidden="1">{#N/A,#N/A,FALSE,"Plan1";#N/A,#N/A,FALSE,"Plan2"}</definedName>
    <definedName name="dfnert" localSheetId="9" hidden="1">{#N/A,#N/A,FALSE,"Plan1";#N/A,#N/A,FALSE,"Plan2"}</definedName>
    <definedName name="dfnert" localSheetId="3" hidden="1">{#N/A,#N/A,FALSE,"Plan1";#N/A,#N/A,FALSE,"Plan2"}</definedName>
    <definedName name="dfnert" localSheetId="2" hidden="1">{#N/A,#N/A,FALSE,"Plan1";#N/A,#N/A,FALSE,"Plan2"}</definedName>
    <definedName name="dfnert" localSheetId="16" hidden="1">{#N/A,#N/A,FALSE,"Plan1";#N/A,#N/A,FALSE,"Plan2"}</definedName>
    <definedName name="dfnert" localSheetId="0" hidden="1">{#N/A,#N/A,FALSE,"Plan1";#N/A,#N/A,FALSE,"Plan2"}</definedName>
    <definedName name="dfnert" localSheetId="26" hidden="1">{#N/A,#N/A,FALSE,"Plan1";#N/A,#N/A,FALSE,"Plan2"}</definedName>
    <definedName name="dfnert" localSheetId="11" hidden="1">{#N/A,#N/A,FALSE,"Plan1";#N/A,#N/A,FALSE,"Plan2"}</definedName>
    <definedName name="dfnert" hidden="1">{#N/A,#N/A,FALSE,"Plan1";#N/A,#N/A,FALSE,"Plan2"}</definedName>
    <definedName name="dfrt" localSheetId="24" hidden="1">{#N/A,#N/A,FALSE,"Plan1";#N/A,#N/A,FALSE,"Plan2"}</definedName>
    <definedName name="dfrt" localSheetId="7" hidden="1">{#N/A,#N/A,FALSE,"Plan1";#N/A,#N/A,FALSE,"Plan2"}</definedName>
    <definedName name="dfrt" localSheetId="9" hidden="1">{#N/A,#N/A,FALSE,"Plan1";#N/A,#N/A,FALSE,"Plan2"}</definedName>
    <definedName name="dfrt" localSheetId="3" hidden="1">{#N/A,#N/A,FALSE,"Plan1";#N/A,#N/A,FALSE,"Plan2"}</definedName>
    <definedName name="dfrt" localSheetId="2" hidden="1">{#N/A,#N/A,FALSE,"Plan1";#N/A,#N/A,FALSE,"Plan2"}</definedName>
    <definedName name="dfrt" localSheetId="16" hidden="1">{#N/A,#N/A,FALSE,"Plan1";#N/A,#N/A,FALSE,"Plan2"}</definedName>
    <definedName name="dfrt" localSheetId="0" hidden="1">{#N/A,#N/A,FALSE,"Plan1";#N/A,#N/A,FALSE,"Plan2"}</definedName>
    <definedName name="dfrt" localSheetId="26" hidden="1">{#N/A,#N/A,FALSE,"Plan1";#N/A,#N/A,FALSE,"Plan2"}</definedName>
    <definedName name="dfrt" localSheetId="11" hidden="1">{#N/A,#N/A,FALSE,"Plan1";#N/A,#N/A,FALSE,"Plan2"}</definedName>
    <definedName name="dfrt" hidden="1">{#N/A,#N/A,FALSE,"Plan1";#N/A,#N/A,FALSE,"Plan2"}</definedName>
    <definedName name="dfsdr5tt" localSheetId="24" hidden="1">{#N/A,#N/A,FALSE,"Plan1";#N/A,#N/A,FALSE,"Plan2"}</definedName>
    <definedName name="dfsdr5tt" localSheetId="7" hidden="1">{#N/A,#N/A,FALSE,"Plan1";#N/A,#N/A,FALSE,"Plan2"}</definedName>
    <definedName name="dfsdr5tt" localSheetId="9" hidden="1">{#N/A,#N/A,FALSE,"Plan1";#N/A,#N/A,FALSE,"Plan2"}</definedName>
    <definedName name="dfsdr5tt" localSheetId="3" hidden="1">{#N/A,#N/A,FALSE,"Plan1";#N/A,#N/A,FALSE,"Plan2"}</definedName>
    <definedName name="dfsdr5tt" localSheetId="2" hidden="1">{#N/A,#N/A,FALSE,"Plan1";#N/A,#N/A,FALSE,"Plan2"}</definedName>
    <definedName name="dfsdr5tt" localSheetId="16" hidden="1">{#N/A,#N/A,FALSE,"Plan1";#N/A,#N/A,FALSE,"Plan2"}</definedName>
    <definedName name="dfsdr5tt" localSheetId="0" hidden="1">{#N/A,#N/A,FALSE,"Plan1";#N/A,#N/A,FALSE,"Plan2"}</definedName>
    <definedName name="dfsdr5tt" localSheetId="26" hidden="1">{#N/A,#N/A,FALSE,"Plan1";#N/A,#N/A,FALSE,"Plan2"}</definedName>
    <definedName name="dfsdr5tt" localSheetId="11" hidden="1">{#N/A,#N/A,FALSE,"Plan1";#N/A,#N/A,FALSE,"Plan2"}</definedName>
    <definedName name="dfsdr5tt" hidden="1">{#N/A,#N/A,FALSE,"Plan1";#N/A,#N/A,FALSE,"Plan2"}</definedName>
    <definedName name="dfsds" localSheetId="7" hidden="1">#REF!</definedName>
    <definedName name="dfsds" localSheetId="3" hidden="1">#REF!</definedName>
    <definedName name="dfsds" localSheetId="0" hidden="1">#REF!</definedName>
    <definedName name="dfsds" hidden="1">#REF!</definedName>
    <definedName name="dfsdt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localSheetId="24" hidden="1">{#N/A,#N/A,FALSE,"Plan1";#N/A,#N/A,FALSE,"Plan2"}</definedName>
    <definedName name="dfsdtr" localSheetId="7" hidden="1">{#N/A,#N/A,FALSE,"Plan1";#N/A,#N/A,FALSE,"Plan2"}</definedName>
    <definedName name="dfsdtr" localSheetId="9" hidden="1">{#N/A,#N/A,FALSE,"Plan1";#N/A,#N/A,FALSE,"Plan2"}</definedName>
    <definedName name="dfsdtr" localSheetId="3" hidden="1">{#N/A,#N/A,FALSE,"Plan1";#N/A,#N/A,FALSE,"Plan2"}</definedName>
    <definedName name="dfsdtr" localSheetId="2" hidden="1">{#N/A,#N/A,FALSE,"Plan1";#N/A,#N/A,FALSE,"Plan2"}</definedName>
    <definedName name="dfsdtr" localSheetId="16" hidden="1">{#N/A,#N/A,FALSE,"Plan1";#N/A,#N/A,FALSE,"Plan2"}</definedName>
    <definedName name="dfsdtr" localSheetId="0" hidden="1">{#N/A,#N/A,FALSE,"Plan1";#N/A,#N/A,FALSE,"Plan2"}</definedName>
    <definedName name="dfsdtr" localSheetId="26" hidden="1">{#N/A,#N/A,FALSE,"Plan1";#N/A,#N/A,FALSE,"Plan2"}</definedName>
    <definedName name="dfsdtr" localSheetId="11" hidden="1">{#N/A,#N/A,FALSE,"Plan1";#N/A,#N/A,FALSE,"Plan2"}</definedName>
    <definedName name="dfsdtr" hidden="1">{#N/A,#N/A,FALSE,"Plan1";#N/A,#N/A,FALSE,"Plan2"}</definedName>
    <definedName name="dfsf" localSheetId="24" hidden="1">{#N/A,#N/A,FALSE,"Plan1";#N/A,#N/A,FALSE,"Plan2"}</definedName>
    <definedName name="dfsf" localSheetId="7" hidden="1">{#N/A,#N/A,FALSE,"Plan1";#N/A,#N/A,FALSE,"Plan2"}</definedName>
    <definedName name="dfsf" localSheetId="9" hidden="1">{#N/A,#N/A,FALSE,"Plan1";#N/A,#N/A,FALSE,"Plan2"}</definedName>
    <definedName name="dfsf" localSheetId="3" hidden="1">{#N/A,#N/A,FALSE,"Plan1";#N/A,#N/A,FALSE,"Plan2"}</definedName>
    <definedName name="dfsf" localSheetId="2" hidden="1">{#N/A,#N/A,FALSE,"Plan1";#N/A,#N/A,FALSE,"Plan2"}</definedName>
    <definedName name="dfsf" localSheetId="16" hidden="1">{#N/A,#N/A,FALSE,"Plan1";#N/A,#N/A,FALSE,"Plan2"}</definedName>
    <definedName name="dfsf" localSheetId="0" hidden="1">{#N/A,#N/A,FALSE,"Plan1";#N/A,#N/A,FALSE,"Plan2"}</definedName>
    <definedName name="dfsf" localSheetId="26" hidden="1">{#N/A,#N/A,FALSE,"Plan1";#N/A,#N/A,FALSE,"Plan2"}</definedName>
    <definedName name="dfsf" localSheetId="11" hidden="1">{#N/A,#N/A,FALSE,"Plan1";#N/A,#N/A,FALSE,"Plan2"}</definedName>
    <definedName name="dfsf" hidden="1">{#N/A,#N/A,FALSE,"Plan1";#N/A,#N/A,FALSE,"Plan2"}</definedName>
    <definedName name="DFT" localSheetId="24" hidden="1">{#N/A,#N/A,FALSE,"Plan1";#N/A,#N/A,FALSE,"Plan2"}</definedName>
    <definedName name="DFT" localSheetId="7" hidden="1">{#N/A,#N/A,FALSE,"Plan1";#N/A,#N/A,FALSE,"Plan2"}</definedName>
    <definedName name="DFT" localSheetId="9" hidden="1">{#N/A,#N/A,FALSE,"Plan1";#N/A,#N/A,FALSE,"Plan2"}</definedName>
    <definedName name="DFT" localSheetId="3" hidden="1">{#N/A,#N/A,FALSE,"Plan1";#N/A,#N/A,FALSE,"Plan2"}</definedName>
    <definedName name="DFT" localSheetId="2" hidden="1">{#N/A,#N/A,FALSE,"Plan1";#N/A,#N/A,FALSE,"Plan2"}</definedName>
    <definedName name="DFT" localSheetId="16" hidden="1">{#N/A,#N/A,FALSE,"Plan1";#N/A,#N/A,FALSE,"Plan2"}</definedName>
    <definedName name="DFT" localSheetId="0" hidden="1">{#N/A,#N/A,FALSE,"Plan1";#N/A,#N/A,FALSE,"Plan2"}</definedName>
    <definedName name="DFT" localSheetId="26" hidden="1">{#N/A,#N/A,FALSE,"Plan1";#N/A,#N/A,FALSE,"Plan2"}</definedName>
    <definedName name="DFT" localSheetId="11" hidden="1">{#N/A,#N/A,FALSE,"Plan1";#N/A,#N/A,FALSE,"Plan2"}</definedName>
    <definedName name="DFT" hidden="1">{#N/A,#N/A,FALSE,"Plan1";#N/A,#N/A,FALSE,"Plan2"}</definedName>
    <definedName name="DFTRTTY" localSheetId="24" hidden="1">{#N/A,#N/A,FALSE,"Plan1";#N/A,#N/A,FALSE,"Plan2"}</definedName>
    <definedName name="DFTRTTY" localSheetId="7" hidden="1">{#N/A,#N/A,FALSE,"Plan1";#N/A,#N/A,FALSE,"Plan2"}</definedName>
    <definedName name="DFTRTTY" localSheetId="9" hidden="1">{#N/A,#N/A,FALSE,"Plan1";#N/A,#N/A,FALSE,"Plan2"}</definedName>
    <definedName name="DFTRTTY" localSheetId="3" hidden="1">{#N/A,#N/A,FALSE,"Plan1";#N/A,#N/A,FALSE,"Plan2"}</definedName>
    <definedName name="DFTRTTY" localSheetId="2" hidden="1">{#N/A,#N/A,FALSE,"Plan1";#N/A,#N/A,FALSE,"Plan2"}</definedName>
    <definedName name="DFTRTTY" localSheetId="16" hidden="1">{#N/A,#N/A,FALSE,"Plan1";#N/A,#N/A,FALSE,"Plan2"}</definedName>
    <definedName name="DFTRTTY" localSheetId="0" hidden="1">{#N/A,#N/A,FALSE,"Plan1";#N/A,#N/A,FALSE,"Plan2"}</definedName>
    <definedName name="DFTRTTY" localSheetId="26" hidden="1">{#N/A,#N/A,FALSE,"Plan1";#N/A,#N/A,FALSE,"Plan2"}</definedName>
    <definedName name="DFTRTTY" localSheetId="11" hidden="1">{#N/A,#N/A,FALSE,"Plan1";#N/A,#N/A,FALSE,"Plan2"}</definedName>
    <definedName name="DFTRTTY" hidden="1">{#N/A,#N/A,FALSE,"Plan1";#N/A,#N/A,FALSE,"Plan2"}</definedName>
    <definedName name="dfurghifdjyhits" localSheetId="24" hidden="1">{#N/A,#N/A,FALSE,"Plan1";#N/A,#N/A,FALSE,"Plan2"}</definedName>
    <definedName name="dfurghifdjyhits" localSheetId="7" hidden="1">{#N/A,#N/A,FALSE,"Plan1";#N/A,#N/A,FALSE,"Plan2"}</definedName>
    <definedName name="dfurghifdjyhits" localSheetId="9" hidden="1">{#N/A,#N/A,FALSE,"Plan1";#N/A,#N/A,FALSE,"Plan2"}</definedName>
    <definedName name="dfurghifdjyhits" localSheetId="3" hidden="1">{#N/A,#N/A,FALSE,"Plan1";#N/A,#N/A,FALSE,"Plan2"}</definedName>
    <definedName name="dfurghifdjyhits" localSheetId="2" hidden="1">{#N/A,#N/A,FALSE,"Plan1";#N/A,#N/A,FALSE,"Plan2"}</definedName>
    <definedName name="dfurghifdjyhits" localSheetId="16" hidden="1">{#N/A,#N/A,FALSE,"Plan1";#N/A,#N/A,FALSE,"Plan2"}</definedName>
    <definedName name="dfurghifdjyhits" localSheetId="0" hidden="1">{#N/A,#N/A,FALSE,"Plan1";#N/A,#N/A,FALSE,"Plan2"}</definedName>
    <definedName name="dfurghifdjyhits" localSheetId="26" hidden="1">{#N/A,#N/A,FALSE,"Plan1";#N/A,#N/A,FALSE,"Plan2"}</definedName>
    <definedName name="dfurghifdjyhits" localSheetId="11" hidden="1">{#N/A,#N/A,FALSE,"Plan1";#N/A,#N/A,FALSE,"Plan2"}</definedName>
    <definedName name="dfurghifdjyhits" hidden="1">{#N/A,#N/A,FALSE,"Plan1";#N/A,#N/A,FALSE,"Plan2"}</definedName>
    <definedName name="dfxgdrged" localSheetId="24" hidden="1">{#N/A,#N/A,FALSE,"Plan1";#N/A,#N/A,FALSE,"Plan2"}</definedName>
    <definedName name="dfxgdrged" localSheetId="7" hidden="1">{#N/A,#N/A,FALSE,"Plan1";#N/A,#N/A,FALSE,"Plan2"}</definedName>
    <definedName name="dfxgdrged" localSheetId="9" hidden="1">{#N/A,#N/A,FALSE,"Plan1";#N/A,#N/A,FALSE,"Plan2"}</definedName>
    <definedName name="dfxgdrged" localSheetId="3" hidden="1">{#N/A,#N/A,FALSE,"Plan1";#N/A,#N/A,FALSE,"Plan2"}</definedName>
    <definedName name="dfxgdrged" localSheetId="2" hidden="1">{#N/A,#N/A,FALSE,"Plan1";#N/A,#N/A,FALSE,"Plan2"}</definedName>
    <definedName name="dfxgdrged" localSheetId="16" hidden="1">{#N/A,#N/A,FALSE,"Plan1";#N/A,#N/A,FALSE,"Plan2"}</definedName>
    <definedName name="dfxgdrged" localSheetId="0" hidden="1">{#N/A,#N/A,FALSE,"Plan1";#N/A,#N/A,FALSE,"Plan2"}</definedName>
    <definedName name="dfxgdrged" localSheetId="26" hidden="1">{#N/A,#N/A,FALSE,"Plan1";#N/A,#N/A,FALSE,"Plan2"}</definedName>
    <definedName name="dfxgdrged" localSheetId="11" hidden="1">{#N/A,#N/A,FALSE,"Plan1";#N/A,#N/A,FALSE,"Plan2"}</definedName>
    <definedName name="dfxgdrged" hidden="1">{#N/A,#N/A,FALSE,"Plan1";#N/A,#N/A,FALSE,"Plan2"}</definedName>
    <definedName name="dgfrtyt" localSheetId="24" hidden="1">{#N/A,#N/A,FALSE,"Plan1";#N/A,#N/A,FALSE,"Plan2"}</definedName>
    <definedName name="dgfrtyt" localSheetId="7" hidden="1">{#N/A,#N/A,FALSE,"Plan1";#N/A,#N/A,FALSE,"Plan2"}</definedName>
    <definedName name="dgfrtyt" localSheetId="9" hidden="1">{#N/A,#N/A,FALSE,"Plan1";#N/A,#N/A,FALSE,"Plan2"}</definedName>
    <definedName name="dgfrtyt" localSheetId="3" hidden="1">{#N/A,#N/A,FALSE,"Plan1";#N/A,#N/A,FALSE,"Plan2"}</definedName>
    <definedName name="dgfrtyt" localSheetId="2" hidden="1">{#N/A,#N/A,FALSE,"Plan1";#N/A,#N/A,FALSE,"Plan2"}</definedName>
    <definedName name="dgfrtyt" localSheetId="16" hidden="1">{#N/A,#N/A,FALSE,"Plan1";#N/A,#N/A,FALSE,"Plan2"}</definedName>
    <definedName name="dgfrtyt" localSheetId="0" hidden="1">{#N/A,#N/A,FALSE,"Plan1";#N/A,#N/A,FALSE,"Plan2"}</definedName>
    <definedName name="dgfrtyt" localSheetId="26" hidden="1">{#N/A,#N/A,FALSE,"Plan1";#N/A,#N/A,FALSE,"Plan2"}</definedName>
    <definedName name="dgfrtyt" localSheetId="11" hidden="1">{#N/A,#N/A,FALSE,"Plan1";#N/A,#N/A,FALSE,"Plan2"}</definedName>
    <definedName name="dgfrtyt" hidden="1">{#N/A,#N/A,FALSE,"Plan1";#N/A,#N/A,FALSE,"Plan2"}</definedName>
    <definedName name="dggfdg" localSheetId="24" hidden="1">{#N/A,#N/A,FALSE,"Plan1";#N/A,#N/A,FALSE,"Plan2"}</definedName>
    <definedName name="dggfdg" localSheetId="7" hidden="1">{#N/A,#N/A,FALSE,"Plan1";#N/A,#N/A,FALSE,"Plan2"}</definedName>
    <definedName name="dggfdg" localSheetId="9" hidden="1">{#N/A,#N/A,FALSE,"Plan1";#N/A,#N/A,FALSE,"Plan2"}</definedName>
    <definedName name="dggfdg" localSheetId="3" hidden="1">{#N/A,#N/A,FALSE,"Plan1";#N/A,#N/A,FALSE,"Plan2"}</definedName>
    <definedName name="dggfdg" localSheetId="2" hidden="1">{#N/A,#N/A,FALSE,"Plan1";#N/A,#N/A,FALSE,"Plan2"}</definedName>
    <definedName name="dggfdg" localSheetId="16" hidden="1">{#N/A,#N/A,FALSE,"Plan1";#N/A,#N/A,FALSE,"Plan2"}</definedName>
    <definedName name="dggfdg" localSheetId="0" hidden="1">{#N/A,#N/A,FALSE,"Plan1";#N/A,#N/A,FALSE,"Plan2"}</definedName>
    <definedName name="dggfdg" localSheetId="26" hidden="1">{#N/A,#N/A,FALSE,"Plan1";#N/A,#N/A,FALSE,"Plan2"}</definedName>
    <definedName name="dggfdg" localSheetId="11" hidden="1">{#N/A,#N/A,FALSE,"Plan1";#N/A,#N/A,FALSE,"Plan2"}</definedName>
    <definedName name="dggfdg" hidden="1">{#N/A,#N/A,FALSE,"Plan1";#N/A,#N/A,FALSE,"Plan2"}</definedName>
    <definedName name="dgldfhgkljslh" localSheetId="24" hidden="1">{#N/A,#N/A,FALSE,"Plan1";#N/A,#N/A,FALSE,"Plan2"}</definedName>
    <definedName name="dgldfhgkljslh" localSheetId="7" hidden="1">{#N/A,#N/A,FALSE,"Plan1";#N/A,#N/A,FALSE,"Plan2"}</definedName>
    <definedName name="dgldfhgkljslh" localSheetId="9" hidden="1">{#N/A,#N/A,FALSE,"Plan1";#N/A,#N/A,FALSE,"Plan2"}</definedName>
    <definedName name="dgldfhgkljslh" localSheetId="3" hidden="1">{#N/A,#N/A,FALSE,"Plan1";#N/A,#N/A,FALSE,"Plan2"}</definedName>
    <definedName name="dgldfhgkljslh" localSheetId="2" hidden="1">{#N/A,#N/A,FALSE,"Plan1";#N/A,#N/A,FALSE,"Plan2"}</definedName>
    <definedName name="dgldfhgkljslh" localSheetId="16" hidden="1">{#N/A,#N/A,FALSE,"Plan1";#N/A,#N/A,FALSE,"Plan2"}</definedName>
    <definedName name="dgldfhgkljslh" localSheetId="0" hidden="1">{#N/A,#N/A,FALSE,"Plan1";#N/A,#N/A,FALSE,"Plan2"}</definedName>
    <definedName name="dgldfhgkljslh" localSheetId="26" hidden="1">{#N/A,#N/A,FALSE,"Plan1";#N/A,#N/A,FALSE,"Plan2"}</definedName>
    <definedName name="dgldfhgkljslh" localSheetId="11" hidden="1">{#N/A,#N/A,FALSE,"Plan1";#N/A,#N/A,FALSE,"Plan2"}</definedName>
    <definedName name="dgldfhgkljslh" hidden="1">{#N/A,#N/A,FALSE,"Plan1";#N/A,#N/A,FALSE,"Plan2"}</definedName>
    <definedName name="dhfgdhrehrwe" localSheetId="24" hidden="1">{#N/A,#N/A,FALSE,"Plan1";#N/A,#N/A,FALSE,"Plan2"}</definedName>
    <definedName name="dhfgdhrehrwe" localSheetId="7" hidden="1">{#N/A,#N/A,FALSE,"Plan1";#N/A,#N/A,FALSE,"Plan2"}</definedName>
    <definedName name="dhfgdhrehrwe" localSheetId="9" hidden="1">{#N/A,#N/A,FALSE,"Plan1";#N/A,#N/A,FALSE,"Plan2"}</definedName>
    <definedName name="dhfgdhrehrwe" localSheetId="3" hidden="1">{#N/A,#N/A,FALSE,"Plan1";#N/A,#N/A,FALSE,"Plan2"}</definedName>
    <definedName name="dhfgdhrehrwe" localSheetId="2" hidden="1">{#N/A,#N/A,FALSE,"Plan1";#N/A,#N/A,FALSE,"Plan2"}</definedName>
    <definedName name="dhfgdhrehrwe" localSheetId="16" hidden="1">{#N/A,#N/A,FALSE,"Plan1";#N/A,#N/A,FALSE,"Plan2"}</definedName>
    <definedName name="dhfgdhrehrwe" localSheetId="0" hidden="1">{#N/A,#N/A,FALSE,"Plan1";#N/A,#N/A,FALSE,"Plan2"}</definedName>
    <definedName name="dhfgdhrehrwe" localSheetId="26" hidden="1">{#N/A,#N/A,FALSE,"Plan1";#N/A,#N/A,FALSE,"Plan2"}</definedName>
    <definedName name="dhfgdhrehrwe" localSheetId="11" hidden="1">{#N/A,#N/A,FALSE,"Plan1";#N/A,#N/A,FALSE,"Plan2"}</definedName>
    <definedName name="dhfgdhrehrwe" hidden="1">{#N/A,#N/A,FALSE,"Plan1";#N/A,#N/A,FALSE,"Plan2"}</definedName>
    <definedName name="dhgfdgrfgdfgd" localSheetId="24" hidden="1">{#N/A,#N/A,FALSE,"Plan1";#N/A,#N/A,FALSE,"Plan2"}</definedName>
    <definedName name="dhgfdgrfgdfgd" localSheetId="7" hidden="1">{#N/A,#N/A,FALSE,"Plan1";#N/A,#N/A,FALSE,"Plan2"}</definedName>
    <definedName name="dhgfdgrfgdfgd" localSheetId="9" hidden="1">{#N/A,#N/A,FALSE,"Plan1";#N/A,#N/A,FALSE,"Plan2"}</definedName>
    <definedName name="dhgfdgrfgdfgd" localSheetId="3" hidden="1">{#N/A,#N/A,FALSE,"Plan1";#N/A,#N/A,FALSE,"Plan2"}</definedName>
    <definedName name="dhgfdgrfgdfgd" localSheetId="2" hidden="1">{#N/A,#N/A,FALSE,"Plan1";#N/A,#N/A,FALSE,"Plan2"}</definedName>
    <definedName name="dhgfdgrfgdfgd" localSheetId="16" hidden="1">{#N/A,#N/A,FALSE,"Plan1";#N/A,#N/A,FALSE,"Plan2"}</definedName>
    <definedName name="dhgfdgrfgdfgd" localSheetId="0" hidden="1">{#N/A,#N/A,FALSE,"Plan1";#N/A,#N/A,FALSE,"Plan2"}</definedName>
    <definedName name="dhgfdgrfgdfgd" localSheetId="26" hidden="1">{#N/A,#N/A,FALSE,"Plan1";#N/A,#N/A,FALSE,"Plan2"}</definedName>
    <definedName name="dhgfdgrfgdfgd" localSheetId="11" hidden="1">{#N/A,#N/A,FALSE,"Plan1";#N/A,#N/A,FALSE,"Plan2"}</definedName>
    <definedName name="dhgfdgrfgdfgd" hidden="1">{#N/A,#N/A,FALSE,"Plan1";#N/A,#N/A,FALSE,"Plan2"}</definedName>
    <definedName name="dhkjfhdhfjdh" localSheetId="24" hidden="1">{#N/A,#N/A,FALSE,"Plan1";#N/A,#N/A,FALSE,"Plan2"}</definedName>
    <definedName name="dhkjfhdhfjdh" localSheetId="7" hidden="1">{#N/A,#N/A,FALSE,"Plan1";#N/A,#N/A,FALSE,"Plan2"}</definedName>
    <definedName name="dhkjfhdhfjdh" localSheetId="9" hidden="1">{#N/A,#N/A,FALSE,"Plan1";#N/A,#N/A,FALSE,"Plan2"}</definedName>
    <definedName name="dhkjfhdhfjdh" localSheetId="3" hidden="1">{#N/A,#N/A,FALSE,"Plan1";#N/A,#N/A,FALSE,"Plan2"}</definedName>
    <definedName name="dhkjfhdhfjdh" localSheetId="2" hidden="1">{#N/A,#N/A,FALSE,"Plan1";#N/A,#N/A,FALSE,"Plan2"}</definedName>
    <definedName name="dhkjfhdhfjdh" localSheetId="16" hidden="1">{#N/A,#N/A,FALSE,"Plan1";#N/A,#N/A,FALSE,"Plan2"}</definedName>
    <definedName name="dhkjfhdhfjdh" localSheetId="0" hidden="1">{#N/A,#N/A,FALSE,"Plan1";#N/A,#N/A,FALSE,"Plan2"}</definedName>
    <definedName name="dhkjfhdhfjdh" localSheetId="26" hidden="1">{#N/A,#N/A,FALSE,"Plan1";#N/A,#N/A,FALSE,"Plan2"}</definedName>
    <definedName name="dhkjfhdhfjdh" localSheetId="11" hidden="1">{#N/A,#N/A,FALSE,"Plan1";#N/A,#N/A,FALSE,"Plan2"}</definedName>
    <definedName name="dhkjfhdhfjdh" hidden="1">{#N/A,#N/A,FALSE,"Plan1";#N/A,#N/A,FALSE,"Plan2"}</definedName>
    <definedName name="DHTJRT" localSheetId="24" hidden="1">{#N/A,#N/A,FALSE,"Plan1";#N/A,#N/A,FALSE,"Plan2"}</definedName>
    <definedName name="DHTJRT" localSheetId="7" hidden="1">{#N/A,#N/A,FALSE,"Plan1";#N/A,#N/A,FALSE,"Plan2"}</definedName>
    <definedName name="DHTJRT" localSheetId="9" hidden="1">{#N/A,#N/A,FALSE,"Plan1";#N/A,#N/A,FALSE,"Plan2"}</definedName>
    <definedName name="DHTJRT" localSheetId="3" hidden="1">{#N/A,#N/A,FALSE,"Plan1";#N/A,#N/A,FALSE,"Plan2"}</definedName>
    <definedName name="DHTJRT" localSheetId="2" hidden="1">{#N/A,#N/A,FALSE,"Plan1";#N/A,#N/A,FALSE,"Plan2"}</definedName>
    <definedName name="DHTJRT" localSheetId="16" hidden="1">{#N/A,#N/A,FALSE,"Plan1";#N/A,#N/A,FALSE,"Plan2"}</definedName>
    <definedName name="DHTJRT" localSheetId="0" hidden="1">{#N/A,#N/A,FALSE,"Plan1";#N/A,#N/A,FALSE,"Plan2"}</definedName>
    <definedName name="DHTJRT" localSheetId="26" hidden="1">{#N/A,#N/A,FALSE,"Plan1";#N/A,#N/A,FALSE,"Plan2"}</definedName>
    <definedName name="DHTJRT" localSheetId="11" hidden="1">{#N/A,#N/A,FALSE,"Plan1";#N/A,#N/A,FALSE,"Plan2"}</definedName>
    <definedName name="DHTJRT" hidden="1">{#N/A,#N/A,FALSE,"Plan1";#N/A,#N/A,FALSE,"Plan2"}</definedName>
    <definedName name="DI" localSheetId="24">#REF!</definedName>
    <definedName name="DI" localSheetId="7">#REF!</definedName>
    <definedName name="DI" localSheetId="3">#REF!</definedName>
    <definedName name="DI" localSheetId="26">#REF!</definedName>
    <definedName name="DI">#REF!</definedName>
    <definedName name="dia3estac" localSheetId="7">#REF!</definedName>
    <definedName name="dia3estac" localSheetId="3">#REF!</definedName>
    <definedName name="dia3estac">#REF!</definedName>
    <definedName name="diaestaca" localSheetId="7">#REF!</definedName>
    <definedName name="diaestaca" localSheetId="3">#REF!</definedName>
    <definedName name="diaestaca">#REF!</definedName>
    <definedName name="diambase" localSheetId="7">#REF!</definedName>
    <definedName name="diambase" localSheetId="3">#REF!</definedName>
    <definedName name="diambase">#REF!</definedName>
    <definedName name="DIFQT" localSheetId="7">#REF!</definedName>
    <definedName name="DIFQT" localSheetId="3">#REF!</definedName>
    <definedName name="DIFQT">#REF!</definedName>
    <definedName name="dijghdhks" localSheetId="24" hidden="1">{#N/A,#N/A,FALSE,"Plan1";#N/A,#N/A,FALSE,"Plan2"}</definedName>
    <definedName name="dijghdhks" localSheetId="7" hidden="1">{#N/A,#N/A,FALSE,"Plan1";#N/A,#N/A,FALSE,"Plan2"}</definedName>
    <definedName name="dijghdhks" localSheetId="9" hidden="1">{#N/A,#N/A,FALSE,"Plan1";#N/A,#N/A,FALSE,"Plan2"}</definedName>
    <definedName name="dijghdhks" localSheetId="3" hidden="1">{#N/A,#N/A,FALSE,"Plan1";#N/A,#N/A,FALSE,"Plan2"}</definedName>
    <definedName name="dijghdhks" localSheetId="2" hidden="1">{#N/A,#N/A,FALSE,"Plan1";#N/A,#N/A,FALSE,"Plan2"}</definedName>
    <definedName name="dijghdhks" localSheetId="16" hidden="1">{#N/A,#N/A,FALSE,"Plan1";#N/A,#N/A,FALSE,"Plan2"}</definedName>
    <definedName name="dijghdhks" localSheetId="0" hidden="1">{#N/A,#N/A,FALSE,"Plan1";#N/A,#N/A,FALSE,"Plan2"}</definedName>
    <definedName name="dijghdhks" localSheetId="26" hidden="1">{#N/A,#N/A,FALSE,"Plan1";#N/A,#N/A,FALSE,"Plan2"}</definedName>
    <definedName name="dijghdhks" localSheetId="11" hidden="1">{#N/A,#N/A,FALSE,"Plan1";#N/A,#N/A,FALSE,"Plan2"}</definedName>
    <definedName name="dijghdhks" hidden="1">{#N/A,#N/A,FALSE,"Plan1";#N/A,#N/A,FALSE,"Plan2"}</definedName>
    <definedName name="DIMENSÕES" localSheetId="24">#REF!</definedName>
    <definedName name="DIMENSÕES" localSheetId="7">#REF!</definedName>
    <definedName name="DIMENSÕES" localSheetId="3">#REF!</definedName>
    <definedName name="DIMENSÕES" localSheetId="26">#REF!</definedName>
    <definedName name="DIMENSÕES">#REF!</definedName>
    <definedName name="DIR_OPER" localSheetId="7">#REF!</definedName>
    <definedName name="DIR_OPER" localSheetId="3">#REF!</definedName>
    <definedName name="DIR_OPER">#REF!</definedName>
    <definedName name="DIR_TECNICO" localSheetId="7">#REF!</definedName>
    <definedName name="DIR_TECNICO" localSheetId="3">#REF!</definedName>
    <definedName name="DIR_TECNICO">#REF!</definedName>
    <definedName name="direto" localSheetId="24">#REF!</definedName>
    <definedName name="direto" localSheetId="7">#REF!</definedName>
    <definedName name="direto" localSheetId="5">#REF!</definedName>
    <definedName name="direto" localSheetId="3">#REF!</definedName>
    <definedName name="direto" localSheetId="0">#REF!</definedName>
    <definedName name="direto">#REF!</definedName>
    <definedName name="DIRETORIA" localSheetId="7">#REF!</definedName>
    <definedName name="DIRETORIA" localSheetId="3">#REF!</definedName>
    <definedName name="DIRETORIA">#REF!</definedName>
    <definedName name="diretorias" localSheetId="7">#REF!</definedName>
    <definedName name="diretorias" localSheetId="3">#REF!</definedName>
    <definedName name="diretorias">#REF!</definedName>
    <definedName name="Discrim" localSheetId="7">#REF!</definedName>
    <definedName name="Discrim" localSheetId="3">#REF!</definedName>
    <definedName name="Discrim">#REF!</definedName>
    <definedName name="DISCRIMINAÇÃO" localSheetId="7">#REF!</definedName>
    <definedName name="DISCRIMINAÇÃO" localSheetId="3">#REF!</definedName>
    <definedName name="DISCRIMINAÇÃO">#REF!</definedName>
    <definedName name="Discriminação_Controladoria" localSheetId="7">#REF!</definedName>
    <definedName name="Discriminação_Controladoria" localSheetId="3">#REF!</definedName>
    <definedName name="Discriminação_Controladoria">#REF!</definedName>
    <definedName name="DistCidade" localSheetId="7">#REF!</definedName>
    <definedName name="DistCidade" localSheetId="3">#REF!</definedName>
    <definedName name="DistCidade">#REF!</definedName>
    <definedName name="distratos" localSheetId="7">#REF!</definedName>
    <definedName name="distratos" localSheetId="3">#REF!</definedName>
    <definedName name="distratos">#REF!</definedName>
    <definedName name="div" localSheetId="7">#REF!</definedName>
    <definedName name="div" localSheetId="3">#REF!</definedName>
    <definedName name="div">#REF!</definedName>
    <definedName name="djasdrjas" localSheetId="24" hidden="1">{#N/A,#N/A,FALSE,"Plan1";#N/A,#N/A,FALSE,"Plan2"}</definedName>
    <definedName name="djasdrjas" localSheetId="7" hidden="1">{#N/A,#N/A,FALSE,"Plan1";#N/A,#N/A,FALSE,"Plan2"}</definedName>
    <definedName name="djasdrjas" localSheetId="9" hidden="1">{#N/A,#N/A,FALSE,"Plan1";#N/A,#N/A,FALSE,"Plan2"}</definedName>
    <definedName name="djasdrjas" localSheetId="3" hidden="1">{#N/A,#N/A,FALSE,"Plan1";#N/A,#N/A,FALSE,"Plan2"}</definedName>
    <definedName name="djasdrjas" localSheetId="2" hidden="1">{#N/A,#N/A,FALSE,"Plan1";#N/A,#N/A,FALSE,"Plan2"}</definedName>
    <definedName name="djasdrjas" localSheetId="16" hidden="1">{#N/A,#N/A,FALSE,"Plan1";#N/A,#N/A,FALSE,"Plan2"}</definedName>
    <definedName name="djasdrjas" localSheetId="0" hidden="1">{#N/A,#N/A,FALSE,"Plan1";#N/A,#N/A,FALSE,"Plan2"}</definedName>
    <definedName name="djasdrjas" localSheetId="26" hidden="1">{#N/A,#N/A,FALSE,"Plan1";#N/A,#N/A,FALSE,"Plan2"}</definedName>
    <definedName name="djasdrjas" localSheetId="11" hidden="1">{#N/A,#N/A,FALSE,"Plan1";#N/A,#N/A,FALSE,"Plan2"}</definedName>
    <definedName name="djasdrjas" hidden="1">{#N/A,#N/A,FALSE,"Plan1";#N/A,#N/A,FALSE,"Plan2"}</definedName>
    <definedName name="djf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localSheetId="24" hidden="1">{#N/A,#N/A,FALSE,"Plan1";#N/A,#N/A,FALSE,"Plan2"}</definedName>
    <definedName name="djfkhjhfgrgdfh" localSheetId="7" hidden="1">{#N/A,#N/A,FALSE,"Plan1";#N/A,#N/A,FALSE,"Plan2"}</definedName>
    <definedName name="djfkhjhfgrgdfh" localSheetId="9" hidden="1">{#N/A,#N/A,FALSE,"Plan1";#N/A,#N/A,FALSE,"Plan2"}</definedName>
    <definedName name="djfkhjhfgrgdfh" localSheetId="3" hidden="1">{#N/A,#N/A,FALSE,"Plan1";#N/A,#N/A,FALSE,"Plan2"}</definedName>
    <definedName name="djfkhjhfgrgdfh" localSheetId="2" hidden="1">{#N/A,#N/A,FALSE,"Plan1";#N/A,#N/A,FALSE,"Plan2"}</definedName>
    <definedName name="djfkhjhfgrgdfh" localSheetId="16" hidden="1">{#N/A,#N/A,FALSE,"Plan1";#N/A,#N/A,FALSE,"Plan2"}</definedName>
    <definedName name="djfkhjhfgrgdfh" localSheetId="0" hidden="1">{#N/A,#N/A,FALSE,"Plan1";#N/A,#N/A,FALSE,"Plan2"}</definedName>
    <definedName name="djfkhjhfgrgdfh" localSheetId="26" hidden="1">{#N/A,#N/A,FALSE,"Plan1";#N/A,#N/A,FALSE,"Plan2"}</definedName>
    <definedName name="djfkhjhfgrgdfh" localSheetId="11" hidden="1">{#N/A,#N/A,FALSE,"Plan1";#N/A,#N/A,FALSE,"Plan2"}</definedName>
    <definedName name="djfkhjhfgrgdfh" hidden="1">{#N/A,#N/A,FALSE,"Plan1";#N/A,#N/A,FALSE,"Plan2"}</definedName>
    <definedName name="djfkhsdkjhf" localSheetId="24" hidden="1">{#N/A,#N/A,FALSE,"Plan1";#N/A,#N/A,FALSE,"Plan2"}</definedName>
    <definedName name="djfkhsdkjhf" localSheetId="7" hidden="1">{#N/A,#N/A,FALSE,"Plan1";#N/A,#N/A,FALSE,"Plan2"}</definedName>
    <definedName name="djfkhsdkjhf" localSheetId="9" hidden="1">{#N/A,#N/A,FALSE,"Plan1";#N/A,#N/A,FALSE,"Plan2"}</definedName>
    <definedName name="djfkhsdkjhf" localSheetId="3" hidden="1">{#N/A,#N/A,FALSE,"Plan1";#N/A,#N/A,FALSE,"Plan2"}</definedName>
    <definedName name="djfkhsdkjhf" localSheetId="2" hidden="1">{#N/A,#N/A,FALSE,"Plan1";#N/A,#N/A,FALSE,"Plan2"}</definedName>
    <definedName name="djfkhsdkjhf" localSheetId="16" hidden="1">{#N/A,#N/A,FALSE,"Plan1";#N/A,#N/A,FALSE,"Plan2"}</definedName>
    <definedName name="djfkhsdkjhf" localSheetId="0" hidden="1">{#N/A,#N/A,FALSE,"Plan1";#N/A,#N/A,FALSE,"Plan2"}</definedName>
    <definedName name="djfkhsdkjhf" localSheetId="26" hidden="1">{#N/A,#N/A,FALSE,"Plan1";#N/A,#N/A,FALSE,"Plan2"}</definedName>
    <definedName name="djfkhsdkjhf" localSheetId="11" hidden="1">{#N/A,#N/A,FALSE,"Plan1";#N/A,#N/A,FALSE,"Plan2"}</definedName>
    <definedName name="djfkhsdkjhf" hidden="1">{#N/A,#N/A,FALSE,"Plan1";#N/A,#N/A,FALSE,"Plan2"}</definedName>
    <definedName name="djfldjsgljslkjtg" localSheetId="24" hidden="1">{#N/A,#N/A,FALSE,"Plan1";#N/A,#N/A,FALSE,"Plan2"}</definedName>
    <definedName name="djfldjsgljslkjtg" localSheetId="7" hidden="1">{#N/A,#N/A,FALSE,"Plan1";#N/A,#N/A,FALSE,"Plan2"}</definedName>
    <definedName name="djfldjsgljslkjtg" localSheetId="9" hidden="1">{#N/A,#N/A,FALSE,"Plan1";#N/A,#N/A,FALSE,"Plan2"}</definedName>
    <definedName name="djfldjsgljslkjtg" localSheetId="3" hidden="1">{#N/A,#N/A,FALSE,"Plan1";#N/A,#N/A,FALSE,"Plan2"}</definedName>
    <definedName name="djfldjsgljslkjtg" localSheetId="2" hidden="1">{#N/A,#N/A,FALSE,"Plan1";#N/A,#N/A,FALSE,"Plan2"}</definedName>
    <definedName name="djfldjsgljslkjtg" localSheetId="16" hidden="1">{#N/A,#N/A,FALSE,"Plan1";#N/A,#N/A,FALSE,"Plan2"}</definedName>
    <definedName name="djfldjsgljslkjtg" localSheetId="0" hidden="1">{#N/A,#N/A,FALSE,"Plan1";#N/A,#N/A,FALSE,"Plan2"}</definedName>
    <definedName name="djfldjsgljslkjtg" localSheetId="26" hidden="1">{#N/A,#N/A,FALSE,"Plan1";#N/A,#N/A,FALSE,"Plan2"}</definedName>
    <definedName name="djfldjsgljslkjtg" localSheetId="11" hidden="1">{#N/A,#N/A,FALSE,"Plan1";#N/A,#N/A,FALSE,"Plan2"}</definedName>
    <definedName name="djfldjsgljslkjtg" hidden="1">{#N/A,#N/A,FALSE,"Plan1";#N/A,#N/A,FALSE,"Plan2"}</definedName>
    <definedName name="djflkdjgdth" localSheetId="24" hidden="1">{#N/A,#N/A,FALSE,"Plan1";#N/A,#N/A,FALSE,"Plan2"}</definedName>
    <definedName name="djflkdjgdth" localSheetId="7" hidden="1">{#N/A,#N/A,FALSE,"Plan1";#N/A,#N/A,FALSE,"Plan2"}</definedName>
    <definedName name="djflkdjgdth" localSheetId="9" hidden="1">{#N/A,#N/A,FALSE,"Plan1";#N/A,#N/A,FALSE,"Plan2"}</definedName>
    <definedName name="djflkdjgdth" localSheetId="3" hidden="1">{#N/A,#N/A,FALSE,"Plan1";#N/A,#N/A,FALSE,"Plan2"}</definedName>
    <definedName name="djflkdjgdth" localSheetId="2" hidden="1">{#N/A,#N/A,FALSE,"Plan1";#N/A,#N/A,FALSE,"Plan2"}</definedName>
    <definedName name="djflkdjgdth" localSheetId="16" hidden="1">{#N/A,#N/A,FALSE,"Plan1";#N/A,#N/A,FALSE,"Plan2"}</definedName>
    <definedName name="djflkdjgdth" localSheetId="0" hidden="1">{#N/A,#N/A,FALSE,"Plan1";#N/A,#N/A,FALSE,"Plan2"}</definedName>
    <definedName name="djflkdjgdth" localSheetId="26" hidden="1">{#N/A,#N/A,FALSE,"Plan1";#N/A,#N/A,FALSE,"Plan2"}</definedName>
    <definedName name="djflkdjgdth" localSheetId="11" hidden="1">{#N/A,#N/A,FALSE,"Plan1";#N/A,#N/A,FALSE,"Plan2"}</definedName>
    <definedName name="djflkdjgdth" hidden="1">{#N/A,#N/A,FALSE,"Plan1";#N/A,#N/A,FALSE,"Plan2"}</definedName>
    <definedName name="DJFLKDJGKTJYJT" localSheetId="24" hidden="1">{#N/A,#N/A,FALSE,"Plan1";#N/A,#N/A,FALSE,"Plan2"}</definedName>
    <definedName name="DJFLKDJGKTJYJT" localSheetId="7" hidden="1">{#N/A,#N/A,FALSE,"Plan1";#N/A,#N/A,FALSE,"Plan2"}</definedName>
    <definedName name="DJFLKDJGKTJYJT" localSheetId="9" hidden="1">{#N/A,#N/A,FALSE,"Plan1";#N/A,#N/A,FALSE,"Plan2"}</definedName>
    <definedName name="DJFLKDJGKTJYJT" localSheetId="3" hidden="1">{#N/A,#N/A,FALSE,"Plan1";#N/A,#N/A,FALSE,"Plan2"}</definedName>
    <definedName name="DJFLKDJGKTJYJT" localSheetId="2" hidden="1">{#N/A,#N/A,FALSE,"Plan1";#N/A,#N/A,FALSE,"Plan2"}</definedName>
    <definedName name="DJFLKDJGKTJYJT" localSheetId="16" hidden="1">{#N/A,#N/A,FALSE,"Plan1";#N/A,#N/A,FALSE,"Plan2"}</definedName>
    <definedName name="DJFLKDJGKTJYJT" localSheetId="0" hidden="1">{#N/A,#N/A,FALSE,"Plan1";#N/A,#N/A,FALSE,"Plan2"}</definedName>
    <definedName name="DJFLKDJGKTJYJT" localSheetId="26" hidden="1">{#N/A,#N/A,FALSE,"Plan1";#N/A,#N/A,FALSE,"Plan2"}</definedName>
    <definedName name="DJFLKDJGKTJYJT" localSheetId="11" hidden="1">{#N/A,#N/A,FALSE,"Plan1";#N/A,#N/A,FALSE,"Plan2"}</definedName>
    <definedName name="DJFLKDJGKTJYJT" hidden="1">{#N/A,#N/A,FALSE,"Plan1";#N/A,#N/A,FALSE,"Plan2"}</definedName>
    <definedName name="djgkfjgtiyty" localSheetId="24" hidden="1">{#N/A,#N/A,FALSE,"Plan1";#N/A,#N/A,FALSE,"Plan2"}</definedName>
    <definedName name="djgkfjgtiyty" localSheetId="7" hidden="1">{#N/A,#N/A,FALSE,"Plan1";#N/A,#N/A,FALSE,"Plan2"}</definedName>
    <definedName name="djgkfjgtiyty" localSheetId="9" hidden="1">{#N/A,#N/A,FALSE,"Plan1";#N/A,#N/A,FALSE,"Plan2"}</definedName>
    <definedName name="djgkfjgtiyty" localSheetId="3" hidden="1">{#N/A,#N/A,FALSE,"Plan1";#N/A,#N/A,FALSE,"Plan2"}</definedName>
    <definedName name="djgkfjgtiyty" localSheetId="2" hidden="1">{#N/A,#N/A,FALSE,"Plan1";#N/A,#N/A,FALSE,"Plan2"}</definedName>
    <definedName name="djgkfjgtiyty" localSheetId="16" hidden="1">{#N/A,#N/A,FALSE,"Plan1";#N/A,#N/A,FALSE,"Plan2"}</definedName>
    <definedName name="djgkfjgtiyty" localSheetId="0" hidden="1">{#N/A,#N/A,FALSE,"Plan1";#N/A,#N/A,FALSE,"Plan2"}</definedName>
    <definedName name="djgkfjgtiyty" localSheetId="26" hidden="1">{#N/A,#N/A,FALSE,"Plan1";#N/A,#N/A,FALSE,"Plan2"}</definedName>
    <definedName name="djgkfjgtiyty" localSheetId="11" hidden="1">{#N/A,#N/A,FALSE,"Plan1";#N/A,#N/A,FALSE,"Plan2"}</definedName>
    <definedName name="djgkfjgtiyty" hidden="1">{#N/A,#N/A,FALSE,"Plan1";#N/A,#N/A,FALSE,"Plan2"}</definedName>
    <definedName name="djrkehrjfhng" localSheetId="24" hidden="1">{#N/A,#N/A,FALSE,"Plan1";#N/A,#N/A,FALSE,"Plan2"}</definedName>
    <definedName name="djrkehrjfhng" localSheetId="7" hidden="1">{#N/A,#N/A,FALSE,"Plan1";#N/A,#N/A,FALSE,"Plan2"}</definedName>
    <definedName name="djrkehrjfhng" localSheetId="9" hidden="1">{#N/A,#N/A,FALSE,"Plan1";#N/A,#N/A,FALSE,"Plan2"}</definedName>
    <definedName name="djrkehrjfhng" localSheetId="3" hidden="1">{#N/A,#N/A,FALSE,"Plan1";#N/A,#N/A,FALSE,"Plan2"}</definedName>
    <definedName name="djrkehrjfhng" localSheetId="2" hidden="1">{#N/A,#N/A,FALSE,"Plan1";#N/A,#N/A,FALSE,"Plan2"}</definedName>
    <definedName name="djrkehrjfhng" localSheetId="16" hidden="1">{#N/A,#N/A,FALSE,"Plan1";#N/A,#N/A,FALSE,"Plan2"}</definedName>
    <definedName name="djrkehrjfhng" localSheetId="0" hidden="1">{#N/A,#N/A,FALSE,"Plan1";#N/A,#N/A,FALSE,"Plan2"}</definedName>
    <definedName name="djrkehrjfhng" localSheetId="26" hidden="1">{#N/A,#N/A,FALSE,"Plan1";#N/A,#N/A,FALSE,"Plan2"}</definedName>
    <definedName name="djrkehrjfhng" localSheetId="11" hidden="1">{#N/A,#N/A,FALSE,"Plan1";#N/A,#N/A,FALSE,"Plan2"}</definedName>
    <definedName name="djrkehrjfhng" hidden="1">{#N/A,#N/A,FALSE,"Plan1";#N/A,#N/A,FALSE,"Plan2"}</definedName>
    <definedName name="djswfr" localSheetId="7" hidden="1">#REF!</definedName>
    <definedName name="djswfr" localSheetId="3" hidden="1">#REF!</definedName>
    <definedName name="djswfr" localSheetId="0" hidden="1">#REF!</definedName>
    <definedName name="djswfr" hidden="1">#REF!</definedName>
    <definedName name="djtkjldfr" localSheetId="24" hidden="1">{#N/A,#N/A,FALSE,"Plan1";#N/A,#N/A,FALSE,"Plan2"}</definedName>
    <definedName name="djtkjldfr" localSheetId="7" hidden="1">{#N/A,#N/A,FALSE,"Plan1";#N/A,#N/A,FALSE,"Plan2"}</definedName>
    <definedName name="djtkjldfr" localSheetId="9" hidden="1">{#N/A,#N/A,FALSE,"Plan1";#N/A,#N/A,FALSE,"Plan2"}</definedName>
    <definedName name="djtkjldfr" localSheetId="3" hidden="1">{#N/A,#N/A,FALSE,"Plan1";#N/A,#N/A,FALSE,"Plan2"}</definedName>
    <definedName name="djtkjldfr" localSheetId="2" hidden="1">{#N/A,#N/A,FALSE,"Plan1";#N/A,#N/A,FALSE,"Plan2"}</definedName>
    <definedName name="djtkjldfr" localSheetId="16" hidden="1">{#N/A,#N/A,FALSE,"Plan1";#N/A,#N/A,FALSE,"Plan2"}</definedName>
    <definedName name="djtkjldfr" localSheetId="0" hidden="1">{#N/A,#N/A,FALSE,"Plan1";#N/A,#N/A,FALSE,"Plan2"}</definedName>
    <definedName name="djtkjldfr" localSheetId="26" hidden="1">{#N/A,#N/A,FALSE,"Plan1";#N/A,#N/A,FALSE,"Plan2"}</definedName>
    <definedName name="djtkjldfr" localSheetId="11" hidden="1">{#N/A,#N/A,FALSE,"Plan1";#N/A,#N/A,FALSE,"Plan2"}</definedName>
    <definedName name="djtkjldfr" hidden="1">{#N/A,#N/A,FALSE,"Plan1";#N/A,#N/A,FALSE,"Plan2"}</definedName>
    <definedName name="DJXDLFGDFG" localSheetId="24" hidden="1">{#N/A,#N/A,FALSE,"Plan1";#N/A,#N/A,FALSE,"Plan2"}</definedName>
    <definedName name="DJXDLFGDFG" localSheetId="7" hidden="1">{#N/A,#N/A,FALSE,"Plan1";#N/A,#N/A,FALSE,"Plan2"}</definedName>
    <definedName name="DJXDLFGDFG" localSheetId="9" hidden="1">{#N/A,#N/A,FALSE,"Plan1";#N/A,#N/A,FALSE,"Plan2"}</definedName>
    <definedName name="DJXDLFGDFG" localSheetId="3" hidden="1">{#N/A,#N/A,FALSE,"Plan1";#N/A,#N/A,FALSE,"Plan2"}</definedName>
    <definedName name="DJXDLFGDFG" localSheetId="2" hidden="1">{#N/A,#N/A,FALSE,"Plan1";#N/A,#N/A,FALSE,"Plan2"}</definedName>
    <definedName name="DJXDLFGDFG" localSheetId="16" hidden="1">{#N/A,#N/A,FALSE,"Plan1";#N/A,#N/A,FALSE,"Plan2"}</definedName>
    <definedName name="DJXDLFGDFG" localSheetId="0" hidden="1">{#N/A,#N/A,FALSE,"Plan1";#N/A,#N/A,FALSE,"Plan2"}</definedName>
    <definedName name="DJXDLFGDFG" localSheetId="26" hidden="1">{#N/A,#N/A,FALSE,"Plan1";#N/A,#N/A,FALSE,"Plan2"}</definedName>
    <definedName name="DJXDLFGDFG" localSheetId="11" hidden="1">{#N/A,#N/A,FALSE,"Plan1";#N/A,#N/A,FALSE,"Plan2"}</definedName>
    <definedName name="DJXDLFGDFG" hidden="1">{#N/A,#N/A,FALSE,"Plan1";#N/A,#N/A,FALSE,"Plan2"}</definedName>
    <definedName name="dkdkdkdkd" localSheetId="24" hidden="1">{#N/A,#N/A,FALSE,"명세표"}</definedName>
    <definedName name="dkdkdkdkd" localSheetId="7" hidden="1">{#N/A,#N/A,FALSE,"명세표"}</definedName>
    <definedName name="dkdkdkdkd" localSheetId="9" hidden="1">{#N/A,#N/A,FALSE,"명세표"}</definedName>
    <definedName name="dkdkdkdkd" localSheetId="3" hidden="1">{#N/A,#N/A,FALSE,"명세표"}</definedName>
    <definedName name="dkdkdkdkd" localSheetId="2" hidden="1">{#N/A,#N/A,FALSE,"명세표"}</definedName>
    <definedName name="dkdkdkdkd" localSheetId="16" hidden="1">{#N/A,#N/A,FALSE,"명세표"}</definedName>
    <definedName name="dkdkdkdkd" localSheetId="0" hidden="1">{#N/A,#N/A,FALSE,"명세표"}</definedName>
    <definedName name="dkdkdkdkd" localSheetId="26" hidden="1">{#N/A,#N/A,FALSE,"명세표"}</definedName>
    <definedName name="dkdkdkdkd" localSheetId="11" hidden="1">{#N/A,#N/A,FALSE,"명세표"}</definedName>
    <definedName name="dkdkdkdkd" hidden="1">{#N/A,#N/A,FALSE,"명세표"}</definedName>
    <definedName name="dkfhskgf" localSheetId="24" hidden="1">{#N/A,#N/A,FALSE,"Plan1";#N/A,#N/A,FALSE,"Plan2"}</definedName>
    <definedName name="dkfhskgf" localSheetId="7" hidden="1">{#N/A,#N/A,FALSE,"Plan1";#N/A,#N/A,FALSE,"Plan2"}</definedName>
    <definedName name="dkfhskgf" localSheetId="9" hidden="1">{#N/A,#N/A,FALSE,"Plan1";#N/A,#N/A,FALSE,"Plan2"}</definedName>
    <definedName name="dkfhskgf" localSheetId="3" hidden="1">{#N/A,#N/A,FALSE,"Plan1";#N/A,#N/A,FALSE,"Plan2"}</definedName>
    <definedName name="dkfhskgf" localSheetId="2" hidden="1">{#N/A,#N/A,FALSE,"Plan1";#N/A,#N/A,FALSE,"Plan2"}</definedName>
    <definedName name="dkfhskgf" localSheetId="16" hidden="1">{#N/A,#N/A,FALSE,"Plan1";#N/A,#N/A,FALSE,"Plan2"}</definedName>
    <definedName name="dkfhskgf" localSheetId="0" hidden="1">{#N/A,#N/A,FALSE,"Plan1";#N/A,#N/A,FALSE,"Plan2"}</definedName>
    <definedName name="dkfhskgf" localSheetId="26" hidden="1">{#N/A,#N/A,FALSE,"Plan1";#N/A,#N/A,FALSE,"Plan2"}</definedName>
    <definedName name="dkfhskgf" localSheetId="11" hidden="1">{#N/A,#N/A,FALSE,"Plan1";#N/A,#N/A,FALSE,"Plan2"}</definedName>
    <definedName name="dkfhskgf" hidden="1">{#N/A,#N/A,FALSE,"Plan1";#N/A,#N/A,FALSE,"Plan2"}</definedName>
    <definedName name="dkjfk" localSheetId="24" hidden="1">{#N/A,#N/A,FALSE,"Plan1";#N/A,#N/A,FALSE,"Plan2"}</definedName>
    <definedName name="dkjfk" localSheetId="7" hidden="1">{#N/A,#N/A,FALSE,"Plan1";#N/A,#N/A,FALSE,"Plan2"}</definedName>
    <definedName name="dkjfk" localSheetId="9" hidden="1">{#N/A,#N/A,FALSE,"Plan1";#N/A,#N/A,FALSE,"Plan2"}</definedName>
    <definedName name="dkjfk" localSheetId="3" hidden="1">{#N/A,#N/A,FALSE,"Plan1";#N/A,#N/A,FALSE,"Plan2"}</definedName>
    <definedName name="dkjfk" localSheetId="2" hidden="1">{#N/A,#N/A,FALSE,"Plan1";#N/A,#N/A,FALSE,"Plan2"}</definedName>
    <definedName name="dkjfk" localSheetId="16" hidden="1">{#N/A,#N/A,FALSE,"Plan1";#N/A,#N/A,FALSE,"Plan2"}</definedName>
    <definedName name="dkjfk" localSheetId="0" hidden="1">{#N/A,#N/A,FALSE,"Plan1";#N/A,#N/A,FALSE,"Plan2"}</definedName>
    <definedName name="dkjfk" localSheetId="26" hidden="1">{#N/A,#N/A,FALSE,"Plan1";#N/A,#N/A,FALSE,"Plan2"}</definedName>
    <definedName name="dkjfk" localSheetId="11" hidden="1">{#N/A,#N/A,FALSE,"Plan1";#N/A,#N/A,FALSE,"Plan2"}</definedName>
    <definedName name="dkjfk" hidden="1">{#N/A,#N/A,FALSE,"Plan1";#N/A,#N/A,FALSE,"Plan2"}</definedName>
    <definedName name="DKLD" localSheetId="24" hidden="1">{#N/A,#N/A,FALSE,"Plan1";#N/A,#N/A,FALSE,"Plan2"}</definedName>
    <definedName name="DKLD" localSheetId="7" hidden="1">{#N/A,#N/A,FALSE,"Plan1";#N/A,#N/A,FALSE,"Plan2"}</definedName>
    <definedName name="DKLD" localSheetId="9" hidden="1">{#N/A,#N/A,FALSE,"Plan1";#N/A,#N/A,FALSE,"Plan2"}</definedName>
    <definedName name="DKLD" localSheetId="3" hidden="1">{#N/A,#N/A,FALSE,"Plan1";#N/A,#N/A,FALSE,"Plan2"}</definedName>
    <definedName name="DKLD" localSheetId="2" hidden="1">{#N/A,#N/A,FALSE,"Plan1";#N/A,#N/A,FALSE,"Plan2"}</definedName>
    <definedName name="DKLD" localSheetId="16" hidden="1">{#N/A,#N/A,FALSE,"Plan1";#N/A,#N/A,FALSE,"Plan2"}</definedName>
    <definedName name="DKLD" localSheetId="0" hidden="1">{#N/A,#N/A,FALSE,"Plan1";#N/A,#N/A,FALSE,"Plan2"}</definedName>
    <definedName name="DKLD" localSheetId="26" hidden="1">{#N/A,#N/A,FALSE,"Plan1";#N/A,#N/A,FALSE,"Plan2"}</definedName>
    <definedName name="DKLD" localSheetId="11" hidden="1">{#N/A,#N/A,FALSE,"Plan1";#N/A,#N/A,FALSE,"Plan2"}</definedName>
    <definedName name="DKLD" hidden="1">{#N/A,#N/A,FALSE,"Plan1";#N/A,#N/A,FALSE,"Plan2"}</definedName>
    <definedName name="DKLFJDKFD" localSheetId="24" hidden="1">{#N/A,#N/A,FALSE,"Plan1";#N/A,#N/A,FALSE,"Plan2"}</definedName>
    <definedName name="DKLFJDKFD" localSheetId="7" hidden="1">{#N/A,#N/A,FALSE,"Plan1";#N/A,#N/A,FALSE,"Plan2"}</definedName>
    <definedName name="DKLFJDKFD" localSheetId="9" hidden="1">{#N/A,#N/A,FALSE,"Plan1";#N/A,#N/A,FALSE,"Plan2"}</definedName>
    <definedName name="DKLFJDKFD" localSheetId="3" hidden="1">{#N/A,#N/A,FALSE,"Plan1";#N/A,#N/A,FALSE,"Plan2"}</definedName>
    <definedName name="DKLFJDKFD" localSheetId="2" hidden="1">{#N/A,#N/A,FALSE,"Plan1";#N/A,#N/A,FALSE,"Plan2"}</definedName>
    <definedName name="DKLFJDKFD" localSheetId="16" hidden="1">{#N/A,#N/A,FALSE,"Plan1";#N/A,#N/A,FALSE,"Plan2"}</definedName>
    <definedName name="DKLFJDKFD" localSheetId="0" hidden="1">{#N/A,#N/A,FALSE,"Plan1";#N/A,#N/A,FALSE,"Plan2"}</definedName>
    <definedName name="DKLFJDKFD" localSheetId="26" hidden="1">{#N/A,#N/A,FALSE,"Plan1";#N/A,#N/A,FALSE,"Plan2"}</definedName>
    <definedName name="DKLFJDKFD" localSheetId="11" hidden="1">{#N/A,#N/A,FALSE,"Plan1";#N/A,#N/A,FALSE,"Plan2"}</definedName>
    <definedName name="DKLFJDKFD" hidden="1">{#N/A,#N/A,FALSE,"Plan1";#N/A,#N/A,FALSE,"Plan2"}</definedName>
    <definedName name="dklfjgirtgid" localSheetId="24" hidden="1">{#N/A,#N/A,FALSE,"Plan1";#N/A,#N/A,FALSE,"Plan2"}</definedName>
    <definedName name="dklfjgirtgid" localSheetId="7" hidden="1">{#N/A,#N/A,FALSE,"Plan1";#N/A,#N/A,FALSE,"Plan2"}</definedName>
    <definedName name="dklfjgirtgid" localSheetId="9" hidden="1">{#N/A,#N/A,FALSE,"Plan1";#N/A,#N/A,FALSE,"Plan2"}</definedName>
    <definedName name="dklfjgirtgid" localSheetId="3" hidden="1">{#N/A,#N/A,FALSE,"Plan1";#N/A,#N/A,FALSE,"Plan2"}</definedName>
    <definedName name="dklfjgirtgid" localSheetId="2" hidden="1">{#N/A,#N/A,FALSE,"Plan1";#N/A,#N/A,FALSE,"Plan2"}</definedName>
    <definedName name="dklfjgirtgid" localSheetId="16" hidden="1">{#N/A,#N/A,FALSE,"Plan1";#N/A,#N/A,FALSE,"Plan2"}</definedName>
    <definedName name="dklfjgirtgid" localSheetId="0" hidden="1">{#N/A,#N/A,FALSE,"Plan1";#N/A,#N/A,FALSE,"Plan2"}</definedName>
    <definedName name="dklfjgirtgid" localSheetId="26" hidden="1">{#N/A,#N/A,FALSE,"Plan1";#N/A,#N/A,FALSE,"Plan2"}</definedName>
    <definedName name="dklfjgirtgid" localSheetId="11" hidden="1">{#N/A,#N/A,FALSE,"Plan1";#N/A,#N/A,FALSE,"Plan2"}</definedName>
    <definedName name="dklfjgirtgid" hidden="1">{#N/A,#N/A,FALSE,"Plan1";#N/A,#N/A,FALSE,"Plan2"}</definedName>
    <definedName name="dklfm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localSheetId="24" hidden="1">{#N/A,#N/A,FALSE,"Plan1";#N/A,#N/A,FALSE,"Plan2"}</definedName>
    <definedName name="dmbfmndbmtrhed" localSheetId="7" hidden="1">{#N/A,#N/A,FALSE,"Plan1";#N/A,#N/A,FALSE,"Plan2"}</definedName>
    <definedName name="dmbfmndbmtrhed" localSheetId="9" hidden="1">{#N/A,#N/A,FALSE,"Plan1";#N/A,#N/A,FALSE,"Plan2"}</definedName>
    <definedName name="dmbfmndbmtrhed" localSheetId="3" hidden="1">{#N/A,#N/A,FALSE,"Plan1";#N/A,#N/A,FALSE,"Plan2"}</definedName>
    <definedName name="dmbfmndbmtrhed" localSheetId="2" hidden="1">{#N/A,#N/A,FALSE,"Plan1";#N/A,#N/A,FALSE,"Plan2"}</definedName>
    <definedName name="dmbfmndbmtrhed" localSheetId="16" hidden="1">{#N/A,#N/A,FALSE,"Plan1";#N/A,#N/A,FALSE,"Plan2"}</definedName>
    <definedName name="dmbfmndbmtrhed" localSheetId="0" hidden="1">{#N/A,#N/A,FALSE,"Plan1";#N/A,#N/A,FALSE,"Plan2"}</definedName>
    <definedName name="dmbfmndbmtrhed" localSheetId="26" hidden="1">{#N/A,#N/A,FALSE,"Plan1";#N/A,#N/A,FALSE,"Plan2"}</definedName>
    <definedName name="dmbfmndbmtrhed" localSheetId="11" hidden="1">{#N/A,#N/A,FALSE,"Plan1";#N/A,#N/A,FALSE,"Plan2"}</definedName>
    <definedName name="dmbfmndbmtrhed" hidden="1">{#N/A,#N/A,FALSE,"Plan1";#N/A,#N/A,FALSE,"Plan2"}</definedName>
    <definedName name="DNFJKDHTKRE" localSheetId="24" hidden="1">{#N/A,#N/A,FALSE,"Plan1";#N/A,#N/A,FALSE,"Plan2"}</definedName>
    <definedName name="DNFJKDHTKRE" localSheetId="7" hidden="1">{#N/A,#N/A,FALSE,"Plan1";#N/A,#N/A,FALSE,"Plan2"}</definedName>
    <definedName name="DNFJKDHTKRE" localSheetId="9" hidden="1">{#N/A,#N/A,FALSE,"Plan1";#N/A,#N/A,FALSE,"Plan2"}</definedName>
    <definedName name="DNFJKDHTKRE" localSheetId="3" hidden="1">{#N/A,#N/A,FALSE,"Plan1";#N/A,#N/A,FALSE,"Plan2"}</definedName>
    <definedName name="DNFJKDHTKRE" localSheetId="2" hidden="1">{#N/A,#N/A,FALSE,"Plan1";#N/A,#N/A,FALSE,"Plan2"}</definedName>
    <definedName name="DNFJKDHTKRE" localSheetId="16" hidden="1">{#N/A,#N/A,FALSE,"Plan1";#N/A,#N/A,FALSE,"Plan2"}</definedName>
    <definedName name="DNFJKDHTKRE" localSheetId="0" hidden="1">{#N/A,#N/A,FALSE,"Plan1";#N/A,#N/A,FALSE,"Plan2"}</definedName>
    <definedName name="DNFJKDHTKRE" localSheetId="26" hidden="1">{#N/A,#N/A,FALSE,"Plan1";#N/A,#N/A,FALSE,"Plan2"}</definedName>
    <definedName name="DNFJKDHTKRE" localSheetId="11" hidden="1">{#N/A,#N/A,FALSE,"Plan1";#N/A,#N/A,FALSE,"Plan2"}</definedName>
    <definedName name="DNFJKDHTKRE" hidden="1">{#N/A,#N/A,FALSE,"Plan1";#N/A,#N/A,FALSE,"Plan2"}</definedName>
    <definedName name="dng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 localSheetId="24">#REF!</definedName>
    <definedName name="DOCUMENT" localSheetId="7">#REF!</definedName>
    <definedName name="DOCUMENT" localSheetId="3">#REF!</definedName>
    <definedName name="DOCUMENT" localSheetId="26">#REF!</definedName>
    <definedName name="DOCUMENT">#REF!</definedName>
    <definedName name="DOIS" localSheetId="7">#REF!</definedName>
    <definedName name="DOIS" localSheetId="3">#REF!</definedName>
    <definedName name="DOIS">#REF!</definedName>
    <definedName name="dolar" localSheetId="7">#REF!</definedName>
    <definedName name="dolar" localSheetId="3">#REF!</definedName>
    <definedName name="dolar">#REF!</definedName>
    <definedName name="dolar_dez" localSheetId="7">#REF!</definedName>
    <definedName name="dolar_dez" localSheetId="3">#REF!</definedName>
    <definedName name="dolar_dez">#REF!</definedName>
    <definedName name="dolar_nov" localSheetId="7">#REF!</definedName>
    <definedName name="dolar_nov" localSheetId="3">#REF!</definedName>
    <definedName name="dolar_nov">#REF!</definedName>
    <definedName name="dolar_out" localSheetId="7">#REF!</definedName>
    <definedName name="dolar_out" localSheetId="3">#REF!</definedName>
    <definedName name="dolar_out">#REF!</definedName>
    <definedName name="dolar2" localSheetId="7">#REF!</definedName>
    <definedName name="dolar2" localSheetId="3">#REF!</definedName>
    <definedName name="dolar2">#REF!</definedName>
    <definedName name="dolarabr" localSheetId="7">#REF!</definedName>
    <definedName name="dolarabr" localSheetId="3">#REF!</definedName>
    <definedName name="dolarabr">#REF!</definedName>
    <definedName name="dolarabr02" localSheetId="7">#REF!</definedName>
    <definedName name="dolarabr02" localSheetId="3">#REF!</definedName>
    <definedName name="dolarabr02">#REF!</definedName>
    <definedName name="DolarAgo" localSheetId="7">#REF!</definedName>
    <definedName name="DolarAgo" localSheetId="3">#REF!</definedName>
    <definedName name="DolarAgo">#REF!</definedName>
    <definedName name="dolarago02" localSheetId="7">#REF!</definedName>
    <definedName name="dolarago02" localSheetId="3">#REF!</definedName>
    <definedName name="dolarago02">#REF!</definedName>
    <definedName name="dolardez" localSheetId="7">#REF!</definedName>
    <definedName name="dolardez" localSheetId="3">#REF!</definedName>
    <definedName name="dolardez">#REF!</definedName>
    <definedName name="dolarfev" localSheetId="7">#REF!</definedName>
    <definedName name="dolarfev" localSheetId="3">#REF!</definedName>
    <definedName name="dolarfev">#REF!</definedName>
    <definedName name="dolarfev02" localSheetId="7">#REF!</definedName>
    <definedName name="dolarfev02" localSheetId="3">#REF!</definedName>
    <definedName name="dolarfev02">#REF!</definedName>
    <definedName name="dolarfimdez" localSheetId="7">#REF!</definedName>
    <definedName name="dolarfimdez" localSheetId="3">#REF!</definedName>
    <definedName name="dolarfimdez">#REF!</definedName>
    <definedName name="dolarFimJun" localSheetId="7">#REF!</definedName>
    <definedName name="dolarFimJun" localSheetId="3">#REF!</definedName>
    <definedName name="dolarFimJun">#REF!</definedName>
    <definedName name="dolarfindez" localSheetId="7">#REF!</definedName>
    <definedName name="dolarfindez" localSheetId="3">#REF!</definedName>
    <definedName name="dolarfindez">#REF!</definedName>
    <definedName name="dolarfinmar" localSheetId="7">#REF!</definedName>
    <definedName name="dolarfinmar" localSheetId="3">#REF!</definedName>
    <definedName name="dolarfinmar">#REF!</definedName>
    <definedName name="DolarFinSet" localSheetId="7">#REF!</definedName>
    <definedName name="DolarFinSet" localSheetId="3">#REF!</definedName>
    <definedName name="DolarFinSet">#REF!</definedName>
    <definedName name="dolarjan" localSheetId="7">#REF!</definedName>
    <definedName name="dolarjan" localSheetId="3">#REF!</definedName>
    <definedName name="dolarjan">#REF!</definedName>
    <definedName name="dolarjan02" localSheetId="7">#REF!</definedName>
    <definedName name="dolarjan02" localSheetId="3">#REF!</definedName>
    <definedName name="dolarjan02">#REF!</definedName>
    <definedName name="DolarJul" localSheetId="7">#REF!</definedName>
    <definedName name="DolarJul" localSheetId="3">#REF!</definedName>
    <definedName name="DolarJul">#REF!</definedName>
    <definedName name="dolarjul02" localSheetId="7">#REF!</definedName>
    <definedName name="dolarjul02" localSheetId="3">#REF!</definedName>
    <definedName name="dolarjul02">#REF!</definedName>
    <definedName name="dolarjun" localSheetId="7">#REF!</definedName>
    <definedName name="dolarjun" localSheetId="3">#REF!</definedName>
    <definedName name="dolarjun">#REF!</definedName>
    <definedName name="dolarjun02" localSheetId="7">#REF!</definedName>
    <definedName name="dolarjun02" localSheetId="3">#REF!</definedName>
    <definedName name="dolarjun02">#REF!</definedName>
    <definedName name="dolarmai" localSheetId="7">#REF!</definedName>
    <definedName name="dolarmai" localSheetId="3">#REF!</definedName>
    <definedName name="dolarmai">#REF!</definedName>
    <definedName name="dolarmai02" localSheetId="7">#REF!</definedName>
    <definedName name="dolarmai02" localSheetId="3">#REF!</definedName>
    <definedName name="dolarmai02">#REF!</definedName>
    <definedName name="dolarmar" localSheetId="7">#REF!</definedName>
    <definedName name="dolarmar" localSheetId="3">#REF!</definedName>
    <definedName name="dolarmar">#REF!</definedName>
    <definedName name="dolarmar02" localSheetId="7">#REF!</definedName>
    <definedName name="dolarmar02" localSheetId="3">#REF!</definedName>
    <definedName name="dolarmar02">#REF!</definedName>
    <definedName name="dolarnov" localSheetId="7">#REF!</definedName>
    <definedName name="dolarnov" localSheetId="3">#REF!</definedName>
    <definedName name="dolarnov">#REF!</definedName>
    <definedName name="dolarout" localSheetId="7">#REF!</definedName>
    <definedName name="dolarout" localSheetId="3">#REF!</definedName>
    <definedName name="dolarout">#REF!</definedName>
    <definedName name="DolarSet" localSheetId="7">#REF!</definedName>
    <definedName name="DolarSet" localSheetId="3">#REF!</definedName>
    <definedName name="DolarSet">#REF!</definedName>
    <definedName name="dolarset02" localSheetId="7">#REF!</definedName>
    <definedName name="dolarset02" localSheetId="3">#REF!</definedName>
    <definedName name="dolarset02">#REF!</definedName>
    <definedName name="DOZE" localSheetId="7">#REF!</definedName>
    <definedName name="DOZE" localSheetId="3">#REF!</definedName>
    <definedName name="DOZE">#REF!</definedName>
    <definedName name="DRE" localSheetId="24">#REF!</definedName>
    <definedName name="DRE" localSheetId="7">#REF!</definedName>
    <definedName name="DRE" localSheetId="5">#REF!</definedName>
    <definedName name="DRE" localSheetId="3">#REF!</definedName>
    <definedName name="DRE" localSheetId="0">#REF!</definedName>
    <definedName name="DRE">#REF!</definedName>
    <definedName name="drewr" localSheetId="24" hidden="1">{#N/A,#N/A,FALSE,"Plan1";#N/A,#N/A,FALSE,"Plan2"}</definedName>
    <definedName name="drewr" localSheetId="7" hidden="1">{#N/A,#N/A,FALSE,"Plan1";#N/A,#N/A,FALSE,"Plan2"}</definedName>
    <definedName name="drewr" localSheetId="9" hidden="1">{#N/A,#N/A,FALSE,"Plan1";#N/A,#N/A,FALSE,"Plan2"}</definedName>
    <definedName name="drewr" localSheetId="3" hidden="1">{#N/A,#N/A,FALSE,"Plan1";#N/A,#N/A,FALSE,"Plan2"}</definedName>
    <definedName name="drewr" localSheetId="2" hidden="1">{#N/A,#N/A,FALSE,"Plan1";#N/A,#N/A,FALSE,"Plan2"}</definedName>
    <definedName name="drewr" localSheetId="16" hidden="1">{#N/A,#N/A,FALSE,"Plan1";#N/A,#N/A,FALSE,"Plan2"}</definedName>
    <definedName name="drewr" localSheetId="0" hidden="1">{#N/A,#N/A,FALSE,"Plan1";#N/A,#N/A,FALSE,"Plan2"}</definedName>
    <definedName name="drewr" localSheetId="26" hidden="1">{#N/A,#N/A,FALSE,"Plan1";#N/A,#N/A,FALSE,"Plan2"}</definedName>
    <definedName name="drewr" localSheetId="11" hidden="1">{#N/A,#N/A,FALSE,"Plan1";#N/A,#N/A,FALSE,"Plan2"}</definedName>
    <definedName name="drewr" hidden="1">{#N/A,#N/A,FALSE,"Plan1";#N/A,#N/A,FALSE,"Plan2"}</definedName>
    <definedName name="DRRJR" localSheetId="24" hidden="1">{#N/A,#N/A,FALSE,"Plan1";#N/A,#N/A,FALSE,"Plan2"}</definedName>
    <definedName name="DRRJR" localSheetId="7" hidden="1">{#N/A,#N/A,FALSE,"Plan1";#N/A,#N/A,FALSE,"Plan2"}</definedName>
    <definedName name="DRRJR" localSheetId="9" hidden="1">{#N/A,#N/A,FALSE,"Plan1";#N/A,#N/A,FALSE,"Plan2"}</definedName>
    <definedName name="DRRJR" localSheetId="3" hidden="1">{#N/A,#N/A,FALSE,"Plan1";#N/A,#N/A,FALSE,"Plan2"}</definedName>
    <definedName name="DRRJR" localSheetId="2" hidden="1">{#N/A,#N/A,FALSE,"Plan1";#N/A,#N/A,FALSE,"Plan2"}</definedName>
    <definedName name="DRRJR" localSheetId="16" hidden="1">{#N/A,#N/A,FALSE,"Plan1";#N/A,#N/A,FALSE,"Plan2"}</definedName>
    <definedName name="DRRJR" localSheetId="0" hidden="1">{#N/A,#N/A,FALSE,"Plan1";#N/A,#N/A,FALSE,"Plan2"}</definedName>
    <definedName name="DRRJR" localSheetId="26" hidden="1">{#N/A,#N/A,FALSE,"Plan1";#N/A,#N/A,FALSE,"Plan2"}</definedName>
    <definedName name="DRRJR" localSheetId="11" hidden="1">{#N/A,#N/A,FALSE,"Plan1";#N/A,#N/A,FALSE,"Plan2"}</definedName>
    <definedName name="DRRJR" hidden="1">{#N/A,#N/A,FALSE,"Plan1";#N/A,#N/A,FALSE,"Plan2"}</definedName>
    <definedName name="drtr" localSheetId="24" hidden="1">#REF!</definedName>
    <definedName name="drtr" localSheetId="7" hidden="1">#REF!</definedName>
    <definedName name="drtr" localSheetId="0" hidden="1">#REF!</definedName>
    <definedName name="drtr" localSheetId="26" hidden="1">#REF!</definedName>
    <definedName name="drtr" hidden="1">#REF!</definedName>
    <definedName name="drtrt" localSheetId="24" hidden="1">{"'Estimativa de Lançamento-JAN'!$A$1:$AI$85"}</definedName>
    <definedName name="drtrt" localSheetId="7" hidden="1">{"'Estimativa de Lançamento-JAN'!$A$1:$AI$85"}</definedName>
    <definedName name="drtrt" localSheetId="9" hidden="1">{"'Estimativa de Lançamento-JAN'!$A$1:$AI$85"}</definedName>
    <definedName name="drtrt" localSheetId="3" hidden="1">{"'Estimativa de Lançamento-JAN'!$A$1:$AI$85"}</definedName>
    <definedName name="drtrt" localSheetId="2" hidden="1">{"'Estimativa de Lançamento-JAN'!$A$1:$AI$85"}</definedName>
    <definedName name="drtrt" localSheetId="16" hidden="1">{"'Estimativa de Lançamento-JAN'!$A$1:$AI$85"}</definedName>
    <definedName name="drtrt" localSheetId="0" hidden="1">{"'Estimativa de Lançamento-JAN'!$A$1:$AI$85"}</definedName>
    <definedName name="drtrt" localSheetId="26" hidden="1">{"'Estimativa de Lançamento-JAN'!$A$1:$AI$85"}</definedName>
    <definedName name="drtrt" localSheetId="11" hidden="1">{"'Estimativa de Lançamento-JAN'!$A$1:$AI$85"}</definedName>
    <definedName name="drtrt" hidden="1">{"'Estimativa de Lançamento-JAN'!$A$1:$AI$85"}</definedName>
    <definedName name="dsdrf" localSheetId="24" hidden="1">{#N/A,#N/A,FALSE,"Plan1";#N/A,#N/A,FALSE,"Plan2"}</definedName>
    <definedName name="dsdrf" localSheetId="7" hidden="1">{#N/A,#N/A,FALSE,"Plan1";#N/A,#N/A,FALSE,"Plan2"}</definedName>
    <definedName name="dsdrf" localSheetId="9" hidden="1">{#N/A,#N/A,FALSE,"Plan1";#N/A,#N/A,FALSE,"Plan2"}</definedName>
    <definedName name="dsdrf" localSheetId="3" hidden="1">{#N/A,#N/A,FALSE,"Plan1";#N/A,#N/A,FALSE,"Plan2"}</definedName>
    <definedName name="dsdrf" localSheetId="2" hidden="1">{#N/A,#N/A,FALSE,"Plan1";#N/A,#N/A,FALSE,"Plan2"}</definedName>
    <definedName name="dsdrf" localSheetId="16" hidden="1">{#N/A,#N/A,FALSE,"Plan1";#N/A,#N/A,FALSE,"Plan2"}</definedName>
    <definedName name="dsdrf" localSheetId="0" hidden="1">{#N/A,#N/A,FALSE,"Plan1";#N/A,#N/A,FALSE,"Plan2"}</definedName>
    <definedName name="dsdrf" localSheetId="26" hidden="1">{#N/A,#N/A,FALSE,"Plan1";#N/A,#N/A,FALSE,"Plan2"}</definedName>
    <definedName name="dsdrf" localSheetId="11" hidden="1">{#N/A,#N/A,FALSE,"Plan1";#N/A,#N/A,FALSE,"Plan2"}</definedName>
    <definedName name="dsdrf" hidden="1">{#N/A,#N/A,FALSE,"Plan1";#N/A,#N/A,FALSE,"Plan2"}</definedName>
    <definedName name="dsfdf" localSheetId="24" hidden="1">{#N/A,#N/A,FALSE,"Plan1";#N/A,#N/A,FALSE,"Plan2"}</definedName>
    <definedName name="dsfdf" localSheetId="7" hidden="1">{#N/A,#N/A,FALSE,"Plan1";#N/A,#N/A,FALSE,"Plan2"}</definedName>
    <definedName name="dsfdf" localSheetId="9" hidden="1">{#N/A,#N/A,FALSE,"Plan1";#N/A,#N/A,FALSE,"Plan2"}</definedName>
    <definedName name="dsfdf" localSheetId="3" hidden="1">{#N/A,#N/A,FALSE,"Plan1";#N/A,#N/A,FALSE,"Plan2"}</definedName>
    <definedName name="dsfdf" localSheetId="2" hidden="1">{#N/A,#N/A,FALSE,"Plan1";#N/A,#N/A,FALSE,"Plan2"}</definedName>
    <definedName name="dsfdf" localSheetId="16" hidden="1">{#N/A,#N/A,FALSE,"Plan1";#N/A,#N/A,FALSE,"Plan2"}</definedName>
    <definedName name="dsfdf" localSheetId="0" hidden="1">{#N/A,#N/A,FALSE,"Plan1";#N/A,#N/A,FALSE,"Plan2"}</definedName>
    <definedName name="dsfdf" localSheetId="26" hidden="1">{#N/A,#N/A,FALSE,"Plan1";#N/A,#N/A,FALSE,"Plan2"}</definedName>
    <definedName name="dsfdf" localSheetId="11" hidden="1">{#N/A,#N/A,FALSE,"Plan1";#N/A,#N/A,FALSE,"Plan2"}</definedName>
    <definedName name="dsfdf" hidden="1">{#N/A,#N/A,FALSE,"Plan1";#N/A,#N/A,FALSE,"Plan2"}</definedName>
    <definedName name="dsfg" localSheetId="24" hidden="1">{#N/A,#N/A,FALSE,"Plan1";#N/A,#N/A,FALSE,"Plan2"}</definedName>
    <definedName name="dsfg" localSheetId="7" hidden="1">{#N/A,#N/A,FALSE,"Plan1";#N/A,#N/A,FALSE,"Plan2"}</definedName>
    <definedName name="dsfg" localSheetId="9" hidden="1">{#N/A,#N/A,FALSE,"Plan1";#N/A,#N/A,FALSE,"Plan2"}</definedName>
    <definedName name="dsfg" localSheetId="3" hidden="1">{#N/A,#N/A,FALSE,"Plan1";#N/A,#N/A,FALSE,"Plan2"}</definedName>
    <definedName name="dsfg" localSheetId="2" hidden="1">{#N/A,#N/A,FALSE,"Plan1";#N/A,#N/A,FALSE,"Plan2"}</definedName>
    <definedName name="dsfg" localSheetId="16" hidden="1">{#N/A,#N/A,FALSE,"Plan1";#N/A,#N/A,FALSE,"Plan2"}</definedName>
    <definedName name="dsfg" localSheetId="0" hidden="1">{#N/A,#N/A,FALSE,"Plan1";#N/A,#N/A,FALSE,"Plan2"}</definedName>
    <definedName name="dsfg" localSheetId="26" hidden="1">{#N/A,#N/A,FALSE,"Plan1";#N/A,#N/A,FALSE,"Plan2"}</definedName>
    <definedName name="dsfg" localSheetId="11" hidden="1">{#N/A,#N/A,FALSE,"Plan1";#N/A,#N/A,FALSE,"Plan2"}</definedName>
    <definedName name="dsfg" hidden="1">{#N/A,#N/A,FALSE,"Plan1";#N/A,#N/A,FALSE,"Plan2"}</definedName>
    <definedName name="DSFKDSKH" localSheetId="24" hidden="1">{#N/A,#N/A,FALSE,"Plan1";#N/A,#N/A,FALSE,"Plan2"}</definedName>
    <definedName name="DSFKDSKH" localSheetId="7" hidden="1">{#N/A,#N/A,FALSE,"Plan1";#N/A,#N/A,FALSE,"Plan2"}</definedName>
    <definedName name="DSFKDSKH" localSheetId="9" hidden="1">{#N/A,#N/A,FALSE,"Plan1";#N/A,#N/A,FALSE,"Plan2"}</definedName>
    <definedName name="DSFKDSKH" localSheetId="3" hidden="1">{#N/A,#N/A,FALSE,"Plan1";#N/A,#N/A,FALSE,"Plan2"}</definedName>
    <definedName name="DSFKDSKH" localSheetId="2" hidden="1">{#N/A,#N/A,FALSE,"Plan1";#N/A,#N/A,FALSE,"Plan2"}</definedName>
    <definedName name="DSFKDSKH" localSheetId="16" hidden="1">{#N/A,#N/A,FALSE,"Plan1";#N/A,#N/A,FALSE,"Plan2"}</definedName>
    <definedName name="DSFKDSKH" localSheetId="0" hidden="1">{#N/A,#N/A,FALSE,"Plan1";#N/A,#N/A,FALSE,"Plan2"}</definedName>
    <definedName name="DSFKDSKH" localSheetId="26" hidden="1">{#N/A,#N/A,FALSE,"Plan1";#N/A,#N/A,FALSE,"Plan2"}</definedName>
    <definedName name="DSFKDSKH" localSheetId="11" hidden="1">{#N/A,#N/A,FALSE,"Plan1";#N/A,#N/A,FALSE,"Plan2"}</definedName>
    <definedName name="DSFKDSKH" hidden="1">{#N/A,#N/A,FALSE,"Plan1";#N/A,#N/A,FALSE,"Plan2"}</definedName>
    <definedName name="DSFRT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localSheetId="24" hidden="1">{#N/A,#N/A,FALSE,"Plan1";#N/A,#N/A,FALSE,"Plan2"}</definedName>
    <definedName name="dsfrtyy" localSheetId="7" hidden="1">{#N/A,#N/A,FALSE,"Plan1";#N/A,#N/A,FALSE,"Plan2"}</definedName>
    <definedName name="dsfrtyy" localSheetId="9" hidden="1">{#N/A,#N/A,FALSE,"Plan1";#N/A,#N/A,FALSE,"Plan2"}</definedName>
    <definedName name="dsfrtyy" localSheetId="3" hidden="1">{#N/A,#N/A,FALSE,"Plan1";#N/A,#N/A,FALSE,"Plan2"}</definedName>
    <definedName name="dsfrtyy" localSheetId="2" hidden="1">{#N/A,#N/A,FALSE,"Plan1";#N/A,#N/A,FALSE,"Plan2"}</definedName>
    <definedName name="dsfrtyy" localSheetId="16" hidden="1">{#N/A,#N/A,FALSE,"Plan1";#N/A,#N/A,FALSE,"Plan2"}</definedName>
    <definedName name="dsfrtyy" localSheetId="0" hidden="1">{#N/A,#N/A,FALSE,"Plan1";#N/A,#N/A,FALSE,"Plan2"}</definedName>
    <definedName name="dsfrtyy" localSheetId="26" hidden="1">{#N/A,#N/A,FALSE,"Plan1";#N/A,#N/A,FALSE,"Plan2"}</definedName>
    <definedName name="dsfrtyy" localSheetId="11" hidden="1">{#N/A,#N/A,FALSE,"Plan1";#N/A,#N/A,FALSE,"Plan2"}</definedName>
    <definedName name="dsfrtyy" hidden="1">{#N/A,#N/A,FALSE,"Plan1";#N/A,#N/A,FALSE,"Plan2"}</definedName>
    <definedName name="DSFSAD" localSheetId="24" hidden="1">{#N/A,#N/A,FALSE,"Plan1";#N/A,#N/A,FALSE,"Plan2"}</definedName>
    <definedName name="DSFSAD" localSheetId="7" hidden="1">{#N/A,#N/A,FALSE,"Plan1";#N/A,#N/A,FALSE,"Plan2"}</definedName>
    <definedName name="DSFSAD" localSheetId="9" hidden="1">{#N/A,#N/A,FALSE,"Plan1";#N/A,#N/A,FALSE,"Plan2"}</definedName>
    <definedName name="DSFSAD" localSheetId="3" hidden="1">{#N/A,#N/A,FALSE,"Plan1";#N/A,#N/A,FALSE,"Plan2"}</definedName>
    <definedName name="DSFSAD" localSheetId="2" hidden="1">{#N/A,#N/A,FALSE,"Plan1";#N/A,#N/A,FALSE,"Plan2"}</definedName>
    <definedName name="DSFSAD" localSheetId="16" hidden="1">{#N/A,#N/A,FALSE,"Plan1";#N/A,#N/A,FALSE,"Plan2"}</definedName>
    <definedName name="DSFSAD" localSheetId="0" hidden="1">{#N/A,#N/A,FALSE,"Plan1";#N/A,#N/A,FALSE,"Plan2"}</definedName>
    <definedName name="DSFSAD" localSheetId="26" hidden="1">{#N/A,#N/A,FALSE,"Plan1";#N/A,#N/A,FALSE,"Plan2"}</definedName>
    <definedName name="DSFSAD" localSheetId="11" hidden="1">{#N/A,#N/A,FALSE,"Plan1";#N/A,#N/A,FALSE,"Plan2"}</definedName>
    <definedName name="DSFSAD" hidden="1">{#N/A,#N/A,FALSE,"Plan1";#N/A,#N/A,FALSE,"Plan2"}</definedName>
    <definedName name="dsfsdf" localSheetId="24" hidden="1">{#N/A,#N/A,FALSE,"Plan1";#N/A,#N/A,FALSE,"Plan2"}</definedName>
    <definedName name="dsfsdf" localSheetId="7" hidden="1">{#N/A,#N/A,FALSE,"Plan1";#N/A,#N/A,FALSE,"Plan2"}</definedName>
    <definedName name="dsfsdf" localSheetId="9" hidden="1">{#N/A,#N/A,FALSE,"Plan1";#N/A,#N/A,FALSE,"Plan2"}</definedName>
    <definedName name="dsfsdf" localSheetId="3" hidden="1">{#N/A,#N/A,FALSE,"Plan1";#N/A,#N/A,FALSE,"Plan2"}</definedName>
    <definedName name="dsfsdf" localSheetId="2" hidden="1">{#N/A,#N/A,FALSE,"Plan1";#N/A,#N/A,FALSE,"Plan2"}</definedName>
    <definedName name="dsfsdf" localSheetId="16" hidden="1">{#N/A,#N/A,FALSE,"Plan1";#N/A,#N/A,FALSE,"Plan2"}</definedName>
    <definedName name="dsfsdf" localSheetId="0" hidden="1">{#N/A,#N/A,FALSE,"Plan1";#N/A,#N/A,FALSE,"Plan2"}</definedName>
    <definedName name="dsfsdf" localSheetId="26" hidden="1">{#N/A,#N/A,FALSE,"Plan1";#N/A,#N/A,FALSE,"Plan2"}</definedName>
    <definedName name="dsfsdf" localSheetId="11" hidden="1">{#N/A,#N/A,FALSE,"Plan1";#N/A,#N/A,FALSE,"Plan2"}</definedName>
    <definedName name="dsfsdf" hidden="1">{#N/A,#N/A,FALSE,"Plan1";#N/A,#N/A,FALSE,"Plan2"}</definedName>
    <definedName name="dsfsdgfb" localSheetId="24" hidden="1">{#N/A,#N/A,FALSE,"Plan1";#N/A,#N/A,FALSE,"Plan2"}</definedName>
    <definedName name="dsfsdgfb" localSheetId="7" hidden="1">{#N/A,#N/A,FALSE,"Plan1";#N/A,#N/A,FALSE,"Plan2"}</definedName>
    <definedName name="dsfsdgfb" localSheetId="9" hidden="1">{#N/A,#N/A,FALSE,"Plan1";#N/A,#N/A,FALSE,"Plan2"}</definedName>
    <definedName name="dsfsdgfb" localSheetId="3" hidden="1">{#N/A,#N/A,FALSE,"Plan1";#N/A,#N/A,FALSE,"Plan2"}</definedName>
    <definedName name="dsfsdgfb" localSheetId="2" hidden="1">{#N/A,#N/A,FALSE,"Plan1";#N/A,#N/A,FALSE,"Plan2"}</definedName>
    <definedName name="dsfsdgfb" localSheetId="16" hidden="1">{#N/A,#N/A,FALSE,"Plan1";#N/A,#N/A,FALSE,"Plan2"}</definedName>
    <definedName name="dsfsdgfb" localSheetId="0" hidden="1">{#N/A,#N/A,FALSE,"Plan1";#N/A,#N/A,FALSE,"Plan2"}</definedName>
    <definedName name="dsfsdgfb" localSheetId="26" hidden="1">{#N/A,#N/A,FALSE,"Plan1";#N/A,#N/A,FALSE,"Plan2"}</definedName>
    <definedName name="dsfsdgfb" localSheetId="11" hidden="1">{#N/A,#N/A,FALSE,"Plan1";#N/A,#N/A,FALSE,"Plan2"}</definedName>
    <definedName name="dsfsdgfb" hidden="1">{#N/A,#N/A,FALSE,"Plan1";#N/A,#N/A,FALSE,"Plan2"}</definedName>
    <definedName name="dsgfr" localSheetId="24" hidden="1">{#N/A,#N/A,FALSE,"Plan1";#N/A,#N/A,FALSE,"Plan2"}</definedName>
    <definedName name="dsgfr" localSheetId="7" hidden="1">{#N/A,#N/A,FALSE,"Plan1";#N/A,#N/A,FALSE,"Plan2"}</definedName>
    <definedName name="dsgfr" localSheetId="9" hidden="1">{#N/A,#N/A,FALSE,"Plan1";#N/A,#N/A,FALSE,"Plan2"}</definedName>
    <definedName name="dsgfr" localSheetId="3" hidden="1">{#N/A,#N/A,FALSE,"Plan1";#N/A,#N/A,FALSE,"Plan2"}</definedName>
    <definedName name="dsgfr" localSheetId="2" hidden="1">{#N/A,#N/A,FALSE,"Plan1";#N/A,#N/A,FALSE,"Plan2"}</definedName>
    <definedName name="dsgfr" localSheetId="16" hidden="1">{#N/A,#N/A,FALSE,"Plan1";#N/A,#N/A,FALSE,"Plan2"}</definedName>
    <definedName name="dsgfr" localSheetId="0" hidden="1">{#N/A,#N/A,FALSE,"Plan1";#N/A,#N/A,FALSE,"Plan2"}</definedName>
    <definedName name="dsgfr" localSheetId="26" hidden="1">{#N/A,#N/A,FALSE,"Plan1";#N/A,#N/A,FALSE,"Plan2"}</definedName>
    <definedName name="dsgfr" localSheetId="11" hidden="1">{#N/A,#N/A,FALSE,"Plan1";#N/A,#N/A,FALSE,"Plan2"}</definedName>
    <definedName name="dsgfr" hidden="1">{#N/A,#N/A,FALSE,"Plan1";#N/A,#N/A,FALSE,"Plan2"}</definedName>
    <definedName name="dshfkhkrhesru" localSheetId="24" hidden="1">{#N/A,#N/A,FALSE,"Plan1";#N/A,#N/A,FALSE,"Plan2"}</definedName>
    <definedName name="dshfkhkrhesru" localSheetId="7" hidden="1">{#N/A,#N/A,FALSE,"Plan1";#N/A,#N/A,FALSE,"Plan2"}</definedName>
    <definedName name="dshfkhkrhesru" localSheetId="9" hidden="1">{#N/A,#N/A,FALSE,"Plan1";#N/A,#N/A,FALSE,"Plan2"}</definedName>
    <definedName name="dshfkhkrhesru" localSheetId="3" hidden="1">{#N/A,#N/A,FALSE,"Plan1";#N/A,#N/A,FALSE,"Plan2"}</definedName>
    <definedName name="dshfkhkrhesru" localSheetId="2" hidden="1">{#N/A,#N/A,FALSE,"Plan1";#N/A,#N/A,FALSE,"Plan2"}</definedName>
    <definedName name="dshfkhkrhesru" localSheetId="16" hidden="1">{#N/A,#N/A,FALSE,"Plan1";#N/A,#N/A,FALSE,"Plan2"}</definedName>
    <definedName name="dshfkhkrhesru" localSheetId="0" hidden="1">{#N/A,#N/A,FALSE,"Plan1";#N/A,#N/A,FALSE,"Plan2"}</definedName>
    <definedName name="dshfkhkrhesru" localSheetId="26" hidden="1">{#N/A,#N/A,FALSE,"Plan1";#N/A,#N/A,FALSE,"Plan2"}</definedName>
    <definedName name="dshfkhkrhesru" localSheetId="11" hidden="1">{#N/A,#N/A,FALSE,"Plan1";#N/A,#N/A,FALSE,"Plan2"}</definedName>
    <definedName name="dshfkhkrhesru" hidden="1">{#N/A,#N/A,FALSE,"Plan1";#N/A,#N/A,FALSE,"Plan2"}</definedName>
    <definedName name="dsjkthkr" localSheetId="24" hidden="1">{#N/A,#N/A,FALSE,"Plan1";#N/A,#N/A,FALSE,"Plan2"}</definedName>
    <definedName name="dsjkthkr" localSheetId="7" hidden="1">{#N/A,#N/A,FALSE,"Plan1";#N/A,#N/A,FALSE,"Plan2"}</definedName>
    <definedName name="dsjkthkr" localSheetId="9" hidden="1">{#N/A,#N/A,FALSE,"Plan1";#N/A,#N/A,FALSE,"Plan2"}</definedName>
    <definedName name="dsjkthkr" localSheetId="3" hidden="1">{#N/A,#N/A,FALSE,"Plan1";#N/A,#N/A,FALSE,"Plan2"}</definedName>
    <definedName name="dsjkthkr" localSheetId="2" hidden="1">{#N/A,#N/A,FALSE,"Plan1";#N/A,#N/A,FALSE,"Plan2"}</definedName>
    <definedName name="dsjkthkr" localSheetId="16" hidden="1">{#N/A,#N/A,FALSE,"Plan1";#N/A,#N/A,FALSE,"Plan2"}</definedName>
    <definedName name="dsjkthkr" localSheetId="0" hidden="1">{#N/A,#N/A,FALSE,"Plan1";#N/A,#N/A,FALSE,"Plan2"}</definedName>
    <definedName name="dsjkthkr" localSheetId="26" hidden="1">{#N/A,#N/A,FALSE,"Plan1";#N/A,#N/A,FALSE,"Plan2"}</definedName>
    <definedName name="dsjkthkr" localSheetId="11" hidden="1">{#N/A,#N/A,FALSE,"Plan1";#N/A,#N/A,FALSE,"Plan2"}</definedName>
    <definedName name="dsjkthkr" hidden="1">{#N/A,#N/A,FALSE,"Plan1";#N/A,#N/A,FALSE,"Plan2"}</definedName>
    <definedName name="dskfdhksdfh" hidden="1">4</definedName>
    <definedName name="DSLFJSLFJ" localSheetId="24" hidden="1">{#N/A,#N/A,FALSE,"Plan1";#N/A,#N/A,FALSE,"Plan2"}</definedName>
    <definedName name="DSLFJSLFJ" localSheetId="7" hidden="1">{#N/A,#N/A,FALSE,"Plan1";#N/A,#N/A,FALSE,"Plan2"}</definedName>
    <definedName name="DSLFJSLFJ" localSheetId="9" hidden="1">{#N/A,#N/A,FALSE,"Plan1";#N/A,#N/A,FALSE,"Plan2"}</definedName>
    <definedName name="DSLFJSLFJ" localSheetId="3" hidden="1">{#N/A,#N/A,FALSE,"Plan1";#N/A,#N/A,FALSE,"Plan2"}</definedName>
    <definedName name="DSLFJSLFJ" localSheetId="2" hidden="1">{#N/A,#N/A,FALSE,"Plan1";#N/A,#N/A,FALSE,"Plan2"}</definedName>
    <definedName name="DSLFJSLFJ" localSheetId="16" hidden="1">{#N/A,#N/A,FALSE,"Plan1";#N/A,#N/A,FALSE,"Plan2"}</definedName>
    <definedName name="DSLFJSLFJ" localSheetId="0" hidden="1">{#N/A,#N/A,FALSE,"Plan1";#N/A,#N/A,FALSE,"Plan2"}</definedName>
    <definedName name="DSLFJSLFJ" localSheetId="26" hidden="1">{#N/A,#N/A,FALSE,"Plan1";#N/A,#N/A,FALSE,"Plan2"}</definedName>
    <definedName name="DSLFJSLFJ" localSheetId="11" hidden="1">{#N/A,#N/A,FALSE,"Plan1";#N/A,#N/A,FALSE,"Plan2"}</definedName>
    <definedName name="DSLFJSLFJ" hidden="1">{#N/A,#N/A,FALSE,"Plan1";#N/A,#N/A,FALSE,"Plan2"}</definedName>
    <definedName name="dslfkf" hidden="1">4</definedName>
    <definedName name="dsrffg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localSheetId="24" hidden="1">{#N/A,#N/A,FALSE,"Plan1";#N/A,#N/A,FALSE,"Plan2"}</definedName>
    <definedName name="dss" localSheetId="7" hidden="1">{#N/A,#N/A,FALSE,"Plan1";#N/A,#N/A,FALSE,"Plan2"}</definedName>
    <definedName name="dss" localSheetId="9" hidden="1">{#N/A,#N/A,FALSE,"Plan1";#N/A,#N/A,FALSE,"Plan2"}</definedName>
    <definedName name="dss" localSheetId="3" hidden="1">{#N/A,#N/A,FALSE,"Plan1";#N/A,#N/A,FALSE,"Plan2"}</definedName>
    <definedName name="dss" localSheetId="2" hidden="1">{#N/A,#N/A,FALSE,"Plan1";#N/A,#N/A,FALSE,"Plan2"}</definedName>
    <definedName name="dss" localSheetId="16" hidden="1">{#N/A,#N/A,FALSE,"Plan1";#N/A,#N/A,FALSE,"Plan2"}</definedName>
    <definedName name="dss" localSheetId="0" hidden="1">{#N/A,#N/A,FALSE,"Plan1";#N/A,#N/A,FALSE,"Plan2"}</definedName>
    <definedName name="dss" localSheetId="26" hidden="1">{#N/A,#N/A,FALSE,"Plan1";#N/A,#N/A,FALSE,"Plan2"}</definedName>
    <definedName name="dss" localSheetId="11" hidden="1">{#N/A,#N/A,FALSE,"Plan1";#N/A,#N/A,FALSE,"Plan2"}</definedName>
    <definedName name="dss" hidden="1">{#N/A,#N/A,FALSE,"Plan1";#N/A,#N/A,FALSE,"Plan2"}</definedName>
    <definedName name="dtgsrytt" localSheetId="24" hidden="1">{#N/A,#N/A,FALSE,"Plan1";#N/A,#N/A,FALSE,"Plan2"}</definedName>
    <definedName name="dtgsrytt" localSheetId="7" hidden="1">{#N/A,#N/A,FALSE,"Plan1";#N/A,#N/A,FALSE,"Plan2"}</definedName>
    <definedName name="dtgsrytt" localSheetId="9" hidden="1">{#N/A,#N/A,FALSE,"Plan1";#N/A,#N/A,FALSE,"Plan2"}</definedName>
    <definedName name="dtgsrytt" localSheetId="3" hidden="1">{#N/A,#N/A,FALSE,"Plan1";#N/A,#N/A,FALSE,"Plan2"}</definedName>
    <definedName name="dtgsrytt" localSheetId="2" hidden="1">{#N/A,#N/A,FALSE,"Plan1";#N/A,#N/A,FALSE,"Plan2"}</definedName>
    <definedName name="dtgsrytt" localSheetId="16" hidden="1">{#N/A,#N/A,FALSE,"Plan1";#N/A,#N/A,FALSE,"Plan2"}</definedName>
    <definedName name="dtgsrytt" localSheetId="0" hidden="1">{#N/A,#N/A,FALSE,"Plan1";#N/A,#N/A,FALSE,"Plan2"}</definedName>
    <definedName name="dtgsrytt" localSheetId="26" hidden="1">{#N/A,#N/A,FALSE,"Plan1";#N/A,#N/A,FALSE,"Plan2"}</definedName>
    <definedName name="dtgsrytt" localSheetId="11" hidden="1">{#N/A,#N/A,FALSE,"Plan1";#N/A,#N/A,FALSE,"Plan2"}</definedName>
    <definedName name="dtgsrytt" hidden="1">{#N/A,#N/A,FALSE,"Plan1";#N/A,#N/A,FALSE,"Plan2"}</definedName>
    <definedName name="dtrjkhtrgkfh" localSheetId="24" hidden="1">{#N/A,#N/A,FALSE,"Plan1";#N/A,#N/A,FALSE,"Plan2"}</definedName>
    <definedName name="dtrjkhtrgkfh" localSheetId="7" hidden="1">{#N/A,#N/A,FALSE,"Plan1";#N/A,#N/A,FALSE,"Plan2"}</definedName>
    <definedName name="dtrjkhtrgkfh" localSheetId="9" hidden="1">{#N/A,#N/A,FALSE,"Plan1";#N/A,#N/A,FALSE,"Plan2"}</definedName>
    <definedName name="dtrjkhtrgkfh" localSheetId="3" hidden="1">{#N/A,#N/A,FALSE,"Plan1";#N/A,#N/A,FALSE,"Plan2"}</definedName>
    <definedName name="dtrjkhtrgkfh" localSheetId="2" hidden="1">{#N/A,#N/A,FALSE,"Plan1";#N/A,#N/A,FALSE,"Plan2"}</definedName>
    <definedName name="dtrjkhtrgkfh" localSheetId="16" hidden="1">{#N/A,#N/A,FALSE,"Plan1";#N/A,#N/A,FALSE,"Plan2"}</definedName>
    <definedName name="dtrjkhtrgkfh" localSheetId="0" hidden="1">{#N/A,#N/A,FALSE,"Plan1";#N/A,#N/A,FALSE,"Plan2"}</definedName>
    <definedName name="dtrjkhtrgkfh" localSheetId="26" hidden="1">{#N/A,#N/A,FALSE,"Plan1";#N/A,#N/A,FALSE,"Plan2"}</definedName>
    <definedName name="dtrjkhtrgkfh" localSheetId="11" hidden="1">{#N/A,#N/A,FALSE,"Plan1";#N/A,#N/A,FALSE,"Plan2"}</definedName>
    <definedName name="dtrjkhtrgkfh" hidden="1">{#N/A,#N/A,FALSE,"Plan1";#N/A,#N/A,FALSE,"Plan2"}</definedName>
    <definedName name="dttjuk" localSheetId="24" hidden="1">{#N/A,#N/A,FALSE,"Plan1";#N/A,#N/A,FALSE,"Plan2"}</definedName>
    <definedName name="dttjuk" localSheetId="7" hidden="1">{#N/A,#N/A,FALSE,"Plan1";#N/A,#N/A,FALSE,"Plan2"}</definedName>
    <definedName name="dttjuk" localSheetId="9" hidden="1">{#N/A,#N/A,FALSE,"Plan1";#N/A,#N/A,FALSE,"Plan2"}</definedName>
    <definedName name="dttjuk" localSheetId="3" hidden="1">{#N/A,#N/A,FALSE,"Plan1";#N/A,#N/A,FALSE,"Plan2"}</definedName>
    <definedName name="dttjuk" localSheetId="2" hidden="1">{#N/A,#N/A,FALSE,"Plan1";#N/A,#N/A,FALSE,"Plan2"}</definedName>
    <definedName name="dttjuk" localSheetId="16" hidden="1">{#N/A,#N/A,FALSE,"Plan1";#N/A,#N/A,FALSE,"Plan2"}</definedName>
    <definedName name="dttjuk" localSheetId="0" hidden="1">{#N/A,#N/A,FALSE,"Plan1";#N/A,#N/A,FALSE,"Plan2"}</definedName>
    <definedName name="dttjuk" localSheetId="26" hidden="1">{#N/A,#N/A,FALSE,"Plan1";#N/A,#N/A,FALSE,"Plan2"}</definedName>
    <definedName name="dttjuk" localSheetId="11" hidden="1">{#N/A,#N/A,FALSE,"Plan1";#N/A,#N/A,FALSE,"Plan2"}</definedName>
    <definedName name="dttjuk" hidden="1">{#N/A,#N/A,FALSE,"Plan1";#N/A,#N/A,FALSE,"Plan2"}</definedName>
    <definedName name="dvtry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localSheetId="24" hidden="1">{#N/A,#N/A,FALSE,"Plan1";#N/A,#N/A,FALSE,"Plan2"}</definedName>
    <definedName name="dwetrt" localSheetId="7" hidden="1">{#N/A,#N/A,FALSE,"Plan1";#N/A,#N/A,FALSE,"Plan2"}</definedName>
    <definedName name="dwetrt" localSheetId="9" hidden="1">{#N/A,#N/A,FALSE,"Plan1";#N/A,#N/A,FALSE,"Plan2"}</definedName>
    <definedName name="dwetrt" localSheetId="3" hidden="1">{#N/A,#N/A,FALSE,"Plan1";#N/A,#N/A,FALSE,"Plan2"}</definedName>
    <definedName name="dwetrt" localSheetId="2" hidden="1">{#N/A,#N/A,FALSE,"Plan1";#N/A,#N/A,FALSE,"Plan2"}</definedName>
    <definedName name="dwetrt" localSheetId="16" hidden="1">{#N/A,#N/A,FALSE,"Plan1";#N/A,#N/A,FALSE,"Plan2"}</definedName>
    <definedName name="dwetrt" localSheetId="0" hidden="1">{#N/A,#N/A,FALSE,"Plan1";#N/A,#N/A,FALSE,"Plan2"}</definedName>
    <definedName name="dwetrt" localSheetId="26" hidden="1">{#N/A,#N/A,FALSE,"Plan1";#N/A,#N/A,FALSE,"Plan2"}</definedName>
    <definedName name="dwetrt" localSheetId="11" hidden="1">{#N/A,#N/A,FALSE,"Plan1";#N/A,#N/A,FALSE,"Plan2"}</definedName>
    <definedName name="dwetrt" hidden="1">{#N/A,#N/A,FALSE,"Plan1";#N/A,#N/A,FALSE,"Plan2"}</definedName>
    <definedName name="dwqhdjwqgdwq" localSheetId="24">#REF!</definedName>
    <definedName name="dwqhdjwqgdwq" localSheetId="7">#REF!</definedName>
    <definedName name="dwqhdjwqgdwq" localSheetId="3">#REF!</definedName>
    <definedName name="dwqhdjwqgdwq" localSheetId="26">#REF!</definedName>
    <definedName name="dwqhdjwqgdwq">#REF!</definedName>
    <definedName name="DY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localSheetId="24" hidden="1">{#N/A,#N/A,FALSE,"Plan1";#N/A,#N/A,FALSE,"Plan2"}</definedName>
    <definedName name="DYHYGJDHZKGF" localSheetId="7" hidden="1">{#N/A,#N/A,FALSE,"Plan1";#N/A,#N/A,FALSE,"Plan2"}</definedName>
    <definedName name="DYHYGJDHZKGF" localSheetId="9" hidden="1">{#N/A,#N/A,FALSE,"Plan1";#N/A,#N/A,FALSE,"Plan2"}</definedName>
    <definedName name="DYHYGJDHZKGF" localSheetId="3" hidden="1">{#N/A,#N/A,FALSE,"Plan1";#N/A,#N/A,FALSE,"Plan2"}</definedName>
    <definedName name="DYHYGJDHZKGF" localSheetId="2" hidden="1">{#N/A,#N/A,FALSE,"Plan1";#N/A,#N/A,FALSE,"Plan2"}</definedName>
    <definedName name="DYHYGJDHZKGF" localSheetId="16" hidden="1">{#N/A,#N/A,FALSE,"Plan1";#N/A,#N/A,FALSE,"Plan2"}</definedName>
    <definedName name="DYHYGJDHZKGF" localSheetId="0" hidden="1">{#N/A,#N/A,FALSE,"Plan1";#N/A,#N/A,FALSE,"Plan2"}</definedName>
    <definedName name="DYHYGJDHZKGF" localSheetId="26" hidden="1">{#N/A,#N/A,FALSE,"Plan1";#N/A,#N/A,FALSE,"Plan2"}</definedName>
    <definedName name="DYHYGJDHZKGF" localSheetId="11" hidden="1">{#N/A,#N/A,FALSE,"Plan1";#N/A,#N/A,FALSE,"Plan2"}</definedName>
    <definedName name="DYHYGJDHZKGF" hidden="1">{#N/A,#N/A,FALSE,"Plan1";#N/A,#N/A,FALSE,"Plan2"}</definedName>
    <definedName name="dzdfr" localSheetId="24" hidden="1">{#N/A,#N/A,FALSE,"Plan1";#N/A,#N/A,FALSE,"Plan2"}</definedName>
    <definedName name="dzdfr" localSheetId="7" hidden="1">{#N/A,#N/A,FALSE,"Plan1";#N/A,#N/A,FALSE,"Plan2"}</definedName>
    <definedName name="dzdfr" localSheetId="9" hidden="1">{#N/A,#N/A,FALSE,"Plan1";#N/A,#N/A,FALSE,"Plan2"}</definedName>
    <definedName name="dzdfr" localSheetId="3" hidden="1">{#N/A,#N/A,FALSE,"Plan1";#N/A,#N/A,FALSE,"Plan2"}</definedName>
    <definedName name="dzdfr" localSheetId="2" hidden="1">{#N/A,#N/A,FALSE,"Plan1";#N/A,#N/A,FALSE,"Plan2"}</definedName>
    <definedName name="dzdfr" localSheetId="16" hidden="1">{#N/A,#N/A,FALSE,"Plan1";#N/A,#N/A,FALSE,"Plan2"}</definedName>
    <definedName name="dzdfr" localSheetId="0" hidden="1">{#N/A,#N/A,FALSE,"Plan1";#N/A,#N/A,FALSE,"Plan2"}</definedName>
    <definedName name="dzdfr" localSheetId="26" hidden="1">{#N/A,#N/A,FALSE,"Plan1";#N/A,#N/A,FALSE,"Plan2"}</definedName>
    <definedName name="dzdfr" localSheetId="11" hidden="1">{#N/A,#N/A,FALSE,"Plan1";#N/A,#N/A,FALSE,"Plan2"}</definedName>
    <definedName name="dzdfr" hidden="1">{#N/A,#N/A,FALSE,"Plan1";#N/A,#N/A,FALSE,"Plan2"}</definedName>
    <definedName name="e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 localSheetId="24">#REF!</definedName>
    <definedName name="ea" localSheetId="7">#REF!</definedName>
    <definedName name="ea" localSheetId="5">#REF!</definedName>
    <definedName name="ea" localSheetId="3">#REF!</definedName>
    <definedName name="ea" localSheetId="0">#REF!</definedName>
    <definedName name="ea">#REF!</definedName>
    <definedName name="EC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localSheetId="24" hidden="1">{#N/A,#N/A,FALSE,"F-01"}</definedName>
    <definedName name="ECEW" localSheetId="7" hidden="1">{#N/A,#N/A,FALSE,"F-01"}</definedName>
    <definedName name="ECEW" localSheetId="9" hidden="1">{#N/A,#N/A,FALSE,"F-01"}</definedName>
    <definedName name="ECEW" localSheetId="3" hidden="1">{#N/A,#N/A,FALSE,"F-01"}</definedName>
    <definedName name="ECEW" localSheetId="2" hidden="1">{#N/A,#N/A,FALSE,"F-01"}</definedName>
    <definedName name="ECEW" localSheetId="16" hidden="1">{#N/A,#N/A,FALSE,"F-01"}</definedName>
    <definedName name="ECEW" localSheetId="0" hidden="1">{#N/A,#N/A,FALSE,"F-01"}</definedName>
    <definedName name="ECEW" localSheetId="26" hidden="1">{#N/A,#N/A,FALSE,"F-01"}</definedName>
    <definedName name="ECEW" localSheetId="11" hidden="1">{#N/A,#N/A,FALSE,"F-01"}</definedName>
    <definedName name="ECEW" hidden="1">{#N/A,#N/A,FALSE,"F-01"}</definedName>
    <definedName name="ECEW_1" localSheetId="24" hidden="1">{#N/A,#N/A,FALSE,"F-01"}</definedName>
    <definedName name="ECEW_1" localSheetId="7" hidden="1">{#N/A,#N/A,FALSE,"F-01"}</definedName>
    <definedName name="ECEW_1" localSheetId="9" hidden="1">{#N/A,#N/A,FALSE,"F-01"}</definedName>
    <definedName name="ECEW_1" localSheetId="3" hidden="1">{#N/A,#N/A,FALSE,"F-01"}</definedName>
    <definedName name="ECEW_1" localSheetId="2" hidden="1">{#N/A,#N/A,FALSE,"F-01"}</definedName>
    <definedName name="ECEW_1" localSheetId="16" hidden="1">{#N/A,#N/A,FALSE,"F-01"}</definedName>
    <definedName name="ECEW_1" localSheetId="0" hidden="1">{#N/A,#N/A,FALSE,"F-01"}</definedName>
    <definedName name="ECEW_1" localSheetId="26" hidden="1">{#N/A,#N/A,FALSE,"F-01"}</definedName>
    <definedName name="ECEW_1" localSheetId="11" hidden="1">{#N/A,#N/A,FALSE,"F-01"}</definedName>
    <definedName name="ECEW_1" hidden="1">{#N/A,#N/A,FALSE,"F-01"}</definedName>
    <definedName name="echart31" localSheetId="7" hidden="1">#REF!</definedName>
    <definedName name="echart31" localSheetId="3" hidden="1">#REF!</definedName>
    <definedName name="echart31" localSheetId="0" hidden="1">#REF!</definedName>
    <definedName name="echart31" hidden="1">#REF!</definedName>
    <definedName name="EcoPark" localSheetId="7">#REF!</definedName>
    <definedName name="EcoPark" localSheetId="3">#REF!</definedName>
    <definedName name="EcoPark">#REF!</definedName>
    <definedName name="ECS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localSheetId="24" hidden="1">{#N/A,#N/A,FALSE,"Plan1";#N/A,#N/A,FALSE,"Plan2"}</definedName>
    <definedName name="EDE" localSheetId="7" hidden="1">{#N/A,#N/A,FALSE,"Plan1";#N/A,#N/A,FALSE,"Plan2"}</definedName>
    <definedName name="EDE" localSheetId="9" hidden="1">{#N/A,#N/A,FALSE,"Plan1";#N/A,#N/A,FALSE,"Plan2"}</definedName>
    <definedName name="EDE" localSheetId="3" hidden="1">{#N/A,#N/A,FALSE,"Plan1";#N/A,#N/A,FALSE,"Plan2"}</definedName>
    <definedName name="EDE" localSheetId="2" hidden="1">{#N/A,#N/A,FALSE,"Plan1";#N/A,#N/A,FALSE,"Plan2"}</definedName>
    <definedName name="EDE" localSheetId="16" hidden="1">{#N/A,#N/A,FALSE,"Plan1";#N/A,#N/A,FALSE,"Plan2"}</definedName>
    <definedName name="EDE" localSheetId="0" hidden="1">{#N/A,#N/A,FALSE,"Plan1";#N/A,#N/A,FALSE,"Plan2"}</definedName>
    <definedName name="EDE" localSheetId="26" hidden="1">{#N/A,#N/A,FALSE,"Plan1";#N/A,#N/A,FALSE,"Plan2"}</definedName>
    <definedName name="EDE" localSheetId="11" hidden="1">{#N/A,#N/A,FALSE,"Plan1";#N/A,#N/A,FALSE,"Plan2"}</definedName>
    <definedName name="EDE" hidden="1">{#N/A,#N/A,FALSE,"Plan1";#N/A,#N/A,FALSE,"Plan2"}</definedName>
    <definedName name="ee" localSheetId="24">#REF!</definedName>
    <definedName name="ee" localSheetId="7">#REF!</definedName>
    <definedName name="ee" localSheetId="3">#REF!</definedName>
    <definedName name="ee" localSheetId="26">#REF!</definedName>
    <definedName name="ee">#REF!</definedName>
    <definedName name="eee" localSheetId="6">{#N/A,#N/A,FALSE,"ET-CAPA";#N/A,#N/A,FALSE,"ET-PAG1";#N/A,#N/A,FALSE,"ET-PAG2";#N/A,#N/A,FALSE,"ET-PAG3";#N/A,#N/A,FALSE,"ET-PAG4";#N/A,#N/A,FALSE,"ET-PAG5"}</definedName>
    <definedName name="eee" localSheetId="24" hidden="1">{#N/A,#N/A,FALSE,"ET-CAPA";#N/A,#N/A,FALSE,"ET-PAG1";#N/A,#N/A,FALSE,"ET-PAG2";#N/A,#N/A,FALSE,"ET-PAG3";#N/A,#N/A,FALSE,"ET-PAG4";#N/A,#N/A,FALSE,"ET-PAG5"}</definedName>
    <definedName name="eee" localSheetId="7">{#N/A,#N/A,FALSE,"ET-CAPA";#N/A,#N/A,FALSE,"ET-PAG1";#N/A,#N/A,FALSE,"ET-PAG2";#N/A,#N/A,FALSE,"ET-PAG3";#N/A,#N/A,FALSE,"ET-PAG4";#N/A,#N/A,FALSE,"ET-PAG5"}</definedName>
    <definedName name="eee" localSheetId="5">{#N/A,#N/A,FALSE,"ET-CAPA";#N/A,#N/A,FALSE,"ET-PAG1";#N/A,#N/A,FALSE,"ET-PAG2";#N/A,#N/A,FALSE,"ET-PAG3";#N/A,#N/A,FALSE,"ET-PAG4";#N/A,#N/A,FALSE,"ET-PAG5"}</definedName>
    <definedName name="eee" localSheetId="9">{#N/A,#N/A,FALSE,"ET-CAPA";#N/A,#N/A,FALSE,"ET-PAG1";#N/A,#N/A,FALSE,"ET-PAG2";#N/A,#N/A,FALSE,"ET-PAG3";#N/A,#N/A,FALSE,"ET-PAG4";#N/A,#N/A,FALSE,"ET-PAG5"}</definedName>
    <definedName name="eee" localSheetId="3" hidden="1">{#N/A,#N/A,FALSE,"ET-CAPA";#N/A,#N/A,FALSE,"ET-PAG1";#N/A,#N/A,FALSE,"ET-PAG2";#N/A,#N/A,FALSE,"ET-PAG3";#N/A,#N/A,FALSE,"ET-PAG4";#N/A,#N/A,FALSE,"ET-PAG5"}</definedName>
    <definedName name="eee" localSheetId="2" hidden="1">{#N/A,#N/A,FALSE,"ET-CAPA";#N/A,#N/A,FALSE,"ET-PAG1";#N/A,#N/A,FALSE,"ET-PAG2";#N/A,#N/A,FALSE,"ET-PAG3";#N/A,#N/A,FALSE,"ET-PAG4";#N/A,#N/A,FALSE,"ET-PAG5"}</definedName>
    <definedName name="eee" localSheetId="16" hidden="1">{#N/A,#N/A,FALSE,"ET-CAPA";#N/A,#N/A,FALSE,"ET-PAG1";#N/A,#N/A,FALSE,"ET-PAG2";#N/A,#N/A,FALSE,"ET-PAG3";#N/A,#N/A,FALSE,"ET-PAG4";#N/A,#N/A,FALSE,"ET-PAG5"}</definedName>
    <definedName name="eee" localSheetId="0" hidden="1">{#N/A,#N/A,FALSE,"ET-CAPA";#N/A,#N/A,FALSE,"ET-PAG1";#N/A,#N/A,FALSE,"ET-PAG2";#N/A,#N/A,FALSE,"ET-PAG3";#N/A,#N/A,FALSE,"ET-PAG4";#N/A,#N/A,FALSE,"ET-PAG5"}</definedName>
    <definedName name="eee" localSheetId="26" hidden="1">{#N/A,#N/A,FALSE,"ET-CAPA";#N/A,#N/A,FALSE,"ET-PAG1";#N/A,#N/A,FALSE,"ET-PAG2";#N/A,#N/A,FALSE,"ET-PAG3";#N/A,#N/A,FALSE,"ET-PAG4";#N/A,#N/A,FALSE,"ET-PAG5"}</definedName>
    <definedName name="eee" localSheetId="11" hidden="1">{#N/A,#N/A,FALSE,"ET-CAPA";#N/A,#N/A,FALSE,"ET-PAG1";#N/A,#N/A,FALSE,"ET-PAG2";#N/A,#N/A,FALSE,"ET-PAG3";#N/A,#N/A,FALSE,"ET-PAG4";#N/A,#N/A,FALSE,"ET-PAG5"}</definedName>
    <definedName name="eee" hidden="1">{#N/A,#N/A,FALSE,"ET-CAPA";#N/A,#N/A,FALSE,"ET-PAG1";#N/A,#N/A,FALSE,"ET-PAG2";#N/A,#N/A,FALSE,"ET-PAG3";#N/A,#N/A,FALSE,"ET-PAG4";#N/A,#N/A,FALSE,"ET-PAG5"}</definedName>
    <definedName name="EF" localSheetId="24">#REF!</definedName>
    <definedName name="EF" localSheetId="7">#REF!</definedName>
    <definedName name="EF" localSheetId="3">#REF!</definedName>
    <definedName name="EF" localSheetId="26">#REF!</definedName>
    <definedName name="EF">#REF!</definedName>
    <definedName name="efestfr" localSheetId="24" hidden="1">{#N/A,#N/A,FALSE,"Plan1";#N/A,#N/A,FALSE,"Plan2"}</definedName>
    <definedName name="efestfr" localSheetId="7" hidden="1">{#N/A,#N/A,FALSE,"Plan1";#N/A,#N/A,FALSE,"Plan2"}</definedName>
    <definedName name="efestfr" localSheetId="9" hidden="1">{#N/A,#N/A,FALSE,"Plan1";#N/A,#N/A,FALSE,"Plan2"}</definedName>
    <definedName name="efestfr" localSheetId="3" hidden="1">{#N/A,#N/A,FALSE,"Plan1";#N/A,#N/A,FALSE,"Plan2"}</definedName>
    <definedName name="efestfr" localSheetId="2" hidden="1">{#N/A,#N/A,FALSE,"Plan1";#N/A,#N/A,FALSE,"Plan2"}</definedName>
    <definedName name="efestfr" localSheetId="16" hidden="1">{#N/A,#N/A,FALSE,"Plan1";#N/A,#N/A,FALSE,"Plan2"}</definedName>
    <definedName name="efestfr" localSheetId="0" hidden="1">{#N/A,#N/A,FALSE,"Plan1";#N/A,#N/A,FALSE,"Plan2"}</definedName>
    <definedName name="efestfr" localSheetId="26" hidden="1">{#N/A,#N/A,FALSE,"Plan1";#N/A,#N/A,FALSE,"Plan2"}</definedName>
    <definedName name="efestfr" localSheetId="11" hidden="1">{#N/A,#N/A,FALSE,"Plan1";#N/A,#N/A,FALSE,"Plan2"}</definedName>
    <definedName name="efestfr" hidden="1">{#N/A,#N/A,FALSE,"Plan1";#N/A,#N/A,FALSE,"Plan2"}</definedName>
    <definedName name="EFICIÊNCIA" localSheetId="24">#REF!</definedName>
    <definedName name="EFICIÊNCIA" localSheetId="7">#REF!</definedName>
    <definedName name="EFICIÊNCIA" localSheetId="3">#REF!</definedName>
    <definedName name="EFICIÊNCIA" localSheetId="26">#REF!</definedName>
    <definedName name="EFICIÊNCIA">#REF!</definedName>
    <definedName name="Eficiência1" localSheetId="7">#REF!</definedName>
    <definedName name="Eficiência1" localSheetId="3">#REF!</definedName>
    <definedName name="Eficiência1">#REF!</definedName>
    <definedName name="efrdrt" localSheetId="24" hidden="1">{#N/A,#N/A,FALSE,"Plan1";#N/A,#N/A,FALSE,"Plan2"}</definedName>
    <definedName name="efrdrt" localSheetId="7" hidden="1">{#N/A,#N/A,FALSE,"Plan1";#N/A,#N/A,FALSE,"Plan2"}</definedName>
    <definedName name="efrdrt" localSheetId="9" hidden="1">{#N/A,#N/A,FALSE,"Plan1";#N/A,#N/A,FALSE,"Plan2"}</definedName>
    <definedName name="efrdrt" localSheetId="3" hidden="1">{#N/A,#N/A,FALSE,"Plan1";#N/A,#N/A,FALSE,"Plan2"}</definedName>
    <definedName name="efrdrt" localSheetId="2" hidden="1">{#N/A,#N/A,FALSE,"Plan1";#N/A,#N/A,FALSE,"Plan2"}</definedName>
    <definedName name="efrdrt" localSheetId="16" hidden="1">{#N/A,#N/A,FALSE,"Plan1";#N/A,#N/A,FALSE,"Plan2"}</definedName>
    <definedName name="efrdrt" localSheetId="0" hidden="1">{#N/A,#N/A,FALSE,"Plan1";#N/A,#N/A,FALSE,"Plan2"}</definedName>
    <definedName name="efrdrt" localSheetId="26" hidden="1">{#N/A,#N/A,FALSE,"Plan1";#N/A,#N/A,FALSE,"Plan2"}</definedName>
    <definedName name="efrdrt" localSheetId="11" hidden="1">{#N/A,#N/A,FALSE,"Plan1";#N/A,#N/A,FALSE,"Plan2"}</definedName>
    <definedName name="efrdrt" hidden="1">{#N/A,#N/A,FALSE,"Plan1";#N/A,#N/A,FALSE,"Plan2"}</definedName>
    <definedName name="efrg" localSheetId="24" hidden="1">{#N/A,#N/A,FALSE,"Plan1";#N/A,#N/A,FALSE,"Plan2"}</definedName>
    <definedName name="efrg" localSheetId="7" hidden="1">{#N/A,#N/A,FALSE,"Plan1";#N/A,#N/A,FALSE,"Plan2"}</definedName>
    <definedName name="efrg" localSheetId="9" hidden="1">{#N/A,#N/A,FALSE,"Plan1";#N/A,#N/A,FALSE,"Plan2"}</definedName>
    <definedName name="efrg" localSheetId="3" hidden="1">{#N/A,#N/A,FALSE,"Plan1";#N/A,#N/A,FALSE,"Plan2"}</definedName>
    <definedName name="efrg" localSheetId="2" hidden="1">{#N/A,#N/A,FALSE,"Plan1";#N/A,#N/A,FALSE,"Plan2"}</definedName>
    <definedName name="efrg" localSheetId="16" hidden="1">{#N/A,#N/A,FALSE,"Plan1";#N/A,#N/A,FALSE,"Plan2"}</definedName>
    <definedName name="efrg" localSheetId="0" hidden="1">{#N/A,#N/A,FALSE,"Plan1";#N/A,#N/A,FALSE,"Plan2"}</definedName>
    <definedName name="efrg" localSheetId="26" hidden="1">{#N/A,#N/A,FALSE,"Plan1";#N/A,#N/A,FALSE,"Plan2"}</definedName>
    <definedName name="efrg" localSheetId="11" hidden="1">{#N/A,#N/A,FALSE,"Plan1";#N/A,#N/A,FALSE,"Plan2"}</definedName>
    <definedName name="efrg" hidden="1">{#N/A,#N/A,FALSE,"Plan1";#N/A,#N/A,FALSE,"Plan2"}</definedName>
    <definedName name="efsgfr" localSheetId="24" hidden="1">{#N/A,#N/A,FALSE,"Plan1";#N/A,#N/A,FALSE,"Plan2"}</definedName>
    <definedName name="efsgfr" localSheetId="7" hidden="1">{#N/A,#N/A,FALSE,"Plan1";#N/A,#N/A,FALSE,"Plan2"}</definedName>
    <definedName name="efsgfr" localSheetId="9" hidden="1">{#N/A,#N/A,FALSE,"Plan1";#N/A,#N/A,FALSE,"Plan2"}</definedName>
    <definedName name="efsgfr" localSheetId="3" hidden="1">{#N/A,#N/A,FALSE,"Plan1";#N/A,#N/A,FALSE,"Plan2"}</definedName>
    <definedName name="efsgfr" localSheetId="2" hidden="1">{#N/A,#N/A,FALSE,"Plan1";#N/A,#N/A,FALSE,"Plan2"}</definedName>
    <definedName name="efsgfr" localSheetId="16" hidden="1">{#N/A,#N/A,FALSE,"Plan1";#N/A,#N/A,FALSE,"Plan2"}</definedName>
    <definedName name="efsgfr" localSheetId="0" hidden="1">{#N/A,#N/A,FALSE,"Plan1";#N/A,#N/A,FALSE,"Plan2"}</definedName>
    <definedName name="efsgfr" localSheetId="26" hidden="1">{#N/A,#N/A,FALSE,"Plan1";#N/A,#N/A,FALSE,"Plan2"}</definedName>
    <definedName name="efsgfr" localSheetId="11" hidden="1">{#N/A,#N/A,FALSE,"Plan1";#N/A,#N/A,FALSE,"Plan2"}</definedName>
    <definedName name="efsgfr" hidden="1">{#N/A,#N/A,FALSE,"Plan1";#N/A,#N/A,FALSE,"Plan2"}</definedName>
    <definedName name="eixo_x_fluxo_graf1" localSheetId="24">IFERROR(OFFSET(INDEX(#REF!,MATCH((INDEX(#REF!,MATCH(1,#REF!,0))),#REF!,0)),0,0,1,COUNTIF(#REF!,"&gt;=0")+COUNTIF(#REF!,"&lt;0")),0)</definedName>
    <definedName name="eixo_x_fluxo_graf1" localSheetId="7">IFERROR(OFFSET(INDEX(#REF!,MATCH((INDEX(#REF!,MATCH(1,#REF!,0))),#REF!,0)),0,0,1,COUNTIF(#REF!,"&gt;=0")+COUNTIF(#REF!,"&lt;0")),0)</definedName>
    <definedName name="eixo_x_fluxo_graf1" localSheetId="9">IFERROR(OFFSET(INDEX(#REF!,MATCH((INDEX(#REF!,MATCH(1,#REF!,0))),#REF!,0)),0,0,1,COUNTIF(#REF!,"&gt;=0")+COUNTIF(#REF!,"&lt;0")),0)</definedName>
    <definedName name="eixo_x_fluxo_graf1" localSheetId="3">IFERROR(OFFSET(INDEX(#REF!,MATCH((INDEX(#REF!,MATCH(1,#REF!,0))),#REF!,0)),0,0,1,COUNTIF(#REF!,"&gt;=0")+COUNTIF(#REF!,"&lt;0")),0)</definedName>
    <definedName name="eixo_x_fluxo_graf1" localSheetId="26">IFERROR(OFFSET(INDEX(#REF!,MATCH((INDEX(#REF!,MATCH(1,#REF!,0))),#REF!,0)),0,0,1,COUNTIF(#REF!,"&gt;=0")+COUNTIF(#REF!,"&lt;0")),0)</definedName>
    <definedName name="eixo_x_fluxo_graf1">IFERROR(OFFSET(INDEX(#REF!,MATCH((INDEX(#REF!,MATCH(1,#REF!,0))),#REF!,0)),0,0,1,COUNTIF(#REF!,"&gt;=0")+COUNTIF(#REF!,"&lt;0")),0)</definedName>
    <definedName name="eixo_x_graf2" localSheetId="7">IFERROR(OFFSET(INDEX(#REF!,MATCH((INDEX(#REF!,MATCH(1,#REF!,0))),#REF!,0)),0,0,1,COUNTIF(#REF!,"&gt;=0")+COUNTIF(#REF!,"&lt;0")),0)</definedName>
    <definedName name="eixo_x_graf2" localSheetId="9">IFERROR(OFFSET(INDEX(#REF!,MATCH((INDEX(#REF!,MATCH(1,#REF!,0))),#REF!,0)),0,0,1,COUNTIF(#REF!,"&gt;=0")+COUNTIF(#REF!,"&lt;0")),0)</definedName>
    <definedName name="eixo_x_graf2" localSheetId="3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 localSheetId="24">#REF!</definedName>
    <definedName name="eixo_x_graf3_distratos" localSheetId="7">#REF!</definedName>
    <definedName name="eixo_x_graf3_distratos" localSheetId="3">#REF!</definedName>
    <definedName name="eixo_x_graf3_distratos" localSheetId="26">#REF!</definedName>
    <definedName name="eixo_x_graf3_distratos">#REF!</definedName>
    <definedName name="eixo_x_graf3_vendas" localSheetId="7">#REF!</definedName>
    <definedName name="eixo_x_graf3_vendas" localSheetId="3">#REF!</definedName>
    <definedName name="eixo_x_graf3_vendas">#REF!</definedName>
    <definedName name="eixo_y_cury_graf2" localSheetId="7">IFERROR(OFFSET(INDEX(#REF!,MATCH((INDEX(#REF!,MATCH(1,#REF!,0))),#REF!,0)),0,0,1,COUNTIF(#REF!,"&gt;=0")+COUNTIF(#REF!,"&lt;0")),0)</definedName>
    <definedName name="eixo_y_cury_graf2" localSheetId="3">IFERROR(OFFSET(INDEX(#REF!,MATCH((INDEX(#REF!,MATCH(1,#REF!,0))),#REF!,0)),0,0,1,COUNTIF(#REF!,"&gt;=0")+COUNTIF(#REF!,"&lt;0")),0)</definedName>
    <definedName name="eixo_y_cury_graf2">IFERROR(OFFSET(INDEX(#REF!,MATCH((INDEX(#REF!,MATCH(1,#REF!,0))),#REF!,0)),0,0,1,COUNTIF(#REF!,"&gt;=0")+COUNTIF(#REF!,"&lt;0")),0)</definedName>
    <definedName name="eixo_y_fluxo_graf1" localSheetId="24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 localSheetId="7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 localSheetId="9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 localSheetId="3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 localSheetId="26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7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9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3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7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3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7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3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 localSheetId="24">#REF!</definedName>
    <definedName name="eixo_y_graf3" localSheetId="7">#REF!</definedName>
    <definedName name="eixo_y_graf3" localSheetId="3">#REF!</definedName>
    <definedName name="eixo_y_graf3" localSheetId="26">#REF!</definedName>
    <definedName name="eixo_y_graf3">#REF!</definedName>
    <definedName name="eixo_y_socio_graf2" localSheetId="24">IFERROR(OFFSET(INDEX(#REF!,MATCH((INDEX(#REF!,MATCH(1,#REF!,0))),#REF!,0)),0,0,1,COUNTIF(#REF!,"&gt;=0")+COUNTIF(#REF!,"&lt;0")),0)</definedName>
    <definedName name="eixo_y_socio_graf2" localSheetId="7">IFERROR(OFFSET(INDEX(#REF!,MATCH((INDEX(#REF!,MATCH(1,#REF!,0))),#REF!,0)),0,0,1,COUNTIF(#REF!,"&gt;=0")+COUNTIF(#REF!,"&lt;0")),0)</definedName>
    <definedName name="eixo_y_socio_graf2" localSheetId="3">IFERROR(OFFSET(INDEX(#REF!,MATCH((INDEX(#REF!,MATCH(1,#REF!,0))),#REF!,0)),0,0,1,COUNTIF(#REF!,"&gt;=0")+COUNTIF(#REF!,"&lt;0")),0)</definedName>
    <definedName name="eixo_y_socio_graf2" localSheetId="26">IFERROR(OFFSET(INDEX(#REF!,MATCH((INDEX(#REF!,MATCH(1,#REF!,0))),#REF!,0)),0,0,1,COUNTIF(#REF!,"&gt;=0")+COUNTIF(#REF!,"&lt;0")),0)</definedName>
    <definedName name="eixo_y_socio_graf2">IFERROR(OFFSET(INDEX(#REF!,MATCH((INDEX(#REF!,MATCH(1,#REF!,0))),#REF!,0)),0,0,1,COUNTIF(#REF!,"&gt;=0")+COUNTIF(#REF!,"&lt;0")),0)</definedName>
    <definedName name="eixo_y_viab_graf1" localSheetId="24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 localSheetId="7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 localSheetId="3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 localSheetId="26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 localSheetId="24">#REF!</definedName>
    <definedName name="EM" localSheetId="7">#REF!</definedName>
    <definedName name="EM" localSheetId="3">#REF!</definedName>
    <definedName name="EM" localSheetId="26">#REF!</definedName>
    <definedName name="EM">#REF!</definedName>
    <definedName name="Empreend" localSheetId="7">#REF!</definedName>
    <definedName name="Empreend" localSheetId="3">#REF!</definedName>
    <definedName name="Empreend">#REF!</definedName>
    <definedName name="Empreendimentos" localSheetId="7">#REF!</definedName>
    <definedName name="Empreendimentos" localSheetId="3">#REF!</definedName>
    <definedName name="Empreendimentos">#REF!</definedName>
    <definedName name="empresas" localSheetId="7">#REF!</definedName>
    <definedName name="empresas" localSheetId="3">#REF!</definedName>
    <definedName name="empresas">#REF!</definedName>
    <definedName name="encanador" localSheetId="7">#REF!</definedName>
    <definedName name="encanador" localSheetId="3">#REF!</definedName>
    <definedName name="encanador">#REF!</definedName>
    <definedName name="EPI" localSheetId="7">#REF!</definedName>
    <definedName name="EPI" localSheetId="3">#REF!</definedName>
    <definedName name="EPI">#REF!</definedName>
    <definedName name="EQUIP" localSheetId="7">#REF!</definedName>
    <definedName name="EQUIP" localSheetId="3">#REF!</definedName>
    <definedName name="EQUIP">#REF!</definedName>
    <definedName name="equipamento" localSheetId="7">#REF!</definedName>
    <definedName name="equipamento" localSheetId="3">#REF!</definedName>
    <definedName name="equipamento">#REF!</definedName>
    <definedName name="ER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localSheetId="24" hidden="1">{#N/A,#N/A,FALSE,"Plan1";#N/A,#N/A,FALSE,"Plan2"}</definedName>
    <definedName name="ergfhyu" localSheetId="7" hidden="1">{#N/A,#N/A,FALSE,"Plan1";#N/A,#N/A,FALSE,"Plan2"}</definedName>
    <definedName name="ergfhyu" localSheetId="9" hidden="1">{#N/A,#N/A,FALSE,"Plan1";#N/A,#N/A,FALSE,"Plan2"}</definedName>
    <definedName name="ergfhyu" localSheetId="3" hidden="1">{#N/A,#N/A,FALSE,"Plan1";#N/A,#N/A,FALSE,"Plan2"}</definedName>
    <definedName name="ergfhyu" localSheetId="2" hidden="1">{#N/A,#N/A,FALSE,"Plan1";#N/A,#N/A,FALSE,"Plan2"}</definedName>
    <definedName name="ergfhyu" localSheetId="16" hidden="1">{#N/A,#N/A,FALSE,"Plan1";#N/A,#N/A,FALSE,"Plan2"}</definedName>
    <definedName name="ergfhyu" localSheetId="0" hidden="1">{#N/A,#N/A,FALSE,"Plan1";#N/A,#N/A,FALSE,"Plan2"}</definedName>
    <definedName name="ergfhyu" localSheetId="26" hidden="1">{#N/A,#N/A,FALSE,"Plan1";#N/A,#N/A,FALSE,"Plan2"}</definedName>
    <definedName name="ergfhyu" localSheetId="11" hidden="1">{#N/A,#N/A,FALSE,"Plan1";#N/A,#N/A,FALSE,"Plan2"}</definedName>
    <definedName name="ergfhyu" hidden="1">{#N/A,#N/A,FALSE,"Plan1";#N/A,#N/A,FALSE,"Plan2"}</definedName>
    <definedName name="erne_cdi" localSheetId="24">#REF!</definedName>
    <definedName name="erne_cdi" localSheetId="7">#REF!</definedName>
    <definedName name="erne_cdi" localSheetId="3">#REF!</definedName>
    <definedName name="erne_cdi" localSheetId="26">#REF!</definedName>
    <definedName name="erne_cdi">#REF!</definedName>
    <definedName name="erne_hist" localSheetId="7">#REF!</definedName>
    <definedName name="erne_hist" localSheetId="3">#REF!</definedName>
    <definedName name="erne_hist">#REF!</definedName>
    <definedName name="erne_uss" localSheetId="7">#REF!</definedName>
    <definedName name="erne_uss" localSheetId="3">#REF!</definedName>
    <definedName name="erne_uss">#REF!</definedName>
    <definedName name="erte" localSheetId="7" hidden="1">#REF!</definedName>
    <definedName name="erte" localSheetId="0" hidden="1">#REF!</definedName>
    <definedName name="erte" hidden="1">#REF!</definedName>
    <definedName name="ESGFDSFD" localSheetId="24" hidden="1">{#N/A,#N/A,FALSE,"Plan1";#N/A,#N/A,FALSE,"Plan2"}</definedName>
    <definedName name="ESGFDSFD" localSheetId="7" hidden="1">{#N/A,#N/A,FALSE,"Plan1";#N/A,#N/A,FALSE,"Plan2"}</definedName>
    <definedName name="ESGFDSFD" localSheetId="9" hidden="1">{#N/A,#N/A,FALSE,"Plan1";#N/A,#N/A,FALSE,"Plan2"}</definedName>
    <definedName name="ESGFDSFD" localSheetId="3" hidden="1">{#N/A,#N/A,FALSE,"Plan1";#N/A,#N/A,FALSE,"Plan2"}</definedName>
    <definedName name="ESGFDSFD" localSheetId="2" hidden="1">{#N/A,#N/A,FALSE,"Plan1";#N/A,#N/A,FALSE,"Plan2"}</definedName>
    <definedName name="ESGFDSFD" localSheetId="16" hidden="1">{#N/A,#N/A,FALSE,"Plan1";#N/A,#N/A,FALSE,"Plan2"}</definedName>
    <definedName name="ESGFDSFD" localSheetId="0" hidden="1">{#N/A,#N/A,FALSE,"Plan1";#N/A,#N/A,FALSE,"Plan2"}</definedName>
    <definedName name="ESGFDSFD" localSheetId="26" hidden="1">{#N/A,#N/A,FALSE,"Plan1";#N/A,#N/A,FALSE,"Plan2"}</definedName>
    <definedName name="ESGFDSFD" localSheetId="11" hidden="1">{#N/A,#N/A,FALSE,"Plan1";#N/A,#N/A,FALSE,"Plan2"}</definedName>
    <definedName name="ESGFDSFD" hidden="1">{#N/A,#N/A,FALSE,"Plan1";#N/A,#N/A,FALSE,"Plan2"}</definedName>
    <definedName name="esp" localSheetId="7">#REF!</definedName>
    <definedName name="esp" localSheetId="9">#REF!</definedName>
    <definedName name="esp" localSheetId="3">#REF!</definedName>
    <definedName name="esp">#REF!</definedName>
    <definedName name="ESPESSURA" localSheetId="7">#REF!</definedName>
    <definedName name="ESPESSURA" localSheetId="3">#REF!</definedName>
    <definedName name="ESPESSURA">#REF!</definedName>
    <definedName name="estaca" localSheetId="7">#REF!</definedName>
    <definedName name="estaca" localSheetId="3">#REF!</definedName>
    <definedName name="estaca">#REF!</definedName>
    <definedName name="estaca3" localSheetId="7">#REF!</definedName>
    <definedName name="estaca3" localSheetId="3">#REF!</definedName>
    <definedName name="estaca3">#REF!</definedName>
    <definedName name="ESTADO" localSheetId="7">#REF!</definedName>
    <definedName name="ESTADO" localSheetId="3">#REF!</definedName>
    <definedName name="ESTADO">#REF!</definedName>
    <definedName name="estados" localSheetId="7">#REF!</definedName>
    <definedName name="estados" localSheetId="3">#REF!</definedName>
    <definedName name="estados">#REF!</definedName>
    <definedName name="estagiário" localSheetId="7">#REF!</definedName>
    <definedName name="estagiário" localSheetId="3">#REF!</definedName>
    <definedName name="estagiário">#REF!</definedName>
    <definedName name="ESTOQUE" localSheetId="7">#REF!</definedName>
    <definedName name="ESTOQUE" localSheetId="3">#REF!</definedName>
    <definedName name="ESTOQUE">#REF!</definedName>
    <definedName name="Etq_final" localSheetId="7">#REF!</definedName>
    <definedName name="Etq_final" localSheetId="3">#REF!</definedName>
    <definedName name="Etq_final">#REF!</definedName>
    <definedName name="EU" localSheetId="24" hidden="1">{#N/A,#N/A,FALSE,"Plan1";#N/A,#N/A,FALSE,"Plan2"}</definedName>
    <definedName name="EU" localSheetId="7" hidden="1">{#N/A,#N/A,FALSE,"Plan1";#N/A,#N/A,FALSE,"Plan2"}</definedName>
    <definedName name="EU" localSheetId="9" hidden="1">{#N/A,#N/A,FALSE,"Plan1";#N/A,#N/A,FALSE,"Plan2"}</definedName>
    <definedName name="EU" localSheetId="3" hidden="1">{#N/A,#N/A,FALSE,"Plan1";#N/A,#N/A,FALSE,"Plan2"}</definedName>
    <definedName name="EU" localSheetId="2" hidden="1">{#N/A,#N/A,FALSE,"Plan1";#N/A,#N/A,FALSE,"Plan2"}</definedName>
    <definedName name="EU" localSheetId="16" hidden="1">{#N/A,#N/A,FALSE,"Plan1";#N/A,#N/A,FALSE,"Plan2"}</definedName>
    <definedName name="EU" localSheetId="0" hidden="1">{#N/A,#N/A,FALSE,"Plan1";#N/A,#N/A,FALSE,"Plan2"}</definedName>
    <definedName name="EU" localSheetId="26" hidden="1">{#N/A,#N/A,FALSE,"Plan1";#N/A,#N/A,FALSE,"Plan2"}</definedName>
    <definedName name="EU" localSheetId="11" hidden="1">{#N/A,#N/A,FALSE,"Plan1";#N/A,#N/A,FALSE,"Plan2"}</definedName>
    <definedName name="EU" hidden="1">{#N/A,#N/A,FALSE,"Plan1";#N/A,#N/A,FALSE,"Plan2"}</definedName>
    <definedName name="EV__LASTREFTIME__" hidden="1">39965.7223611111</definedName>
    <definedName name="EVL" localSheetId="24" hidden="1">{"Econ Consolidado",#N/A,FALSE,"Econ Consol";"Fluxo de Caixa",#N/A,FALSE,"Fluxo Caixa";"Investimentos",#N/A,FALSE,"Investimentos"}</definedName>
    <definedName name="EVL" localSheetId="7" hidden="1">{"Econ Consolidado",#N/A,FALSE,"Econ Consol";"Fluxo de Caixa",#N/A,FALSE,"Fluxo Caixa";"Investimentos",#N/A,FALSE,"Investimentos"}</definedName>
    <definedName name="EVL" localSheetId="9" hidden="1">{"Econ Consolidado",#N/A,FALSE,"Econ Consol";"Fluxo de Caixa",#N/A,FALSE,"Fluxo Caixa";"Investimentos",#N/A,FALSE,"Investimentos"}</definedName>
    <definedName name="EVL" localSheetId="3" hidden="1">{"Econ Consolidado",#N/A,FALSE,"Econ Consol";"Fluxo de Caixa",#N/A,FALSE,"Fluxo Caixa";"Investimentos",#N/A,FALSE,"Investimentos"}</definedName>
    <definedName name="EVL" localSheetId="2" hidden="1">{"Econ Consolidado",#N/A,FALSE,"Econ Consol";"Fluxo de Caixa",#N/A,FALSE,"Fluxo Caixa";"Investimentos",#N/A,FALSE,"Investimentos"}</definedName>
    <definedName name="EVL" localSheetId="16" hidden="1">{"Econ Consolidado",#N/A,FALSE,"Econ Consol";"Fluxo de Caixa",#N/A,FALSE,"Fluxo Caixa";"Investimentos",#N/A,FALSE,"Investimentos"}</definedName>
    <definedName name="EVL" localSheetId="0" hidden="1">{"Econ Consolidado",#N/A,FALSE,"Econ Consol";"Fluxo de Caixa",#N/A,FALSE,"Fluxo Caixa";"Investimentos",#N/A,FALSE,"Investimentos"}</definedName>
    <definedName name="EVL" localSheetId="26" hidden="1">{"Econ Consolidado",#N/A,FALSE,"Econ Consol";"Fluxo de Caixa",#N/A,FALSE,"Fluxo Caixa";"Investimentos",#N/A,FALSE,"Investimentos"}</definedName>
    <definedName name="EVL" localSheetId="11" hidden="1">{"Econ Consolidado",#N/A,FALSE,"Econ Consol";"Fluxo de Caixa",#N/A,FALSE,"Fluxo Caixa";"Investimentos",#N/A,FALSE,"Investimentos"}</definedName>
    <definedName name="EVL" hidden="1">{"Econ Consolidado",#N/A,FALSE,"Econ Consol";"Fluxo de Caixa",#N/A,FALSE,"Fluxo Caixa";"Investimentos",#N/A,FALSE,"Investimentos"}</definedName>
    <definedName name="Evol." localSheetId="24" hidden="1">{"Econ Consolidado",#N/A,FALSE,"Econ Consol";"Fluxo de Caixa",#N/A,FALSE,"Fluxo Caixa";"Investimentos",#N/A,FALSE,"Investimentos"}</definedName>
    <definedName name="Evol." localSheetId="7" hidden="1">{"Econ Consolidado",#N/A,FALSE,"Econ Consol";"Fluxo de Caixa",#N/A,FALSE,"Fluxo Caixa";"Investimentos",#N/A,FALSE,"Investimentos"}</definedName>
    <definedName name="Evol." localSheetId="9" hidden="1">{"Econ Consolidado",#N/A,FALSE,"Econ Consol";"Fluxo de Caixa",#N/A,FALSE,"Fluxo Caixa";"Investimentos",#N/A,FALSE,"Investimentos"}</definedName>
    <definedName name="Evol." localSheetId="3" hidden="1">{"Econ Consolidado",#N/A,FALSE,"Econ Consol";"Fluxo de Caixa",#N/A,FALSE,"Fluxo Caixa";"Investimentos",#N/A,FALSE,"Investimentos"}</definedName>
    <definedName name="Evol." localSheetId="2" hidden="1">{"Econ Consolidado",#N/A,FALSE,"Econ Consol";"Fluxo de Caixa",#N/A,FALSE,"Fluxo Caixa";"Investimentos",#N/A,FALSE,"Investimentos"}</definedName>
    <definedName name="Evol." localSheetId="16" hidden="1">{"Econ Consolidado",#N/A,FALSE,"Econ Consol";"Fluxo de Caixa",#N/A,FALSE,"Fluxo Caixa";"Investimentos",#N/A,FALSE,"Investimentos"}</definedName>
    <definedName name="Evol." localSheetId="0" hidden="1">{"Econ Consolidado",#N/A,FALSE,"Econ Consol";"Fluxo de Caixa",#N/A,FALSE,"Fluxo Caixa";"Investimentos",#N/A,FALSE,"Investimentos"}</definedName>
    <definedName name="Evol." localSheetId="26" hidden="1">{"Econ Consolidado",#N/A,FALSE,"Econ Consol";"Fluxo de Caixa",#N/A,FALSE,"Fluxo Caixa";"Investimentos",#N/A,FALSE,"Investimentos"}</definedName>
    <definedName name="Evol." localSheetId="11" hidden="1">{"Econ Consolidado",#N/A,FALSE,"Econ Consol";"Fluxo de Caixa",#N/A,FALSE,"Fluxo Caixa";"Investimentos",#N/A,FALSE,"Investimentos"}</definedName>
    <definedName name="Evol." hidden="1">{"Econ Consolidado",#N/A,FALSE,"Econ Consol";"Fluxo de Caixa",#N/A,FALSE,"Fluxo Caixa";"Investimentos",#N/A,FALSE,"Investimentos"}</definedName>
    <definedName name="ewfr" localSheetId="24" hidden="1">{#N/A,#N/A,FALSE,"Plan1";#N/A,#N/A,FALSE,"Plan2"}</definedName>
    <definedName name="ewfr" localSheetId="7" hidden="1">{#N/A,#N/A,FALSE,"Plan1";#N/A,#N/A,FALSE,"Plan2"}</definedName>
    <definedName name="ewfr" localSheetId="9" hidden="1">{#N/A,#N/A,FALSE,"Plan1";#N/A,#N/A,FALSE,"Plan2"}</definedName>
    <definedName name="ewfr" localSheetId="3" hidden="1">{#N/A,#N/A,FALSE,"Plan1";#N/A,#N/A,FALSE,"Plan2"}</definedName>
    <definedName name="ewfr" localSheetId="2" hidden="1">{#N/A,#N/A,FALSE,"Plan1";#N/A,#N/A,FALSE,"Plan2"}</definedName>
    <definedName name="ewfr" localSheetId="16" hidden="1">{#N/A,#N/A,FALSE,"Plan1";#N/A,#N/A,FALSE,"Plan2"}</definedName>
    <definedName name="ewfr" localSheetId="0" hidden="1">{#N/A,#N/A,FALSE,"Plan1";#N/A,#N/A,FALSE,"Plan2"}</definedName>
    <definedName name="ewfr" localSheetId="26" hidden="1">{#N/A,#N/A,FALSE,"Plan1";#N/A,#N/A,FALSE,"Plan2"}</definedName>
    <definedName name="ewfr" localSheetId="11" hidden="1">{#N/A,#N/A,FALSE,"Plan1";#N/A,#N/A,FALSE,"Plan2"}</definedName>
    <definedName name="ewfr" hidden="1">{#N/A,#N/A,FALSE,"Plan1";#N/A,#N/A,FALSE,"Plan2"}</definedName>
    <definedName name="exce_cdi" localSheetId="24">#REF!</definedName>
    <definedName name="exce_cdi" localSheetId="7">#REF!</definedName>
    <definedName name="exce_cdi" localSheetId="3">#REF!</definedName>
    <definedName name="exce_cdi" localSheetId="26">#REF!</definedName>
    <definedName name="exce_cdi">#REF!</definedName>
    <definedName name="exce_hist" localSheetId="7">#REF!</definedName>
    <definedName name="exce_hist" localSheetId="3">#REF!</definedName>
    <definedName name="exce_hist">#REF!</definedName>
    <definedName name="exce_uss" localSheetId="7">#REF!</definedName>
    <definedName name="exce_uss" localSheetId="3">#REF!</definedName>
    <definedName name="exce_uss">#REF!</definedName>
    <definedName name="Excel_BuiltIn__FilterDatabase_1" localSheetId="7">#REF!</definedName>
    <definedName name="Excel_BuiltIn__FilterDatabase_1" localSheetId="3">#REF!</definedName>
    <definedName name="Excel_BuiltIn__FilterDatabase_1">#REF!</definedName>
    <definedName name="Excel_BuiltIn__FilterDatabase_1_1" localSheetId="7">#REF!</definedName>
    <definedName name="Excel_BuiltIn__FilterDatabase_1_1" localSheetId="3">#REF!</definedName>
    <definedName name="Excel_BuiltIn__FilterDatabase_1_1">#REF!</definedName>
    <definedName name="Excel_BuiltIn__FilterDatabase_6" localSheetId="7">#REF!</definedName>
    <definedName name="Excel_BuiltIn__FilterDatabase_6" localSheetId="3">#REF!</definedName>
    <definedName name="Excel_BuiltIn__FilterDatabase_6">#REF!</definedName>
    <definedName name="Excel_BuiltIn_Print_Area_0" localSheetId="7">#REF!</definedName>
    <definedName name="Excel_BuiltIn_Print_Area_0" localSheetId="3">#REF!</definedName>
    <definedName name="Excel_BuiltIn_Print_Area_0">#REF!</definedName>
    <definedName name="Excel_BuiltIn_Print_Area_1_1" localSheetId="7">#REF!</definedName>
    <definedName name="Excel_BuiltIn_Print_Area_1_1" localSheetId="3">#REF!</definedName>
    <definedName name="Excel_BuiltIn_Print_Area_1_1">#REF!</definedName>
    <definedName name="Excel_BuiltIn_Print_Titles_1_1_1" localSheetId="7">#REF!</definedName>
    <definedName name="Excel_BuiltIn_Print_Titles_1_1_1" localSheetId="3">#REF!</definedName>
    <definedName name="Excel_BuiltIn_Print_Titles_1_1_1">#REF!</definedName>
    <definedName name="Excel_BuiltIn_Print_Titles_1_1_4" localSheetId="7">#REF!</definedName>
    <definedName name="Excel_BuiltIn_Print_Titles_1_1_4" localSheetId="3">#REF!</definedName>
    <definedName name="Excel_BuiltIn_Print_Titles_1_1_4">#REF!</definedName>
    <definedName name="Excel_BuiltIn_Print_Titles_1_1_5" localSheetId="7">#REF!</definedName>
    <definedName name="Excel_BuiltIn_Print_Titles_1_1_5" localSheetId="3">#REF!</definedName>
    <definedName name="Excel_BuiltIn_Print_Titles_1_1_5">#REF!</definedName>
    <definedName name="Exrate" localSheetId="7">#REF!</definedName>
    <definedName name="Exrate" localSheetId="3">#REF!</definedName>
    <definedName name="Exrate">#REF!</definedName>
    <definedName name="eyruieyteta" localSheetId="24" hidden="1">{#N/A,#N/A,FALSE,"Plan1";#N/A,#N/A,FALSE,"Plan2"}</definedName>
    <definedName name="eyruieyteta" localSheetId="7" hidden="1">{#N/A,#N/A,FALSE,"Plan1";#N/A,#N/A,FALSE,"Plan2"}</definedName>
    <definedName name="eyruieyteta" localSheetId="9" hidden="1">{#N/A,#N/A,FALSE,"Plan1";#N/A,#N/A,FALSE,"Plan2"}</definedName>
    <definedName name="eyruieyteta" localSheetId="3" hidden="1">{#N/A,#N/A,FALSE,"Plan1";#N/A,#N/A,FALSE,"Plan2"}</definedName>
    <definedName name="eyruieyteta" localSheetId="2" hidden="1">{#N/A,#N/A,FALSE,"Plan1";#N/A,#N/A,FALSE,"Plan2"}</definedName>
    <definedName name="eyruieyteta" localSheetId="16" hidden="1">{#N/A,#N/A,FALSE,"Plan1";#N/A,#N/A,FALSE,"Plan2"}</definedName>
    <definedName name="eyruieyteta" localSheetId="0" hidden="1">{#N/A,#N/A,FALSE,"Plan1";#N/A,#N/A,FALSE,"Plan2"}</definedName>
    <definedName name="eyruieyteta" localSheetId="26" hidden="1">{#N/A,#N/A,FALSE,"Plan1";#N/A,#N/A,FALSE,"Plan2"}</definedName>
    <definedName name="eyruieyteta" localSheetId="11" hidden="1">{#N/A,#N/A,FALSE,"Plan1";#N/A,#N/A,FALSE,"Plan2"}</definedName>
    <definedName name="eyruieyteta" hidden="1">{#N/A,#N/A,FALSE,"Plan1";#N/A,#N/A,FALSE,"Plan2"}</definedName>
    <definedName name="f" localSheetId="7" hidden="1">{#N/A,#N/A,FALSE,"Plan1";#N/A,#N/A,FALSE,"Plan2"}</definedName>
    <definedName name="f" localSheetId="9" hidden="1">{#N/A,#N/A,FALSE,"Plan1";#N/A,#N/A,FALSE,"Plan2"}</definedName>
    <definedName name="f" localSheetId="3">#REF!</definedName>
    <definedName name="f" localSheetId="0" hidden="1">{#N/A,#N/A,FALSE,"Plan1";#N/A,#N/A,FALSE,"Plan2"}</definedName>
    <definedName name="f">#REF!</definedName>
    <definedName name="FACULDADE" localSheetId="7">#REF!</definedName>
    <definedName name="FACULDADE" localSheetId="9">#REF!</definedName>
    <definedName name="FACULDADE" localSheetId="3">#REF!</definedName>
    <definedName name="FACULDADE">#REF!</definedName>
    <definedName name="FAL" localSheetId="7">#REF!</definedName>
    <definedName name="FAL" localSheetId="3">#REF!</definedName>
    <definedName name="FAL">#REF!</definedName>
    <definedName name="farialima" localSheetId="7">#REF!</definedName>
    <definedName name="farialima" localSheetId="3">#REF!</definedName>
    <definedName name="farialima">#REF!</definedName>
    <definedName name="FAS" localSheetId="24" hidden="1">{"'Total'!$A$1","'Total'!$A$3"}</definedName>
    <definedName name="FAS" localSheetId="7" hidden="1">{"'Total'!$A$1","'Total'!$A$3"}</definedName>
    <definedName name="FAS" localSheetId="9" hidden="1">{"'Total'!$A$1","'Total'!$A$3"}</definedName>
    <definedName name="FAS" localSheetId="3" hidden="1">{"'Total'!$A$1","'Total'!$A$3"}</definedName>
    <definedName name="FAS" localSheetId="2" hidden="1">{"'Total'!$A$1","'Total'!$A$3"}</definedName>
    <definedName name="FAS" localSheetId="16" hidden="1">{"'Total'!$A$1","'Total'!$A$3"}</definedName>
    <definedName name="FAS" localSheetId="0" hidden="1">{"'Total'!$A$1","'Total'!$A$3"}</definedName>
    <definedName name="FAS" localSheetId="26" hidden="1">{"'Total'!$A$1","'Total'!$A$3"}</definedName>
    <definedName name="FAS" localSheetId="11" hidden="1">{"'Total'!$A$1","'Total'!$A$3"}</definedName>
    <definedName name="FAS" hidden="1">{"'Total'!$A$1","'Total'!$A$3"}</definedName>
    <definedName name="fasfasf" localSheetId="24" hidden="1">{#N/A,#N/A,TRUE,"Quinzena 01 à 15-04-98 "}</definedName>
    <definedName name="fasfasf" localSheetId="7" hidden="1">{#N/A,#N/A,TRUE,"Quinzena 01 à 15-04-98 "}</definedName>
    <definedName name="fasfasf" localSheetId="9" hidden="1">{#N/A,#N/A,TRUE,"Quinzena 01 à 15-04-98 "}</definedName>
    <definedName name="fasfasf" localSheetId="3" hidden="1">{#N/A,#N/A,TRUE,"Quinzena 01 à 15-04-98 "}</definedName>
    <definedName name="fasfasf" localSheetId="2" hidden="1">{#N/A,#N/A,TRUE,"Quinzena 01 à 15-04-98 "}</definedName>
    <definedName name="fasfasf" localSheetId="16" hidden="1">{#N/A,#N/A,TRUE,"Quinzena 01 à 15-04-98 "}</definedName>
    <definedName name="fasfasf" localSheetId="0" hidden="1">{#N/A,#N/A,TRUE,"Quinzena 01 à 15-04-98 "}</definedName>
    <definedName name="fasfasf" localSheetId="26" hidden="1">{#N/A,#N/A,TRUE,"Quinzena 01 à 15-04-98 "}</definedName>
    <definedName name="fasfasf" localSheetId="11" hidden="1">{#N/A,#N/A,TRUE,"Quinzena 01 à 15-04-98 "}</definedName>
    <definedName name="fasfasf" hidden="1">{#N/A,#N/A,TRUE,"Quinzena 01 à 15-04-98 "}</definedName>
    <definedName name="FATOR_K" localSheetId="24">#REF!</definedName>
    <definedName name="FATOR_K" localSheetId="7">#REF!</definedName>
    <definedName name="FATOR_K" localSheetId="3">#REF!</definedName>
    <definedName name="FATOR_K" localSheetId="26">#REF!</definedName>
    <definedName name="FATOR_K">#REF!</definedName>
    <definedName name="FATORK" localSheetId="7">#REF!</definedName>
    <definedName name="FATORK" localSheetId="3">#REF!</definedName>
    <definedName name="FATORK">#REF!</definedName>
    <definedName name="FBancaria" localSheetId="7">#REF!</definedName>
    <definedName name="FBancaria" localSheetId="3">#REF!</definedName>
    <definedName name="FBancaria">#REF!</definedName>
    <definedName name="fchart31" localSheetId="7" hidden="1">#REF!</definedName>
    <definedName name="fchart31" localSheetId="0" hidden="1">#REF!</definedName>
    <definedName name="fchart31" hidden="1">#REF!</definedName>
    <definedName name="fddhght" localSheetId="24" hidden="1">{#N/A,#N/A,FALSE,"Plan1";#N/A,#N/A,FALSE,"Plan2"}</definedName>
    <definedName name="fddhght" localSheetId="7" hidden="1">{#N/A,#N/A,FALSE,"Plan1";#N/A,#N/A,FALSE,"Plan2"}</definedName>
    <definedName name="fddhght" localSheetId="9" hidden="1">{#N/A,#N/A,FALSE,"Plan1";#N/A,#N/A,FALSE,"Plan2"}</definedName>
    <definedName name="fddhght" localSheetId="3" hidden="1">{#N/A,#N/A,FALSE,"Plan1";#N/A,#N/A,FALSE,"Plan2"}</definedName>
    <definedName name="fddhght" localSheetId="2" hidden="1">{#N/A,#N/A,FALSE,"Plan1";#N/A,#N/A,FALSE,"Plan2"}</definedName>
    <definedName name="fddhght" localSheetId="16" hidden="1">{#N/A,#N/A,FALSE,"Plan1";#N/A,#N/A,FALSE,"Plan2"}</definedName>
    <definedName name="fddhght" localSheetId="0" hidden="1">{#N/A,#N/A,FALSE,"Plan1";#N/A,#N/A,FALSE,"Plan2"}</definedName>
    <definedName name="fddhght" localSheetId="26" hidden="1">{#N/A,#N/A,FALSE,"Plan1";#N/A,#N/A,FALSE,"Plan2"}</definedName>
    <definedName name="fddhght" localSheetId="11" hidden="1">{#N/A,#N/A,FALSE,"Plan1";#N/A,#N/A,FALSE,"Plan2"}</definedName>
    <definedName name="fddhght" hidden="1">{#N/A,#N/A,FALSE,"Plan1";#N/A,#N/A,FALSE,"Plan2"}</definedName>
    <definedName name="fdfgd" localSheetId="24" hidden="1">{#N/A,#N/A,FALSE,"Plan1";#N/A,#N/A,FALSE,"Plan2"}</definedName>
    <definedName name="fdfgd" localSheetId="7" hidden="1">{#N/A,#N/A,FALSE,"Plan1";#N/A,#N/A,FALSE,"Plan2"}</definedName>
    <definedName name="fdfgd" localSheetId="9" hidden="1">{#N/A,#N/A,FALSE,"Plan1";#N/A,#N/A,FALSE,"Plan2"}</definedName>
    <definedName name="fdfgd" localSheetId="3" hidden="1">{#N/A,#N/A,FALSE,"Plan1";#N/A,#N/A,FALSE,"Plan2"}</definedName>
    <definedName name="fdfgd" localSheetId="2" hidden="1">{#N/A,#N/A,FALSE,"Plan1";#N/A,#N/A,FALSE,"Plan2"}</definedName>
    <definedName name="fdfgd" localSheetId="16" hidden="1">{#N/A,#N/A,FALSE,"Plan1";#N/A,#N/A,FALSE,"Plan2"}</definedName>
    <definedName name="fdfgd" localSheetId="0" hidden="1">{#N/A,#N/A,FALSE,"Plan1";#N/A,#N/A,FALSE,"Plan2"}</definedName>
    <definedName name="fdfgd" localSheetId="26" hidden="1">{#N/A,#N/A,FALSE,"Plan1";#N/A,#N/A,FALSE,"Plan2"}</definedName>
    <definedName name="fdfgd" localSheetId="11" hidden="1">{#N/A,#N/A,FALSE,"Plan1";#N/A,#N/A,FALSE,"Plan2"}</definedName>
    <definedName name="fdfgd" hidden="1">{#N/A,#N/A,FALSE,"Plan1";#N/A,#N/A,FALSE,"Plan2"}</definedName>
    <definedName name="fdfng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localSheetId="24" hidden="1">{#N/A,#N/A,FALSE,"Plan1";#N/A,#N/A,FALSE,"Plan2"}</definedName>
    <definedName name="fdgaf" localSheetId="7" hidden="1">{#N/A,#N/A,FALSE,"Plan1";#N/A,#N/A,FALSE,"Plan2"}</definedName>
    <definedName name="fdgaf" localSheetId="9" hidden="1">{#N/A,#N/A,FALSE,"Plan1";#N/A,#N/A,FALSE,"Plan2"}</definedName>
    <definedName name="fdgaf" localSheetId="3" hidden="1">{#N/A,#N/A,FALSE,"Plan1";#N/A,#N/A,FALSE,"Plan2"}</definedName>
    <definedName name="fdgaf" localSheetId="2" hidden="1">{#N/A,#N/A,FALSE,"Plan1";#N/A,#N/A,FALSE,"Plan2"}</definedName>
    <definedName name="fdgaf" localSheetId="16" hidden="1">{#N/A,#N/A,FALSE,"Plan1";#N/A,#N/A,FALSE,"Plan2"}</definedName>
    <definedName name="fdgaf" localSheetId="0" hidden="1">{#N/A,#N/A,FALSE,"Plan1";#N/A,#N/A,FALSE,"Plan2"}</definedName>
    <definedName name="fdgaf" localSheetId="26" hidden="1">{#N/A,#N/A,FALSE,"Plan1";#N/A,#N/A,FALSE,"Plan2"}</definedName>
    <definedName name="fdgaf" localSheetId="11" hidden="1">{#N/A,#N/A,FALSE,"Plan1";#N/A,#N/A,FALSE,"Plan2"}</definedName>
    <definedName name="fdgaf" hidden="1">{#N/A,#N/A,FALSE,"Plan1";#N/A,#N/A,FALSE,"Plan2"}</definedName>
    <definedName name="fdgdfg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localSheetId="24" hidden="1">{#N/A,#N/A,FALSE,"Plan1";#N/A,#N/A,FALSE,"Plan2"}</definedName>
    <definedName name="FDGFDJHGZEDR" localSheetId="7" hidden="1">{#N/A,#N/A,FALSE,"Plan1";#N/A,#N/A,FALSE,"Plan2"}</definedName>
    <definedName name="FDGFDJHGZEDR" localSheetId="9" hidden="1">{#N/A,#N/A,FALSE,"Plan1";#N/A,#N/A,FALSE,"Plan2"}</definedName>
    <definedName name="FDGFDJHGZEDR" localSheetId="3" hidden="1">{#N/A,#N/A,FALSE,"Plan1";#N/A,#N/A,FALSE,"Plan2"}</definedName>
    <definedName name="FDGFDJHGZEDR" localSheetId="2" hidden="1">{#N/A,#N/A,FALSE,"Plan1";#N/A,#N/A,FALSE,"Plan2"}</definedName>
    <definedName name="FDGFDJHGZEDR" localSheetId="16" hidden="1">{#N/A,#N/A,FALSE,"Plan1";#N/A,#N/A,FALSE,"Plan2"}</definedName>
    <definedName name="FDGFDJHGZEDR" localSheetId="0" hidden="1">{#N/A,#N/A,FALSE,"Plan1";#N/A,#N/A,FALSE,"Plan2"}</definedName>
    <definedName name="FDGFDJHGZEDR" localSheetId="26" hidden="1">{#N/A,#N/A,FALSE,"Plan1";#N/A,#N/A,FALSE,"Plan2"}</definedName>
    <definedName name="FDGFDJHGZEDR" localSheetId="11" hidden="1">{#N/A,#N/A,FALSE,"Plan1";#N/A,#N/A,FALSE,"Plan2"}</definedName>
    <definedName name="FDGFDJHGZEDR" hidden="1">{#N/A,#N/A,FALSE,"Plan1";#N/A,#N/A,FALSE,"Plan2"}</definedName>
    <definedName name="fdgfyhygfuj" localSheetId="24" hidden="1">{#N/A,#N/A,FALSE,"Plan1";#N/A,#N/A,FALSE,"Plan2"}</definedName>
    <definedName name="fdgfyhygfuj" localSheetId="7" hidden="1">{#N/A,#N/A,FALSE,"Plan1";#N/A,#N/A,FALSE,"Plan2"}</definedName>
    <definedName name="fdgfyhygfuj" localSheetId="9" hidden="1">{#N/A,#N/A,FALSE,"Plan1";#N/A,#N/A,FALSE,"Plan2"}</definedName>
    <definedName name="fdgfyhygfuj" localSheetId="3" hidden="1">{#N/A,#N/A,FALSE,"Plan1";#N/A,#N/A,FALSE,"Plan2"}</definedName>
    <definedName name="fdgfyhygfuj" localSheetId="2" hidden="1">{#N/A,#N/A,FALSE,"Plan1";#N/A,#N/A,FALSE,"Plan2"}</definedName>
    <definedName name="fdgfyhygfuj" localSheetId="16" hidden="1">{#N/A,#N/A,FALSE,"Plan1";#N/A,#N/A,FALSE,"Plan2"}</definedName>
    <definedName name="fdgfyhygfuj" localSheetId="0" hidden="1">{#N/A,#N/A,FALSE,"Plan1";#N/A,#N/A,FALSE,"Plan2"}</definedName>
    <definedName name="fdgfyhygfuj" localSheetId="26" hidden="1">{#N/A,#N/A,FALSE,"Plan1";#N/A,#N/A,FALSE,"Plan2"}</definedName>
    <definedName name="fdgfyhygfuj" localSheetId="11" hidden="1">{#N/A,#N/A,FALSE,"Plan1";#N/A,#N/A,FALSE,"Plan2"}</definedName>
    <definedName name="fdgfyhygfuj" hidden="1">{#N/A,#N/A,FALSE,"Plan1";#N/A,#N/A,FALSE,"Plan2"}</definedName>
    <definedName name="fdhgfdf" localSheetId="24" hidden="1">{#N/A,#N/A,FALSE,"Plan1";#N/A,#N/A,FALSE,"Plan2"}</definedName>
    <definedName name="fdhgfdf" localSheetId="7" hidden="1">{#N/A,#N/A,FALSE,"Plan1";#N/A,#N/A,FALSE,"Plan2"}</definedName>
    <definedName name="fdhgfdf" localSheetId="9" hidden="1">{#N/A,#N/A,FALSE,"Plan1";#N/A,#N/A,FALSE,"Plan2"}</definedName>
    <definedName name="fdhgfdf" localSheetId="3" hidden="1">{#N/A,#N/A,FALSE,"Plan1";#N/A,#N/A,FALSE,"Plan2"}</definedName>
    <definedName name="fdhgfdf" localSheetId="2" hidden="1">{#N/A,#N/A,FALSE,"Plan1";#N/A,#N/A,FALSE,"Plan2"}</definedName>
    <definedName name="fdhgfdf" localSheetId="16" hidden="1">{#N/A,#N/A,FALSE,"Plan1";#N/A,#N/A,FALSE,"Plan2"}</definedName>
    <definedName name="fdhgfdf" localSheetId="0" hidden="1">{#N/A,#N/A,FALSE,"Plan1";#N/A,#N/A,FALSE,"Plan2"}</definedName>
    <definedName name="fdhgfdf" localSheetId="26" hidden="1">{#N/A,#N/A,FALSE,"Plan1";#N/A,#N/A,FALSE,"Plan2"}</definedName>
    <definedName name="fdhgfdf" localSheetId="11" hidden="1">{#N/A,#N/A,FALSE,"Plan1";#N/A,#N/A,FALSE,"Plan2"}</definedName>
    <definedName name="fdhgfdf" hidden="1">{#N/A,#N/A,FALSE,"Plan1";#N/A,#N/A,FALSE,"Plan2"}</definedName>
    <definedName name="fdjfgdfjg" localSheetId="24" hidden="1">{#N/A,#N/A,FALSE,"Plan1";#N/A,#N/A,FALSE,"Plan2"}</definedName>
    <definedName name="fdjfgdfjg" localSheetId="7" hidden="1">{#N/A,#N/A,FALSE,"Plan1";#N/A,#N/A,FALSE,"Plan2"}</definedName>
    <definedName name="fdjfgdfjg" localSheetId="9" hidden="1">{#N/A,#N/A,FALSE,"Plan1";#N/A,#N/A,FALSE,"Plan2"}</definedName>
    <definedName name="fdjfgdfjg" localSheetId="3" hidden="1">{#N/A,#N/A,FALSE,"Plan1";#N/A,#N/A,FALSE,"Plan2"}</definedName>
    <definedName name="fdjfgdfjg" localSheetId="2" hidden="1">{#N/A,#N/A,FALSE,"Plan1";#N/A,#N/A,FALSE,"Plan2"}</definedName>
    <definedName name="fdjfgdfjg" localSheetId="16" hidden="1">{#N/A,#N/A,FALSE,"Plan1";#N/A,#N/A,FALSE,"Plan2"}</definedName>
    <definedName name="fdjfgdfjg" localSheetId="0" hidden="1">{#N/A,#N/A,FALSE,"Plan1";#N/A,#N/A,FALSE,"Plan2"}</definedName>
    <definedName name="fdjfgdfjg" localSheetId="26" hidden="1">{#N/A,#N/A,FALSE,"Plan1";#N/A,#N/A,FALSE,"Plan2"}</definedName>
    <definedName name="fdjfgdfjg" localSheetId="11" hidden="1">{#N/A,#N/A,FALSE,"Plan1";#N/A,#N/A,FALSE,"Plan2"}</definedName>
    <definedName name="fdjfgdfjg" hidden="1">{#N/A,#N/A,FALSE,"Plan1";#N/A,#N/A,FALSE,"Plan2"}</definedName>
    <definedName name="fdjghkshtygt" localSheetId="24" hidden="1">{#N/A,#N/A,FALSE,"Plan1";#N/A,#N/A,FALSE,"Plan2"}</definedName>
    <definedName name="fdjghkshtygt" localSheetId="7" hidden="1">{#N/A,#N/A,FALSE,"Plan1";#N/A,#N/A,FALSE,"Plan2"}</definedName>
    <definedName name="fdjghkshtygt" localSheetId="9" hidden="1">{#N/A,#N/A,FALSE,"Plan1";#N/A,#N/A,FALSE,"Plan2"}</definedName>
    <definedName name="fdjghkshtygt" localSheetId="3" hidden="1">{#N/A,#N/A,FALSE,"Plan1";#N/A,#N/A,FALSE,"Plan2"}</definedName>
    <definedName name="fdjghkshtygt" localSheetId="2" hidden="1">{#N/A,#N/A,FALSE,"Plan1";#N/A,#N/A,FALSE,"Plan2"}</definedName>
    <definedName name="fdjghkshtygt" localSheetId="16" hidden="1">{#N/A,#N/A,FALSE,"Plan1";#N/A,#N/A,FALSE,"Plan2"}</definedName>
    <definedName name="fdjghkshtygt" localSheetId="0" hidden="1">{#N/A,#N/A,FALSE,"Plan1";#N/A,#N/A,FALSE,"Plan2"}</definedName>
    <definedName name="fdjghkshtygt" localSheetId="26" hidden="1">{#N/A,#N/A,FALSE,"Plan1";#N/A,#N/A,FALSE,"Plan2"}</definedName>
    <definedName name="fdjghkshtygt" localSheetId="11" hidden="1">{#N/A,#N/A,FALSE,"Plan1";#N/A,#N/A,FALSE,"Plan2"}</definedName>
    <definedName name="fdjghkshtygt" hidden="1">{#N/A,#N/A,FALSE,"Plan1";#N/A,#N/A,FALSE,"Plan2"}</definedName>
    <definedName name="fdnhgf" localSheetId="24" hidden="1">{"'Estimativa de Lançamento-JAN'!$A$1:$AI$85"}</definedName>
    <definedName name="fdnhgf" localSheetId="7" hidden="1">{"'Estimativa de Lançamento-JAN'!$A$1:$AI$85"}</definedName>
    <definedName name="fdnhgf" localSheetId="9" hidden="1">{"'Estimativa de Lançamento-JAN'!$A$1:$AI$85"}</definedName>
    <definedName name="fdnhgf" localSheetId="3" hidden="1">{"'Estimativa de Lançamento-JAN'!$A$1:$AI$85"}</definedName>
    <definedName name="fdnhgf" localSheetId="2" hidden="1">{"'Estimativa de Lançamento-JAN'!$A$1:$AI$85"}</definedName>
    <definedName name="fdnhgf" localSheetId="16" hidden="1">{"'Estimativa de Lançamento-JAN'!$A$1:$AI$85"}</definedName>
    <definedName name="fdnhgf" localSheetId="0" hidden="1">{"'Estimativa de Lançamento-JAN'!$A$1:$AI$85"}</definedName>
    <definedName name="fdnhgf" localSheetId="26" hidden="1">{"'Estimativa de Lançamento-JAN'!$A$1:$AI$85"}</definedName>
    <definedName name="fdnhgf" localSheetId="11" hidden="1">{"'Estimativa de Lançamento-JAN'!$A$1:$AI$85"}</definedName>
    <definedName name="fdnhgf" hidden="1">{"'Estimativa de Lançamento-JAN'!$A$1:$AI$85"}</definedName>
    <definedName name="fdsf" localSheetId="24" hidden="1">{#N/A,#N/A,FALSE,"Plan1";#N/A,#N/A,FALSE,"Plan2"}</definedName>
    <definedName name="fdsf" localSheetId="7" hidden="1">{#N/A,#N/A,FALSE,"Plan1";#N/A,#N/A,FALSE,"Plan2"}</definedName>
    <definedName name="fdsf" localSheetId="9" hidden="1">{#N/A,#N/A,FALSE,"Plan1";#N/A,#N/A,FALSE,"Plan2"}</definedName>
    <definedName name="fdsf" localSheetId="3" hidden="1">{#N/A,#N/A,FALSE,"Plan1";#N/A,#N/A,FALSE,"Plan2"}</definedName>
    <definedName name="fdsf" localSheetId="2" hidden="1">{#N/A,#N/A,FALSE,"Plan1";#N/A,#N/A,FALSE,"Plan2"}</definedName>
    <definedName name="fdsf" localSheetId="16" hidden="1">{#N/A,#N/A,FALSE,"Plan1";#N/A,#N/A,FALSE,"Plan2"}</definedName>
    <definedName name="fdsf" localSheetId="0" hidden="1">{#N/A,#N/A,FALSE,"Plan1";#N/A,#N/A,FALSE,"Plan2"}</definedName>
    <definedName name="fdsf" localSheetId="26" hidden="1">{#N/A,#N/A,FALSE,"Plan1";#N/A,#N/A,FALSE,"Plan2"}</definedName>
    <definedName name="fdsf" localSheetId="11" hidden="1">{#N/A,#N/A,FALSE,"Plan1";#N/A,#N/A,FALSE,"Plan2"}</definedName>
    <definedName name="fdsf" hidden="1">{#N/A,#N/A,FALSE,"Plan1";#N/A,#N/A,FALSE,"Plan2"}</definedName>
    <definedName name="FE" localSheetId="24">#REF!</definedName>
    <definedName name="FE" localSheetId="7">#REF!</definedName>
    <definedName name="FE" localSheetId="3">#REF!</definedName>
    <definedName name="FE" localSheetId="26">#REF!</definedName>
    <definedName name="FE">#REF!</definedName>
    <definedName name="fefefefe" localSheetId="7">#REF!</definedName>
    <definedName name="fefefefe" localSheetId="3">#REF!</definedName>
    <definedName name="fefefefe">#REF!</definedName>
    <definedName name="FER" localSheetId="7" hidden="1">#REF!</definedName>
    <definedName name="FER" localSheetId="0" hidden="1">#REF!</definedName>
    <definedName name="FER" hidden="1">#REF!</definedName>
    <definedName name="fev17RJ" localSheetId="7">#REF!</definedName>
    <definedName name="fev17RJ" localSheetId="3">#REF!</definedName>
    <definedName name="fev17RJ">#REF!</definedName>
    <definedName name="FEVEREIRO2001" localSheetId="7">#REF!</definedName>
    <definedName name="FEVEREIRO2001" localSheetId="3">#REF!</definedName>
    <definedName name="FEVEREIRO2001">#REF!</definedName>
    <definedName name="ff" localSheetId="7">#REF!</definedName>
    <definedName name="ff" localSheetId="3">#REF!</definedName>
    <definedName name="ff">#REF!</definedName>
    <definedName name="fffefes" localSheetId="7">#REF!</definedName>
    <definedName name="fffefes" localSheetId="3">#REF!</definedName>
    <definedName name="fffefes">#REF!</definedName>
    <definedName name="fffff" localSheetId="24" hidden="1">{#N/A,#N/A,FALSE,"Plan1";#N/A,#N/A,FALSE,"Plan2"}</definedName>
    <definedName name="fffff" localSheetId="7" hidden="1">{#N/A,#N/A,FALSE,"Plan1";#N/A,#N/A,FALSE,"Plan2"}</definedName>
    <definedName name="fffff" localSheetId="9" hidden="1">{#N/A,#N/A,FALSE,"Plan1";#N/A,#N/A,FALSE,"Plan2"}</definedName>
    <definedName name="fffff" localSheetId="3" hidden="1">{#N/A,#N/A,FALSE,"Plan1";#N/A,#N/A,FALSE,"Plan2"}</definedName>
    <definedName name="fffff" localSheetId="2" hidden="1">{#N/A,#N/A,FALSE,"Plan1";#N/A,#N/A,FALSE,"Plan2"}</definedName>
    <definedName name="fffff" localSheetId="16" hidden="1">{#N/A,#N/A,FALSE,"Plan1";#N/A,#N/A,FALSE,"Plan2"}</definedName>
    <definedName name="fffff" localSheetId="0" hidden="1">{#N/A,#N/A,FALSE,"Plan1";#N/A,#N/A,FALSE,"Plan2"}</definedName>
    <definedName name="fffff" localSheetId="26" hidden="1">{#N/A,#N/A,FALSE,"Plan1";#N/A,#N/A,FALSE,"Plan2"}</definedName>
    <definedName name="fffff" localSheetId="11" hidden="1">{#N/A,#N/A,FALSE,"Plan1";#N/A,#N/A,FALSE,"Plan2"}</definedName>
    <definedName name="fffff" hidden="1">{#N/A,#N/A,FALSE,"Plan1";#N/A,#N/A,FALSE,"Plan2"}</definedName>
    <definedName name="FFFFFFF" localSheetId="24">#REF!</definedName>
    <definedName name="FFFFFFF" localSheetId="7">#REF!</definedName>
    <definedName name="FFFFFFF" localSheetId="5">#REF!</definedName>
    <definedName name="FFFFFFF" localSheetId="3">#REF!</definedName>
    <definedName name="FFFFFFF" localSheetId="0">#REF!</definedName>
    <definedName name="FFFFFFF">#REF!</definedName>
    <definedName name="FFTY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localSheetId="24" hidden="1">{#N/A,#N/A,FALSE,"Plan1";#N/A,#N/A,FALSE,"Plan2"}</definedName>
    <definedName name="fg" localSheetId="7" hidden="1">{#N/A,#N/A,FALSE,"Plan1";#N/A,#N/A,FALSE,"Plan2"}</definedName>
    <definedName name="fg" localSheetId="9" hidden="1">{#N/A,#N/A,FALSE,"Plan1";#N/A,#N/A,FALSE,"Plan2"}</definedName>
    <definedName name="fg" localSheetId="3" hidden="1">{#N/A,#N/A,FALSE,"Plan1";#N/A,#N/A,FALSE,"Plan2"}</definedName>
    <definedName name="fg" localSheetId="2" hidden="1">{#N/A,#N/A,FALSE,"Plan1";#N/A,#N/A,FALSE,"Plan2"}</definedName>
    <definedName name="fg" localSheetId="16" hidden="1">{#N/A,#N/A,FALSE,"Plan1";#N/A,#N/A,FALSE,"Plan2"}</definedName>
    <definedName name="fg" localSheetId="0" hidden="1">{#N/A,#N/A,FALSE,"Plan1";#N/A,#N/A,FALSE,"Plan2"}</definedName>
    <definedName name="fg" localSheetId="26" hidden="1">{#N/A,#N/A,FALSE,"Plan1";#N/A,#N/A,FALSE,"Plan2"}</definedName>
    <definedName name="fg" localSheetId="11" hidden="1">{#N/A,#N/A,FALSE,"Plan1";#N/A,#N/A,FALSE,"Plan2"}</definedName>
    <definedName name="fg" hidden="1">{#N/A,#N/A,FALSE,"Plan1";#N/A,#N/A,FALSE,"Plan2"}</definedName>
    <definedName name="fgg" localSheetId="24" hidden="1">{"'장비'!$A$3:$M$12"}</definedName>
    <definedName name="fgg" localSheetId="7" hidden="1">{"'장비'!$A$3:$M$12"}</definedName>
    <definedName name="fgg" localSheetId="9" hidden="1">{"'장비'!$A$3:$M$12"}</definedName>
    <definedName name="fgg" localSheetId="3" hidden="1">{"'장비'!$A$3:$M$12"}</definedName>
    <definedName name="fgg" localSheetId="2" hidden="1">{"'장비'!$A$3:$M$12"}</definedName>
    <definedName name="fgg" localSheetId="16" hidden="1">{"'장비'!$A$3:$M$12"}</definedName>
    <definedName name="fgg" localSheetId="0" hidden="1">{"'장비'!$A$3:$M$12"}</definedName>
    <definedName name="fgg" localSheetId="26" hidden="1">{"'장비'!$A$3:$M$12"}</definedName>
    <definedName name="fgg" localSheetId="11" hidden="1">{"'장비'!$A$3:$M$12"}</definedName>
    <definedName name="fgg" hidden="1">{"'장비'!$A$3:$M$12"}</definedName>
    <definedName name="fghfh" localSheetId="24" hidden="1">{"'Estimativa de Lançamento-JAN'!$A$1:$AI$85"}</definedName>
    <definedName name="fghfh" localSheetId="7" hidden="1">{"'Estimativa de Lançamento-JAN'!$A$1:$AI$85"}</definedName>
    <definedName name="fghfh" localSheetId="9" hidden="1">{"'Estimativa de Lançamento-JAN'!$A$1:$AI$85"}</definedName>
    <definedName name="fghfh" localSheetId="3" hidden="1">{"'Estimativa de Lançamento-JAN'!$A$1:$AI$85"}</definedName>
    <definedName name="fghfh" localSheetId="2" hidden="1">{"'Estimativa de Lançamento-JAN'!$A$1:$AI$85"}</definedName>
    <definedName name="fghfh" localSheetId="16" hidden="1">{"'Estimativa de Lançamento-JAN'!$A$1:$AI$85"}</definedName>
    <definedName name="fghfh" localSheetId="0" hidden="1">{"'Estimativa de Lançamento-JAN'!$A$1:$AI$85"}</definedName>
    <definedName name="fghfh" localSheetId="26" hidden="1">{"'Estimativa de Lançamento-JAN'!$A$1:$AI$85"}</definedName>
    <definedName name="fghfh" localSheetId="11" hidden="1">{"'Estimativa de Lançamento-JAN'!$A$1:$AI$85"}</definedName>
    <definedName name="fghfh" hidden="1">{"'Estimativa de Lançamento-JAN'!$A$1:$AI$85"}</definedName>
    <definedName name="fghgfh" localSheetId="24" hidden="1">{#N/A,#N/A,FALSE,"Plan1";#N/A,#N/A,FALSE,"Plan2"}</definedName>
    <definedName name="fghgfh" localSheetId="7" hidden="1">{#N/A,#N/A,FALSE,"Plan1";#N/A,#N/A,FALSE,"Plan2"}</definedName>
    <definedName name="fghgfh" localSheetId="9" hidden="1">{#N/A,#N/A,FALSE,"Plan1";#N/A,#N/A,FALSE,"Plan2"}</definedName>
    <definedName name="fghgfh" localSheetId="3" hidden="1">{#N/A,#N/A,FALSE,"Plan1";#N/A,#N/A,FALSE,"Plan2"}</definedName>
    <definedName name="fghgfh" localSheetId="2" hidden="1">{#N/A,#N/A,FALSE,"Plan1";#N/A,#N/A,FALSE,"Plan2"}</definedName>
    <definedName name="fghgfh" localSheetId="16" hidden="1">{#N/A,#N/A,FALSE,"Plan1";#N/A,#N/A,FALSE,"Plan2"}</definedName>
    <definedName name="fghgfh" localSheetId="0" hidden="1">{#N/A,#N/A,FALSE,"Plan1";#N/A,#N/A,FALSE,"Plan2"}</definedName>
    <definedName name="fghgfh" localSheetId="26" hidden="1">{#N/A,#N/A,FALSE,"Plan1";#N/A,#N/A,FALSE,"Plan2"}</definedName>
    <definedName name="fghgfh" localSheetId="11" hidden="1">{#N/A,#N/A,FALSE,"Plan1";#N/A,#N/A,FALSE,"Plan2"}</definedName>
    <definedName name="fghgfh" hidden="1">{#N/A,#N/A,FALSE,"Plan1";#N/A,#N/A,FALSE,"Plan2"}</definedName>
    <definedName name="FGJHFGK" localSheetId="24" hidden="1">{#N/A,#N/A,FALSE,"Plan1";#N/A,#N/A,FALSE,"Plan2"}</definedName>
    <definedName name="FGJHFGK" localSheetId="7" hidden="1">{#N/A,#N/A,FALSE,"Plan1";#N/A,#N/A,FALSE,"Plan2"}</definedName>
    <definedName name="FGJHFGK" localSheetId="9" hidden="1">{#N/A,#N/A,FALSE,"Plan1";#N/A,#N/A,FALSE,"Plan2"}</definedName>
    <definedName name="FGJHFGK" localSheetId="3" hidden="1">{#N/A,#N/A,FALSE,"Plan1";#N/A,#N/A,FALSE,"Plan2"}</definedName>
    <definedName name="FGJHFGK" localSheetId="2" hidden="1">{#N/A,#N/A,FALSE,"Plan1";#N/A,#N/A,FALSE,"Plan2"}</definedName>
    <definedName name="FGJHFGK" localSheetId="16" hidden="1">{#N/A,#N/A,FALSE,"Plan1";#N/A,#N/A,FALSE,"Plan2"}</definedName>
    <definedName name="FGJHFGK" localSheetId="0" hidden="1">{#N/A,#N/A,FALSE,"Plan1";#N/A,#N/A,FALSE,"Plan2"}</definedName>
    <definedName name="FGJHFGK" localSheetId="26" hidden="1">{#N/A,#N/A,FALSE,"Plan1";#N/A,#N/A,FALSE,"Plan2"}</definedName>
    <definedName name="FGJHFGK" localSheetId="11" hidden="1">{#N/A,#N/A,FALSE,"Plan1";#N/A,#N/A,FALSE,"Plan2"}</definedName>
    <definedName name="FGJHFGK" hidden="1">{#N/A,#N/A,FALSE,"Plan1";#N/A,#N/A,FALSE,"Plan2"}</definedName>
    <definedName name="fgktyhdft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localSheetId="24" hidden="1">{#N/A,#N/A,FALSE,"Plan1";#N/A,#N/A,FALSE,"Plan2"}</definedName>
    <definedName name="fgtrgty" localSheetId="7" hidden="1">{#N/A,#N/A,FALSE,"Plan1";#N/A,#N/A,FALSE,"Plan2"}</definedName>
    <definedName name="fgtrgty" localSheetId="9" hidden="1">{#N/A,#N/A,FALSE,"Plan1";#N/A,#N/A,FALSE,"Plan2"}</definedName>
    <definedName name="fgtrgty" localSheetId="3" hidden="1">{#N/A,#N/A,FALSE,"Plan1";#N/A,#N/A,FALSE,"Plan2"}</definedName>
    <definedName name="fgtrgty" localSheetId="2" hidden="1">{#N/A,#N/A,FALSE,"Plan1";#N/A,#N/A,FALSE,"Plan2"}</definedName>
    <definedName name="fgtrgty" localSheetId="16" hidden="1">{#N/A,#N/A,FALSE,"Plan1";#N/A,#N/A,FALSE,"Plan2"}</definedName>
    <definedName name="fgtrgty" localSheetId="0" hidden="1">{#N/A,#N/A,FALSE,"Plan1";#N/A,#N/A,FALSE,"Plan2"}</definedName>
    <definedName name="fgtrgty" localSheetId="26" hidden="1">{#N/A,#N/A,FALSE,"Plan1";#N/A,#N/A,FALSE,"Plan2"}</definedName>
    <definedName name="fgtrgty" localSheetId="11" hidden="1">{#N/A,#N/A,FALSE,"Plan1";#N/A,#N/A,FALSE,"Plan2"}</definedName>
    <definedName name="fgtrgty" hidden="1">{#N/A,#N/A,FALSE,"Plan1";#N/A,#N/A,FALSE,"Plan2"}</definedName>
    <definedName name="fgty" localSheetId="7" hidden="1">#REF!</definedName>
    <definedName name="fgty" localSheetId="3" hidden="1">#REF!</definedName>
    <definedName name="fgty" localSheetId="0" hidden="1">#REF!</definedName>
    <definedName name="fgty" hidden="1">#REF!</definedName>
    <definedName name="fhgjfgyt" localSheetId="24" hidden="1">{#N/A,#N/A,FALSE,"Plan1";#N/A,#N/A,FALSE,"Plan2"}</definedName>
    <definedName name="fhgjfgyt" localSheetId="7" hidden="1">{#N/A,#N/A,FALSE,"Plan1";#N/A,#N/A,FALSE,"Plan2"}</definedName>
    <definedName name="fhgjfgyt" localSheetId="9" hidden="1">{#N/A,#N/A,FALSE,"Plan1";#N/A,#N/A,FALSE,"Plan2"}</definedName>
    <definedName name="fhgjfgyt" localSheetId="3" hidden="1">{#N/A,#N/A,FALSE,"Plan1";#N/A,#N/A,FALSE,"Plan2"}</definedName>
    <definedName name="fhgjfgyt" localSheetId="2" hidden="1">{#N/A,#N/A,FALSE,"Plan1";#N/A,#N/A,FALSE,"Plan2"}</definedName>
    <definedName name="fhgjfgyt" localSheetId="16" hidden="1">{#N/A,#N/A,FALSE,"Plan1";#N/A,#N/A,FALSE,"Plan2"}</definedName>
    <definedName name="fhgjfgyt" localSheetId="0" hidden="1">{#N/A,#N/A,FALSE,"Plan1";#N/A,#N/A,FALSE,"Plan2"}</definedName>
    <definedName name="fhgjfgyt" localSheetId="26" hidden="1">{#N/A,#N/A,FALSE,"Plan1";#N/A,#N/A,FALSE,"Plan2"}</definedName>
    <definedName name="fhgjfgyt" localSheetId="11" hidden="1">{#N/A,#N/A,FALSE,"Plan1";#N/A,#N/A,FALSE,"Plan2"}</definedName>
    <definedName name="fhgjfgyt" hidden="1">{#N/A,#N/A,FALSE,"Plan1";#N/A,#N/A,FALSE,"Plan2"}</definedName>
    <definedName name="fhgjkhtrfg" localSheetId="24" hidden="1">{#N/A,#N/A,FALSE,"Plan1";#N/A,#N/A,FALSE,"Plan2"}</definedName>
    <definedName name="fhgjkhtrfg" localSheetId="7" hidden="1">{#N/A,#N/A,FALSE,"Plan1";#N/A,#N/A,FALSE,"Plan2"}</definedName>
    <definedName name="fhgjkhtrfg" localSheetId="9" hidden="1">{#N/A,#N/A,FALSE,"Plan1";#N/A,#N/A,FALSE,"Plan2"}</definedName>
    <definedName name="fhgjkhtrfg" localSheetId="3" hidden="1">{#N/A,#N/A,FALSE,"Plan1";#N/A,#N/A,FALSE,"Plan2"}</definedName>
    <definedName name="fhgjkhtrfg" localSheetId="2" hidden="1">{#N/A,#N/A,FALSE,"Plan1";#N/A,#N/A,FALSE,"Plan2"}</definedName>
    <definedName name="fhgjkhtrfg" localSheetId="16" hidden="1">{#N/A,#N/A,FALSE,"Plan1";#N/A,#N/A,FALSE,"Plan2"}</definedName>
    <definedName name="fhgjkhtrfg" localSheetId="0" hidden="1">{#N/A,#N/A,FALSE,"Plan1";#N/A,#N/A,FALSE,"Plan2"}</definedName>
    <definedName name="fhgjkhtrfg" localSheetId="26" hidden="1">{#N/A,#N/A,FALSE,"Plan1";#N/A,#N/A,FALSE,"Plan2"}</definedName>
    <definedName name="fhgjkhtrfg" localSheetId="11" hidden="1">{#N/A,#N/A,FALSE,"Plan1";#N/A,#N/A,FALSE,"Plan2"}</definedName>
    <definedName name="fhgjkhtrfg" hidden="1">{#N/A,#N/A,FALSE,"Plan1";#N/A,#N/A,FALSE,"Plan2"}</definedName>
    <definedName name="FHGTGSRSG" localSheetId="24" hidden="1">{#N/A,#N/A,FALSE,"Plan1";#N/A,#N/A,FALSE,"Plan2"}</definedName>
    <definedName name="FHGTGSRSG" localSheetId="7" hidden="1">{#N/A,#N/A,FALSE,"Plan1";#N/A,#N/A,FALSE,"Plan2"}</definedName>
    <definedName name="FHGTGSRSG" localSheetId="9" hidden="1">{#N/A,#N/A,FALSE,"Plan1";#N/A,#N/A,FALSE,"Plan2"}</definedName>
    <definedName name="FHGTGSRSG" localSheetId="3" hidden="1">{#N/A,#N/A,FALSE,"Plan1";#N/A,#N/A,FALSE,"Plan2"}</definedName>
    <definedName name="FHGTGSRSG" localSheetId="2" hidden="1">{#N/A,#N/A,FALSE,"Plan1";#N/A,#N/A,FALSE,"Plan2"}</definedName>
    <definedName name="FHGTGSRSG" localSheetId="16" hidden="1">{#N/A,#N/A,FALSE,"Plan1";#N/A,#N/A,FALSE,"Plan2"}</definedName>
    <definedName name="FHGTGSRSG" localSheetId="0" hidden="1">{#N/A,#N/A,FALSE,"Plan1";#N/A,#N/A,FALSE,"Plan2"}</definedName>
    <definedName name="FHGTGSRSG" localSheetId="26" hidden="1">{#N/A,#N/A,FALSE,"Plan1";#N/A,#N/A,FALSE,"Plan2"}</definedName>
    <definedName name="FHGTGSRSG" localSheetId="11" hidden="1">{#N/A,#N/A,FALSE,"Plan1";#N/A,#N/A,FALSE,"Plan2"}</definedName>
    <definedName name="FHGTGSRSG" hidden="1">{#N/A,#N/A,FALSE,"Plan1";#N/A,#N/A,FALSE,"Plan2"}</definedName>
    <definedName name="FIELD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localSheetId="24" hidden="1">{#N/A,#N/A,TRUE,"Quinzena 01 à 15-04-98 "}</definedName>
    <definedName name="FILTRO" localSheetId="7" hidden="1">{#N/A,#N/A,TRUE,"Quinzena 01 à 15-04-98 "}</definedName>
    <definedName name="FILTRO" localSheetId="9" hidden="1">{#N/A,#N/A,TRUE,"Quinzena 01 à 15-04-98 "}</definedName>
    <definedName name="FILTRO" localSheetId="3" hidden="1">{#N/A,#N/A,TRUE,"Quinzena 01 à 15-04-98 "}</definedName>
    <definedName name="FILTRO" localSheetId="2" hidden="1">{#N/A,#N/A,TRUE,"Quinzena 01 à 15-04-98 "}</definedName>
    <definedName name="FILTRO" localSheetId="16" hidden="1">{#N/A,#N/A,TRUE,"Quinzena 01 à 15-04-98 "}</definedName>
    <definedName name="FILTRO" localSheetId="0" hidden="1">{#N/A,#N/A,TRUE,"Quinzena 01 à 15-04-98 "}</definedName>
    <definedName name="FILTRO" localSheetId="26" hidden="1">{#N/A,#N/A,TRUE,"Quinzena 01 à 15-04-98 "}</definedName>
    <definedName name="FILTRO" localSheetId="11" hidden="1">{#N/A,#N/A,TRUE,"Quinzena 01 à 15-04-98 "}</definedName>
    <definedName name="FILTRO" hidden="1">{#N/A,#N/A,TRUE,"Quinzena 01 à 15-04-98 "}</definedName>
    <definedName name="Filtro_Rel_Sienge" localSheetId="24">#REF!</definedName>
    <definedName name="Filtro_Rel_Sienge" localSheetId="7">#REF!</definedName>
    <definedName name="Filtro_Rel_Sienge" localSheetId="3">#REF!</definedName>
    <definedName name="Filtro_Rel_Sienge" localSheetId="26">#REF!</definedName>
    <definedName name="Filtro_Rel_Sienge">#REF!</definedName>
    <definedName name="Firs_hist" localSheetId="7">#REF!</definedName>
    <definedName name="Firs_hist" localSheetId="3">#REF!</definedName>
    <definedName name="Firs_hist">#REF!</definedName>
    <definedName name="First_cdi" localSheetId="7">#REF!</definedName>
    <definedName name="First_cdi" localSheetId="3">#REF!</definedName>
    <definedName name="First_cdi">#REF!</definedName>
    <definedName name="First_uss" localSheetId="7">#REF!</definedName>
    <definedName name="First_uss" localSheetId="3">#REF!</definedName>
    <definedName name="First_uss">#REF!</definedName>
    <definedName name="fjdhfgjdhtgu" localSheetId="24" hidden="1">{#N/A,#N/A,FALSE,"Plan1";#N/A,#N/A,FALSE,"Plan2"}</definedName>
    <definedName name="fjdhfgjdhtgu" localSheetId="7" hidden="1">{#N/A,#N/A,FALSE,"Plan1";#N/A,#N/A,FALSE,"Plan2"}</definedName>
    <definedName name="fjdhfgjdhtgu" localSheetId="9" hidden="1">{#N/A,#N/A,FALSE,"Plan1";#N/A,#N/A,FALSE,"Plan2"}</definedName>
    <definedName name="fjdhfgjdhtgu" localSheetId="3" hidden="1">{#N/A,#N/A,FALSE,"Plan1";#N/A,#N/A,FALSE,"Plan2"}</definedName>
    <definedName name="fjdhfgjdhtgu" localSheetId="2" hidden="1">{#N/A,#N/A,FALSE,"Plan1";#N/A,#N/A,FALSE,"Plan2"}</definedName>
    <definedName name="fjdhfgjdhtgu" localSheetId="16" hidden="1">{#N/A,#N/A,FALSE,"Plan1";#N/A,#N/A,FALSE,"Plan2"}</definedName>
    <definedName name="fjdhfgjdhtgu" localSheetId="0" hidden="1">{#N/A,#N/A,FALSE,"Plan1";#N/A,#N/A,FALSE,"Plan2"}</definedName>
    <definedName name="fjdhfgjdhtgu" localSheetId="26" hidden="1">{#N/A,#N/A,FALSE,"Plan1";#N/A,#N/A,FALSE,"Plan2"}</definedName>
    <definedName name="fjdhfgjdhtgu" localSheetId="11" hidden="1">{#N/A,#N/A,FALSE,"Plan1";#N/A,#N/A,FALSE,"Plan2"}</definedName>
    <definedName name="fjdhfgjdhtgu" hidden="1">{#N/A,#N/A,FALSE,"Plan1";#N/A,#N/A,FALSE,"Plan2"}</definedName>
    <definedName name="fjfjg" localSheetId="24" hidden="1">{#N/A,#N/A,FALSE,"명세표"}</definedName>
    <definedName name="fjfjg" localSheetId="7" hidden="1">{#N/A,#N/A,FALSE,"명세표"}</definedName>
    <definedName name="fjfjg" localSheetId="9" hidden="1">{#N/A,#N/A,FALSE,"명세표"}</definedName>
    <definedName name="fjfjg" localSheetId="3" hidden="1">{#N/A,#N/A,FALSE,"명세표"}</definedName>
    <definedName name="fjfjg" localSheetId="2" hidden="1">{#N/A,#N/A,FALSE,"명세표"}</definedName>
    <definedName name="fjfjg" localSheetId="16" hidden="1">{#N/A,#N/A,FALSE,"명세표"}</definedName>
    <definedName name="fjfjg" localSheetId="0" hidden="1">{#N/A,#N/A,FALSE,"명세표"}</definedName>
    <definedName name="fjfjg" localSheetId="26" hidden="1">{#N/A,#N/A,FALSE,"명세표"}</definedName>
    <definedName name="fjfjg" localSheetId="11" hidden="1">{#N/A,#N/A,FALSE,"명세표"}</definedName>
    <definedName name="fjfjg" hidden="1">{#N/A,#N/A,FALSE,"명세표"}</definedName>
    <definedName name="FJGHJ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24" hidden="1">{#N/A,#N/A,FALSE,"Plan1";#N/A,#N/A,FALSE,"Plan2"}</definedName>
    <definedName name="FJHJHG" localSheetId="7" hidden="1">{#N/A,#N/A,FALSE,"Plan1";#N/A,#N/A,FALSE,"Plan2"}</definedName>
    <definedName name="FJHJHG" localSheetId="9" hidden="1">{#N/A,#N/A,FALSE,"Plan1";#N/A,#N/A,FALSE,"Plan2"}</definedName>
    <definedName name="FJHJHG" localSheetId="3" hidden="1">{#N/A,#N/A,FALSE,"Plan1";#N/A,#N/A,FALSE,"Plan2"}</definedName>
    <definedName name="FJHJHG" localSheetId="2" hidden="1">{#N/A,#N/A,FALSE,"Plan1";#N/A,#N/A,FALSE,"Plan2"}</definedName>
    <definedName name="FJHJHG" localSheetId="16" hidden="1">{#N/A,#N/A,FALSE,"Plan1";#N/A,#N/A,FALSE,"Plan2"}</definedName>
    <definedName name="FJHJHG" localSheetId="0" hidden="1">{#N/A,#N/A,FALSE,"Plan1";#N/A,#N/A,FALSE,"Plan2"}</definedName>
    <definedName name="FJHJHG" localSheetId="26" hidden="1">{#N/A,#N/A,FALSE,"Plan1";#N/A,#N/A,FALSE,"Plan2"}</definedName>
    <definedName name="FJHJHG" localSheetId="11" hidden="1">{#N/A,#N/A,FALSE,"Plan1";#N/A,#N/A,FALSE,"Plan2"}</definedName>
    <definedName name="FJHJHG" hidden="1">{#N/A,#N/A,FALSE,"Plan1";#N/A,#N/A,FALSE,"Plan2"}</definedName>
    <definedName name="fjtgfhf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localSheetId="24" hidden="1">{#N/A,#N/A,FALSE,"Plan1";#N/A,#N/A,FALSE,"Plan2"}</definedName>
    <definedName name="fkfw" localSheetId="7" hidden="1">{#N/A,#N/A,FALSE,"Plan1";#N/A,#N/A,FALSE,"Plan2"}</definedName>
    <definedName name="fkfw" localSheetId="9" hidden="1">{#N/A,#N/A,FALSE,"Plan1";#N/A,#N/A,FALSE,"Plan2"}</definedName>
    <definedName name="fkfw" localSheetId="3" hidden="1">{#N/A,#N/A,FALSE,"Plan1";#N/A,#N/A,FALSE,"Plan2"}</definedName>
    <definedName name="fkfw" localSheetId="2" hidden="1">{#N/A,#N/A,FALSE,"Plan1";#N/A,#N/A,FALSE,"Plan2"}</definedName>
    <definedName name="fkfw" localSheetId="16" hidden="1">{#N/A,#N/A,FALSE,"Plan1";#N/A,#N/A,FALSE,"Plan2"}</definedName>
    <definedName name="fkfw" localSheetId="0" hidden="1">{#N/A,#N/A,FALSE,"Plan1";#N/A,#N/A,FALSE,"Plan2"}</definedName>
    <definedName name="fkfw" localSheetId="26" hidden="1">{#N/A,#N/A,FALSE,"Plan1";#N/A,#N/A,FALSE,"Plan2"}</definedName>
    <definedName name="fkfw" localSheetId="11" hidden="1">{#N/A,#N/A,FALSE,"Plan1";#N/A,#N/A,FALSE,"Plan2"}</definedName>
    <definedName name="fkfw" hidden="1">{#N/A,#N/A,FALSE,"Plan1";#N/A,#N/A,FALSE,"Plan2"}</definedName>
    <definedName name="fl" localSheetId="24">#REF!</definedName>
    <definedName name="fl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localSheetId="3">#REF!</definedName>
    <definedName name="f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>#REF!</definedName>
    <definedName name="FL_1" localSheetId="7">#REF!</definedName>
    <definedName name="FL_1" localSheetId="9">#REF!</definedName>
    <definedName name="FL_1" localSheetId="3">#REF!</definedName>
    <definedName name="FL_1">#REF!</definedName>
    <definedName name="FL_2" localSheetId="7">#REF!</definedName>
    <definedName name="FL_2" localSheetId="3">#REF!</definedName>
    <definedName name="FL_2">#REF!</definedName>
    <definedName name="FL_3" localSheetId="7">#REF!</definedName>
    <definedName name="FL_3" localSheetId="3">#REF!</definedName>
    <definedName name="FL_3">#REF!</definedName>
    <definedName name="Fluxo_captação" localSheetId="7">#REF!</definedName>
    <definedName name="Fluxo_captação" localSheetId="3">#REF!</definedName>
    <definedName name="Fluxo_captação">#REF!</definedName>
    <definedName name="FOLHA2" localSheetId="7">#REF!</definedName>
    <definedName name="FOLHA2" localSheetId="3">#REF!</definedName>
    <definedName name="FOLHA2">#REF!</definedName>
    <definedName name="Format" localSheetId="7">#REF!</definedName>
    <definedName name="Format" localSheetId="3">#REF!</definedName>
    <definedName name="Format">#REF!</definedName>
    <definedName name="Formato_da_Loja" localSheetId="7">#REF!</definedName>
    <definedName name="Formato_da_Loja" localSheetId="3">#REF!</definedName>
    <definedName name="Formato_da_Loja">#REF!</definedName>
    <definedName name="FORMULA" localSheetId="7">#REF!</definedName>
    <definedName name="FORMULA" localSheetId="3">#REF!</definedName>
    <definedName name="FORMULA">#REF!</definedName>
    <definedName name="FORNECEDOR" localSheetId="7">OFFSET(#REF!,6,0,COUNTA(#REF!))</definedName>
    <definedName name="FORNECEDOR" localSheetId="3">OFFSET(#REF!,6,0,COUNTA(#REF!))</definedName>
    <definedName name="FORNECEDOR">OFFSET(#REF!,6,0,COUNTA(#REF!))</definedName>
    <definedName name="FORNECEDOR_2" localSheetId="7">OFFSET(#REF!,6,0,COUNTA(#REF!))</definedName>
    <definedName name="FORNECEDOR_2" localSheetId="3">OFFSET(#REF!,6,0,COUNTA(#REF!))</definedName>
    <definedName name="FORNECEDOR_2">OFFSET(#REF!,6,0,COUNTA(#REF!))</definedName>
    <definedName name="FORNECEDOR_3" localSheetId="7">OFFSET(#REF!,6,0,COUNTA(#REF!))</definedName>
    <definedName name="FORNECEDOR_3" localSheetId="3">OFFSET(#REF!,6,0,COUNTA(#REF!))</definedName>
    <definedName name="FORNECEDOR_3">OFFSET(#REF!,6,0,COUNTA(#REF!))</definedName>
    <definedName name="FORNECEDOR_4" localSheetId="7">OFFSET(#REF!,6,0,COUNTA(#REF!))</definedName>
    <definedName name="FORNECEDOR_4" localSheetId="3">OFFSET(#REF!,6,0,COUNTA(#REF!))</definedName>
    <definedName name="FORNECEDOR_4">OFFSET(#REF!,6,0,COUNTA(#REF!))</definedName>
    <definedName name="FORNECEDOR_5" localSheetId="7">OFFSET(#REF!,6,0,COUNTA(#REF!))</definedName>
    <definedName name="FORNECEDOR_5" localSheetId="3">OFFSET(#REF!,6,0,COUNTA(#REF!))</definedName>
    <definedName name="FORNECEDOR_5">OFFSET(#REF!,6,0,COUNTA(#REF!))</definedName>
    <definedName name="FORNECEDOR_7" localSheetId="7">OFFSET(#REF!,6,0,COUNTA(#REF!))</definedName>
    <definedName name="FORNECEDOR_7" localSheetId="3">OFFSET(#REF!,6,0,COUNTA(#REF!))</definedName>
    <definedName name="FORNECEDOR_7">OFFSET(#REF!,6,0,COUNTA(#REF!))</definedName>
    <definedName name="FORNECEDOR_8" localSheetId="7">OFFSET(#REF!,6,0,COUNTA(#REF!))</definedName>
    <definedName name="FORNECEDOR_8" localSheetId="3">OFFSET(#REF!,6,0,COUNTA(#REF!))</definedName>
    <definedName name="FORNECEDOR_8">OFFSET(#REF!,6,0,COUNTA(#REF!))</definedName>
    <definedName name="frçt4r" localSheetId="24" hidden="1">{#N/A,#N/A,FALSE,"Plan1";#N/A,#N/A,FALSE,"Plan2"}</definedName>
    <definedName name="frçt4r" localSheetId="7" hidden="1">{#N/A,#N/A,FALSE,"Plan1";#N/A,#N/A,FALSE,"Plan2"}</definedName>
    <definedName name="frçt4r" localSheetId="9" hidden="1">{#N/A,#N/A,FALSE,"Plan1";#N/A,#N/A,FALSE,"Plan2"}</definedName>
    <definedName name="frçt4r" localSheetId="3" hidden="1">{#N/A,#N/A,FALSE,"Plan1";#N/A,#N/A,FALSE,"Plan2"}</definedName>
    <definedName name="frçt4r" localSheetId="2" hidden="1">{#N/A,#N/A,FALSE,"Plan1";#N/A,#N/A,FALSE,"Plan2"}</definedName>
    <definedName name="frçt4r" localSheetId="16" hidden="1">{#N/A,#N/A,FALSE,"Plan1";#N/A,#N/A,FALSE,"Plan2"}</definedName>
    <definedName name="frçt4r" localSheetId="0" hidden="1">{#N/A,#N/A,FALSE,"Plan1";#N/A,#N/A,FALSE,"Plan2"}</definedName>
    <definedName name="frçt4r" localSheetId="26" hidden="1">{#N/A,#N/A,FALSE,"Plan1";#N/A,#N/A,FALSE,"Plan2"}</definedName>
    <definedName name="frçt4r" localSheetId="11" hidden="1">{#N/A,#N/A,FALSE,"Plan1";#N/A,#N/A,FALSE,"Plan2"}</definedName>
    <definedName name="frçt4r" hidden="1">{#N/A,#N/A,FALSE,"Plan1";#N/A,#N/A,FALSE,"Plan2"}</definedName>
    <definedName name="frdtty" localSheetId="24" hidden="1">{#N/A,#N/A,FALSE,"Plan1";#N/A,#N/A,FALSE,"Plan2"}</definedName>
    <definedName name="frdtty" localSheetId="7" hidden="1">{#N/A,#N/A,FALSE,"Plan1";#N/A,#N/A,FALSE,"Plan2"}</definedName>
    <definedName name="frdtty" localSheetId="9" hidden="1">{#N/A,#N/A,FALSE,"Plan1";#N/A,#N/A,FALSE,"Plan2"}</definedName>
    <definedName name="frdtty" localSheetId="3" hidden="1">{#N/A,#N/A,FALSE,"Plan1";#N/A,#N/A,FALSE,"Plan2"}</definedName>
    <definedName name="frdtty" localSheetId="2" hidden="1">{#N/A,#N/A,FALSE,"Plan1";#N/A,#N/A,FALSE,"Plan2"}</definedName>
    <definedName name="frdtty" localSheetId="16" hidden="1">{#N/A,#N/A,FALSE,"Plan1";#N/A,#N/A,FALSE,"Plan2"}</definedName>
    <definedName name="frdtty" localSheetId="0" hidden="1">{#N/A,#N/A,FALSE,"Plan1";#N/A,#N/A,FALSE,"Plan2"}</definedName>
    <definedName name="frdtty" localSheetId="26" hidden="1">{#N/A,#N/A,FALSE,"Plan1";#N/A,#N/A,FALSE,"Plan2"}</definedName>
    <definedName name="frdtty" localSheetId="11" hidden="1">{#N/A,#N/A,FALSE,"Plan1";#N/A,#N/A,FALSE,"Plan2"}</definedName>
    <definedName name="frdtty" hidden="1">{#N/A,#N/A,FALSE,"Plan1";#N/A,#N/A,FALSE,"Plan2"}</definedName>
    <definedName name="fsdfsf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localSheetId="24" hidden="1">{#N/A,#N/A,FALSE,"Plan1";#N/A,#N/A,FALSE,"Plan2"}</definedName>
    <definedName name="fuihgjk" localSheetId="7" hidden="1">{#N/A,#N/A,FALSE,"Plan1";#N/A,#N/A,FALSE,"Plan2"}</definedName>
    <definedName name="fuihgjk" localSheetId="9" hidden="1">{#N/A,#N/A,FALSE,"Plan1";#N/A,#N/A,FALSE,"Plan2"}</definedName>
    <definedName name="fuihgjk" localSheetId="3" hidden="1">{#N/A,#N/A,FALSE,"Plan1";#N/A,#N/A,FALSE,"Plan2"}</definedName>
    <definedName name="fuihgjk" localSheetId="2" hidden="1">{#N/A,#N/A,FALSE,"Plan1";#N/A,#N/A,FALSE,"Plan2"}</definedName>
    <definedName name="fuihgjk" localSheetId="16" hidden="1">{#N/A,#N/A,FALSE,"Plan1";#N/A,#N/A,FALSE,"Plan2"}</definedName>
    <definedName name="fuihgjk" localSheetId="0" hidden="1">{#N/A,#N/A,FALSE,"Plan1";#N/A,#N/A,FALSE,"Plan2"}</definedName>
    <definedName name="fuihgjk" localSheetId="26" hidden="1">{#N/A,#N/A,FALSE,"Plan1";#N/A,#N/A,FALSE,"Plan2"}</definedName>
    <definedName name="fuihgjk" localSheetId="11" hidden="1">{#N/A,#N/A,FALSE,"Plan1";#N/A,#N/A,FALSE,"Plan2"}</definedName>
    <definedName name="fuihgjk" hidden="1">{#N/A,#N/A,FALSE,"Plan1";#N/A,#N/A,FALSE,"Plan2"}</definedName>
    <definedName name="fuste" localSheetId="24">#REF!</definedName>
    <definedName name="fuste" localSheetId="7">#REF!</definedName>
    <definedName name="fuste" localSheetId="3">#REF!</definedName>
    <definedName name="fuste" localSheetId="26">#REF!</definedName>
    <definedName name="fuste">#REF!</definedName>
    <definedName name="fxjghkfg" localSheetId="24" hidden="1">{#N/A,#N/A,FALSE,"Plan1";#N/A,#N/A,FALSE,"Plan2"}</definedName>
    <definedName name="fxjghkfg" localSheetId="7" hidden="1">{#N/A,#N/A,FALSE,"Plan1";#N/A,#N/A,FALSE,"Plan2"}</definedName>
    <definedName name="fxjghkfg" localSheetId="9" hidden="1">{#N/A,#N/A,FALSE,"Plan1";#N/A,#N/A,FALSE,"Plan2"}</definedName>
    <definedName name="fxjghkfg" localSheetId="3" hidden="1">{#N/A,#N/A,FALSE,"Plan1";#N/A,#N/A,FALSE,"Plan2"}</definedName>
    <definedName name="fxjghkfg" localSheetId="2" hidden="1">{#N/A,#N/A,FALSE,"Plan1";#N/A,#N/A,FALSE,"Plan2"}</definedName>
    <definedName name="fxjghkfg" localSheetId="16" hidden="1">{#N/A,#N/A,FALSE,"Plan1";#N/A,#N/A,FALSE,"Plan2"}</definedName>
    <definedName name="fxjghkfg" localSheetId="0" hidden="1">{#N/A,#N/A,FALSE,"Plan1";#N/A,#N/A,FALSE,"Plan2"}</definedName>
    <definedName name="fxjghkfg" localSheetId="26" hidden="1">{#N/A,#N/A,FALSE,"Plan1";#N/A,#N/A,FALSE,"Plan2"}</definedName>
    <definedName name="fxjghkfg" localSheetId="11" hidden="1">{#N/A,#N/A,FALSE,"Plan1";#N/A,#N/A,FALSE,"Plan2"}</definedName>
    <definedName name="fxjghkfg" hidden="1">{#N/A,#N/A,FALSE,"Plan1";#N/A,#N/A,FALSE,"Plan2"}</definedName>
    <definedName name="g_10" localSheetId="24">#REF!</definedName>
    <definedName name="g_10" localSheetId="7">#REF!</definedName>
    <definedName name="g_10" localSheetId="3">#REF!</definedName>
    <definedName name="g_10" localSheetId="26">#REF!</definedName>
    <definedName name="g_10">#REF!</definedName>
    <definedName name="g_11" localSheetId="7">#REF!</definedName>
    <definedName name="g_11" localSheetId="3">#REF!</definedName>
    <definedName name="g_11">#REF!</definedName>
    <definedName name="g_12" localSheetId="7">#REF!</definedName>
    <definedName name="g_12" localSheetId="3">#REF!</definedName>
    <definedName name="g_12">#REF!</definedName>
    <definedName name="g_13" localSheetId="7">#REF!</definedName>
    <definedName name="g_13" localSheetId="3">#REF!</definedName>
    <definedName name="g_13">#REF!</definedName>
    <definedName name="g_15" localSheetId="7">#REF!</definedName>
    <definedName name="g_15" localSheetId="3">#REF!</definedName>
    <definedName name="g_15">#REF!</definedName>
    <definedName name="g_16" localSheetId="7">#REF!</definedName>
    <definedName name="g_16" localSheetId="3">#REF!</definedName>
    <definedName name="g_16">#REF!</definedName>
    <definedName name="g_17" localSheetId="7">#REF!</definedName>
    <definedName name="g_17" localSheetId="3">#REF!</definedName>
    <definedName name="g_17">#REF!</definedName>
    <definedName name="g_19" localSheetId="7">#REF!</definedName>
    <definedName name="g_19" localSheetId="3">#REF!</definedName>
    <definedName name="g_19">#REF!</definedName>
    <definedName name="g_21" localSheetId="7">#REF!</definedName>
    <definedName name="g_21" localSheetId="3">#REF!</definedName>
    <definedName name="g_21">#REF!</definedName>
    <definedName name="g_25" localSheetId="7">#REF!</definedName>
    <definedName name="g_25" localSheetId="3">#REF!</definedName>
    <definedName name="g_25">#REF!</definedName>
    <definedName name="g_27" localSheetId="7">#REF!</definedName>
    <definedName name="g_27" localSheetId="3">#REF!</definedName>
    <definedName name="g_27">#REF!</definedName>
    <definedName name="g_31" localSheetId="7">#REF!</definedName>
    <definedName name="g_31" localSheetId="3">#REF!</definedName>
    <definedName name="g_31">#REF!</definedName>
    <definedName name="g_32" localSheetId="7">#REF!</definedName>
    <definedName name="g_32" localSheetId="3">#REF!</definedName>
    <definedName name="g_32">#REF!</definedName>
    <definedName name="g_33" localSheetId="7">#REF!</definedName>
    <definedName name="g_33" localSheetId="3">#REF!</definedName>
    <definedName name="g_33">#REF!</definedName>
    <definedName name="g_34" localSheetId="7">#REF!</definedName>
    <definedName name="g_34" localSheetId="3">#REF!</definedName>
    <definedName name="g_34">#REF!</definedName>
    <definedName name="G_35" localSheetId="7">#REF!</definedName>
    <definedName name="G_35" localSheetId="3">#REF!</definedName>
    <definedName name="G_35">#REF!</definedName>
    <definedName name="g_37" localSheetId="7">#REF!</definedName>
    <definedName name="g_37" localSheetId="3">#REF!</definedName>
    <definedName name="g_37">#REF!</definedName>
    <definedName name="g_41" localSheetId="7">#REF!</definedName>
    <definedName name="g_41" localSheetId="3">#REF!</definedName>
    <definedName name="g_41">#REF!</definedName>
    <definedName name="g_42" localSheetId="7">#REF!</definedName>
    <definedName name="g_42" localSheetId="3">#REF!</definedName>
    <definedName name="g_42">#REF!</definedName>
    <definedName name="g_45" localSheetId="7">#REF!</definedName>
    <definedName name="g_45" localSheetId="3">#REF!</definedName>
    <definedName name="g_45">#REF!</definedName>
    <definedName name="g_47" localSheetId="7">#REF!</definedName>
    <definedName name="g_47" localSheetId="3">#REF!</definedName>
    <definedName name="g_47">#REF!</definedName>
    <definedName name="g_51" localSheetId="7">#REF!</definedName>
    <definedName name="g_51" localSheetId="3">#REF!</definedName>
    <definedName name="g_51">#REF!</definedName>
    <definedName name="g_52" localSheetId="7">#REF!</definedName>
    <definedName name="g_52" localSheetId="3">#REF!</definedName>
    <definedName name="g_52">#REF!</definedName>
    <definedName name="g_53" localSheetId="7">#REF!</definedName>
    <definedName name="g_53" localSheetId="3">#REF!</definedName>
    <definedName name="g_53">#REF!</definedName>
    <definedName name="G_54" localSheetId="7">#REF!</definedName>
    <definedName name="G_54" localSheetId="3">#REF!</definedName>
    <definedName name="G_54">#REF!</definedName>
    <definedName name="G_55" localSheetId="7">#REF!</definedName>
    <definedName name="G_55" localSheetId="3">#REF!</definedName>
    <definedName name="G_55">#REF!</definedName>
    <definedName name="G_56" localSheetId="7">#REF!</definedName>
    <definedName name="G_56" localSheetId="3">#REF!</definedName>
    <definedName name="G_56">#REF!</definedName>
    <definedName name="G_57" localSheetId="7">#REF!</definedName>
    <definedName name="G_57" localSheetId="3">#REF!</definedName>
    <definedName name="G_57">#REF!</definedName>
    <definedName name="G_58" localSheetId="7">#REF!</definedName>
    <definedName name="G_58" localSheetId="3">#REF!</definedName>
    <definedName name="G_58">#REF!</definedName>
    <definedName name="G_59" localSheetId="7">#REF!</definedName>
    <definedName name="G_59" localSheetId="3">#REF!</definedName>
    <definedName name="G_59">#REF!</definedName>
    <definedName name="G_61" localSheetId="7">#REF!</definedName>
    <definedName name="G_61" localSheetId="3">#REF!</definedName>
    <definedName name="G_61">#REF!</definedName>
    <definedName name="G_63" localSheetId="7">#REF!</definedName>
    <definedName name="G_63" localSheetId="3">#REF!</definedName>
    <definedName name="G_63">#REF!</definedName>
    <definedName name="G_65" localSheetId="7">#REF!</definedName>
    <definedName name="G_65" localSheetId="3">#REF!</definedName>
    <definedName name="G_65">#REF!</definedName>
    <definedName name="G_67" localSheetId="7">#REF!</definedName>
    <definedName name="G_67" localSheetId="3">#REF!</definedName>
    <definedName name="G_67">#REF!</definedName>
    <definedName name="g_68" localSheetId="7">#REF!</definedName>
    <definedName name="g_68" localSheetId="3">#REF!</definedName>
    <definedName name="g_68">#REF!</definedName>
    <definedName name="g_69" localSheetId="7">#REF!</definedName>
    <definedName name="g_69" localSheetId="3">#REF!</definedName>
    <definedName name="g_69">#REF!</definedName>
    <definedName name="G_71" localSheetId="7">#REF!</definedName>
    <definedName name="G_71" localSheetId="3">#REF!</definedName>
    <definedName name="G_71">#REF!</definedName>
    <definedName name="G_73" localSheetId="7">#REF!</definedName>
    <definedName name="G_73" localSheetId="3">#REF!</definedName>
    <definedName name="G_73">#REF!</definedName>
    <definedName name="G_75" localSheetId="7">#REF!</definedName>
    <definedName name="G_75" localSheetId="3">#REF!</definedName>
    <definedName name="G_75">#REF!</definedName>
    <definedName name="G_77" localSheetId="7">#REF!</definedName>
    <definedName name="G_77" localSheetId="3">#REF!</definedName>
    <definedName name="G_77">#REF!</definedName>
    <definedName name="G_78" localSheetId="7">#REF!</definedName>
    <definedName name="G_78" localSheetId="3">#REF!</definedName>
    <definedName name="G_78">#REF!</definedName>
    <definedName name="G_81" localSheetId="7">#REF!</definedName>
    <definedName name="G_81" localSheetId="3">#REF!</definedName>
    <definedName name="G_81">#REF!</definedName>
    <definedName name="G_83" localSheetId="7">#REF!</definedName>
    <definedName name="G_83" localSheetId="3">#REF!</definedName>
    <definedName name="G_83">#REF!</definedName>
    <definedName name="G_85" localSheetId="7">#REF!</definedName>
    <definedName name="G_85" localSheetId="3">#REF!</definedName>
    <definedName name="G_85">#REF!</definedName>
    <definedName name="G_87" localSheetId="7">#REF!</definedName>
    <definedName name="G_87" localSheetId="3">#REF!</definedName>
    <definedName name="G_87">#REF!</definedName>
    <definedName name="G_90" localSheetId="7">#REF!</definedName>
    <definedName name="G_90" localSheetId="3">#REF!</definedName>
    <definedName name="G_90">#REF!</definedName>
    <definedName name="G_91" localSheetId="7">#REF!</definedName>
    <definedName name="G_91" localSheetId="3">#REF!</definedName>
    <definedName name="G_91">#REF!</definedName>
    <definedName name="G_92" localSheetId="7">#REF!</definedName>
    <definedName name="G_92" localSheetId="3">#REF!</definedName>
    <definedName name="G_92">#REF!</definedName>
    <definedName name="G_94" localSheetId="7">#REF!</definedName>
    <definedName name="G_94" localSheetId="3">#REF!</definedName>
    <definedName name="G_94">#REF!</definedName>
    <definedName name="G_95" localSheetId="7">#REF!</definedName>
    <definedName name="G_95" localSheetId="3">#REF!</definedName>
    <definedName name="G_95">#REF!</definedName>
    <definedName name="G_96" localSheetId="7">#REF!</definedName>
    <definedName name="G_96" localSheetId="3">#REF!</definedName>
    <definedName name="G_96">#REF!</definedName>
    <definedName name="galo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 localSheetId="24">#REF!</definedName>
    <definedName name="GARAGEM" localSheetId="7">#REF!</definedName>
    <definedName name="GARAGEM" localSheetId="3">#REF!</definedName>
    <definedName name="GARAGEM" localSheetId="26">#REF!</definedName>
    <definedName name="GARAGEM">#REF!</definedName>
    <definedName name="garcia" localSheetId="7">#REF!</definedName>
    <definedName name="garcia" localSheetId="3">#REF!</definedName>
    <definedName name="garcia">#REF!</definedName>
    <definedName name="GASTOS_JULHO" localSheetId="7">#REF!</definedName>
    <definedName name="GASTOS_JULHO" localSheetId="3">#REF!</definedName>
    <definedName name="GASTOS_JULHO">#REF!</definedName>
    <definedName name="gbdjkvhgd" localSheetId="24" hidden="1">{#N/A,#N/A,FALSE,"Plan1";#N/A,#N/A,FALSE,"Plan2"}</definedName>
    <definedName name="gbdjkvhgd" localSheetId="7" hidden="1">{#N/A,#N/A,FALSE,"Plan1";#N/A,#N/A,FALSE,"Plan2"}</definedName>
    <definedName name="gbdjkvhgd" localSheetId="9" hidden="1">{#N/A,#N/A,FALSE,"Plan1";#N/A,#N/A,FALSE,"Plan2"}</definedName>
    <definedName name="gbdjkvhgd" localSheetId="3" hidden="1">{#N/A,#N/A,FALSE,"Plan1";#N/A,#N/A,FALSE,"Plan2"}</definedName>
    <definedName name="gbdjkvhgd" localSheetId="2" hidden="1">{#N/A,#N/A,FALSE,"Plan1";#N/A,#N/A,FALSE,"Plan2"}</definedName>
    <definedName name="gbdjkvhgd" localSheetId="16" hidden="1">{#N/A,#N/A,FALSE,"Plan1";#N/A,#N/A,FALSE,"Plan2"}</definedName>
    <definedName name="gbdjkvhgd" localSheetId="0" hidden="1">{#N/A,#N/A,FALSE,"Plan1";#N/A,#N/A,FALSE,"Plan2"}</definedName>
    <definedName name="gbdjkvhgd" localSheetId="26" hidden="1">{#N/A,#N/A,FALSE,"Plan1";#N/A,#N/A,FALSE,"Plan2"}</definedName>
    <definedName name="gbdjkvhgd" localSheetId="11" hidden="1">{#N/A,#N/A,FALSE,"Plan1";#N/A,#N/A,FALSE,"Plan2"}</definedName>
    <definedName name="gbdjkvhgd" hidden="1">{#N/A,#N/A,FALSE,"Plan1";#N/A,#N/A,FALSE,"Plan2"}</definedName>
    <definedName name="gbdsjgsjfdgj" localSheetId="24" hidden="1">{#N/A,#N/A,FALSE,"Plan1";#N/A,#N/A,FALSE,"Plan2"}</definedName>
    <definedName name="gbdsjgsjfdgj" localSheetId="7" hidden="1">{#N/A,#N/A,FALSE,"Plan1";#N/A,#N/A,FALSE,"Plan2"}</definedName>
    <definedName name="gbdsjgsjfdgj" localSheetId="9" hidden="1">{#N/A,#N/A,FALSE,"Plan1";#N/A,#N/A,FALSE,"Plan2"}</definedName>
    <definedName name="gbdsjgsjfdgj" localSheetId="3" hidden="1">{#N/A,#N/A,FALSE,"Plan1";#N/A,#N/A,FALSE,"Plan2"}</definedName>
    <definedName name="gbdsjgsjfdgj" localSheetId="2" hidden="1">{#N/A,#N/A,FALSE,"Plan1";#N/A,#N/A,FALSE,"Plan2"}</definedName>
    <definedName name="gbdsjgsjfdgj" localSheetId="16" hidden="1">{#N/A,#N/A,FALSE,"Plan1";#N/A,#N/A,FALSE,"Plan2"}</definedName>
    <definedName name="gbdsjgsjfdgj" localSheetId="0" hidden="1">{#N/A,#N/A,FALSE,"Plan1";#N/A,#N/A,FALSE,"Plan2"}</definedName>
    <definedName name="gbdsjgsjfdgj" localSheetId="26" hidden="1">{#N/A,#N/A,FALSE,"Plan1";#N/A,#N/A,FALSE,"Plan2"}</definedName>
    <definedName name="gbdsjgsjfdgj" localSheetId="11" hidden="1">{#N/A,#N/A,FALSE,"Plan1";#N/A,#N/A,FALSE,"Plan2"}</definedName>
    <definedName name="gbdsjgsjfdgj" hidden="1">{#N/A,#N/A,FALSE,"Plan1";#N/A,#N/A,FALSE,"Plan2"}</definedName>
    <definedName name="gdfdhgfjgj" localSheetId="24" hidden="1">{#N/A,#N/A,FALSE,"Plan1";#N/A,#N/A,FALSE,"Plan2"}</definedName>
    <definedName name="gdfdhgfjgj" localSheetId="7" hidden="1">{#N/A,#N/A,FALSE,"Plan1";#N/A,#N/A,FALSE,"Plan2"}</definedName>
    <definedName name="gdfdhgfjgj" localSheetId="9" hidden="1">{#N/A,#N/A,FALSE,"Plan1";#N/A,#N/A,FALSE,"Plan2"}</definedName>
    <definedName name="gdfdhgfjgj" localSheetId="3" hidden="1">{#N/A,#N/A,FALSE,"Plan1";#N/A,#N/A,FALSE,"Plan2"}</definedName>
    <definedName name="gdfdhgfjgj" localSheetId="2" hidden="1">{#N/A,#N/A,FALSE,"Plan1";#N/A,#N/A,FALSE,"Plan2"}</definedName>
    <definedName name="gdfdhgfjgj" localSheetId="16" hidden="1">{#N/A,#N/A,FALSE,"Plan1";#N/A,#N/A,FALSE,"Plan2"}</definedName>
    <definedName name="gdfdhgfjgj" localSheetId="0" hidden="1">{#N/A,#N/A,FALSE,"Plan1";#N/A,#N/A,FALSE,"Plan2"}</definedName>
    <definedName name="gdfdhgfjgj" localSheetId="26" hidden="1">{#N/A,#N/A,FALSE,"Plan1";#N/A,#N/A,FALSE,"Plan2"}</definedName>
    <definedName name="gdfdhgfjgj" localSheetId="11" hidden="1">{#N/A,#N/A,FALSE,"Plan1";#N/A,#N/A,FALSE,"Plan2"}</definedName>
    <definedName name="gdfdhgfjgj" hidden="1">{#N/A,#N/A,FALSE,"Plan1";#N/A,#N/A,FALSE,"Plan2"}</definedName>
    <definedName name="gdfgdstggt" localSheetId="24" hidden="1">{#N/A,#N/A,FALSE,"Plan1";#N/A,#N/A,FALSE,"Plan2"}</definedName>
    <definedName name="gdfgdstggt" localSheetId="7" hidden="1">{#N/A,#N/A,FALSE,"Plan1";#N/A,#N/A,FALSE,"Plan2"}</definedName>
    <definedName name="gdfgdstggt" localSheetId="9" hidden="1">{#N/A,#N/A,FALSE,"Plan1";#N/A,#N/A,FALSE,"Plan2"}</definedName>
    <definedName name="gdfgdstggt" localSheetId="3" hidden="1">{#N/A,#N/A,FALSE,"Plan1";#N/A,#N/A,FALSE,"Plan2"}</definedName>
    <definedName name="gdfgdstggt" localSheetId="2" hidden="1">{#N/A,#N/A,FALSE,"Plan1";#N/A,#N/A,FALSE,"Plan2"}</definedName>
    <definedName name="gdfgdstggt" localSheetId="16" hidden="1">{#N/A,#N/A,FALSE,"Plan1";#N/A,#N/A,FALSE,"Plan2"}</definedName>
    <definedName name="gdfgdstggt" localSheetId="0" hidden="1">{#N/A,#N/A,FALSE,"Plan1";#N/A,#N/A,FALSE,"Plan2"}</definedName>
    <definedName name="gdfgdstggt" localSheetId="26" hidden="1">{#N/A,#N/A,FALSE,"Plan1";#N/A,#N/A,FALSE,"Plan2"}</definedName>
    <definedName name="gdfgdstggt" localSheetId="11" hidden="1">{#N/A,#N/A,FALSE,"Plan1";#N/A,#N/A,FALSE,"Plan2"}</definedName>
    <definedName name="gdfgdstggt" hidden="1">{#N/A,#N/A,FALSE,"Plan1";#N/A,#N/A,FALSE,"Plan2"}</definedName>
    <definedName name="GDFHGRJGFJDRF" localSheetId="24" hidden="1">{"Econ Consolidado",#N/A,FALSE,"Econ Consol";"Fluxo de Caixa",#N/A,FALSE,"Fluxo Caixa";"Investimentos",#N/A,FALSE,"Investimentos"}</definedName>
    <definedName name="GDFHGRJGFJDRF" localSheetId="7" hidden="1">{"Econ Consolidado",#N/A,FALSE,"Econ Consol";"Fluxo de Caixa",#N/A,FALSE,"Fluxo Caixa";"Investimentos",#N/A,FALSE,"Investimentos"}</definedName>
    <definedName name="GDFHGRJGFJDRF" localSheetId="9" hidden="1">{"Econ Consolidado",#N/A,FALSE,"Econ Consol";"Fluxo de Caixa",#N/A,FALSE,"Fluxo Caixa";"Investimentos",#N/A,FALSE,"Investimentos"}</definedName>
    <definedName name="GDFHGRJGFJDRF" localSheetId="3" hidden="1">{"Econ Consolidado",#N/A,FALSE,"Econ Consol";"Fluxo de Caixa",#N/A,FALSE,"Fluxo Caixa";"Investimentos",#N/A,FALSE,"Investimentos"}</definedName>
    <definedName name="GDFHGRJGFJDRF" localSheetId="2" hidden="1">{"Econ Consolidado",#N/A,FALSE,"Econ Consol";"Fluxo de Caixa",#N/A,FALSE,"Fluxo Caixa";"Investimentos",#N/A,FALSE,"Investimentos"}</definedName>
    <definedName name="GDFHGRJGFJDRF" localSheetId="16" hidden="1">{"Econ Consolidado",#N/A,FALSE,"Econ Consol";"Fluxo de Caixa",#N/A,FALSE,"Fluxo Caixa";"Investimentos",#N/A,FALSE,"Investimentos"}</definedName>
    <definedName name="GDFHGRJGFJDRF" localSheetId="0" hidden="1">{"Econ Consolidado",#N/A,FALSE,"Econ Consol";"Fluxo de Caixa",#N/A,FALSE,"Fluxo Caixa";"Investimentos",#N/A,FALSE,"Investimentos"}</definedName>
    <definedName name="GDFHGRJGFJDRF" localSheetId="26" hidden="1">{"Econ Consolidado",#N/A,FALSE,"Econ Consol";"Fluxo de Caixa",#N/A,FALSE,"Fluxo Caixa";"Investimentos",#N/A,FALSE,"Investimentos"}</definedName>
    <definedName name="GDFHGRJGFJDRF" localSheetId="11" hidden="1">{"Econ Consolidado",#N/A,FALSE,"Econ Consol";"Fluxo de Caixa",#N/A,FALSE,"Fluxo Caixa";"Investimentos",#N/A,FALSE,"Investimentos"}</definedName>
    <definedName name="GDFHGRJGFJDRF" hidden="1">{"Econ Consolidado",#N/A,FALSE,"Econ Consol";"Fluxo de Caixa",#N/A,FALSE,"Fluxo Caixa";"Investimentos",#N/A,FALSE,"Investimentos"}</definedName>
    <definedName name="gdfigfhuyuy" localSheetId="24" hidden="1">{#N/A,#N/A,FALSE,"Plan1";#N/A,#N/A,FALSE,"Plan2"}</definedName>
    <definedName name="gdfigfhuyuy" localSheetId="7" hidden="1">{#N/A,#N/A,FALSE,"Plan1";#N/A,#N/A,FALSE,"Plan2"}</definedName>
    <definedName name="gdfigfhuyuy" localSheetId="9" hidden="1">{#N/A,#N/A,FALSE,"Plan1";#N/A,#N/A,FALSE,"Plan2"}</definedName>
    <definedName name="gdfigfhuyuy" localSheetId="3" hidden="1">{#N/A,#N/A,FALSE,"Plan1";#N/A,#N/A,FALSE,"Plan2"}</definedName>
    <definedName name="gdfigfhuyuy" localSheetId="2" hidden="1">{#N/A,#N/A,FALSE,"Plan1";#N/A,#N/A,FALSE,"Plan2"}</definedName>
    <definedName name="gdfigfhuyuy" localSheetId="16" hidden="1">{#N/A,#N/A,FALSE,"Plan1";#N/A,#N/A,FALSE,"Plan2"}</definedName>
    <definedName name="gdfigfhuyuy" localSheetId="0" hidden="1">{#N/A,#N/A,FALSE,"Plan1";#N/A,#N/A,FALSE,"Plan2"}</definedName>
    <definedName name="gdfigfhuyuy" localSheetId="26" hidden="1">{#N/A,#N/A,FALSE,"Plan1";#N/A,#N/A,FALSE,"Plan2"}</definedName>
    <definedName name="gdfigfhuyuy" localSheetId="11" hidden="1">{#N/A,#N/A,FALSE,"Plan1";#N/A,#N/A,FALSE,"Plan2"}</definedName>
    <definedName name="gdfigfhuyuy" hidden="1">{#N/A,#N/A,FALSE,"Plan1";#N/A,#N/A,FALSE,"Plan2"}</definedName>
    <definedName name="gdfsgfew" localSheetId="24" hidden="1">{#N/A,#N/A,FALSE,"Plan1";#N/A,#N/A,FALSE,"Plan2"}</definedName>
    <definedName name="gdfsgfew" localSheetId="7" hidden="1">{#N/A,#N/A,FALSE,"Plan1";#N/A,#N/A,FALSE,"Plan2"}</definedName>
    <definedName name="gdfsgfew" localSheetId="9" hidden="1">{#N/A,#N/A,FALSE,"Plan1";#N/A,#N/A,FALSE,"Plan2"}</definedName>
    <definedName name="gdfsgfew" localSheetId="3" hidden="1">{#N/A,#N/A,FALSE,"Plan1";#N/A,#N/A,FALSE,"Plan2"}</definedName>
    <definedName name="gdfsgfew" localSheetId="2" hidden="1">{#N/A,#N/A,FALSE,"Plan1";#N/A,#N/A,FALSE,"Plan2"}</definedName>
    <definedName name="gdfsgfew" localSheetId="16" hidden="1">{#N/A,#N/A,FALSE,"Plan1";#N/A,#N/A,FALSE,"Plan2"}</definedName>
    <definedName name="gdfsgfew" localSheetId="0" hidden="1">{#N/A,#N/A,FALSE,"Plan1";#N/A,#N/A,FALSE,"Plan2"}</definedName>
    <definedName name="gdfsgfew" localSheetId="26" hidden="1">{#N/A,#N/A,FALSE,"Plan1";#N/A,#N/A,FALSE,"Plan2"}</definedName>
    <definedName name="gdfsgfew" localSheetId="11" hidden="1">{#N/A,#N/A,FALSE,"Plan1";#N/A,#N/A,FALSE,"Plan2"}</definedName>
    <definedName name="gdfsgfew" hidden="1">{#N/A,#N/A,FALSE,"Plan1";#N/A,#N/A,FALSE,"Plan2"}</definedName>
    <definedName name="gdhfgdhfgf" localSheetId="24" hidden="1">{#N/A,#N/A,FALSE,"Plan1";#N/A,#N/A,FALSE,"Plan2"}</definedName>
    <definedName name="gdhfgdhfgf" localSheetId="7" hidden="1">{#N/A,#N/A,FALSE,"Plan1";#N/A,#N/A,FALSE,"Plan2"}</definedName>
    <definedName name="gdhfgdhfgf" localSheetId="9" hidden="1">{#N/A,#N/A,FALSE,"Plan1";#N/A,#N/A,FALSE,"Plan2"}</definedName>
    <definedName name="gdhfgdhfgf" localSheetId="3" hidden="1">{#N/A,#N/A,FALSE,"Plan1";#N/A,#N/A,FALSE,"Plan2"}</definedName>
    <definedName name="gdhfgdhfgf" localSheetId="2" hidden="1">{#N/A,#N/A,FALSE,"Plan1";#N/A,#N/A,FALSE,"Plan2"}</definedName>
    <definedName name="gdhfgdhfgf" localSheetId="16" hidden="1">{#N/A,#N/A,FALSE,"Plan1";#N/A,#N/A,FALSE,"Plan2"}</definedName>
    <definedName name="gdhfgdhfgf" localSheetId="0" hidden="1">{#N/A,#N/A,FALSE,"Plan1";#N/A,#N/A,FALSE,"Plan2"}</definedName>
    <definedName name="gdhfgdhfgf" localSheetId="26" hidden="1">{#N/A,#N/A,FALSE,"Plan1";#N/A,#N/A,FALSE,"Plan2"}</definedName>
    <definedName name="gdhfgdhfgf" localSheetId="11" hidden="1">{#N/A,#N/A,FALSE,"Plan1";#N/A,#N/A,FALSE,"Plan2"}</definedName>
    <definedName name="gdhfgdhfgf" hidden="1">{#N/A,#N/A,FALSE,"Plan1";#N/A,#N/A,FALSE,"Plan2"}</definedName>
    <definedName name="gdsfhefrwrw" localSheetId="24" hidden="1">{#N/A,#N/A,FALSE,"Plan1";#N/A,#N/A,FALSE,"Plan2"}</definedName>
    <definedName name="gdsfhefrwrw" localSheetId="7" hidden="1">{#N/A,#N/A,FALSE,"Plan1";#N/A,#N/A,FALSE,"Plan2"}</definedName>
    <definedName name="gdsfhefrwrw" localSheetId="9" hidden="1">{#N/A,#N/A,FALSE,"Plan1";#N/A,#N/A,FALSE,"Plan2"}</definedName>
    <definedName name="gdsfhefrwrw" localSheetId="3" hidden="1">{#N/A,#N/A,FALSE,"Plan1";#N/A,#N/A,FALSE,"Plan2"}</definedName>
    <definedName name="gdsfhefrwrw" localSheetId="2" hidden="1">{#N/A,#N/A,FALSE,"Plan1";#N/A,#N/A,FALSE,"Plan2"}</definedName>
    <definedName name="gdsfhefrwrw" localSheetId="16" hidden="1">{#N/A,#N/A,FALSE,"Plan1";#N/A,#N/A,FALSE,"Plan2"}</definedName>
    <definedName name="gdsfhefrwrw" localSheetId="0" hidden="1">{#N/A,#N/A,FALSE,"Plan1";#N/A,#N/A,FALSE,"Plan2"}</definedName>
    <definedName name="gdsfhefrwrw" localSheetId="26" hidden="1">{#N/A,#N/A,FALSE,"Plan1";#N/A,#N/A,FALSE,"Plan2"}</definedName>
    <definedName name="gdsfhefrwrw" localSheetId="11" hidden="1">{#N/A,#N/A,FALSE,"Plan1";#N/A,#N/A,FALSE,"Plan2"}</definedName>
    <definedName name="gdsfhefrwrw" hidden="1">{#N/A,#N/A,FALSE,"Plan1";#N/A,#N/A,FALSE,"Plan2"}</definedName>
    <definedName name="GER_TECNICO" localSheetId="24">#REF!</definedName>
    <definedName name="GER_TECNICO" localSheetId="7">#REF!</definedName>
    <definedName name="GER_TECNICO" localSheetId="3">#REF!</definedName>
    <definedName name="GER_TECNICO" localSheetId="26">#REF!</definedName>
    <definedName name="GER_TECNICO">#REF!</definedName>
    <definedName name="Gerentes" localSheetId="7">#REF!</definedName>
    <definedName name="Gerentes" localSheetId="3">#REF!</definedName>
    <definedName name="Gerentes">#REF!</definedName>
    <definedName name="geshrjhed" localSheetId="24" hidden="1">{#N/A,#N/A,FALSE,"Plan1";#N/A,#N/A,FALSE,"Plan2"}</definedName>
    <definedName name="geshrjhed" localSheetId="7" hidden="1">{#N/A,#N/A,FALSE,"Plan1";#N/A,#N/A,FALSE,"Plan2"}</definedName>
    <definedName name="geshrjhed" localSheetId="9" hidden="1">{#N/A,#N/A,FALSE,"Plan1";#N/A,#N/A,FALSE,"Plan2"}</definedName>
    <definedName name="geshrjhed" localSheetId="3" hidden="1">{#N/A,#N/A,FALSE,"Plan1";#N/A,#N/A,FALSE,"Plan2"}</definedName>
    <definedName name="geshrjhed" localSheetId="2" hidden="1">{#N/A,#N/A,FALSE,"Plan1";#N/A,#N/A,FALSE,"Plan2"}</definedName>
    <definedName name="geshrjhed" localSheetId="16" hidden="1">{#N/A,#N/A,FALSE,"Plan1";#N/A,#N/A,FALSE,"Plan2"}</definedName>
    <definedName name="geshrjhed" localSheetId="0" hidden="1">{#N/A,#N/A,FALSE,"Plan1";#N/A,#N/A,FALSE,"Plan2"}</definedName>
    <definedName name="geshrjhed" localSheetId="26" hidden="1">{#N/A,#N/A,FALSE,"Plan1";#N/A,#N/A,FALSE,"Plan2"}</definedName>
    <definedName name="geshrjhed" localSheetId="11" hidden="1">{#N/A,#N/A,FALSE,"Plan1";#N/A,#N/A,FALSE,"Plan2"}</definedName>
    <definedName name="geshrjhed" hidden="1">{#N/A,#N/A,FALSE,"Plan1";#N/A,#N/A,FALSE,"Plan2"}</definedName>
    <definedName name="gestao" localSheetId="7" hidden="1">OFFSET(INDEX(#REF!,MATCH(#REF!,#REF!,0)),1,0,COUNTA(#REF!)-1)</definedName>
    <definedName name="gestao" localSheetId="3" hidden="1">OFFSET(INDEX(#REF!,MATCH(#REF!,#REF!,0)),1,0,COUNTA(#REF!)-1)</definedName>
    <definedName name="gestao" localSheetId="0" hidden="1">OFFSET(INDEX(#REF!,MATCH(#REF!,#REF!,0)),1,0,COUNTA(#REF!)-1)</definedName>
    <definedName name="gestao" hidden="1">OFFSET(INDEX(#REF!,MATCH(#REF!,#REF!,0)),1,0,COUNTA(#REF!)-1)</definedName>
    <definedName name="gfdcgnkf" localSheetId="24" hidden="1">{#N/A,#N/A,FALSE,"Plan1";#N/A,#N/A,FALSE,"Plan2"}</definedName>
    <definedName name="gfdcgnkf" localSheetId="7" hidden="1">{#N/A,#N/A,FALSE,"Plan1";#N/A,#N/A,FALSE,"Plan2"}</definedName>
    <definedName name="gfdcgnkf" localSheetId="9" hidden="1">{#N/A,#N/A,FALSE,"Plan1";#N/A,#N/A,FALSE,"Plan2"}</definedName>
    <definedName name="gfdcgnkf" localSheetId="3" hidden="1">{#N/A,#N/A,FALSE,"Plan1";#N/A,#N/A,FALSE,"Plan2"}</definedName>
    <definedName name="gfdcgnkf" localSheetId="2" hidden="1">{#N/A,#N/A,FALSE,"Plan1";#N/A,#N/A,FALSE,"Plan2"}</definedName>
    <definedName name="gfdcgnkf" localSheetId="16" hidden="1">{#N/A,#N/A,FALSE,"Plan1";#N/A,#N/A,FALSE,"Plan2"}</definedName>
    <definedName name="gfdcgnkf" localSheetId="0" hidden="1">{#N/A,#N/A,FALSE,"Plan1";#N/A,#N/A,FALSE,"Plan2"}</definedName>
    <definedName name="gfdcgnkf" localSheetId="26" hidden="1">{#N/A,#N/A,FALSE,"Plan1";#N/A,#N/A,FALSE,"Plan2"}</definedName>
    <definedName name="gfdcgnkf" localSheetId="11" hidden="1">{#N/A,#N/A,FALSE,"Plan1";#N/A,#N/A,FALSE,"Plan2"}</definedName>
    <definedName name="gfdcgnkf" hidden="1">{#N/A,#N/A,FALSE,"Plan1";#N/A,#N/A,FALSE,"Plan2"}</definedName>
    <definedName name="gfdjtgur" localSheetId="24" hidden="1">{#N/A,#N/A,FALSE,"Plan1";#N/A,#N/A,FALSE,"Plan2"}</definedName>
    <definedName name="gfdjtgur" localSheetId="7" hidden="1">{#N/A,#N/A,FALSE,"Plan1";#N/A,#N/A,FALSE,"Plan2"}</definedName>
    <definedName name="gfdjtgur" localSheetId="9" hidden="1">{#N/A,#N/A,FALSE,"Plan1";#N/A,#N/A,FALSE,"Plan2"}</definedName>
    <definedName name="gfdjtgur" localSheetId="3" hidden="1">{#N/A,#N/A,FALSE,"Plan1";#N/A,#N/A,FALSE,"Plan2"}</definedName>
    <definedName name="gfdjtgur" localSheetId="2" hidden="1">{#N/A,#N/A,FALSE,"Plan1";#N/A,#N/A,FALSE,"Plan2"}</definedName>
    <definedName name="gfdjtgur" localSheetId="16" hidden="1">{#N/A,#N/A,FALSE,"Plan1";#N/A,#N/A,FALSE,"Plan2"}</definedName>
    <definedName name="gfdjtgur" localSheetId="0" hidden="1">{#N/A,#N/A,FALSE,"Plan1";#N/A,#N/A,FALSE,"Plan2"}</definedName>
    <definedName name="gfdjtgur" localSheetId="26" hidden="1">{#N/A,#N/A,FALSE,"Plan1";#N/A,#N/A,FALSE,"Plan2"}</definedName>
    <definedName name="gfdjtgur" localSheetId="11" hidden="1">{#N/A,#N/A,FALSE,"Plan1";#N/A,#N/A,FALSE,"Plan2"}</definedName>
    <definedName name="gfdjtgur" hidden="1">{#N/A,#N/A,FALSE,"Plan1";#N/A,#N/A,FALSE,"Plan2"}</definedName>
    <definedName name="gfdrtg" localSheetId="7" hidden="1">#REF!</definedName>
    <definedName name="gfdrtg" localSheetId="3" hidden="1">#REF!</definedName>
    <definedName name="gfdrtg" localSheetId="0" hidden="1">#REF!</definedName>
    <definedName name="gfdrtg" hidden="1">#REF!</definedName>
    <definedName name="gfgdhxgfdhf" localSheetId="24" hidden="1">{#N/A,#N/A,FALSE,"Plan1";#N/A,#N/A,FALSE,"Plan2"}</definedName>
    <definedName name="gfgdhxgfdhf" localSheetId="7" hidden="1">{#N/A,#N/A,FALSE,"Plan1";#N/A,#N/A,FALSE,"Plan2"}</definedName>
    <definedName name="gfgdhxgfdhf" localSheetId="9" hidden="1">{#N/A,#N/A,FALSE,"Plan1";#N/A,#N/A,FALSE,"Plan2"}</definedName>
    <definedName name="gfgdhxgfdhf" localSheetId="3" hidden="1">{#N/A,#N/A,FALSE,"Plan1";#N/A,#N/A,FALSE,"Plan2"}</definedName>
    <definedName name="gfgdhxgfdhf" localSheetId="2" hidden="1">{#N/A,#N/A,FALSE,"Plan1";#N/A,#N/A,FALSE,"Plan2"}</definedName>
    <definedName name="gfgdhxgfdhf" localSheetId="16" hidden="1">{#N/A,#N/A,FALSE,"Plan1";#N/A,#N/A,FALSE,"Plan2"}</definedName>
    <definedName name="gfgdhxgfdhf" localSheetId="0" hidden="1">{#N/A,#N/A,FALSE,"Plan1";#N/A,#N/A,FALSE,"Plan2"}</definedName>
    <definedName name="gfgdhxgfdhf" localSheetId="26" hidden="1">{#N/A,#N/A,FALSE,"Plan1";#N/A,#N/A,FALSE,"Plan2"}</definedName>
    <definedName name="gfgdhxgfdhf" localSheetId="11" hidden="1">{#N/A,#N/A,FALSE,"Plan1";#N/A,#N/A,FALSE,"Plan2"}</definedName>
    <definedName name="gfgdhxgfdhf" hidden="1">{#N/A,#N/A,FALSE,"Plan1";#N/A,#N/A,FALSE,"Plan2"}</definedName>
    <definedName name="gfhfdtgjb" localSheetId="24" hidden="1">{#N/A,#N/A,FALSE,"Plan1";#N/A,#N/A,FALSE,"Plan2"}</definedName>
    <definedName name="gfhfdtgjb" localSheetId="7" hidden="1">{#N/A,#N/A,FALSE,"Plan1";#N/A,#N/A,FALSE,"Plan2"}</definedName>
    <definedName name="gfhfdtgjb" localSheetId="9" hidden="1">{#N/A,#N/A,FALSE,"Plan1";#N/A,#N/A,FALSE,"Plan2"}</definedName>
    <definedName name="gfhfdtgjb" localSheetId="3" hidden="1">{#N/A,#N/A,FALSE,"Plan1";#N/A,#N/A,FALSE,"Plan2"}</definedName>
    <definedName name="gfhfdtgjb" localSheetId="2" hidden="1">{#N/A,#N/A,FALSE,"Plan1";#N/A,#N/A,FALSE,"Plan2"}</definedName>
    <definedName name="gfhfdtgjb" localSheetId="16" hidden="1">{#N/A,#N/A,FALSE,"Plan1";#N/A,#N/A,FALSE,"Plan2"}</definedName>
    <definedName name="gfhfdtgjb" localSheetId="0" hidden="1">{#N/A,#N/A,FALSE,"Plan1";#N/A,#N/A,FALSE,"Plan2"}</definedName>
    <definedName name="gfhfdtgjb" localSheetId="26" hidden="1">{#N/A,#N/A,FALSE,"Plan1";#N/A,#N/A,FALSE,"Plan2"}</definedName>
    <definedName name="gfhfdtgjb" localSheetId="11" hidden="1">{#N/A,#N/A,FALSE,"Plan1";#N/A,#N/A,FALSE,"Plan2"}</definedName>
    <definedName name="gfhfdtgjb" hidden="1">{#N/A,#N/A,FALSE,"Plan1";#N/A,#N/A,FALSE,"Plan2"}</definedName>
    <definedName name="gfjdshrtjhtged" localSheetId="24" hidden="1">{#N/A,#N/A,FALSE,"Plan1";#N/A,#N/A,FALSE,"Plan2"}</definedName>
    <definedName name="gfjdshrtjhtged" localSheetId="7" hidden="1">{#N/A,#N/A,FALSE,"Plan1";#N/A,#N/A,FALSE,"Plan2"}</definedName>
    <definedName name="gfjdshrtjhtged" localSheetId="9" hidden="1">{#N/A,#N/A,FALSE,"Plan1";#N/A,#N/A,FALSE,"Plan2"}</definedName>
    <definedName name="gfjdshrtjhtged" localSheetId="3" hidden="1">{#N/A,#N/A,FALSE,"Plan1";#N/A,#N/A,FALSE,"Plan2"}</definedName>
    <definedName name="gfjdshrtjhtged" localSheetId="2" hidden="1">{#N/A,#N/A,FALSE,"Plan1";#N/A,#N/A,FALSE,"Plan2"}</definedName>
    <definedName name="gfjdshrtjhtged" localSheetId="16" hidden="1">{#N/A,#N/A,FALSE,"Plan1";#N/A,#N/A,FALSE,"Plan2"}</definedName>
    <definedName name="gfjdshrtjhtged" localSheetId="0" hidden="1">{#N/A,#N/A,FALSE,"Plan1";#N/A,#N/A,FALSE,"Plan2"}</definedName>
    <definedName name="gfjdshrtjhtged" localSheetId="26" hidden="1">{#N/A,#N/A,FALSE,"Plan1";#N/A,#N/A,FALSE,"Plan2"}</definedName>
    <definedName name="gfjdshrtjhtged" localSheetId="11" hidden="1">{#N/A,#N/A,FALSE,"Plan1";#N/A,#N/A,FALSE,"Plan2"}</definedName>
    <definedName name="gfjdshrtjhtged" hidden="1">{#N/A,#N/A,FALSE,"Plan1";#N/A,#N/A,FALSE,"Plan2"}</definedName>
    <definedName name="gfjgkddgfd" localSheetId="24" hidden="1">{#N/A,#N/A,FALSE,"Plan1";#N/A,#N/A,FALSE,"Plan2"}</definedName>
    <definedName name="gfjgkddgfd" localSheetId="7" hidden="1">{#N/A,#N/A,FALSE,"Plan1";#N/A,#N/A,FALSE,"Plan2"}</definedName>
    <definedName name="gfjgkddgfd" localSheetId="9" hidden="1">{#N/A,#N/A,FALSE,"Plan1";#N/A,#N/A,FALSE,"Plan2"}</definedName>
    <definedName name="gfjgkddgfd" localSheetId="3" hidden="1">{#N/A,#N/A,FALSE,"Plan1";#N/A,#N/A,FALSE,"Plan2"}</definedName>
    <definedName name="gfjgkddgfd" localSheetId="2" hidden="1">{#N/A,#N/A,FALSE,"Plan1";#N/A,#N/A,FALSE,"Plan2"}</definedName>
    <definedName name="gfjgkddgfd" localSheetId="16" hidden="1">{#N/A,#N/A,FALSE,"Plan1";#N/A,#N/A,FALSE,"Plan2"}</definedName>
    <definedName name="gfjgkddgfd" localSheetId="0" hidden="1">{#N/A,#N/A,FALSE,"Plan1";#N/A,#N/A,FALSE,"Plan2"}</definedName>
    <definedName name="gfjgkddgfd" localSheetId="26" hidden="1">{#N/A,#N/A,FALSE,"Plan1";#N/A,#N/A,FALSE,"Plan2"}</definedName>
    <definedName name="gfjgkddgfd" localSheetId="11" hidden="1">{#N/A,#N/A,FALSE,"Plan1";#N/A,#N/A,FALSE,"Plan2"}</definedName>
    <definedName name="gfjgkddgfd" hidden="1">{#N/A,#N/A,FALSE,"Plan1";#N/A,#N/A,FALSE,"Plan2"}</definedName>
    <definedName name="gfsghjdgygr" localSheetId="24" hidden="1">{#N/A,#N/A,FALSE,"Plan1";#N/A,#N/A,FALSE,"Plan2"}</definedName>
    <definedName name="gfsghjdgygr" localSheetId="7" hidden="1">{#N/A,#N/A,FALSE,"Plan1";#N/A,#N/A,FALSE,"Plan2"}</definedName>
    <definedName name="gfsghjdgygr" localSheetId="9" hidden="1">{#N/A,#N/A,FALSE,"Plan1";#N/A,#N/A,FALSE,"Plan2"}</definedName>
    <definedName name="gfsghjdgygr" localSheetId="3" hidden="1">{#N/A,#N/A,FALSE,"Plan1";#N/A,#N/A,FALSE,"Plan2"}</definedName>
    <definedName name="gfsghjdgygr" localSheetId="2" hidden="1">{#N/A,#N/A,FALSE,"Plan1";#N/A,#N/A,FALSE,"Plan2"}</definedName>
    <definedName name="gfsghjdgygr" localSheetId="16" hidden="1">{#N/A,#N/A,FALSE,"Plan1";#N/A,#N/A,FALSE,"Plan2"}</definedName>
    <definedName name="gfsghjdgygr" localSheetId="0" hidden="1">{#N/A,#N/A,FALSE,"Plan1";#N/A,#N/A,FALSE,"Plan2"}</definedName>
    <definedName name="gfsghjdgygr" localSheetId="26" hidden="1">{#N/A,#N/A,FALSE,"Plan1";#N/A,#N/A,FALSE,"Plan2"}</definedName>
    <definedName name="gfsghjdgygr" localSheetId="11" hidden="1">{#N/A,#N/A,FALSE,"Plan1";#N/A,#N/A,FALSE,"Plan2"}</definedName>
    <definedName name="gfsghjdgygr" hidden="1">{#N/A,#N/A,FALSE,"Plan1";#N/A,#N/A,FALSE,"Plan2"}</definedName>
    <definedName name="gftfy" localSheetId="24" hidden="1">{#N/A,#N/A,FALSE,"Plan1";#N/A,#N/A,FALSE,"Plan2"}</definedName>
    <definedName name="gftfy" localSheetId="7" hidden="1">{#N/A,#N/A,FALSE,"Plan1";#N/A,#N/A,FALSE,"Plan2"}</definedName>
    <definedName name="gftfy" localSheetId="9" hidden="1">{#N/A,#N/A,FALSE,"Plan1";#N/A,#N/A,FALSE,"Plan2"}</definedName>
    <definedName name="gftfy" localSheetId="3" hidden="1">{#N/A,#N/A,FALSE,"Plan1";#N/A,#N/A,FALSE,"Plan2"}</definedName>
    <definedName name="gftfy" localSheetId="2" hidden="1">{#N/A,#N/A,FALSE,"Plan1";#N/A,#N/A,FALSE,"Plan2"}</definedName>
    <definedName name="gftfy" localSheetId="16" hidden="1">{#N/A,#N/A,FALSE,"Plan1";#N/A,#N/A,FALSE,"Plan2"}</definedName>
    <definedName name="gftfy" localSheetId="0" hidden="1">{#N/A,#N/A,FALSE,"Plan1";#N/A,#N/A,FALSE,"Plan2"}</definedName>
    <definedName name="gftfy" localSheetId="26" hidden="1">{#N/A,#N/A,FALSE,"Plan1";#N/A,#N/A,FALSE,"Plan2"}</definedName>
    <definedName name="gftfy" localSheetId="11" hidden="1">{#N/A,#N/A,FALSE,"Plan1";#N/A,#N/A,FALSE,"Plan2"}</definedName>
    <definedName name="gftfy" hidden="1">{#N/A,#N/A,FALSE,"Plan1";#N/A,#N/A,FALSE,"Plan2"}</definedName>
    <definedName name="gfty" localSheetId="24" hidden="1">{#N/A,#N/A,FALSE,"Plan1";#N/A,#N/A,FALSE,"Plan2"}</definedName>
    <definedName name="gfty" localSheetId="7" hidden="1">{#N/A,#N/A,FALSE,"Plan1";#N/A,#N/A,FALSE,"Plan2"}</definedName>
    <definedName name="gfty" localSheetId="9" hidden="1">{#N/A,#N/A,FALSE,"Plan1";#N/A,#N/A,FALSE,"Plan2"}</definedName>
    <definedName name="gfty" localSheetId="3" hidden="1">{#N/A,#N/A,FALSE,"Plan1";#N/A,#N/A,FALSE,"Plan2"}</definedName>
    <definedName name="gfty" localSheetId="2" hidden="1">{#N/A,#N/A,FALSE,"Plan1";#N/A,#N/A,FALSE,"Plan2"}</definedName>
    <definedName name="gfty" localSheetId="16" hidden="1">{#N/A,#N/A,FALSE,"Plan1";#N/A,#N/A,FALSE,"Plan2"}</definedName>
    <definedName name="gfty" localSheetId="0" hidden="1">{#N/A,#N/A,FALSE,"Plan1";#N/A,#N/A,FALSE,"Plan2"}</definedName>
    <definedName name="gfty" localSheetId="26" hidden="1">{#N/A,#N/A,FALSE,"Plan1";#N/A,#N/A,FALSE,"Plan2"}</definedName>
    <definedName name="gfty" localSheetId="11" hidden="1">{#N/A,#N/A,FALSE,"Plan1";#N/A,#N/A,FALSE,"Plan2"}</definedName>
    <definedName name="gfty" hidden="1">{#N/A,#N/A,FALSE,"Plan1";#N/A,#N/A,FALSE,"Plan2"}</definedName>
    <definedName name="GFUJU9" localSheetId="24" hidden="1">{#N/A,#N/A,FALSE,"Plan1";#N/A,#N/A,FALSE,"Plan2"}</definedName>
    <definedName name="GFUJU9" localSheetId="7" hidden="1">{#N/A,#N/A,FALSE,"Plan1";#N/A,#N/A,FALSE,"Plan2"}</definedName>
    <definedName name="GFUJU9" localSheetId="9" hidden="1">{#N/A,#N/A,FALSE,"Plan1";#N/A,#N/A,FALSE,"Plan2"}</definedName>
    <definedName name="GFUJU9" localSheetId="3" hidden="1">{#N/A,#N/A,FALSE,"Plan1";#N/A,#N/A,FALSE,"Plan2"}</definedName>
    <definedName name="GFUJU9" localSheetId="2" hidden="1">{#N/A,#N/A,FALSE,"Plan1";#N/A,#N/A,FALSE,"Plan2"}</definedName>
    <definedName name="GFUJU9" localSheetId="16" hidden="1">{#N/A,#N/A,FALSE,"Plan1";#N/A,#N/A,FALSE,"Plan2"}</definedName>
    <definedName name="GFUJU9" localSheetId="0" hidden="1">{#N/A,#N/A,FALSE,"Plan1";#N/A,#N/A,FALSE,"Plan2"}</definedName>
    <definedName name="GFUJU9" localSheetId="26" hidden="1">{#N/A,#N/A,FALSE,"Plan1";#N/A,#N/A,FALSE,"Plan2"}</definedName>
    <definedName name="GFUJU9" localSheetId="11" hidden="1">{#N/A,#N/A,FALSE,"Plan1";#N/A,#N/A,FALSE,"Plan2"}</definedName>
    <definedName name="GFUJU9" hidden="1">{#N/A,#N/A,FALSE,"Plan1";#N/A,#N/A,FALSE,"Plan2"}</definedName>
    <definedName name="ggg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localSheetId="24" hidden="1">{#N/A,#N/A,FALSE,"Plan1";#N/A,#N/A,FALSE,"Plan2"}</definedName>
    <definedName name="GGGG" localSheetId="7" hidden="1">{#N/A,#N/A,FALSE,"Plan1";#N/A,#N/A,FALSE,"Plan2"}</definedName>
    <definedName name="gggg" localSheetId="9" hidden="1">{"'장비'!$A$3:$M$12"}</definedName>
    <definedName name="GGGG" localSheetId="3" hidden="1">{#N/A,#N/A,FALSE,"Plan1";#N/A,#N/A,FALSE,"Plan2"}</definedName>
    <definedName name="GGGG" localSheetId="2" hidden="1">{#N/A,#N/A,FALSE,"Plan1";#N/A,#N/A,FALSE,"Plan2"}</definedName>
    <definedName name="GGGG" localSheetId="16" hidden="1">{#N/A,#N/A,FALSE,"Plan1";#N/A,#N/A,FALSE,"Plan2"}</definedName>
    <definedName name="GGGG" localSheetId="0" hidden="1">{#N/A,#N/A,FALSE,"Plan1";#N/A,#N/A,FALSE,"Plan2"}</definedName>
    <definedName name="GGGG" localSheetId="26" hidden="1">{#N/A,#N/A,FALSE,"Plan1";#N/A,#N/A,FALSE,"Plan2"}</definedName>
    <definedName name="GGGG" localSheetId="11" hidden="1">{#N/A,#N/A,FALSE,"Plan1";#N/A,#N/A,FALSE,"Plan2"}</definedName>
    <definedName name="GGGG" hidden="1">{#N/A,#N/A,FALSE,"Plan1";#N/A,#N/A,FALSE,"Plan2"}</definedName>
    <definedName name="gggggggggg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localSheetId="24" hidden="1">{"'장비'!$A$3:$M$12"}</definedName>
    <definedName name="gh" localSheetId="7" hidden="1">{"'장비'!$A$3:$M$12"}</definedName>
    <definedName name="gh" localSheetId="9" hidden="1">{"'장비'!$A$3:$M$12"}</definedName>
    <definedName name="gh" localSheetId="3" hidden="1">{"'장비'!$A$3:$M$12"}</definedName>
    <definedName name="gh" localSheetId="2" hidden="1">{"'장비'!$A$3:$M$12"}</definedName>
    <definedName name="gh" localSheetId="16" hidden="1">{"'장비'!$A$3:$M$12"}</definedName>
    <definedName name="gh" localSheetId="0" hidden="1">{"'장비'!$A$3:$M$12"}</definedName>
    <definedName name="gh" localSheetId="26" hidden="1">{"'장비'!$A$3:$M$12"}</definedName>
    <definedName name="gh" localSheetId="11" hidden="1">{"'장비'!$A$3:$M$12"}</definedName>
    <definedName name="gh" hidden="1">{"'장비'!$A$3:$M$12"}</definedName>
    <definedName name="ghfgdfrtert" localSheetId="24" hidden="1">{#N/A,#N/A,FALSE,"Plan1";#N/A,#N/A,FALSE,"Plan2"}</definedName>
    <definedName name="ghfgdfrtert" localSheetId="7" hidden="1">{#N/A,#N/A,FALSE,"Plan1";#N/A,#N/A,FALSE,"Plan2"}</definedName>
    <definedName name="ghfgdfrtert" localSheetId="9" hidden="1">{#N/A,#N/A,FALSE,"Plan1";#N/A,#N/A,FALSE,"Plan2"}</definedName>
    <definedName name="ghfgdfrtert" localSheetId="3" hidden="1">{#N/A,#N/A,FALSE,"Plan1";#N/A,#N/A,FALSE,"Plan2"}</definedName>
    <definedName name="ghfgdfrtert" localSheetId="2" hidden="1">{#N/A,#N/A,FALSE,"Plan1";#N/A,#N/A,FALSE,"Plan2"}</definedName>
    <definedName name="ghfgdfrtert" localSheetId="16" hidden="1">{#N/A,#N/A,FALSE,"Plan1";#N/A,#N/A,FALSE,"Plan2"}</definedName>
    <definedName name="ghfgdfrtert" localSheetId="0" hidden="1">{#N/A,#N/A,FALSE,"Plan1";#N/A,#N/A,FALSE,"Plan2"}</definedName>
    <definedName name="ghfgdfrtert" localSheetId="26" hidden="1">{#N/A,#N/A,FALSE,"Plan1";#N/A,#N/A,FALSE,"Plan2"}</definedName>
    <definedName name="ghfgdfrtert" localSheetId="11" hidden="1">{#N/A,#N/A,FALSE,"Plan1";#N/A,#N/A,FALSE,"Plan2"}</definedName>
    <definedName name="ghfgdfrtert" hidden="1">{#N/A,#N/A,FALSE,"Plan1";#N/A,#N/A,FALSE,"Plan2"}</definedName>
    <definedName name="ghfhghft" localSheetId="24" hidden="1">{#N/A,#N/A,FALSE,"Plan1";#N/A,#N/A,FALSE,"Plan2"}</definedName>
    <definedName name="ghfhghft" localSheetId="7" hidden="1">{#N/A,#N/A,FALSE,"Plan1";#N/A,#N/A,FALSE,"Plan2"}</definedName>
    <definedName name="ghfhghft" localSheetId="9" hidden="1">{#N/A,#N/A,FALSE,"Plan1";#N/A,#N/A,FALSE,"Plan2"}</definedName>
    <definedName name="ghfhghft" localSheetId="3" hidden="1">{#N/A,#N/A,FALSE,"Plan1";#N/A,#N/A,FALSE,"Plan2"}</definedName>
    <definedName name="ghfhghft" localSheetId="2" hidden="1">{#N/A,#N/A,FALSE,"Plan1";#N/A,#N/A,FALSE,"Plan2"}</definedName>
    <definedName name="ghfhghft" localSheetId="16" hidden="1">{#N/A,#N/A,FALSE,"Plan1";#N/A,#N/A,FALSE,"Plan2"}</definedName>
    <definedName name="ghfhghft" localSheetId="0" hidden="1">{#N/A,#N/A,FALSE,"Plan1";#N/A,#N/A,FALSE,"Plan2"}</definedName>
    <definedName name="ghfhghft" localSheetId="26" hidden="1">{#N/A,#N/A,FALSE,"Plan1";#N/A,#N/A,FALSE,"Plan2"}</definedName>
    <definedName name="ghfhghft" localSheetId="11" hidden="1">{#N/A,#N/A,FALSE,"Plan1";#N/A,#N/A,FALSE,"Plan2"}</definedName>
    <definedName name="ghfhghft" hidden="1">{#N/A,#N/A,FALSE,"Plan1";#N/A,#N/A,FALSE,"Plan2"}</definedName>
    <definedName name="ghjg" localSheetId="24" hidden="1">{"'Estimativa de Lançamento-JAN'!$A$1:$AI$85"}</definedName>
    <definedName name="ghjg" localSheetId="7" hidden="1">{"'Estimativa de Lançamento-JAN'!$A$1:$AI$85"}</definedName>
    <definedName name="ghjg" localSheetId="9" hidden="1">{"'Estimativa de Lançamento-JAN'!$A$1:$AI$85"}</definedName>
    <definedName name="ghjg" localSheetId="3" hidden="1">{"'Estimativa de Lançamento-JAN'!$A$1:$AI$85"}</definedName>
    <definedName name="ghjg" localSheetId="2" hidden="1">{"'Estimativa de Lançamento-JAN'!$A$1:$AI$85"}</definedName>
    <definedName name="ghjg" localSheetId="16" hidden="1">{"'Estimativa de Lançamento-JAN'!$A$1:$AI$85"}</definedName>
    <definedName name="ghjg" localSheetId="0" hidden="1">{"'Estimativa de Lançamento-JAN'!$A$1:$AI$85"}</definedName>
    <definedName name="ghjg" localSheetId="26" hidden="1">{"'Estimativa de Lançamento-JAN'!$A$1:$AI$85"}</definedName>
    <definedName name="ghjg" localSheetId="11" hidden="1">{"'Estimativa de Lançamento-JAN'!$A$1:$AI$85"}</definedName>
    <definedName name="ghjg" hidden="1">{"'Estimativa de Lançamento-JAN'!$A$1:$AI$85"}</definedName>
    <definedName name="ghkfhgh" localSheetId="24" hidden="1">{#N/A,#N/A,FALSE,"Plan1";#N/A,#N/A,FALSE,"Plan2"}</definedName>
    <definedName name="ghkfhgh" localSheetId="7" hidden="1">{#N/A,#N/A,FALSE,"Plan1";#N/A,#N/A,FALSE,"Plan2"}</definedName>
    <definedName name="ghkfhgh" localSheetId="9" hidden="1">{#N/A,#N/A,FALSE,"Plan1";#N/A,#N/A,FALSE,"Plan2"}</definedName>
    <definedName name="ghkfhgh" localSheetId="3" hidden="1">{#N/A,#N/A,FALSE,"Plan1";#N/A,#N/A,FALSE,"Plan2"}</definedName>
    <definedName name="ghkfhgh" localSheetId="2" hidden="1">{#N/A,#N/A,FALSE,"Plan1";#N/A,#N/A,FALSE,"Plan2"}</definedName>
    <definedName name="ghkfhgh" localSheetId="16" hidden="1">{#N/A,#N/A,FALSE,"Plan1";#N/A,#N/A,FALSE,"Plan2"}</definedName>
    <definedName name="ghkfhgh" localSheetId="0" hidden="1">{#N/A,#N/A,FALSE,"Plan1";#N/A,#N/A,FALSE,"Plan2"}</definedName>
    <definedName name="ghkfhgh" localSheetId="26" hidden="1">{#N/A,#N/A,FALSE,"Plan1";#N/A,#N/A,FALSE,"Plan2"}</definedName>
    <definedName name="ghkfhgh" localSheetId="11" hidden="1">{#N/A,#N/A,FALSE,"Plan1";#N/A,#N/A,FALSE,"Plan2"}</definedName>
    <definedName name="ghkfhgh" hidden="1">{#N/A,#N/A,FALSE,"Plan1";#N/A,#N/A,FALSE,"Plan2"}</definedName>
    <definedName name="ghkjh" localSheetId="24" hidden="1">{#N/A,#N/A,FALSE,"ENG'G(보호계전기)"}</definedName>
    <definedName name="ghkjh" localSheetId="7" hidden="1">{#N/A,#N/A,FALSE,"ENG'G(보호계전기)"}</definedName>
    <definedName name="ghkjh" localSheetId="9" hidden="1">{#N/A,#N/A,FALSE,"ENG'G(보호계전기)"}</definedName>
    <definedName name="ghkjh" localSheetId="3" hidden="1">{#N/A,#N/A,FALSE,"ENG'G(보호계전기)"}</definedName>
    <definedName name="ghkjh" localSheetId="2" hidden="1">{#N/A,#N/A,FALSE,"ENG'G(보호계전기)"}</definedName>
    <definedName name="ghkjh" localSheetId="16" hidden="1">{#N/A,#N/A,FALSE,"ENG'G(보호계전기)"}</definedName>
    <definedName name="ghkjh" localSheetId="0" hidden="1">{#N/A,#N/A,FALSE,"ENG'G(보호계전기)"}</definedName>
    <definedName name="ghkjh" localSheetId="26" hidden="1">{#N/A,#N/A,FALSE,"ENG'G(보호계전기)"}</definedName>
    <definedName name="ghkjh" localSheetId="11" hidden="1">{#N/A,#N/A,FALSE,"ENG'G(보호계전기)"}</definedName>
    <definedName name="ghkjh" hidden="1">{#N/A,#N/A,FALSE,"ENG'G(보호계전기)"}</definedName>
    <definedName name="GJ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localSheetId="24" hidden="1">{#N/A,#N/A,FALSE,"Plan1";#N/A,#N/A,FALSE,"Plan2"}</definedName>
    <definedName name="gjfhjktgcf" localSheetId="7" hidden="1">{#N/A,#N/A,FALSE,"Plan1";#N/A,#N/A,FALSE,"Plan2"}</definedName>
    <definedName name="gjfhjktgcf" localSheetId="9" hidden="1">{#N/A,#N/A,FALSE,"Plan1";#N/A,#N/A,FALSE,"Plan2"}</definedName>
    <definedName name="gjfhjktgcf" localSheetId="3" hidden="1">{#N/A,#N/A,FALSE,"Plan1";#N/A,#N/A,FALSE,"Plan2"}</definedName>
    <definedName name="gjfhjktgcf" localSheetId="2" hidden="1">{#N/A,#N/A,FALSE,"Plan1";#N/A,#N/A,FALSE,"Plan2"}</definedName>
    <definedName name="gjfhjktgcf" localSheetId="16" hidden="1">{#N/A,#N/A,FALSE,"Plan1";#N/A,#N/A,FALSE,"Plan2"}</definedName>
    <definedName name="gjfhjktgcf" localSheetId="0" hidden="1">{#N/A,#N/A,FALSE,"Plan1";#N/A,#N/A,FALSE,"Plan2"}</definedName>
    <definedName name="gjfhjktgcf" localSheetId="26" hidden="1">{#N/A,#N/A,FALSE,"Plan1";#N/A,#N/A,FALSE,"Plan2"}</definedName>
    <definedName name="gjfhjktgcf" localSheetId="11" hidden="1">{#N/A,#N/A,FALSE,"Plan1";#N/A,#N/A,FALSE,"Plan2"}</definedName>
    <definedName name="gjfhjktgcf" hidden="1">{#N/A,#N/A,FALSE,"Plan1";#N/A,#N/A,FALSE,"Plan2"}</definedName>
    <definedName name="GJG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localSheetId="24" hidden="1">{#N/A,#N/A,FALSE,"Plan1";#N/A,#N/A,FALSE,"Plan2"}</definedName>
    <definedName name="gjkhgjhjfggfjhfg" localSheetId="7" hidden="1">{#N/A,#N/A,FALSE,"Plan1";#N/A,#N/A,FALSE,"Plan2"}</definedName>
    <definedName name="gjkhgjhjfggfjhfg" localSheetId="9" hidden="1">{#N/A,#N/A,FALSE,"Plan1";#N/A,#N/A,FALSE,"Plan2"}</definedName>
    <definedName name="gjkhgjhjfggfjhfg" localSheetId="3" hidden="1">{#N/A,#N/A,FALSE,"Plan1";#N/A,#N/A,FALSE,"Plan2"}</definedName>
    <definedName name="gjkhgjhjfggfjhfg" localSheetId="2" hidden="1">{#N/A,#N/A,FALSE,"Plan1";#N/A,#N/A,FALSE,"Plan2"}</definedName>
    <definedName name="gjkhgjhjfggfjhfg" localSheetId="16" hidden="1">{#N/A,#N/A,FALSE,"Plan1";#N/A,#N/A,FALSE,"Plan2"}</definedName>
    <definedName name="gjkhgjhjfggfjhfg" localSheetId="0" hidden="1">{#N/A,#N/A,FALSE,"Plan1";#N/A,#N/A,FALSE,"Plan2"}</definedName>
    <definedName name="gjkhgjhjfggfjhfg" localSheetId="26" hidden="1">{#N/A,#N/A,FALSE,"Plan1";#N/A,#N/A,FALSE,"Plan2"}</definedName>
    <definedName name="gjkhgjhjfggfjhfg" localSheetId="11" hidden="1">{#N/A,#N/A,FALSE,"Plan1";#N/A,#N/A,FALSE,"Plan2"}</definedName>
    <definedName name="gjkhgjhjfggfjhfg" hidden="1">{#N/A,#N/A,FALSE,"Plan1";#N/A,#N/A,FALSE,"Plan2"}</definedName>
    <definedName name="glgl" localSheetId="24" hidden="1">{#N/A,#N/A,FALSE,"Plan1";#N/A,#N/A,FALSE,"Plan2"}</definedName>
    <definedName name="glgl" localSheetId="7" hidden="1">{#N/A,#N/A,FALSE,"Plan1";#N/A,#N/A,FALSE,"Plan2"}</definedName>
    <definedName name="glgl" localSheetId="9" hidden="1">{#N/A,#N/A,FALSE,"Plan1";#N/A,#N/A,FALSE,"Plan2"}</definedName>
    <definedName name="glgl" localSheetId="3" hidden="1">{#N/A,#N/A,FALSE,"Plan1";#N/A,#N/A,FALSE,"Plan2"}</definedName>
    <definedName name="glgl" localSheetId="2" hidden="1">{#N/A,#N/A,FALSE,"Plan1";#N/A,#N/A,FALSE,"Plan2"}</definedName>
    <definedName name="glgl" localSheetId="16" hidden="1">{#N/A,#N/A,FALSE,"Plan1";#N/A,#N/A,FALSE,"Plan2"}</definedName>
    <definedName name="glgl" localSheetId="0" hidden="1">{#N/A,#N/A,FALSE,"Plan1";#N/A,#N/A,FALSE,"Plan2"}</definedName>
    <definedName name="glgl" localSheetId="26" hidden="1">{#N/A,#N/A,FALSE,"Plan1";#N/A,#N/A,FALSE,"Plan2"}</definedName>
    <definedName name="glgl" localSheetId="11" hidden="1">{#N/A,#N/A,FALSE,"Plan1";#N/A,#N/A,FALSE,"Plan2"}</definedName>
    <definedName name="glgl" hidden="1">{#N/A,#N/A,FALSE,"Plan1";#N/A,#N/A,FALSE,"Plan2"}</definedName>
    <definedName name="global" localSheetId="7" hidden="1">{"'Estimativa de Lançamento-JAN'!$A$1:$AI$85"}</definedName>
    <definedName name="global" localSheetId="9" hidden="1">{"'Estimativa de Lançamento-JAN'!$A$1:$AI$85"}</definedName>
    <definedName name="GLOBAL" localSheetId="3">#REF!</definedName>
    <definedName name="global" localSheetId="0" hidden="1">{"'Estimativa de Lançamento-JAN'!$A$1:$AI$85"}</definedName>
    <definedName name="GLOBAL">#REF!</definedName>
    <definedName name="gnfrth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 localSheetId="24">#REF!</definedName>
    <definedName name="grec_cdi" localSheetId="7">#REF!</definedName>
    <definedName name="grec_cdi" localSheetId="3">#REF!</definedName>
    <definedName name="grec_cdi" localSheetId="26">#REF!</definedName>
    <definedName name="grec_cdi">#REF!</definedName>
    <definedName name="grec_hist" localSheetId="7">#REF!</definedName>
    <definedName name="grec_hist" localSheetId="3">#REF!</definedName>
    <definedName name="grec_hist">#REF!</definedName>
    <definedName name="grec_uss" localSheetId="7">#REF!</definedName>
    <definedName name="grec_uss" localSheetId="3">#REF!</definedName>
    <definedName name="grec_uss">#REF!</definedName>
    <definedName name="grua" localSheetId="7">#REF!</definedName>
    <definedName name="grua" localSheetId="3">#REF!</definedName>
    <definedName name="grua">#REF!</definedName>
    <definedName name="GSDWJSTGE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localSheetId="24" hidden="1">{#N/A,#N/A,FALSE,"Plan1";#N/A,#N/A,FALSE,"Plan2"}</definedName>
    <definedName name="gtuigsdyugsdf" localSheetId="7" hidden="1">{#N/A,#N/A,FALSE,"Plan1";#N/A,#N/A,FALSE,"Plan2"}</definedName>
    <definedName name="gtuigsdyugsdf" localSheetId="9" hidden="1">{#N/A,#N/A,FALSE,"Plan1";#N/A,#N/A,FALSE,"Plan2"}</definedName>
    <definedName name="gtuigsdyugsdf" localSheetId="3" hidden="1">{#N/A,#N/A,FALSE,"Plan1";#N/A,#N/A,FALSE,"Plan2"}</definedName>
    <definedName name="gtuigsdyugsdf" localSheetId="2" hidden="1">{#N/A,#N/A,FALSE,"Plan1";#N/A,#N/A,FALSE,"Plan2"}</definedName>
    <definedName name="gtuigsdyugsdf" localSheetId="16" hidden="1">{#N/A,#N/A,FALSE,"Plan1";#N/A,#N/A,FALSE,"Plan2"}</definedName>
    <definedName name="gtuigsdyugsdf" localSheetId="0" hidden="1">{#N/A,#N/A,FALSE,"Plan1";#N/A,#N/A,FALSE,"Plan2"}</definedName>
    <definedName name="gtuigsdyugsdf" localSheetId="26" hidden="1">{#N/A,#N/A,FALSE,"Plan1";#N/A,#N/A,FALSE,"Plan2"}</definedName>
    <definedName name="gtuigsdyugsdf" localSheetId="11" hidden="1">{#N/A,#N/A,FALSE,"Plan1";#N/A,#N/A,FALSE,"Plan2"}</definedName>
    <definedName name="gtuigsdyugsdf" hidden="1">{#N/A,#N/A,FALSE,"Plan1";#N/A,#N/A,FALSE,"Plan2"}</definedName>
    <definedName name="GUI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localSheetId="24" hidden="1">{#N/A,#N/A,FALSE,"CCTV"}</definedName>
    <definedName name="GV" localSheetId="7" hidden="1">{#N/A,#N/A,FALSE,"CCTV"}</definedName>
    <definedName name="GV" localSheetId="9" hidden="1">{#N/A,#N/A,FALSE,"CCTV"}</definedName>
    <definedName name="GV" localSheetId="3" hidden="1">{#N/A,#N/A,FALSE,"CCTV"}</definedName>
    <definedName name="GV" localSheetId="2" hidden="1">{#N/A,#N/A,FALSE,"CCTV"}</definedName>
    <definedName name="GV" localSheetId="16" hidden="1">{#N/A,#N/A,FALSE,"CCTV"}</definedName>
    <definedName name="GV" localSheetId="0" hidden="1">{#N/A,#N/A,FALSE,"CCTV"}</definedName>
    <definedName name="GV" localSheetId="26" hidden="1">{#N/A,#N/A,FALSE,"CCTV"}</definedName>
    <definedName name="GV" localSheetId="11" hidden="1">{#N/A,#N/A,FALSE,"CCTV"}</definedName>
    <definedName name="GV" hidden="1">{#N/A,#N/A,FALSE,"CCTV"}</definedName>
    <definedName name="h" localSheetId="24">#REF!</definedName>
    <definedName name="h" localSheetId="7">#REF!</definedName>
    <definedName name="h" localSheetId="3">#REF!</definedName>
    <definedName name="h" localSheetId="26">#REF!</definedName>
    <definedName name="h">#REF!</definedName>
    <definedName name="hbjgjuae" localSheetId="7">#REF!</definedName>
    <definedName name="hbjgjuae" localSheetId="3">#REF!</definedName>
    <definedName name="hbjgjuae">#REF!</definedName>
    <definedName name="hcjfkhdghfktg" localSheetId="24" hidden="1">{#N/A,#N/A,FALSE,"Plan1";#N/A,#N/A,FALSE,"Plan2"}</definedName>
    <definedName name="hcjfkhdghfktg" localSheetId="7" hidden="1">{#N/A,#N/A,FALSE,"Plan1";#N/A,#N/A,FALSE,"Plan2"}</definedName>
    <definedName name="hcjfkhdghfktg" localSheetId="9" hidden="1">{#N/A,#N/A,FALSE,"Plan1";#N/A,#N/A,FALSE,"Plan2"}</definedName>
    <definedName name="hcjfkhdghfktg" localSheetId="3" hidden="1">{#N/A,#N/A,FALSE,"Plan1";#N/A,#N/A,FALSE,"Plan2"}</definedName>
    <definedName name="hcjfkhdghfktg" localSheetId="2" hidden="1">{#N/A,#N/A,FALSE,"Plan1";#N/A,#N/A,FALSE,"Plan2"}</definedName>
    <definedName name="hcjfkhdghfktg" localSheetId="16" hidden="1">{#N/A,#N/A,FALSE,"Plan1";#N/A,#N/A,FALSE,"Plan2"}</definedName>
    <definedName name="hcjfkhdghfktg" localSheetId="0" hidden="1">{#N/A,#N/A,FALSE,"Plan1";#N/A,#N/A,FALSE,"Plan2"}</definedName>
    <definedName name="hcjfkhdghfktg" localSheetId="26" hidden="1">{#N/A,#N/A,FALSE,"Plan1";#N/A,#N/A,FALSE,"Plan2"}</definedName>
    <definedName name="hcjfkhdghfktg" localSheetId="11" hidden="1">{#N/A,#N/A,FALSE,"Plan1";#N/A,#N/A,FALSE,"Plan2"}</definedName>
    <definedName name="hcjfkhdghfktg" hidden="1">{#N/A,#N/A,FALSE,"Plan1";#N/A,#N/A,FALSE,"Plan2"}</definedName>
    <definedName name="hckhjfdkgfdg" localSheetId="7" hidden="1">#REF!</definedName>
    <definedName name="hckhjfdkgfdg" localSheetId="3" hidden="1">#REF!</definedName>
    <definedName name="hckhjfdkgfdg" localSheetId="0" hidden="1">#REF!</definedName>
    <definedName name="hckhjfdkgfdg" hidden="1">#REF!</definedName>
    <definedName name="hddfndgdfgf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localSheetId="24" hidden="1">{#N/A,#N/A,FALSE,"Plan1";#N/A,#N/A,FALSE,"Plan2"}</definedName>
    <definedName name="HDFGHGST" localSheetId="7" hidden="1">{#N/A,#N/A,FALSE,"Plan1";#N/A,#N/A,FALSE,"Plan2"}</definedName>
    <definedName name="HDFGHGST" localSheetId="9" hidden="1">{#N/A,#N/A,FALSE,"Plan1";#N/A,#N/A,FALSE,"Plan2"}</definedName>
    <definedName name="HDFGHGST" localSheetId="3" hidden="1">{#N/A,#N/A,FALSE,"Plan1";#N/A,#N/A,FALSE,"Plan2"}</definedName>
    <definedName name="HDFGHGST" localSheetId="2" hidden="1">{#N/A,#N/A,FALSE,"Plan1";#N/A,#N/A,FALSE,"Plan2"}</definedName>
    <definedName name="HDFGHGST" localSheetId="16" hidden="1">{#N/A,#N/A,FALSE,"Plan1";#N/A,#N/A,FALSE,"Plan2"}</definedName>
    <definedName name="HDFGHGST" localSheetId="0" hidden="1">{#N/A,#N/A,FALSE,"Plan1";#N/A,#N/A,FALSE,"Plan2"}</definedName>
    <definedName name="HDFGHGST" localSheetId="26" hidden="1">{#N/A,#N/A,FALSE,"Plan1";#N/A,#N/A,FALSE,"Plan2"}</definedName>
    <definedName name="HDFGHGST" localSheetId="11" hidden="1">{#N/A,#N/A,FALSE,"Plan1";#N/A,#N/A,FALSE,"Plan2"}</definedName>
    <definedName name="HDFGHGST" hidden="1">{#N/A,#N/A,FALSE,"Plan1";#N/A,#N/A,FALSE,"Plan2"}</definedName>
    <definedName name="HDFGJKHKFDHTY" localSheetId="24" hidden="1">{#N/A,#N/A,FALSE,"Plan1";#N/A,#N/A,FALSE,"Plan2"}</definedName>
    <definedName name="HDFGJKHKFDHTY" localSheetId="7" hidden="1">{#N/A,#N/A,FALSE,"Plan1";#N/A,#N/A,FALSE,"Plan2"}</definedName>
    <definedName name="HDFGJKHKFDHTY" localSheetId="9" hidden="1">{#N/A,#N/A,FALSE,"Plan1";#N/A,#N/A,FALSE,"Plan2"}</definedName>
    <definedName name="HDFGJKHKFDHTY" localSheetId="3" hidden="1">{#N/A,#N/A,FALSE,"Plan1";#N/A,#N/A,FALSE,"Plan2"}</definedName>
    <definedName name="HDFGJKHKFDHTY" localSheetId="2" hidden="1">{#N/A,#N/A,FALSE,"Plan1";#N/A,#N/A,FALSE,"Plan2"}</definedName>
    <definedName name="HDFGJKHKFDHTY" localSheetId="16" hidden="1">{#N/A,#N/A,FALSE,"Plan1";#N/A,#N/A,FALSE,"Plan2"}</definedName>
    <definedName name="HDFGJKHKFDHTY" localSheetId="0" hidden="1">{#N/A,#N/A,FALSE,"Plan1";#N/A,#N/A,FALSE,"Plan2"}</definedName>
    <definedName name="HDFGJKHKFDHTY" localSheetId="26" hidden="1">{#N/A,#N/A,FALSE,"Plan1";#N/A,#N/A,FALSE,"Plan2"}</definedName>
    <definedName name="HDFGJKHKFDHTY" localSheetId="11" hidden="1">{#N/A,#N/A,FALSE,"Plan1";#N/A,#N/A,FALSE,"Plan2"}</definedName>
    <definedName name="HDFGJKHKFDHTY" hidden="1">{#N/A,#N/A,FALSE,"Plan1";#N/A,#N/A,FALSE,"Plan2"}</definedName>
    <definedName name="hdfhdhrtgd" localSheetId="24" hidden="1">{#N/A,#N/A,FALSE,"Plan1";#N/A,#N/A,FALSE,"Plan2"}</definedName>
    <definedName name="hdfhdhrtgd" localSheetId="7" hidden="1">{#N/A,#N/A,FALSE,"Plan1";#N/A,#N/A,FALSE,"Plan2"}</definedName>
    <definedName name="hdfhdhrtgd" localSheetId="9" hidden="1">{#N/A,#N/A,FALSE,"Plan1";#N/A,#N/A,FALSE,"Plan2"}</definedName>
    <definedName name="hdfhdhrtgd" localSheetId="3" hidden="1">{#N/A,#N/A,FALSE,"Plan1";#N/A,#N/A,FALSE,"Plan2"}</definedName>
    <definedName name="hdfhdhrtgd" localSheetId="2" hidden="1">{#N/A,#N/A,FALSE,"Plan1";#N/A,#N/A,FALSE,"Plan2"}</definedName>
    <definedName name="hdfhdhrtgd" localSheetId="16" hidden="1">{#N/A,#N/A,FALSE,"Plan1";#N/A,#N/A,FALSE,"Plan2"}</definedName>
    <definedName name="hdfhdhrtgd" localSheetId="0" hidden="1">{#N/A,#N/A,FALSE,"Plan1";#N/A,#N/A,FALSE,"Plan2"}</definedName>
    <definedName name="hdfhdhrtgd" localSheetId="26" hidden="1">{#N/A,#N/A,FALSE,"Plan1";#N/A,#N/A,FALSE,"Plan2"}</definedName>
    <definedName name="hdfhdhrtgd" localSheetId="11" hidden="1">{#N/A,#N/A,FALSE,"Plan1";#N/A,#N/A,FALSE,"Plan2"}</definedName>
    <definedName name="hdfhdhrtgd" hidden="1">{#N/A,#N/A,FALSE,"Plan1";#N/A,#N/A,FALSE,"Plan2"}</definedName>
    <definedName name="hdfhftde" localSheetId="24" hidden="1">{#N/A,#N/A,FALSE,"Plan1";#N/A,#N/A,FALSE,"Plan2"}</definedName>
    <definedName name="hdfhftde" localSheetId="7" hidden="1">{#N/A,#N/A,FALSE,"Plan1";#N/A,#N/A,FALSE,"Plan2"}</definedName>
    <definedName name="hdfhftde" localSheetId="9" hidden="1">{#N/A,#N/A,FALSE,"Plan1";#N/A,#N/A,FALSE,"Plan2"}</definedName>
    <definedName name="hdfhftde" localSheetId="3" hidden="1">{#N/A,#N/A,FALSE,"Plan1";#N/A,#N/A,FALSE,"Plan2"}</definedName>
    <definedName name="hdfhftde" localSheetId="2" hidden="1">{#N/A,#N/A,FALSE,"Plan1";#N/A,#N/A,FALSE,"Plan2"}</definedName>
    <definedName name="hdfhftde" localSheetId="16" hidden="1">{#N/A,#N/A,FALSE,"Plan1";#N/A,#N/A,FALSE,"Plan2"}</definedName>
    <definedName name="hdfhftde" localSheetId="0" hidden="1">{#N/A,#N/A,FALSE,"Plan1";#N/A,#N/A,FALSE,"Plan2"}</definedName>
    <definedName name="hdfhftde" localSheetId="26" hidden="1">{#N/A,#N/A,FALSE,"Plan1";#N/A,#N/A,FALSE,"Plan2"}</definedName>
    <definedName name="hdfhftde" localSheetId="11" hidden="1">{#N/A,#N/A,FALSE,"Plan1";#N/A,#N/A,FALSE,"Plan2"}</definedName>
    <definedName name="hdfhftde" hidden="1">{#N/A,#N/A,FALSE,"Plan1";#N/A,#N/A,FALSE,"Plan2"}</definedName>
    <definedName name="hdfhgkdhgtrf" localSheetId="24" hidden="1">{#N/A,#N/A,FALSE,"Plan1";#N/A,#N/A,FALSE,"Plan2"}</definedName>
    <definedName name="hdfhgkdhgtrf" localSheetId="7" hidden="1">{#N/A,#N/A,FALSE,"Plan1";#N/A,#N/A,FALSE,"Plan2"}</definedName>
    <definedName name="hdfhgkdhgtrf" localSheetId="9" hidden="1">{#N/A,#N/A,FALSE,"Plan1";#N/A,#N/A,FALSE,"Plan2"}</definedName>
    <definedName name="hdfhgkdhgtrf" localSheetId="3" hidden="1">{#N/A,#N/A,FALSE,"Plan1";#N/A,#N/A,FALSE,"Plan2"}</definedName>
    <definedName name="hdfhgkdhgtrf" localSheetId="2" hidden="1">{#N/A,#N/A,FALSE,"Plan1";#N/A,#N/A,FALSE,"Plan2"}</definedName>
    <definedName name="hdfhgkdhgtrf" localSheetId="16" hidden="1">{#N/A,#N/A,FALSE,"Plan1";#N/A,#N/A,FALSE,"Plan2"}</definedName>
    <definedName name="hdfhgkdhgtrf" localSheetId="0" hidden="1">{#N/A,#N/A,FALSE,"Plan1";#N/A,#N/A,FALSE,"Plan2"}</definedName>
    <definedName name="hdfhgkdhgtrf" localSheetId="26" hidden="1">{#N/A,#N/A,FALSE,"Plan1";#N/A,#N/A,FALSE,"Plan2"}</definedName>
    <definedName name="hdfhgkdhgtrf" localSheetId="11" hidden="1">{#N/A,#N/A,FALSE,"Plan1";#N/A,#N/A,FALSE,"Plan2"}</definedName>
    <definedName name="hdfhgkdhgtrf" hidden="1">{#N/A,#N/A,FALSE,"Plan1";#N/A,#N/A,FALSE,"Plan2"}</definedName>
    <definedName name="hdfjhdkzhgdr" localSheetId="24" hidden="1">{#N/A,#N/A,FALSE,"Plan1";#N/A,#N/A,FALSE,"Plan2"}</definedName>
    <definedName name="hdfjhdkzhgdr" localSheetId="7" hidden="1">{#N/A,#N/A,FALSE,"Plan1";#N/A,#N/A,FALSE,"Plan2"}</definedName>
    <definedName name="hdfjhdkzhgdr" localSheetId="9" hidden="1">{#N/A,#N/A,FALSE,"Plan1";#N/A,#N/A,FALSE,"Plan2"}</definedName>
    <definedName name="hdfjhdkzhgdr" localSheetId="3" hidden="1">{#N/A,#N/A,FALSE,"Plan1";#N/A,#N/A,FALSE,"Plan2"}</definedName>
    <definedName name="hdfjhdkzhgdr" localSheetId="2" hidden="1">{#N/A,#N/A,FALSE,"Plan1";#N/A,#N/A,FALSE,"Plan2"}</definedName>
    <definedName name="hdfjhdkzhgdr" localSheetId="16" hidden="1">{#N/A,#N/A,FALSE,"Plan1";#N/A,#N/A,FALSE,"Plan2"}</definedName>
    <definedName name="hdfjhdkzhgdr" localSheetId="0" hidden="1">{#N/A,#N/A,FALSE,"Plan1";#N/A,#N/A,FALSE,"Plan2"}</definedName>
    <definedName name="hdfjhdkzhgdr" localSheetId="26" hidden="1">{#N/A,#N/A,FALSE,"Plan1";#N/A,#N/A,FALSE,"Plan2"}</definedName>
    <definedName name="hdfjhdkzhgdr" localSheetId="11" hidden="1">{#N/A,#N/A,FALSE,"Plan1";#N/A,#N/A,FALSE,"Plan2"}</definedName>
    <definedName name="hdfjhdkzhgdr" hidden="1">{#N/A,#N/A,FALSE,"Plan1";#N/A,#N/A,FALSE,"Plan2"}</definedName>
    <definedName name="hdfjkgvjgtd" localSheetId="24" hidden="1">{#N/A,#N/A,FALSE,"Plan1";#N/A,#N/A,FALSE,"Plan2"}</definedName>
    <definedName name="hdfjkgvjgtd" localSheetId="7" hidden="1">{#N/A,#N/A,FALSE,"Plan1";#N/A,#N/A,FALSE,"Plan2"}</definedName>
    <definedName name="hdfjkgvjgtd" localSheetId="9" hidden="1">{#N/A,#N/A,FALSE,"Plan1";#N/A,#N/A,FALSE,"Plan2"}</definedName>
    <definedName name="hdfjkgvjgtd" localSheetId="3" hidden="1">{#N/A,#N/A,FALSE,"Plan1";#N/A,#N/A,FALSE,"Plan2"}</definedName>
    <definedName name="hdfjkgvjgtd" localSheetId="2" hidden="1">{#N/A,#N/A,FALSE,"Plan1";#N/A,#N/A,FALSE,"Plan2"}</definedName>
    <definedName name="hdfjkgvjgtd" localSheetId="16" hidden="1">{#N/A,#N/A,FALSE,"Plan1";#N/A,#N/A,FALSE,"Plan2"}</definedName>
    <definedName name="hdfjkgvjgtd" localSheetId="0" hidden="1">{#N/A,#N/A,FALSE,"Plan1";#N/A,#N/A,FALSE,"Plan2"}</definedName>
    <definedName name="hdfjkgvjgtd" localSheetId="26" hidden="1">{#N/A,#N/A,FALSE,"Plan1";#N/A,#N/A,FALSE,"Plan2"}</definedName>
    <definedName name="hdfjkgvjgtd" localSheetId="11" hidden="1">{#N/A,#N/A,FALSE,"Plan1";#N/A,#N/A,FALSE,"Plan2"}</definedName>
    <definedName name="hdfjkgvjgtd" hidden="1">{#N/A,#N/A,FALSE,"Plan1";#N/A,#N/A,FALSE,"Plan2"}</definedName>
    <definedName name="hdfjkhdhrute" localSheetId="24" hidden="1">{#N/A,#N/A,FALSE,"Plan1";#N/A,#N/A,FALSE,"Plan2"}</definedName>
    <definedName name="hdfjkhdhrute" localSheetId="7" hidden="1">{#N/A,#N/A,FALSE,"Plan1";#N/A,#N/A,FALSE,"Plan2"}</definedName>
    <definedName name="hdfjkhdhrute" localSheetId="9" hidden="1">{#N/A,#N/A,FALSE,"Plan1";#N/A,#N/A,FALSE,"Plan2"}</definedName>
    <definedName name="hdfjkhdhrute" localSheetId="3" hidden="1">{#N/A,#N/A,FALSE,"Plan1";#N/A,#N/A,FALSE,"Plan2"}</definedName>
    <definedName name="hdfjkhdhrute" localSheetId="2" hidden="1">{#N/A,#N/A,FALSE,"Plan1";#N/A,#N/A,FALSE,"Plan2"}</definedName>
    <definedName name="hdfjkhdhrute" localSheetId="16" hidden="1">{#N/A,#N/A,FALSE,"Plan1";#N/A,#N/A,FALSE,"Plan2"}</definedName>
    <definedName name="hdfjkhdhrute" localSheetId="0" hidden="1">{#N/A,#N/A,FALSE,"Plan1";#N/A,#N/A,FALSE,"Plan2"}</definedName>
    <definedName name="hdfjkhdhrute" localSheetId="26" hidden="1">{#N/A,#N/A,FALSE,"Plan1";#N/A,#N/A,FALSE,"Plan2"}</definedName>
    <definedName name="hdfjkhdhrute" localSheetId="11" hidden="1">{#N/A,#N/A,FALSE,"Plan1";#N/A,#N/A,FALSE,"Plan2"}</definedName>
    <definedName name="hdfjkhdhrute" hidden="1">{#N/A,#N/A,FALSE,"Plan1";#N/A,#N/A,FALSE,"Plan2"}</definedName>
    <definedName name="HDFKGVF" localSheetId="24" hidden="1">{#N/A,#N/A,FALSE,"Plan1";#N/A,#N/A,FALSE,"Plan2"}</definedName>
    <definedName name="HDFKGVF" localSheetId="7" hidden="1">{#N/A,#N/A,FALSE,"Plan1";#N/A,#N/A,FALSE,"Plan2"}</definedName>
    <definedName name="HDFKGVF" localSheetId="9" hidden="1">{#N/A,#N/A,FALSE,"Plan1";#N/A,#N/A,FALSE,"Plan2"}</definedName>
    <definedName name="HDFKGVF" localSheetId="3" hidden="1">{#N/A,#N/A,FALSE,"Plan1";#N/A,#N/A,FALSE,"Plan2"}</definedName>
    <definedName name="HDFKGVF" localSheetId="2" hidden="1">{#N/A,#N/A,FALSE,"Plan1";#N/A,#N/A,FALSE,"Plan2"}</definedName>
    <definedName name="HDFKGVF" localSheetId="16" hidden="1">{#N/A,#N/A,FALSE,"Plan1";#N/A,#N/A,FALSE,"Plan2"}</definedName>
    <definedName name="HDFKGVF" localSheetId="0" hidden="1">{#N/A,#N/A,FALSE,"Plan1";#N/A,#N/A,FALSE,"Plan2"}</definedName>
    <definedName name="HDFKGVF" localSheetId="26" hidden="1">{#N/A,#N/A,FALSE,"Plan1";#N/A,#N/A,FALSE,"Plan2"}</definedName>
    <definedName name="HDFKGVF" localSheetId="11" hidden="1">{#N/A,#N/A,FALSE,"Plan1";#N/A,#N/A,FALSE,"Plan2"}</definedName>
    <definedName name="HDFKGVF" hidden="1">{#N/A,#N/A,FALSE,"Plan1";#N/A,#N/A,FALSE,"Plan2"}</definedName>
    <definedName name="hdgfhdgtdrt" localSheetId="24" hidden="1">{#N/A,#N/A,FALSE,"Plan1";#N/A,#N/A,FALSE,"Plan2"}</definedName>
    <definedName name="hdgfhdgtdrt" localSheetId="7" hidden="1">{#N/A,#N/A,FALSE,"Plan1";#N/A,#N/A,FALSE,"Plan2"}</definedName>
    <definedName name="hdgfhdgtdrt" localSheetId="9" hidden="1">{#N/A,#N/A,FALSE,"Plan1";#N/A,#N/A,FALSE,"Plan2"}</definedName>
    <definedName name="hdgfhdgtdrt" localSheetId="3" hidden="1">{#N/A,#N/A,FALSE,"Plan1";#N/A,#N/A,FALSE,"Plan2"}</definedName>
    <definedName name="hdgfhdgtdrt" localSheetId="2" hidden="1">{#N/A,#N/A,FALSE,"Plan1";#N/A,#N/A,FALSE,"Plan2"}</definedName>
    <definedName name="hdgfhdgtdrt" localSheetId="16" hidden="1">{#N/A,#N/A,FALSE,"Plan1";#N/A,#N/A,FALSE,"Plan2"}</definedName>
    <definedName name="hdgfhdgtdrt" localSheetId="0" hidden="1">{#N/A,#N/A,FALSE,"Plan1";#N/A,#N/A,FALSE,"Plan2"}</definedName>
    <definedName name="hdgfhdgtdrt" localSheetId="26" hidden="1">{#N/A,#N/A,FALSE,"Plan1";#N/A,#N/A,FALSE,"Plan2"}</definedName>
    <definedName name="hdgfhdgtdrt" localSheetId="11" hidden="1">{#N/A,#N/A,FALSE,"Plan1";#N/A,#N/A,FALSE,"Plan2"}</definedName>
    <definedName name="hdgfhdgtdrt" hidden="1">{#N/A,#N/A,FALSE,"Plan1";#N/A,#N/A,FALSE,"Plan2"}</definedName>
    <definedName name="hdghgtgtrgd" localSheetId="24" hidden="1">{#N/A,#N/A,FALSE,"Plan1";#N/A,#N/A,FALSE,"Plan2"}</definedName>
    <definedName name="hdghgtgtrgd" localSheetId="7" hidden="1">{#N/A,#N/A,FALSE,"Plan1";#N/A,#N/A,FALSE,"Plan2"}</definedName>
    <definedName name="hdghgtgtrgd" localSheetId="9" hidden="1">{#N/A,#N/A,FALSE,"Plan1";#N/A,#N/A,FALSE,"Plan2"}</definedName>
    <definedName name="hdghgtgtrgd" localSheetId="3" hidden="1">{#N/A,#N/A,FALSE,"Plan1";#N/A,#N/A,FALSE,"Plan2"}</definedName>
    <definedName name="hdghgtgtrgd" localSheetId="2" hidden="1">{#N/A,#N/A,FALSE,"Plan1";#N/A,#N/A,FALSE,"Plan2"}</definedName>
    <definedName name="hdghgtgtrgd" localSheetId="16" hidden="1">{#N/A,#N/A,FALSE,"Plan1";#N/A,#N/A,FALSE,"Plan2"}</definedName>
    <definedName name="hdghgtgtrgd" localSheetId="0" hidden="1">{#N/A,#N/A,FALSE,"Plan1";#N/A,#N/A,FALSE,"Plan2"}</definedName>
    <definedName name="hdghgtgtrgd" localSheetId="26" hidden="1">{#N/A,#N/A,FALSE,"Plan1";#N/A,#N/A,FALSE,"Plan2"}</definedName>
    <definedName name="hdghgtgtrgd" localSheetId="11" hidden="1">{#N/A,#N/A,FALSE,"Plan1";#N/A,#N/A,FALSE,"Plan2"}</definedName>
    <definedName name="hdghgtgtrgd" hidden="1">{#N/A,#N/A,FALSE,"Plan1";#N/A,#N/A,FALSE,"Plan2"}</definedName>
    <definedName name="HDHDGHTUHDTG" localSheetId="24" hidden="1">{#N/A,#N/A,FALSE,"Plan1";#N/A,#N/A,FALSE,"Plan2"}</definedName>
    <definedName name="HDHDGHTUHDTG" localSheetId="7" hidden="1">{#N/A,#N/A,FALSE,"Plan1";#N/A,#N/A,FALSE,"Plan2"}</definedName>
    <definedName name="HDHDGHTUHDTG" localSheetId="9" hidden="1">{#N/A,#N/A,FALSE,"Plan1";#N/A,#N/A,FALSE,"Plan2"}</definedName>
    <definedName name="HDHDGHTUHDTG" localSheetId="3" hidden="1">{#N/A,#N/A,FALSE,"Plan1";#N/A,#N/A,FALSE,"Plan2"}</definedName>
    <definedName name="HDHDGHTUHDTG" localSheetId="2" hidden="1">{#N/A,#N/A,FALSE,"Plan1";#N/A,#N/A,FALSE,"Plan2"}</definedName>
    <definedName name="HDHDGHTUHDTG" localSheetId="16" hidden="1">{#N/A,#N/A,FALSE,"Plan1";#N/A,#N/A,FALSE,"Plan2"}</definedName>
    <definedName name="HDHDGHTUHDTG" localSheetId="0" hidden="1">{#N/A,#N/A,FALSE,"Plan1";#N/A,#N/A,FALSE,"Plan2"}</definedName>
    <definedName name="HDHDGHTUHDTG" localSheetId="26" hidden="1">{#N/A,#N/A,FALSE,"Plan1";#N/A,#N/A,FALSE,"Plan2"}</definedName>
    <definedName name="HDHDGHTUHDTG" localSheetId="11" hidden="1">{#N/A,#N/A,FALSE,"Plan1";#N/A,#N/A,FALSE,"Plan2"}</definedName>
    <definedName name="HDHDGHTUHDTG" hidden="1">{#N/A,#N/A,FALSE,"Plan1";#N/A,#N/A,FALSE,"Plan2"}</definedName>
    <definedName name="hdhghfthrrhy" localSheetId="24" hidden="1">{#N/A,#N/A,FALSE,"Plan1";#N/A,#N/A,FALSE,"Plan2"}</definedName>
    <definedName name="hdhghfthrrhy" localSheetId="7" hidden="1">{#N/A,#N/A,FALSE,"Plan1";#N/A,#N/A,FALSE,"Plan2"}</definedName>
    <definedName name="hdhghfthrrhy" localSheetId="9" hidden="1">{#N/A,#N/A,FALSE,"Plan1";#N/A,#N/A,FALSE,"Plan2"}</definedName>
    <definedName name="hdhghfthrrhy" localSheetId="3" hidden="1">{#N/A,#N/A,FALSE,"Plan1";#N/A,#N/A,FALSE,"Plan2"}</definedName>
    <definedName name="hdhghfthrrhy" localSheetId="2" hidden="1">{#N/A,#N/A,FALSE,"Plan1";#N/A,#N/A,FALSE,"Plan2"}</definedName>
    <definedName name="hdhghfthrrhy" localSheetId="16" hidden="1">{#N/A,#N/A,FALSE,"Plan1";#N/A,#N/A,FALSE,"Plan2"}</definedName>
    <definedName name="hdhghfthrrhy" localSheetId="0" hidden="1">{#N/A,#N/A,FALSE,"Plan1";#N/A,#N/A,FALSE,"Plan2"}</definedName>
    <definedName name="hdhghfthrrhy" localSheetId="26" hidden="1">{#N/A,#N/A,FALSE,"Plan1";#N/A,#N/A,FALSE,"Plan2"}</definedName>
    <definedName name="hdhghfthrrhy" localSheetId="11" hidden="1">{#N/A,#N/A,FALSE,"Plan1";#N/A,#N/A,FALSE,"Plan2"}</definedName>
    <definedName name="hdhghfthrrhy" hidden="1">{#N/A,#N/A,FALSE,"Plan1";#N/A,#N/A,FALSE,"Plan2"}</definedName>
    <definedName name="hdkfjhydjh" localSheetId="24" hidden="1">{#N/A,#N/A,FALSE,"Plan1";#N/A,#N/A,FALSE,"Plan2"}</definedName>
    <definedName name="hdkfjhydjh" localSheetId="7" hidden="1">{#N/A,#N/A,FALSE,"Plan1";#N/A,#N/A,FALSE,"Plan2"}</definedName>
    <definedName name="hdkfjhydjh" localSheetId="9" hidden="1">{#N/A,#N/A,FALSE,"Plan1";#N/A,#N/A,FALSE,"Plan2"}</definedName>
    <definedName name="hdkfjhydjh" localSheetId="3" hidden="1">{#N/A,#N/A,FALSE,"Plan1";#N/A,#N/A,FALSE,"Plan2"}</definedName>
    <definedName name="hdkfjhydjh" localSheetId="2" hidden="1">{#N/A,#N/A,FALSE,"Plan1";#N/A,#N/A,FALSE,"Plan2"}</definedName>
    <definedName name="hdkfjhydjh" localSheetId="16" hidden="1">{#N/A,#N/A,FALSE,"Plan1";#N/A,#N/A,FALSE,"Plan2"}</definedName>
    <definedName name="hdkfjhydjh" localSheetId="0" hidden="1">{#N/A,#N/A,FALSE,"Plan1";#N/A,#N/A,FALSE,"Plan2"}</definedName>
    <definedName name="hdkfjhydjh" localSheetId="26" hidden="1">{#N/A,#N/A,FALSE,"Plan1";#N/A,#N/A,FALSE,"Plan2"}</definedName>
    <definedName name="hdkfjhydjh" localSheetId="11" hidden="1">{#N/A,#N/A,FALSE,"Plan1";#N/A,#N/A,FALSE,"Plan2"}</definedName>
    <definedName name="hdkfjhydjh" hidden="1">{#N/A,#N/A,FALSE,"Plan1";#N/A,#N/A,FALSE,"Plan2"}</definedName>
    <definedName name="hdsgfgrrdgr" localSheetId="24" hidden="1">{#N/A,#N/A,FALSE,"Plan1";#N/A,#N/A,FALSE,"Plan2"}</definedName>
    <definedName name="hdsgfgrrdgr" localSheetId="7" hidden="1">{#N/A,#N/A,FALSE,"Plan1";#N/A,#N/A,FALSE,"Plan2"}</definedName>
    <definedName name="hdsgfgrrdgr" localSheetId="9" hidden="1">{#N/A,#N/A,FALSE,"Plan1";#N/A,#N/A,FALSE,"Plan2"}</definedName>
    <definedName name="hdsgfgrrdgr" localSheetId="3" hidden="1">{#N/A,#N/A,FALSE,"Plan1";#N/A,#N/A,FALSE,"Plan2"}</definedName>
    <definedName name="hdsgfgrrdgr" localSheetId="2" hidden="1">{#N/A,#N/A,FALSE,"Plan1";#N/A,#N/A,FALSE,"Plan2"}</definedName>
    <definedName name="hdsgfgrrdgr" localSheetId="16" hidden="1">{#N/A,#N/A,FALSE,"Plan1";#N/A,#N/A,FALSE,"Plan2"}</definedName>
    <definedName name="hdsgfgrrdgr" localSheetId="0" hidden="1">{#N/A,#N/A,FALSE,"Plan1";#N/A,#N/A,FALSE,"Plan2"}</definedName>
    <definedName name="hdsgfgrrdgr" localSheetId="26" hidden="1">{#N/A,#N/A,FALSE,"Plan1";#N/A,#N/A,FALSE,"Plan2"}</definedName>
    <definedName name="hdsgfgrrdgr" localSheetId="11" hidden="1">{#N/A,#N/A,FALSE,"Plan1";#N/A,#N/A,FALSE,"Plan2"}</definedName>
    <definedName name="hdsgfgrrdgr" hidden="1">{#N/A,#N/A,FALSE,"Plan1";#N/A,#N/A,FALSE,"Plan2"}</definedName>
    <definedName name="hdtertkkdsa" localSheetId="24" hidden="1">{#N/A,#N/A,FALSE,"Plan1";#N/A,#N/A,FALSE,"Plan2"}</definedName>
    <definedName name="hdtertkkdsa" localSheetId="7" hidden="1">{#N/A,#N/A,FALSE,"Plan1";#N/A,#N/A,FALSE,"Plan2"}</definedName>
    <definedName name="hdtertkkdsa" localSheetId="9" hidden="1">{#N/A,#N/A,FALSE,"Plan1";#N/A,#N/A,FALSE,"Plan2"}</definedName>
    <definedName name="hdtertkkdsa" localSheetId="3" hidden="1">{#N/A,#N/A,FALSE,"Plan1";#N/A,#N/A,FALSE,"Plan2"}</definedName>
    <definedName name="hdtertkkdsa" localSheetId="2" hidden="1">{#N/A,#N/A,FALSE,"Plan1";#N/A,#N/A,FALSE,"Plan2"}</definedName>
    <definedName name="hdtertkkdsa" localSheetId="16" hidden="1">{#N/A,#N/A,FALSE,"Plan1";#N/A,#N/A,FALSE,"Plan2"}</definedName>
    <definedName name="hdtertkkdsa" localSheetId="0" hidden="1">{#N/A,#N/A,FALSE,"Plan1";#N/A,#N/A,FALSE,"Plan2"}</definedName>
    <definedName name="hdtertkkdsa" localSheetId="26" hidden="1">{#N/A,#N/A,FALSE,"Plan1";#N/A,#N/A,FALSE,"Plan2"}</definedName>
    <definedName name="hdtertkkdsa" localSheetId="11" hidden="1">{#N/A,#N/A,FALSE,"Plan1";#N/A,#N/A,FALSE,"Plan2"}</definedName>
    <definedName name="hdtertkkdsa" hidden="1">{#N/A,#N/A,FALSE,"Plan1";#N/A,#N/A,FALSE,"Plan2"}</definedName>
    <definedName name="Header" localSheetId="24">#REF!</definedName>
    <definedName name="Header" localSheetId="7">#REF!</definedName>
    <definedName name="Header" localSheetId="3">#REF!</definedName>
    <definedName name="Header" localSheetId="26">#REF!</definedName>
    <definedName name="Header">#REF!</definedName>
    <definedName name="HEDHA" localSheetId="24" hidden="1">{#N/A,#N/A,FALSE,"Plan1";#N/A,#N/A,FALSE,"Plan2"}</definedName>
    <definedName name="HEDHA" localSheetId="7" hidden="1">{#N/A,#N/A,FALSE,"Plan1";#N/A,#N/A,FALSE,"Plan2"}</definedName>
    <definedName name="HEDHA" localSheetId="9" hidden="1">{#N/A,#N/A,FALSE,"Plan1";#N/A,#N/A,FALSE,"Plan2"}</definedName>
    <definedName name="HEDHA" localSheetId="3" hidden="1">{#N/A,#N/A,FALSE,"Plan1";#N/A,#N/A,FALSE,"Plan2"}</definedName>
    <definedName name="HEDHA" localSheetId="2" hidden="1">{#N/A,#N/A,FALSE,"Plan1";#N/A,#N/A,FALSE,"Plan2"}</definedName>
    <definedName name="HEDHA" localSheetId="16" hidden="1">{#N/A,#N/A,FALSE,"Plan1";#N/A,#N/A,FALSE,"Plan2"}</definedName>
    <definedName name="HEDHA" localSheetId="0" hidden="1">{#N/A,#N/A,FALSE,"Plan1";#N/A,#N/A,FALSE,"Plan2"}</definedName>
    <definedName name="HEDHA" localSheetId="26" hidden="1">{#N/A,#N/A,FALSE,"Plan1";#N/A,#N/A,FALSE,"Plan2"}</definedName>
    <definedName name="HEDHA" localSheetId="11" hidden="1">{#N/A,#N/A,FALSE,"Plan1";#N/A,#N/A,FALSE,"Plan2"}</definedName>
    <definedName name="HEDHA" hidden="1">{#N/A,#N/A,FALSE,"Plan1";#N/A,#N/A,FALSE,"Plan2"}</definedName>
    <definedName name="heife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 localSheetId="24">#REF!</definedName>
    <definedName name="HELP" localSheetId="7">#REF!</definedName>
    <definedName name="HELP" localSheetId="3">#REF!</definedName>
    <definedName name="HELP" localSheetId="26">#REF!</definedName>
    <definedName name="HELP">#REF!</definedName>
    <definedName name="herkfdshfker" localSheetId="24" hidden="1">{#N/A,#N/A,FALSE,"Plan1";#N/A,#N/A,FALSE,"Plan2"}</definedName>
    <definedName name="herkfdshfker" localSheetId="7" hidden="1">{#N/A,#N/A,FALSE,"Plan1";#N/A,#N/A,FALSE,"Plan2"}</definedName>
    <definedName name="herkfdshfker" localSheetId="9" hidden="1">{#N/A,#N/A,FALSE,"Plan1";#N/A,#N/A,FALSE,"Plan2"}</definedName>
    <definedName name="herkfdshfker" localSheetId="3" hidden="1">{#N/A,#N/A,FALSE,"Plan1";#N/A,#N/A,FALSE,"Plan2"}</definedName>
    <definedName name="herkfdshfker" localSheetId="2" hidden="1">{#N/A,#N/A,FALSE,"Plan1";#N/A,#N/A,FALSE,"Plan2"}</definedName>
    <definedName name="herkfdshfker" localSheetId="16" hidden="1">{#N/A,#N/A,FALSE,"Plan1";#N/A,#N/A,FALSE,"Plan2"}</definedName>
    <definedName name="herkfdshfker" localSheetId="0" hidden="1">{#N/A,#N/A,FALSE,"Plan1";#N/A,#N/A,FALSE,"Plan2"}</definedName>
    <definedName name="herkfdshfker" localSheetId="26" hidden="1">{#N/A,#N/A,FALSE,"Plan1";#N/A,#N/A,FALSE,"Plan2"}</definedName>
    <definedName name="herkfdshfker" localSheetId="11" hidden="1">{#N/A,#N/A,FALSE,"Plan1";#N/A,#N/A,FALSE,"Plan2"}</definedName>
    <definedName name="herkfdshfker" hidden="1">{#N/A,#N/A,FALSE,"Plan1";#N/A,#N/A,FALSE,"Plan2"}</definedName>
    <definedName name="hersdtretyt" localSheetId="24" hidden="1">{#N/A,#N/A,FALSE,"Plan1";#N/A,#N/A,FALSE,"Plan2"}</definedName>
    <definedName name="hersdtretyt" localSheetId="7" hidden="1">{#N/A,#N/A,FALSE,"Plan1";#N/A,#N/A,FALSE,"Plan2"}</definedName>
    <definedName name="hersdtretyt" localSheetId="9" hidden="1">{#N/A,#N/A,FALSE,"Plan1";#N/A,#N/A,FALSE,"Plan2"}</definedName>
    <definedName name="hersdtretyt" localSheetId="3" hidden="1">{#N/A,#N/A,FALSE,"Plan1";#N/A,#N/A,FALSE,"Plan2"}</definedName>
    <definedName name="hersdtretyt" localSheetId="2" hidden="1">{#N/A,#N/A,FALSE,"Plan1";#N/A,#N/A,FALSE,"Plan2"}</definedName>
    <definedName name="hersdtretyt" localSheetId="16" hidden="1">{#N/A,#N/A,FALSE,"Plan1";#N/A,#N/A,FALSE,"Plan2"}</definedName>
    <definedName name="hersdtretyt" localSheetId="0" hidden="1">{#N/A,#N/A,FALSE,"Plan1";#N/A,#N/A,FALSE,"Plan2"}</definedName>
    <definedName name="hersdtretyt" localSheetId="26" hidden="1">{#N/A,#N/A,FALSE,"Plan1";#N/A,#N/A,FALSE,"Plan2"}</definedName>
    <definedName name="hersdtretyt" localSheetId="11" hidden="1">{#N/A,#N/A,FALSE,"Plan1";#N/A,#N/A,FALSE,"Plan2"}</definedName>
    <definedName name="hersdtretyt" hidden="1">{#N/A,#N/A,FALSE,"Plan1";#N/A,#N/A,FALSE,"Plan2"}</definedName>
    <definedName name="HFDJTHTRS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localSheetId="24" hidden="1">{#N/A,#N/A,FALSE,"Plan1";#N/A,#N/A,FALSE,"Plan2"}</definedName>
    <definedName name="HFDKHGFR" localSheetId="7" hidden="1">{#N/A,#N/A,FALSE,"Plan1";#N/A,#N/A,FALSE,"Plan2"}</definedName>
    <definedName name="HFDKHGFR" localSheetId="9" hidden="1">{#N/A,#N/A,FALSE,"Plan1";#N/A,#N/A,FALSE,"Plan2"}</definedName>
    <definedName name="HFDKHGFR" localSheetId="3" hidden="1">{#N/A,#N/A,FALSE,"Plan1";#N/A,#N/A,FALSE,"Plan2"}</definedName>
    <definedName name="HFDKHGFR" localSheetId="2" hidden="1">{#N/A,#N/A,FALSE,"Plan1";#N/A,#N/A,FALSE,"Plan2"}</definedName>
    <definedName name="HFDKHGFR" localSheetId="16" hidden="1">{#N/A,#N/A,FALSE,"Plan1";#N/A,#N/A,FALSE,"Plan2"}</definedName>
    <definedName name="HFDKHGFR" localSheetId="0" hidden="1">{#N/A,#N/A,FALSE,"Plan1";#N/A,#N/A,FALSE,"Plan2"}</definedName>
    <definedName name="HFDKHGFR" localSheetId="26" hidden="1">{#N/A,#N/A,FALSE,"Plan1";#N/A,#N/A,FALSE,"Plan2"}</definedName>
    <definedName name="HFDKHGFR" localSheetId="11" hidden="1">{#N/A,#N/A,FALSE,"Plan1";#N/A,#N/A,FALSE,"Plan2"}</definedName>
    <definedName name="HFDKHGFR" hidden="1">{#N/A,#N/A,FALSE,"Plan1";#N/A,#N/A,FALSE,"Plan2"}</definedName>
    <definedName name="hfdkhgkfdhtj" localSheetId="24" hidden="1">{#N/A,#N/A,FALSE,"Plan1";#N/A,#N/A,FALSE,"Plan2"}</definedName>
    <definedName name="hfdkhgkfdhtj" localSheetId="7" hidden="1">{#N/A,#N/A,FALSE,"Plan1";#N/A,#N/A,FALSE,"Plan2"}</definedName>
    <definedName name="hfdkhgkfdhtj" localSheetId="9" hidden="1">{#N/A,#N/A,FALSE,"Plan1";#N/A,#N/A,FALSE,"Plan2"}</definedName>
    <definedName name="hfdkhgkfdhtj" localSheetId="3" hidden="1">{#N/A,#N/A,FALSE,"Plan1";#N/A,#N/A,FALSE,"Plan2"}</definedName>
    <definedName name="hfdkhgkfdhtj" localSheetId="2" hidden="1">{#N/A,#N/A,FALSE,"Plan1";#N/A,#N/A,FALSE,"Plan2"}</definedName>
    <definedName name="hfdkhgkfdhtj" localSheetId="16" hidden="1">{#N/A,#N/A,FALSE,"Plan1";#N/A,#N/A,FALSE,"Plan2"}</definedName>
    <definedName name="hfdkhgkfdhtj" localSheetId="0" hidden="1">{#N/A,#N/A,FALSE,"Plan1";#N/A,#N/A,FALSE,"Plan2"}</definedName>
    <definedName name="hfdkhgkfdhtj" localSheetId="26" hidden="1">{#N/A,#N/A,FALSE,"Plan1";#N/A,#N/A,FALSE,"Plan2"}</definedName>
    <definedName name="hfdkhgkfdhtj" localSheetId="11" hidden="1">{#N/A,#N/A,FALSE,"Plan1";#N/A,#N/A,FALSE,"Plan2"}</definedName>
    <definedName name="hfdkhgkfdhtj" hidden="1">{#N/A,#N/A,FALSE,"Plan1";#N/A,#N/A,FALSE,"Plan2"}</definedName>
    <definedName name="hfgfktgkhyt" localSheetId="24" hidden="1">{#N/A,#N/A,FALSE,"Plan1";#N/A,#N/A,FALSE,"Plan2"}</definedName>
    <definedName name="hfgfktgkhyt" localSheetId="7" hidden="1">{#N/A,#N/A,FALSE,"Plan1";#N/A,#N/A,FALSE,"Plan2"}</definedName>
    <definedName name="hfgfktgkhyt" localSheetId="9" hidden="1">{#N/A,#N/A,FALSE,"Plan1";#N/A,#N/A,FALSE,"Plan2"}</definedName>
    <definedName name="hfgfktgkhyt" localSheetId="3" hidden="1">{#N/A,#N/A,FALSE,"Plan1";#N/A,#N/A,FALSE,"Plan2"}</definedName>
    <definedName name="hfgfktgkhyt" localSheetId="2" hidden="1">{#N/A,#N/A,FALSE,"Plan1";#N/A,#N/A,FALSE,"Plan2"}</definedName>
    <definedName name="hfgfktgkhyt" localSheetId="16" hidden="1">{#N/A,#N/A,FALSE,"Plan1";#N/A,#N/A,FALSE,"Plan2"}</definedName>
    <definedName name="hfgfktgkhyt" localSheetId="0" hidden="1">{#N/A,#N/A,FALSE,"Plan1";#N/A,#N/A,FALSE,"Plan2"}</definedName>
    <definedName name="hfgfktgkhyt" localSheetId="26" hidden="1">{#N/A,#N/A,FALSE,"Plan1";#N/A,#N/A,FALSE,"Plan2"}</definedName>
    <definedName name="hfgfktgkhyt" localSheetId="11" hidden="1">{#N/A,#N/A,FALSE,"Plan1";#N/A,#N/A,FALSE,"Plan2"}</definedName>
    <definedName name="hfgfktgkhyt" hidden="1">{#N/A,#N/A,FALSE,"Plan1";#N/A,#N/A,FALSE,"Plan2"}</definedName>
    <definedName name="hfghdkhrgkjg" localSheetId="24" hidden="1">{#N/A,#N/A,FALSE,"Plan1";#N/A,#N/A,FALSE,"Plan2"}</definedName>
    <definedName name="hfghdkhrgkjg" localSheetId="7" hidden="1">{#N/A,#N/A,FALSE,"Plan1";#N/A,#N/A,FALSE,"Plan2"}</definedName>
    <definedName name="hfghdkhrgkjg" localSheetId="9" hidden="1">{#N/A,#N/A,FALSE,"Plan1";#N/A,#N/A,FALSE,"Plan2"}</definedName>
    <definedName name="hfghdkhrgkjg" localSheetId="3" hidden="1">{#N/A,#N/A,FALSE,"Plan1";#N/A,#N/A,FALSE,"Plan2"}</definedName>
    <definedName name="hfghdkhrgkjg" localSheetId="2" hidden="1">{#N/A,#N/A,FALSE,"Plan1";#N/A,#N/A,FALSE,"Plan2"}</definedName>
    <definedName name="hfghdkhrgkjg" localSheetId="16" hidden="1">{#N/A,#N/A,FALSE,"Plan1";#N/A,#N/A,FALSE,"Plan2"}</definedName>
    <definedName name="hfghdkhrgkjg" localSheetId="0" hidden="1">{#N/A,#N/A,FALSE,"Plan1";#N/A,#N/A,FALSE,"Plan2"}</definedName>
    <definedName name="hfghdkhrgkjg" localSheetId="26" hidden="1">{#N/A,#N/A,FALSE,"Plan1";#N/A,#N/A,FALSE,"Plan2"}</definedName>
    <definedName name="hfghdkhrgkjg" localSheetId="11" hidden="1">{#N/A,#N/A,FALSE,"Plan1";#N/A,#N/A,FALSE,"Plan2"}</definedName>
    <definedName name="hfghdkhrgkjg" hidden="1">{#N/A,#N/A,FALSE,"Plan1";#N/A,#N/A,FALSE,"Plan2"}</definedName>
    <definedName name="hfighfth" localSheetId="24" hidden="1">{#N/A,#N/A,FALSE,"Plan1";#N/A,#N/A,FALSE,"Plan2"}</definedName>
    <definedName name="hfighfth" localSheetId="7" hidden="1">{#N/A,#N/A,FALSE,"Plan1";#N/A,#N/A,FALSE,"Plan2"}</definedName>
    <definedName name="hfighfth" localSheetId="9" hidden="1">{#N/A,#N/A,FALSE,"Plan1";#N/A,#N/A,FALSE,"Plan2"}</definedName>
    <definedName name="hfighfth" localSheetId="3" hidden="1">{#N/A,#N/A,FALSE,"Plan1";#N/A,#N/A,FALSE,"Plan2"}</definedName>
    <definedName name="hfighfth" localSheetId="2" hidden="1">{#N/A,#N/A,FALSE,"Plan1";#N/A,#N/A,FALSE,"Plan2"}</definedName>
    <definedName name="hfighfth" localSheetId="16" hidden="1">{#N/A,#N/A,FALSE,"Plan1";#N/A,#N/A,FALSE,"Plan2"}</definedName>
    <definedName name="hfighfth" localSheetId="0" hidden="1">{#N/A,#N/A,FALSE,"Plan1";#N/A,#N/A,FALSE,"Plan2"}</definedName>
    <definedName name="hfighfth" localSheetId="26" hidden="1">{#N/A,#N/A,FALSE,"Plan1";#N/A,#N/A,FALSE,"Plan2"}</definedName>
    <definedName name="hfighfth" localSheetId="11" hidden="1">{#N/A,#N/A,FALSE,"Plan1";#N/A,#N/A,FALSE,"Plan2"}</definedName>
    <definedName name="hfighfth" hidden="1">{#N/A,#N/A,FALSE,"Plan1";#N/A,#N/A,FALSE,"Plan2"}</definedName>
    <definedName name="hfjghtfuyrf" localSheetId="24" hidden="1">{#N/A,#N/A,FALSE,"Plan1";#N/A,#N/A,FALSE,"Plan2"}</definedName>
    <definedName name="hfjghtfuyrf" localSheetId="7" hidden="1">{#N/A,#N/A,FALSE,"Plan1";#N/A,#N/A,FALSE,"Plan2"}</definedName>
    <definedName name="hfjghtfuyrf" localSheetId="9" hidden="1">{#N/A,#N/A,FALSE,"Plan1";#N/A,#N/A,FALSE,"Plan2"}</definedName>
    <definedName name="hfjghtfuyrf" localSheetId="3" hidden="1">{#N/A,#N/A,FALSE,"Plan1";#N/A,#N/A,FALSE,"Plan2"}</definedName>
    <definedName name="hfjghtfuyrf" localSheetId="2" hidden="1">{#N/A,#N/A,FALSE,"Plan1";#N/A,#N/A,FALSE,"Plan2"}</definedName>
    <definedName name="hfjghtfuyrf" localSheetId="16" hidden="1">{#N/A,#N/A,FALSE,"Plan1";#N/A,#N/A,FALSE,"Plan2"}</definedName>
    <definedName name="hfjghtfuyrf" localSheetId="0" hidden="1">{#N/A,#N/A,FALSE,"Plan1";#N/A,#N/A,FALSE,"Plan2"}</definedName>
    <definedName name="hfjghtfuyrf" localSheetId="26" hidden="1">{#N/A,#N/A,FALSE,"Plan1";#N/A,#N/A,FALSE,"Plan2"}</definedName>
    <definedName name="hfjghtfuyrf" localSheetId="11" hidden="1">{#N/A,#N/A,FALSE,"Plan1";#N/A,#N/A,FALSE,"Plan2"}</definedName>
    <definedName name="hfjghtfuyrf" hidden="1">{#N/A,#N/A,FALSE,"Plan1";#N/A,#N/A,FALSE,"Plan2"}</definedName>
    <definedName name="HFKJHDJGHFJ" localSheetId="24" hidden="1">{#N/A,#N/A,FALSE,"Plan1";#N/A,#N/A,FALSE,"Plan2"}</definedName>
    <definedName name="HFKJHDJGHFJ" localSheetId="7" hidden="1">{#N/A,#N/A,FALSE,"Plan1";#N/A,#N/A,FALSE,"Plan2"}</definedName>
    <definedName name="HFKJHDJGHFJ" localSheetId="9" hidden="1">{#N/A,#N/A,FALSE,"Plan1";#N/A,#N/A,FALSE,"Plan2"}</definedName>
    <definedName name="HFKJHDJGHFJ" localSheetId="3" hidden="1">{#N/A,#N/A,FALSE,"Plan1";#N/A,#N/A,FALSE,"Plan2"}</definedName>
    <definedName name="HFKJHDJGHFJ" localSheetId="2" hidden="1">{#N/A,#N/A,FALSE,"Plan1";#N/A,#N/A,FALSE,"Plan2"}</definedName>
    <definedName name="HFKJHDJGHFJ" localSheetId="16" hidden="1">{#N/A,#N/A,FALSE,"Plan1";#N/A,#N/A,FALSE,"Plan2"}</definedName>
    <definedName name="HFKJHDJGHFJ" localSheetId="0" hidden="1">{#N/A,#N/A,FALSE,"Plan1";#N/A,#N/A,FALSE,"Plan2"}</definedName>
    <definedName name="HFKJHDJGHFJ" localSheetId="26" hidden="1">{#N/A,#N/A,FALSE,"Plan1";#N/A,#N/A,FALSE,"Plan2"}</definedName>
    <definedName name="HFKJHDJGHFJ" localSheetId="11" hidden="1">{#N/A,#N/A,FALSE,"Plan1";#N/A,#N/A,FALSE,"Plan2"}</definedName>
    <definedName name="HFKJHDJGHFJ" hidden="1">{#N/A,#N/A,FALSE,"Plan1";#N/A,#N/A,FALSE,"Plan2"}</definedName>
    <definedName name="hgdesgfgsj" localSheetId="24" hidden="1">{#N/A,#N/A,FALSE,"Plan1";#N/A,#N/A,FALSE,"Plan2"}</definedName>
    <definedName name="hgdesgfgsj" localSheetId="7" hidden="1">{#N/A,#N/A,FALSE,"Plan1";#N/A,#N/A,FALSE,"Plan2"}</definedName>
    <definedName name="hgdesgfgsj" localSheetId="9" hidden="1">{#N/A,#N/A,FALSE,"Plan1";#N/A,#N/A,FALSE,"Plan2"}</definedName>
    <definedName name="hgdesgfgsj" localSheetId="3" hidden="1">{#N/A,#N/A,FALSE,"Plan1";#N/A,#N/A,FALSE,"Plan2"}</definedName>
    <definedName name="hgdesgfgsj" localSheetId="2" hidden="1">{#N/A,#N/A,FALSE,"Plan1";#N/A,#N/A,FALSE,"Plan2"}</definedName>
    <definedName name="hgdesgfgsj" localSheetId="16" hidden="1">{#N/A,#N/A,FALSE,"Plan1";#N/A,#N/A,FALSE,"Plan2"}</definedName>
    <definedName name="hgdesgfgsj" localSheetId="0" hidden="1">{#N/A,#N/A,FALSE,"Plan1";#N/A,#N/A,FALSE,"Plan2"}</definedName>
    <definedName name="hgdesgfgsj" localSheetId="26" hidden="1">{#N/A,#N/A,FALSE,"Plan1";#N/A,#N/A,FALSE,"Plan2"}</definedName>
    <definedName name="hgdesgfgsj" localSheetId="11" hidden="1">{#N/A,#N/A,FALSE,"Plan1";#N/A,#N/A,FALSE,"Plan2"}</definedName>
    <definedName name="hgdesgfgsj" hidden="1">{#N/A,#N/A,FALSE,"Plan1";#N/A,#N/A,FALSE,"Plan2"}</definedName>
    <definedName name="hgdgfd" localSheetId="24" hidden="1">{#N/A,#N/A,FALSE,"Plan1";#N/A,#N/A,FALSE,"Plan2"}</definedName>
    <definedName name="hgdgfd" localSheetId="7" hidden="1">{#N/A,#N/A,FALSE,"Plan1";#N/A,#N/A,FALSE,"Plan2"}</definedName>
    <definedName name="hgdgfd" localSheetId="9" hidden="1">{#N/A,#N/A,FALSE,"Plan1";#N/A,#N/A,FALSE,"Plan2"}</definedName>
    <definedName name="hgdgfd" localSheetId="3" hidden="1">{#N/A,#N/A,FALSE,"Plan1";#N/A,#N/A,FALSE,"Plan2"}</definedName>
    <definedName name="hgdgfd" localSheetId="2" hidden="1">{#N/A,#N/A,FALSE,"Plan1";#N/A,#N/A,FALSE,"Plan2"}</definedName>
    <definedName name="hgdgfd" localSheetId="16" hidden="1">{#N/A,#N/A,FALSE,"Plan1";#N/A,#N/A,FALSE,"Plan2"}</definedName>
    <definedName name="hgdgfd" localSheetId="0" hidden="1">{#N/A,#N/A,FALSE,"Plan1";#N/A,#N/A,FALSE,"Plan2"}</definedName>
    <definedName name="hgdgfd" localSheetId="26" hidden="1">{#N/A,#N/A,FALSE,"Plan1";#N/A,#N/A,FALSE,"Plan2"}</definedName>
    <definedName name="hgdgfd" localSheetId="11" hidden="1">{#N/A,#N/A,FALSE,"Plan1";#N/A,#N/A,FALSE,"Plan2"}</definedName>
    <definedName name="hgdgfd" hidden="1">{#N/A,#N/A,FALSE,"Plan1";#N/A,#N/A,FALSE,"Plan2"}</definedName>
    <definedName name="hgfhjkdfhj" localSheetId="24" hidden="1">{#N/A,#N/A,FALSE,"Plan1";#N/A,#N/A,FALSE,"Plan2"}</definedName>
    <definedName name="hgfhjkdfhj" localSheetId="7" hidden="1">{#N/A,#N/A,FALSE,"Plan1";#N/A,#N/A,FALSE,"Plan2"}</definedName>
    <definedName name="hgfhjkdfhj" localSheetId="9" hidden="1">{#N/A,#N/A,FALSE,"Plan1";#N/A,#N/A,FALSE,"Plan2"}</definedName>
    <definedName name="hgfhjkdfhj" localSheetId="3" hidden="1">{#N/A,#N/A,FALSE,"Plan1";#N/A,#N/A,FALSE,"Plan2"}</definedName>
    <definedName name="hgfhjkdfhj" localSheetId="2" hidden="1">{#N/A,#N/A,FALSE,"Plan1";#N/A,#N/A,FALSE,"Plan2"}</definedName>
    <definedName name="hgfhjkdfhj" localSheetId="16" hidden="1">{#N/A,#N/A,FALSE,"Plan1";#N/A,#N/A,FALSE,"Plan2"}</definedName>
    <definedName name="hgfhjkdfhj" localSheetId="0" hidden="1">{#N/A,#N/A,FALSE,"Plan1";#N/A,#N/A,FALSE,"Plan2"}</definedName>
    <definedName name="hgfhjkdfhj" localSheetId="26" hidden="1">{#N/A,#N/A,FALSE,"Plan1";#N/A,#N/A,FALSE,"Plan2"}</definedName>
    <definedName name="hgfhjkdfhj" localSheetId="11" hidden="1">{#N/A,#N/A,FALSE,"Plan1";#N/A,#N/A,FALSE,"Plan2"}</definedName>
    <definedName name="hgfhjkdfhj" hidden="1">{#N/A,#N/A,FALSE,"Plan1";#N/A,#N/A,FALSE,"Plan2"}</definedName>
    <definedName name="hgg" localSheetId="24" hidden="1">{#N/A,#N/A,FALSE,"Plan1";#N/A,#N/A,FALSE,"Plan2"}</definedName>
    <definedName name="hgg" localSheetId="7" hidden="1">{#N/A,#N/A,FALSE,"Plan1";#N/A,#N/A,FALSE,"Plan2"}</definedName>
    <definedName name="hgg" localSheetId="9" hidden="1">{#N/A,#N/A,FALSE,"Plan1";#N/A,#N/A,FALSE,"Plan2"}</definedName>
    <definedName name="hgg" localSheetId="3" hidden="1">{#N/A,#N/A,FALSE,"Plan1";#N/A,#N/A,FALSE,"Plan2"}</definedName>
    <definedName name="hgg" localSheetId="2" hidden="1">{#N/A,#N/A,FALSE,"Plan1";#N/A,#N/A,FALSE,"Plan2"}</definedName>
    <definedName name="hgg" localSheetId="16" hidden="1">{#N/A,#N/A,FALSE,"Plan1";#N/A,#N/A,FALSE,"Plan2"}</definedName>
    <definedName name="hgg" localSheetId="0" hidden="1">{#N/A,#N/A,FALSE,"Plan1";#N/A,#N/A,FALSE,"Plan2"}</definedName>
    <definedName name="hgg" localSheetId="26" hidden="1">{#N/A,#N/A,FALSE,"Plan1";#N/A,#N/A,FALSE,"Plan2"}</definedName>
    <definedName name="hgg" localSheetId="11" hidden="1">{#N/A,#N/A,FALSE,"Plan1";#N/A,#N/A,FALSE,"Plan2"}</definedName>
    <definedName name="hgg" hidden="1">{#N/A,#N/A,FALSE,"Plan1";#N/A,#N/A,FALSE,"Plan2"}</definedName>
    <definedName name="hgjdfgghg" localSheetId="24" hidden="1">{#N/A,#N/A,FALSE,"Plan1";#N/A,#N/A,FALSE,"Plan2"}</definedName>
    <definedName name="hgjdfgghg" localSheetId="7" hidden="1">{#N/A,#N/A,FALSE,"Plan1";#N/A,#N/A,FALSE,"Plan2"}</definedName>
    <definedName name="hgjdfgghg" localSheetId="9" hidden="1">{#N/A,#N/A,FALSE,"Plan1";#N/A,#N/A,FALSE,"Plan2"}</definedName>
    <definedName name="hgjdfgghg" localSheetId="3" hidden="1">{#N/A,#N/A,FALSE,"Plan1";#N/A,#N/A,FALSE,"Plan2"}</definedName>
    <definedName name="hgjdfgghg" localSheetId="2" hidden="1">{#N/A,#N/A,FALSE,"Plan1";#N/A,#N/A,FALSE,"Plan2"}</definedName>
    <definedName name="hgjdfgghg" localSheetId="16" hidden="1">{#N/A,#N/A,FALSE,"Plan1";#N/A,#N/A,FALSE,"Plan2"}</definedName>
    <definedName name="hgjdfgghg" localSheetId="0" hidden="1">{#N/A,#N/A,FALSE,"Plan1";#N/A,#N/A,FALSE,"Plan2"}</definedName>
    <definedName name="hgjdfgghg" localSheetId="26" hidden="1">{#N/A,#N/A,FALSE,"Plan1";#N/A,#N/A,FALSE,"Plan2"}</definedName>
    <definedName name="hgjdfgghg" localSheetId="11" hidden="1">{#N/A,#N/A,FALSE,"Plan1";#N/A,#N/A,FALSE,"Plan2"}</definedName>
    <definedName name="hgjdfgghg" hidden="1">{#N/A,#N/A,FALSE,"Plan1";#N/A,#N/A,FALSE,"Plan2"}</definedName>
    <definedName name="hgjkfdhg" localSheetId="24" hidden="1">{#N/A,#N/A,FALSE,"Plan1";#N/A,#N/A,FALSE,"Plan2"}</definedName>
    <definedName name="hgjkfdhg" localSheetId="7" hidden="1">{#N/A,#N/A,FALSE,"Plan1";#N/A,#N/A,FALSE,"Plan2"}</definedName>
    <definedName name="hgjkfdhg" localSheetId="9" hidden="1">{#N/A,#N/A,FALSE,"Plan1";#N/A,#N/A,FALSE,"Plan2"}</definedName>
    <definedName name="hgjkfdhg" localSheetId="3" hidden="1">{#N/A,#N/A,FALSE,"Plan1";#N/A,#N/A,FALSE,"Plan2"}</definedName>
    <definedName name="hgjkfdhg" localSheetId="2" hidden="1">{#N/A,#N/A,FALSE,"Plan1";#N/A,#N/A,FALSE,"Plan2"}</definedName>
    <definedName name="hgjkfdhg" localSheetId="16" hidden="1">{#N/A,#N/A,FALSE,"Plan1";#N/A,#N/A,FALSE,"Plan2"}</definedName>
    <definedName name="hgjkfdhg" localSheetId="0" hidden="1">{#N/A,#N/A,FALSE,"Plan1";#N/A,#N/A,FALSE,"Plan2"}</definedName>
    <definedName name="hgjkfdhg" localSheetId="26" hidden="1">{#N/A,#N/A,FALSE,"Plan1";#N/A,#N/A,FALSE,"Plan2"}</definedName>
    <definedName name="hgjkfdhg" localSheetId="11" hidden="1">{#N/A,#N/A,FALSE,"Plan1";#N/A,#N/A,FALSE,"Plan2"}</definedName>
    <definedName name="hgjkfdhg" hidden="1">{#N/A,#N/A,FALSE,"Plan1";#N/A,#N/A,FALSE,"Plan2"}</definedName>
    <definedName name="hgkdfhkfk" localSheetId="24" hidden="1">{#N/A,#N/A,FALSE,"Plan1";#N/A,#N/A,FALSE,"Plan2"}</definedName>
    <definedName name="hgkdfhkfk" localSheetId="7" hidden="1">{#N/A,#N/A,FALSE,"Plan1";#N/A,#N/A,FALSE,"Plan2"}</definedName>
    <definedName name="hgkdfhkfk" localSheetId="9" hidden="1">{#N/A,#N/A,FALSE,"Plan1";#N/A,#N/A,FALSE,"Plan2"}</definedName>
    <definedName name="hgkdfhkfk" localSheetId="3" hidden="1">{#N/A,#N/A,FALSE,"Plan1";#N/A,#N/A,FALSE,"Plan2"}</definedName>
    <definedName name="hgkdfhkfk" localSheetId="2" hidden="1">{#N/A,#N/A,FALSE,"Plan1";#N/A,#N/A,FALSE,"Plan2"}</definedName>
    <definedName name="hgkdfhkfk" localSheetId="16" hidden="1">{#N/A,#N/A,FALSE,"Plan1";#N/A,#N/A,FALSE,"Plan2"}</definedName>
    <definedName name="hgkdfhkfk" localSheetId="0" hidden="1">{#N/A,#N/A,FALSE,"Plan1";#N/A,#N/A,FALSE,"Plan2"}</definedName>
    <definedName name="hgkdfhkfk" localSheetId="26" hidden="1">{#N/A,#N/A,FALSE,"Plan1";#N/A,#N/A,FALSE,"Plan2"}</definedName>
    <definedName name="hgkdfhkfk" localSheetId="11" hidden="1">{#N/A,#N/A,FALSE,"Plan1";#N/A,#N/A,FALSE,"Plan2"}</definedName>
    <definedName name="hgkdfhkfk" hidden="1">{#N/A,#N/A,FALSE,"Plan1";#N/A,#N/A,FALSE,"Plan2"}</definedName>
    <definedName name="hgkjhdfhtrdyt" localSheetId="24" hidden="1">{#N/A,#N/A,FALSE,"Plan1";#N/A,#N/A,FALSE,"Plan2"}</definedName>
    <definedName name="hgkjhdfhtrdyt" localSheetId="7" hidden="1">{#N/A,#N/A,FALSE,"Plan1";#N/A,#N/A,FALSE,"Plan2"}</definedName>
    <definedName name="hgkjhdfhtrdyt" localSheetId="9" hidden="1">{#N/A,#N/A,FALSE,"Plan1";#N/A,#N/A,FALSE,"Plan2"}</definedName>
    <definedName name="hgkjhdfhtrdyt" localSheetId="3" hidden="1">{#N/A,#N/A,FALSE,"Plan1";#N/A,#N/A,FALSE,"Plan2"}</definedName>
    <definedName name="hgkjhdfhtrdyt" localSheetId="2" hidden="1">{#N/A,#N/A,FALSE,"Plan1";#N/A,#N/A,FALSE,"Plan2"}</definedName>
    <definedName name="hgkjhdfhtrdyt" localSheetId="16" hidden="1">{#N/A,#N/A,FALSE,"Plan1";#N/A,#N/A,FALSE,"Plan2"}</definedName>
    <definedName name="hgkjhdfhtrdyt" localSheetId="0" hidden="1">{#N/A,#N/A,FALSE,"Plan1";#N/A,#N/A,FALSE,"Plan2"}</definedName>
    <definedName name="hgkjhdfhtrdyt" localSheetId="26" hidden="1">{#N/A,#N/A,FALSE,"Plan1";#N/A,#N/A,FALSE,"Plan2"}</definedName>
    <definedName name="hgkjhdfhtrdyt" localSheetId="11" hidden="1">{#N/A,#N/A,FALSE,"Plan1";#N/A,#N/A,FALSE,"Plan2"}</definedName>
    <definedName name="hgkjhdfhtrdyt" hidden="1">{#N/A,#N/A,FALSE,"Plan1";#N/A,#N/A,FALSE,"Plan2"}</definedName>
    <definedName name="hgkjhdfkhgtfhg" localSheetId="24" hidden="1">{#N/A,#N/A,FALSE,"Plan1";#N/A,#N/A,FALSE,"Plan2"}</definedName>
    <definedName name="hgkjhdfkhgtfhg" localSheetId="7" hidden="1">{#N/A,#N/A,FALSE,"Plan1";#N/A,#N/A,FALSE,"Plan2"}</definedName>
    <definedName name="hgkjhdfkhgtfhg" localSheetId="9" hidden="1">{#N/A,#N/A,FALSE,"Plan1";#N/A,#N/A,FALSE,"Plan2"}</definedName>
    <definedName name="hgkjhdfkhgtfhg" localSheetId="3" hidden="1">{#N/A,#N/A,FALSE,"Plan1";#N/A,#N/A,FALSE,"Plan2"}</definedName>
    <definedName name="hgkjhdfkhgtfhg" localSheetId="2" hidden="1">{#N/A,#N/A,FALSE,"Plan1";#N/A,#N/A,FALSE,"Plan2"}</definedName>
    <definedName name="hgkjhdfkhgtfhg" localSheetId="16" hidden="1">{#N/A,#N/A,FALSE,"Plan1";#N/A,#N/A,FALSE,"Plan2"}</definedName>
    <definedName name="hgkjhdfkhgtfhg" localSheetId="0" hidden="1">{#N/A,#N/A,FALSE,"Plan1";#N/A,#N/A,FALSE,"Plan2"}</definedName>
    <definedName name="hgkjhdfkhgtfhg" localSheetId="26" hidden="1">{#N/A,#N/A,FALSE,"Plan1";#N/A,#N/A,FALSE,"Plan2"}</definedName>
    <definedName name="hgkjhdfkhgtfhg" localSheetId="11" hidden="1">{#N/A,#N/A,FALSE,"Plan1";#N/A,#N/A,FALSE,"Plan2"}</definedName>
    <definedName name="hgkjhdfkhgtfhg" hidden="1">{#N/A,#N/A,FALSE,"Plan1";#N/A,#N/A,FALSE,"Plan2"}</definedName>
    <definedName name="hgkjhkfhsdkdhgk" localSheetId="24" hidden="1">{#N/A,#N/A,FALSE,"Plan1";#N/A,#N/A,FALSE,"Plan2"}</definedName>
    <definedName name="hgkjhkfhsdkdhgk" localSheetId="7" hidden="1">{#N/A,#N/A,FALSE,"Plan1";#N/A,#N/A,FALSE,"Plan2"}</definedName>
    <definedName name="hgkjhkfhsdkdhgk" localSheetId="9" hidden="1">{#N/A,#N/A,FALSE,"Plan1";#N/A,#N/A,FALSE,"Plan2"}</definedName>
    <definedName name="hgkjhkfhsdkdhgk" localSheetId="3" hidden="1">{#N/A,#N/A,FALSE,"Plan1";#N/A,#N/A,FALSE,"Plan2"}</definedName>
    <definedName name="hgkjhkfhsdkdhgk" localSheetId="2" hidden="1">{#N/A,#N/A,FALSE,"Plan1";#N/A,#N/A,FALSE,"Plan2"}</definedName>
    <definedName name="hgkjhkfhsdkdhgk" localSheetId="16" hidden="1">{#N/A,#N/A,FALSE,"Plan1";#N/A,#N/A,FALSE,"Plan2"}</definedName>
    <definedName name="hgkjhkfhsdkdhgk" localSheetId="0" hidden="1">{#N/A,#N/A,FALSE,"Plan1";#N/A,#N/A,FALSE,"Plan2"}</definedName>
    <definedName name="hgkjhkfhsdkdhgk" localSheetId="26" hidden="1">{#N/A,#N/A,FALSE,"Plan1";#N/A,#N/A,FALSE,"Plan2"}</definedName>
    <definedName name="hgkjhkfhsdkdhgk" localSheetId="11" hidden="1">{#N/A,#N/A,FALSE,"Plan1";#N/A,#N/A,FALSE,"Plan2"}</definedName>
    <definedName name="hgkjhkfhsdkdhgk" hidden="1">{#N/A,#N/A,FALSE,"Plan1";#N/A,#N/A,FALSE,"Plan2"}</definedName>
    <definedName name="hgsufgdhghd" localSheetId="24" hidden="1">{#N/A,#N/A,FALSE,"Plan1";#N/A,#N/A,FALSE,"Plan2"}</definedName>
    <definedName name="hgsufgdhghd" localSheetId="7" hidden="1">{#N/A,#N/A,FALSE,"Plan1";#N/A,#N/A,FALSE,"Plan2"}</definedName>
    <definedName name="hgsufgdhghd" localSheetId="9" hidden="1">{#N/A,#N/A,FALSE,"Plan1";#N/A,#N/A,FALSE,"Plan2"}</definedName>
    <definedName name="hgsufgdhghd" localSheetId="3" hidden="1">{#N/A,#N/A,FALSE,"Plan1";#N/A,#N/A,FALSE,"Plan2"}</definedName>
    <definedName name="hgsufgdhghd" localSheetId="2" hidden="1">{#N/A,#N/A,FALSE,"Plan1";#N/A,#N/A,FALSE,"Plan2"}</definedName>
    <definedName name="hgsufgdhghd" localSheetId="16" hidden="1">{#N/A,#N/A,FALSE,"Plan1";#N/A,#N/A,FALSE,"Plan2"}</definedName>
    <definedName name="hgsufgdhghd" localSheetId="0" hidden="1">{#N/A,#N/A,FALSE,"Plan1";#N/A,#N/A,FALSE,"Plan2"}</definedName>
    <definedName name="hgsufgdhghd" localSheetId="26" hidden="1">{#N/A,#N/A,FALSE,"Plan1";#N/A,#N/A,FALSE,"Plan2"}</definedName>
    <definedName name="hgsufgdhghd" localSheetId="11" hidden="1">{#N/A,#N/A,FALSE,"Plan1";#N/A,#N/A,FALSE,"Plan2"}</definedName>
    <definedName name="hgsufgdhghd" hidden="1">{#N/A,#N/A,FALSE,"Plan1";#N/A,#N/A,FALSE,"Plan2"}</definedName>
    <definedName name="HHGFHTYUT" localSheetId="24" hidden="1">{#N/A,#N/A,FALSE,"Plan1";#N/A,#N/A,FALSE,"Plan2"}</definedName>
    <definedName name="HHGFHTYUT" localSheetId="7" hidden="1">{#N/A,#N/A,FALSE,"Plan1";#N/A,#N/A,FALSE,"Plan2"}</definedName>
    <definedName name="HHGFHTYUT" localSheetId="9" hidden="1">{#N/A,#N/A,FALSE,"Plan1";#N/A,#N/A,FALSE,"Plan2"}</definedName>
    <definedName name="HHGFHTYUT" localSheetId="3" hidden="1">{#N/A,#N/A,FALSE,"Plan1";#N/A,#N/A,FALSE,"Plan2"}</definedName>
    <definedName name="HHGFHTYUT" localSheetId="2" hidden="1">{#N/A,#N/A,FALSE,"Plan1";#N/A,#N/A,FALSE,"Plan2"}</definedName>
    <definedName name="HHGFHTYUT" localSheetId="16" hidden="1">{#N/A,#N/A,FALSE,"Plan1";#N/A,#N/A,FALSE,"Plan2"}</definedName>
    <definedName name="HHGFHTYUT" localSheetId="0" hidden="1">{#N/A,#N/A,FALSE,"Plan1";#N/A,#N/A,FALSE,"Plan2"}</definedName>
    <definedName name="HHGFHTYUT" localSheetId="26" hidden="1">{#N/A,#N/A,FALSE,"Plan1";#N/A,#N/A,FALSE,"Plan2"}</definedName>
    <definedName name="HHGFHTYUT" localSheetId="11" hidden="1">{#N/A,#N/A,FALSE,"Plan1";#N/A,#N/A,FALSE,"Plan2"}</definedName>
    <definedName name="HHGFHTYUT" hidden="1">{#N/A,#N/A,FALSE,"Plan1";#N/A,#N/A,FALSE,"Plan2"}</definedName>
    <definedName name="hhh" localSheetId="24" hidden="1">{"'Total'!$A$1","'Total'!$A$3"}</definedName>
    <definedName name="hhh" localSheetId="7" hidden="1">{"'Total'!$A$1","'Total'!$A$3"}</definedName>
    <definedName name="hhh" localSheetId="9" hidden="1">{"'Total'!$A$1","'Total'!$A$3"}</definedName>
    <definedName name="hhh" localSheetId="3" hidden="1">{"'Total'!$A$1","'Total'!$A$3"}</definedName>
    <definedName name="hhh" localSheetId="2" hidden="1">{"'Total'!$A$1","'Total'!$A$3"}</definedName>
    <definedName name="hhh" localSheetId="16" hidden="1">{"'Total'!$A$1","'Total'!$A$3"}</definedName>
    <definedName name="hhh" localSheetId="0" hidden="1">{"'Total'!$A$1","'Total'!$A$3"}</definedName>
    <definedName name="hhh" localSheetId="26" hidden="1">{"'Total'!$A$1","'Total'!$A$3"}</definedName>
    <definedName name="hhh" localSheetId="11" hidden="1">{"'Total'!$A$1","'Total'!$A$3"}</definedName>
    <definedName name="hhh" hidden="1">{"'Total'!$A$1","'Total'!$A$3"}</definedName>
    <definedName name="HHIHLK" localSheetId="7" hidden="1">#REF!</definedName>
    <definedName name="HHIHLK" localSheetId="3" hidden="1">#REF!</definedName>
    <definedName name="HHIHLK" localSheetId="0" hidden="1">#REF!</definedName>
    <definedName name="HHIHLK" hidden="1">#REF!</definedName>
    <definedName name="hik" localSheetId="24" hidden="1">{#N/A,#N/A,FALSE,"TABLE"}</definedName>
    <definedName name="hik" localSheetId="7" hidden="1">{#N/A,#N/A,FALSE,"TABLE"}</definedName>
    <definedName name="hik" localSheetId="9" hidden="1">{#N/A,#N/A,FALSE,"TABLE"}</definedName>
    <definedName name="hik" localSheetId="3" hidden="1">{#N/A,#N/A,FALSE,"TABLE"}</definedName>
    <definedName name="hik" localSheetId="2" hidden="1">{#N/A,#N/A,FALSE,"TABLE"}</definedName>
    <definedName name="hik" localSheetId="16" hidden="1">{#N/A,#N/A,FALSE,"TABLE"}</definedName>
    <definedName name="hik" localSheetId="0" hidden="1">{#N/A,#N/A,FALSE,"TABLE"}</definedName>
    <definedName name="hik" localSheetId="26" hidden="1">{#N/A,#N/A,FALSE,"TABLE"}</definedName>
    <definedName name="hik" localSheetId="11" hidden="1">{#N/A,#N/A,FALSE,"TABLE"}</definedName>
    <definedName name="hik" hidden="1">{#N/A,#N/A,FALSE,"TABLE"}</definedName>
    <definedName name="hist" localSheetId="24">#REF!</definedName>
    <definedName name="hist" localSheetId="7">#REF!</definedName>
    <definedName name="hist" localSheetId="3">#REF!</definedName>
    <definedName name="hist" localSheetId="26">#REF!</definedName>
    <definedName name="hist">#REF!</definedName>
    <definedName name="HIST1" localSheetId="7">#REF!</definedName>
    <definedName name="HIST1" localSheetId="3">#REF!</definedName>
    <definedName name="HIST1">#REF!</definedName>
    <definedName name="HISTEQ" localSheetId="7">#REF!</definedName>
    <definedName name="HISTEQ" localSheetId="3">#REF!</definedName>
    <definedName name="HISTEQ">#REF!</definedName>
    <definedName name="HISTOGRAMA" localSheetId="7">#REF!</definedName>
    <definedName name="HISTOGRAMA" localSheetId="3">#REF!</definedName>
    <definedName name="HISTOGRAMA">#REF!</definedName>
    <definedName name="hjdgtjdjxrfg" localSheetId="24" hidden="1">{#N/A,#N/A,FALSE,"Plan1";#N/A,#N/A,FALSE,"Plan2"}</definedName>
    <definedName name="hjdgtjdjxrfg" localSheetId="7" hidden="1">{#N/A,#N/A,FALSE,"Plan1";#N/A,#N/A,FALSE,"Plan2"}</definedName>
    <definedName name="hjdgtjdjxrfg" localSheetId="9" hidden="1">{#N/A,#N/A,FALSE,"Plan1";#N/A,#N/A,FALSE,"Plan2"}</definedName>
    <definedName name="hjdgtjdjxrfg" localSheetId="3" hidden="1">{#N/A,#N/A,FALSE,"Plan1";#N/A,#N/A,FALSE,"Plan2"}</definedName>
    <definedName name="hjdgtjdjxrfg" localSheetId="2" hidden="1">{#N/A,#N/A,FALSE,"Plan1";#N/A,#N/A,FALSE,"Plan2"}</definedName>
    <definedName name="hjdgtjdjxrfg" localSheetId="16" hidden="1">{#N/A,#N/A,FALSE,"Plan1";#N/A,#N/A,FALSE,"Plan2"}</definedName>
    <definedName name="hjdgtjdjxrfg" localSheetId="0" hidden="1">{#N/A,#N/A,FALSE,"Plan1";#N/A,#N/A,FALSE,"Plan2"}</definedName>
    <definedName name="hjdgtjdjxrfg" localSheetId="26" hidden="1">{#N/A,#N/A,FALSE,"Plan1";#N/A,#N/A,FALSE,"Plan2"}</definedName>
    <definedName name="hjdgtjdjxrfg" localSheetId="11" hidden="1">{#N/A,#N/A,FALSE,"Plan1";#N/A,#N/A,FALSE,"Plan2"}</definedName>
    <definedName name="hjdgtjdjxrfg" hidden="1">{#N/A,#N/A,FALSE,"Plan1";#N/A,#N/A,FALSE,"Plan2"}</definedName>
    <definedName name="HJFDGD" localSheetId="24" hidden="1">{#N/A,#N/A,FALSE,"Plan1";#N/A,#N/A,FALSE,"Plan2"}</definedName>
    <definedName name="HJFDGD" localSheetId="7" hidden="1">{#N/A,#N/A,FALSE,"Plan1";#N/A,#N/A,FALSE,"Plan2"}</definedName>
    <definedName name="HJFDGD" localSheetId="9" hidden="1">{#N/A,#N/A,FALSE,"Plan1";#N/A,#N/A,FALSE,"Plan2"}</definedName>
    <definedName name="HJFDGD" localSheetId="3" hidden="1">{#N/A,#N/A,FALSE,"Plan1";#N/A,#N/A,FALSE,"Plan2"}</definedName>
    <definedName name="HJFDGD" localSheetId="2" hidden="1">{#N/A,#N/A,FALSE,"Plan1";#N/A,#N/A,FALSE,"Plan2"}</definedName>
    <definedName name="HJFDGD" localSheetId="16" hidden="1">{#N/A,#N/A,FALSE,"Plan1";#N/A,#N/A,FALSE,"Plan2"}</definedName>
    <definedName name="HJFDGD" localSheetId="0" hidden="1">{#N/A,#N/A,FALSE,"Plan1";#N/A,#N/A,FALSE,"Plan2"}</definedName>
    <definedName name="HJFDGD" localSheetId="26" hidden="1">{#N/A,#N/A,FALSE,"Plan1";#N/A,#N/A,FALSE,"Plan2"}</definedName>
    <definedName name="HJFDGD" localSheetId="11" hidden="1">{#N/A,#N/A,FALSE,"Plan1";#N/A,#N/A,FALSE,"Plan2"}</definedName>
    <definedName name="HJFDGD" hidden="1">{#N/A,#N/A,FALSE,"Plan1";#N/A,#N/A,FALSE,"Plan2"}</definedName>
    <definedName name="HJGASD" localSheetId="24" hidden="1">{#N/A,#N/A,FALSE,"Plan1";#N/A,#N/A,FALSE,"Plan2"}</definedName>
    <definedName name="HJGASD" localSheetId="7" hidden="1">{#N/A,#N/A,FALSE,"Plan1";#N/A,#N/A,FALSE,"Plan2"}</definedName>
    <definedName name="HJGASD" localSheetId="9" hidden="1">{#N/A,#N/A,FALSE,"Plan1";#N/A,#N/A,FALSE,"Plan2"}</definedName>
    <definedName name="HJGASD" localSheetId="3" hidden="1">{#N/A,#N/A,FALSE,"Plan1";#N/A,#N/A,FALSE,"Plan2"}</definedName>
    <definedName name="HJGASD" localSheetId="2" hidden="1">{#N/A,#N/A,FALSE,"Plan1";#N/A,#N/A,FALSE,"Plan2"}</definedName>
    <definedName name="HJGASD" localSheetId="16" hidden="1">{#N/A,#N/A,FALSE,"Plan1";#N/A,#N/A,FALSE,"Plan2"}</definedName>
    <definedName name="HJGASD" localSheetId="0" hidden="1">{#N/A,#N/A,FALSE,"Plan1";#N/A,#N/A,FALSE,"Plan2"}</definedName>
    <definedName name="HJGASD" localSheetId="26" hidden="1">{#N/A,#N/A,FALSE,"Plan1";#N/A,#N/A,FALSE,"Plan2"}</definedName>
    <definedName name="HJGASD" localSheetId="11" hidden="1">{#N/A,#N/A,FALSE,"Plan1";#N/A,#N/A,FALSE,"Plan2"}</definedName>
    <definedName name="HJGASD" hidden="1">{#N/A,#N/A,FALSE,"Plan1";#N/A,#N/A,FALSE,"Plan2"}</definedName>
    <definedName name="HJGFGTFDG" localSheetId="24" hidden="1">{#N/A,#N/A,FALSE,"Plan1";#N/A,#N/A,FALSE,"Plan2"}</definedName>
    <definedName name="HJGFGTFDG" localSheetId="7" hidden="1">{#N/A,#N/A,FALSE,"Plan1";#N/A,#N/A,FALSE,"Plan2"}</definedName>
    <definedName name="HJGFGTFDG" localSheetId="9" hidden="1">{#N/A,#N/A,FALSE,"Plan1";#N/A,#N/A,FALSE,"Plan2"}</definedName>
    <definedName name="HJGFGTFDG" localSheetId="3" hidden="1">{#N/A,#N/A,FALSE,"Plan1";#N/A,#N/A,FALSE,"Plan2"}</definedName>
    <definedName name="HJGFGTFDG" localSheetId="2" hidden="1">{#N/A,#N/A,FALSE,"Plan1";#N/A,#N/A,FALSE,"Plan2"}</definedName>
    <definedName name="HJGFGTFDG" localSheetId="16" hidden="1">{#N/A,#N/A,FALSE,"Plan1";#N/A,#N/A,FALSE,"Plan2"}</definedName>
    <definedName name="HJGFGTFDG" localSheetId="0" hidden="1">{#N/A,#N/A,FALSE,"Plan1";#N/A,#N/A,FALSE,"Plan2"}</definedName>
    <definedName name="HJGFGTFDG" localSheetId="26" hidden="1">{#N/A,#N/A,FALSE,"Plan1";#N/A,#N/A,FALSE,"Plan2"}</definedName>
    <definedName name="HJGFGTFDG" localSheetId="11" hidden="1">{#N/A,#N/A,FALSE,"Plan1";#N/A,#N/A,FALSE,"Plan2"}</definedName>
    <definedName name="HJGFGTFDG" hidden="1">{#N/A,#N/A,FALSE,"Plan1";#N/A,#N/A,FALSE,"Plan2"}</definedName>
    <definedName name="hjgfhdsgfhsd" localSheetId="24" hidden="1">{#N/A,#N/A,FALSE,"Plan1";#N/A,#N/A,FALSE,"Plan2"}</definedName>
    <definedName name="hjgfhdsgfhsd" localSheetId="7" hidden="1">{#N/A,#N/A,FALSE,"Plan1";#N/A,#N/A,FALSE,"Plan2"}</definedName>
    <definedName name="hjgfhdsgfhsd" localSheetId="9" hidden="1">{#N/A,#N/A,FALSE,"Plan1";#N/A,#N/A,FALSE,"Plan2"}</definedName>
    <definedName name="hjgfhdsgfhsd" localSheetId="3" hidden="1">{#N/A,#N/A,FALSE,"Plan1";#N/A,#N/A,FALSE,"Plan2"}</definedName>
    <definedName name="hjgfhdsgfhsd" localSheetId="2" hidden="1">{#N/A,#N/A,FALSE,"Plan1";#N/A,#N/A,FALSE,"Plan2"}</definedName>
    <definedName name="hjgfhdsgfhsd" localSheetId="16" hidden="1">{#N/A,#N/A,FALSE,"Plan1";#N/A,#N/A,FALSE,"Plan2"}</definedName>
    <definedName name="hjgfhdsgfhsd" localSheetId="0" hidden="1">{#N/A,#N/A,FALSE,"Plan1";#N/A,#N/A,FALSE,"Plan2"}</definedName>
    <definedName name="hjgfhdsgfhsd" localSheetId="26" hidden="1">{#N/A,#N/A,FALSE,"Plan1";#N/A,#N/A,FALSE,"Plan2"}</definedName>
    <definedName name="hjgfhdsgfhsd" localSheetId="11" hidden="1">{#N/A,#N/A,FALSE,"Plan1";#N/A,#N/A,FALSE,"Plan2"}</definedName>
    <definedName name="hjgfhdsgfhsd" hidden="1">{#N/A,#N/A,FALSE,"Plan1";#N/A,#N/A,FALSE,"Plan2"}</definedName>
    <definedName name="hjgxfjgdjyftr" localSheetId="24" hidden="1">{#N/A,#N/A,FALSE,"Plan1";#N/A,#N/A,FALSE,"Plan2"}</definedName>
    <definedName name="hjgxfjgdjyftr" localSheetId="7" hidden="1">{#N/A,#N/A,FALSE,"Plan1";#N/A,#N/A,FALSE,"Plan2"}</definedName>
    <definedName name="hjgxfjgdjyftr" localSheetId="9" hidden="1">{#N/A,#N/A,FALSE,"Plan1";#N/A,#N/A,FALSE,"Plan2"}</definedName>
    <definedName name="hjgxfjgdjyftr" localSheetId="3" hidden="1">{#N/A,#N/A,FALSE,"Plan1";#N/A,#N/A,FALSE,"Plan2"}</definedName>
    <definedName name="hjgxfjgdjyftr" localSheetId="2" hidden="1">{#N/A,#N/A,FALSE,"Plan1";#N/A,#N/A,FALSE,"Plan2"}</definedName>
    <definedName name="hjgxfjgdjyftr" localSheetId="16" hidden="1">{#N/A,#N/A,FALSE,"Plan1";#N/A,#N/A,FALSE,"Plan2"}</definedName>
    <definedName name="hjgxfjgdjyftr" localSheetId="0" hidden="1">{#N/A,#N/A,FALSE,"Plan1";#N/A,#N/A,FALSE,"Plan2"}</definedName>
    <definedName name="hjgxfjgdjyftr" localSheetId="26" hidden="1">{#N/A,#N/A,FALSE,"Plan1";#N/A,#N/A,FALSE,"Plan2"}</definedName>
    <definedName name="hjgxfjgdjyftr" localSheetId="11" hidden="1">{#N/A,#N/A,FALSE,"Plan1";#N/A,#N/A,FALSE,"Plan2"}</definedName>
    <definedName name="hjgxfjgdjyftr" hidden="1">{#N/A,#N/A,FALSE,"Plan1";#N/A,#N/A,FALSE,"Plan2"}</definedName>
    <definedName name="hjgyugasd" localSheetId="24" hidden="1">{#N/A,#N/A,FALSE,"Plan1";#N/A,#N/A,FALSE,"Plan2"}</definedName>
    <definedName name="hjgyugasd" localSheetId="7" hidden="1">{#N/A,#N/A,FALSE,"Plan1";#N/A,#N/A,FALSE,"Plan2"}</definedName>
    <definedName name="hjgyugasd" localSheetId="9" hidden="1">{#N/A,#N/A,FALSE,"Plan1";#N/A,#N/A,FALSE,"Plan2"}</definedName>
    <definedName name="hjgyugasd" localSheetId="3" hidden="1">{#N/A,#N/A,FALSE,"Plan1";#N/A,#N/A,FALSE,"Plan2"}</definedName>
    <definedName name="hjgyugasd" localSheetId="2" hidden="1">{#N/A,#N/A,FALSE,"Plan1";#N/A,#N/A,FALSE,"Plan2"}</definedName>
    <definedName name="hjgyugasd" localSheetId="16" hidden="1">{#N/A,#N/A,FALSE,"Plan1";#N/A,#N/A,FALSE,"Plan2"}</definedName>
    <definedName name="hjgyugasd" localSheetId="0" hidden="1">{#N/A,#N/A,FALSE,"Plan1";#N/A,#N/A,FALSE,"Plan2"}</definedName>
    <definedName name="hjgyugasd" localSheetId="26" hidden="1">{#N/A,#N/A,FALSE,"Plan1";#N/A,#N/A,FALSE,"Plan2"}</definedName>
    <definedName name="hjgyugasd" localSheetId="11" hidden="1">{#N/A,#N/A,FALSE,"Plan1";#N/A,#N/A,FALSE,"Plan2"}</definedName>
    <definedName name="hjgyugasd" hidden="1">{#N/A,#N/A,FALSE,"Plan1";#N/A,#N/A,FALSE,"Plan2"}</definedName>
    <definedName name="hjjfyfy" localSheetId="24" hidden="1">{#N/A,#N/A,FALSE,"Plan1";#N/A,#N/A,FALSE,"Plan2"}</definedName>
    <definedName name="hjjfyfy" localSheetId="7" hidden="1">{#N/A,#N/A,FALSE,"Plan1";#N/A,#N/A,FALSE,"Plan2"}</definedName>
    <definedName name="hjjfyfy" localSheetId="9" hidden="1">{#N/A,#N/A,FALSE,"Plan1";#N/A,#N/A,FALSE,"Plan2"}</definedName>
    <definedName name="hjjfyfy" localSheetId="3" hidden="1">{#N/A,#N/A,FALSE,"Plan1";#N/A,#N/A,FALSE,"Plan2"}</definedName>
    <definedName name="hjjfyfy" localSheetId="2" hidden="1">{#N/A,#N/A,FALSE,"Plan1";#N/A,#N/A,FALSE,"Plan2"}</definedName>
    <definedName name="hjjfyfy" localSheetId="16" hidden="1">{#N/A,#N/A,FALSE,"Plan1";#N/A,#N/A,FALSE,"Plan2"}</definedName>
    <definedName name="hjjfyfy" localSheetId="0" hidden="1">{#N/A,#N/A,FALSE,"Plan1";#N/A,#N/A,FALSE,"Plan2"}</definedName>
    <definedName name="hjjfyfy" localSheetId="26" hidden="1">{#N/A,#N/A,FALSE,"Plan1";#N/A,#N/A,FALSE,"Plan2"}</definedName>
    <definedName name="hjjfyfy" localSheetId="11" hidden="1">{#N/A,#N/A,FALSE,"Plan1";#N/A,#N/A,FALSE,"Plan2"}</definedName>
    <definedName name="hjjfyfy" hidden="1">{#N/A,#N/A,FALSE,"Plan1";#N/A,#N/A,FALSE,"Plan2"}</definedName>
    <definedName name="hjkchkvjhdjkgh" localSheetId="24" hidden="1">{#N/A,#N/A,FALSE,"Plan1";#N/A,#N/A,FALSE,"Plan2"}</definedName>
    <definedName name="hjkchkvjhdjkgh" localSheetId="7" hidden="1">{#N/A,#N/A,FALSE,"Plan1";#N/A,#N/A,FALSE,"Plan2"}</definedName>
    <definedName name="hjkchkvjhdjkgh" localSheetId="9" hidden="1">{#N/A,#N/A,FALSE,"Plan1";#N/A,#N/A,FALSE,"Plan2"}</definedName>
    <definedName name="hjkchkvjhdjkgh" localSheetId="3" hidden="1">{#N/A,#N/A,FALSE,"Plan1";#N/A,#N/A,FALSE,"Plan2"}</definedName>
    <definedName name="hjkchkvjhdjkgh" localSheetId="2" hidden="1">{#N/A,#N/A,FALSE,"Plan1";#N/A,#N/A,FALSE,"Plan2"}</definedName>
    <definedName name="hjkchkvjhdjkgh" localSheetId="16" hidden="1">{#N/A,#N/A,FALSE,"Plan1";#N/A,#N/A,FALSE,"Plan2"}</definedName>
    <definedName name="hjkchkvjhdjkgh" localSheetId="0" hidden="1">{#N/A,#N/A,FALSE,"Plan1";#N/A,#N/A,FALSE,"Plan2"}</definedName>
    <definedName name="hjkchkvjhdjkgh" localSheetId="26" hidden="1">{#N/A,#N/A,FALSE,"Plan1";#N/A,#N/A,FALSE,"Plan2"}</definedName>
    <definedName name="hjkchkvjhdjkgh" localSheetId="11" hidden="1">{#N/A,#N/A,FALSE,"Plan1";#N/A,#N/A,FALSE,"Plan2"}</definedName>
    <definedName name="hjkchkvjhdjkgh" hidden="1">{#N/A,#N/A,FALSE,"Plan1";#N/A,#N/A,FALSE,"Plan2"}</definedName>
    <definedName name="hjkfjdyht" localSheetId="24" hidden="1">{#N/A,#N/A,FALSE,"Plan1";#N/A,#N/A,FALSE,"Plan2"}</definedName>
    <definedName name="hjkfjdyht" localSheetId="7" hidden="1">{#N/A,#N/A,FALSE,"Plan1";#N/A,#N/A,FALSE,"Plan2"}</definedName>
    <definedName name="hjkfjdyht" localSheetId="9" hidden="1">{#N/A,#N/A,FALSE,"Plan1";#N/A,#N/A,FALSE,"Plan2"}</definedName>
    <definedName name="hjkfjdyht" localSheetId="3" hidden="1">{#N/A,#N/A,FALSE,"Plan1";#N/A,#N/A,FALSE,"Plan2"}</definedName>
    <definedName name="hjkfjdyht" localSheetId="2" hidden="1">{#N/A,#N/A,FALSE,"Plan1";#N/A,#N/A,FALSE,"Plan2"}</definedName>
    <definedName name="hjkfjdyht" localSheetId="16" hidden="1">{#N/A,#N/A,FALSE,"Plan1";#N/A,#N/A,FALSE,"Plan2"}</definedName>
    <definedName name="hjkfjdyht" localSheetId="0" hidden="1">{#N/A,#N/A,FALSE,"Plan1";#N/A,#N/A,FALSE,"Plan2"}</definedName>
    <definedName name="hjkfjdyht" localSheetId="26" hidden="1">{#N/A,#N/A,FALSE,"Plan1";#N/A,#N/A,FALSE,"Plan2"}</definedName>
    <definedName name="hjkfjdyht" localSheetId="11" hidden="1">{#N/A,#N/A,FALSE,"Plan1";#N/A,#N/A,FALSE,"Plan2"}</definedName>
    <definedName name="hjkfjdyht" hidden="1">{#N/A,#N/A,FALSE,"Plan1";#N/A,#N/A,FALSE,"Plan2"}</definedName>
    <definedName name="hjsdffe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localSheetId="24" hidden="1">{#N/A,#N/A,FALSE,"Plan1";#N/A,#N/A,FALSE,"Plan2"}</definedName>
    <definedName name="hjsdkhk" localSheetId="7" hidden="1">{#N/A,#N/A,FALSE,"Plan1";#N/A,#N/A,FALSE,"Plan2"}</definedName>
    <definedName name="hjsdkhk" localSheetId="9" hidden="1">{#N/A,#N/A,FALSE,"Plan1";#N/A,#N/A,FALSE,"Plan2"}</definedName>
    <definedName name="hjsdkhk" localSheetId="3" hidden="1">{#N/A,#N/A,FALSE,"Plan1";#N/A,#N/A,FALSE,"Plan2"}</definedName>
    <definedName name="hjsdkhk" localSheetId="2" hidden="1">{#N/A,#N/A,FALSE,"Plan1";#N/A,#N/A,FALSE,"Plan2"}</definedName>
    <definedName name="hjsdkhk" localSheetId="16" hidden="1">{#N/A,#N/A,FALSE,"Plan1";#N/A,#N/A,FALSE,"Plan2"}</definedName>
    <definedName name="hjsdkhk" localSheetId="0" hidden="1">{#N/A,#N/A,FALSE,"Plan1";#N/A,#N/A,FALSE,"Plan2"}</definedName>
    <definedName name="hjsdkhk" localSheetId="26" hidden="1">{#N/A,#N/A,FALSE,"Plan1";#N/A,#N/A,FALSE,"Plan2"}</definedName>
    <definedName name="hjsdkhk" localSheetId="11" hidden="1">{#N/A,#N/A,FALSE,"Plan1";#N/A,#N/A,FALSE,"Plan2"}</definedName>
    <definedName name="hjsdkhk" hidden="1">{#N/A,#N/A,FALSE,"Plan1";#N/A,#N/A,FALSE,"Plan2"}</definedName>
    <definedName name="hjsdsdrjfrh" hidden="1">2</definedName>
    <definedName name="hjsrdfre" localSheetId="24" hidden="1">{"Econ Consolidado",#N/A,FALSE,"Econ Consol";"Fluxo de Caixa",#N/A,FALSE,"Fluxo Caixa";"Investimentos",#N/A,FALSE,"Investimentos"}</definedName>
    <definedName name="hjsrdfre" localSheetId="7" hidden="1">{"Econ Consolidado",#N/A,FALSE,"Econ Consol";"Fluxo de Caixa",#N/A,FALSE,"Fluxo Caixa";"Investimentos",#N/A,FALSE,"Investimentos"}</definedName>
    <definedName name="hjsrdfre" localSheetId="9" hidden="1">{"Econ Consolidado",#N/A,FALSE,"Econ Consol";"Fluxo de Caixa",#N/A,FALSE,"Fluxo Caixa";"Investimentos",#N/A,FALSE,"Investimentos"}</definedName>
    <definedName name="hjsrdfre" localSheetId="3" hidden="1">{"Econ Consolidado",#N/A,FALSE,"Econ Consol";"Fluxo de Caixa",#N/A,FALSE,"Fluxo Caixa";"Investimentos",#N/A,FALSE,"Investimentos"}</definedName>
    <definedName name="hjsrdfre" localSheetId="2" hidden="1">{"Econ Consolidado",#N/A,FALSE,"Econ Consol";"Fluxo de Caixa",#N/A,FALSE,"Fluxo Caixa";"Investimentos",#N/A,FALSE,"Investimentos"}</definedName>
    <definedName name="hjsrdfre" localSheetId="16" hidden="1">{"Econ Consolidado",#N/A,FALSE,"Econ Consol";"Fluxo de Caixa",#N/A,FALSE,"Fluxo Caixa";"Investimentos",#N/A,FALSE,"Investimentos"}</definedName>
    <definedName name="hjsrdfre" localSheetId="0" hidden="1">{"Econ Consolidado",#N/A,FALSE,"Econ Consol";"Fluxo de Caixa",#N/A,FALSE,"Fluxo Caixa";"Investimentos",#N/A,FALSE,"Investimentos"}</definedName>
    <definedName name="hjsrdfre" localSheetId="26" hidden="1">{"Econ Consolidado",#N/A,FALSE,"Econ Consol";"Fluxo de Caixa",#N/A,FALSE,"Fluxo Caixa";"Investimentos",#N/A,FALSE,"Investimentos"}</definedName>
    <definedName name="hjsrdfre" localSheetId="11" hidden="1">{"Econ Consolidado",#N/A,FALSE,"Econ Consol";"Fluxo de Caixa",#N/A,FALSE,"Fluxo Caixa";"Investimentos",#N/A,FALSE,"Investimentos"}</definedName>
    <definedName name="hjsrdfre" hidden="1">{"Econ Consolidado",#N/A,FALSE,"Econ Consol";"Fluxo de Caixa",#N/A,FALSE,"Fluxo Caixa";"Investimentos",#N/A,FALSE,"Investimentos"}</definedName>
    <definedName name="HKewewsr" localSheetId="24" hidden="1">{#N/A,#N/A,FALSE,"Plan1";#N/A,#N/A,FALSE,"Plan2"}</definedName>
    <definedName name="HKewewsr" localSheetId="7" hidden="1">{#N/A,#N/A,FALSE,"Plan1";#N/A,#N/A,FALSE,"Plan2"}</definedName>
    <definedName name="HKewewsr" localSheetId="9" hidden="1">{#N/A,#N/A,FALSE,"Plan1";#N/A,#N/A,FALSE,"Plan2"}</definedName>
    <definedName name="HKewewsr" localSheetId="3" hidden="1">{#N/A,#N/A,FALSE,"Plan1";#N/A,#N/A,FALSE,"Plan2"}</definedName>
    <definedName name="HKewewsr" localSheetId="2" hidden="1">{#N/A,#N/A,FALSE,"Plan1";#N/A,#N/A,FALSE,"Plan2"}</definedName>
    <definedName name="HKewewsr" localSheetId="16" hidden="1">{#N/A,#N/A,FALSE,"Plan1";#N/A,#N/A,FALSE,"Plan2"}</definedName>
    <definedName name="HKewewsr" localSheetId="0" hidden="1">{#N/A,#N/A,FALSE,"Plan1";#N/A,#N/A,FALSE,"Plan2"}</definedName>
    <definedName name="HKewewsr" localSheetId="26" hidden="1">{#N/A,#N/A,FALSE,"Plan1";#N/A,#N/A,FALSE,"Plan2"}</definedName>
    <definedName name="HKewewsr" localSheetId="11" hidden="1">{#N/A,#N/A,FALSE,"Plan1";#N/A,#N/A,FALSE,"Plan2"}</definedName>
    <definedName name="HKewewsr" hidden="1">{#N/A,#N/A,FALSE,"Plan1";#N/A,#N/A,FALSE,"Plan2"}</definedName>
    <definedName name="hkhdskacd" localSheetId="24" hidden="1">{#N/A,#N/A,FALSE,"Plan1";#N/A,#N/A,FALSE,"Plan2"}</definedName>
    <definedName name="hkhdskacd" localSheetId="7" hidden="1">{#N/A,#N/A,FALSE,"Plan1";#N/A,#N/A,FALSE,"Plan2"}</definedName>
    <definedName name="hkhdskacd" localSheetId="9" hidden="1">{#N/A,#N/A,FALSE,"Plan1";#N/A,#N/A,FALSE,"Plan2"}</definedName>
    <definedName name="hkhdskacd" localSheetId="3" hidden="1">{#N/A,#N/A,FALSE,"Plan1";#N/A,#N/A,FALSE,"Plan2"}</definedName>
    <definedName name="hkhdskacd" localSheetId="2" hidden="1">{#N/A,#N/A,FALSE,"Plan1";#N/A,#N/A,FALSE,"Plan2"}</definedName>
    <definedName name="hkhdskacd" localSheetId="16" hidden="1">{#N/A,#N/A,FALSE,"Plan1";#N/A,#N/A,FALSE,"Plan2"}</definedName>
    <definedName name="hkhdskacd" localSheetId="0" hidden="1">{#N/A,#N/A,FALSE,"Plan1";#N/A,#N/A,FALSE,"Plan2"}</definedName>
    <definedName name="hkhdskacd" localSheetId="26" hidden="1">{#N/A,#N/A,FALSE,"Plan1";#N/A,#N/A,FALSE,"Plan2"}</definedName>
    <definedName name="hkhdskacd" localSheetId="11" hidden="1">{#N/A,#N/A,FALSE,"Plan1";#N/A,#N/A,FALSE,"Plan2"}</definedName>
    <definedName name="hkhdskacd" hidden="1">{#N/A,#N/A,FALSE,"Plan1";#N/A,#N/A,FALSE,"Plan2"}</definedName>
    <definedName name="hkjfgfhgfh" localSheetId="24" hidden="1">{#N/A,#N/A,FALSE,"Plan1";#N/A,#N/A,FALSE,"Plan2"}</definedName>
    <definedName name="hkjfgfhgfh" localSheetId="7" hidden="1">{#N/A,#N/A,FALSE,"Plan1";#N/A,#N/A,FALSE,"Plan2"}</definedName>
    <definedName name="hkjfgfhgfh" localSheetId="9" hidden="1">{#N/A,#N/A,FALSE,"Plan1";#N/A,#N/A,FALSE,"Plan2"}</definedName>
    <definedName name="hkjfgfhgfh" localSheetId="3" hidden="1">{#N/A,#N/A,FALSE,"Plan1";#N/A,#N/A,FALSE,"Plan2"}</definedName>
    <definedName name="hkjfgfhgfh" localSheetId="2" hidden="1">{#N/A,#N/A,FALSE,"Plan1";#N/A,#N/A,FALSE,"Plan2"}</definedName>
    <definedName name="hkjfgfhgfh" localSheetId="16" hidden="1">{#N/A,#N/A,FALSE,"Plan1";#N/A,#N/A,FALSE,"Plan2"}</definedName>
    <definedName name="hkjfgfhgfh" localSheetId="0" hidden="1">{#N/A,#N/A,FALSE,"Plan1";#N/A,#N/A,FALSE,"Plan2"}</definedName>
    <definedName name="hkjfgfhgfh" localSheetId="26" hidden="1">{#N/A,#N/A,FALSE,"Plan1";#N/A,#N/A,FALSE,"Plan2"}</definedName>
    <definedName name="hkjfgfhgfh" localSheetId="11" hidden="1">{#N/A,#N/A,FALSE,"Plan1";#N/A,#N/A,FALSE,"Plan2"}</definedName>
    <definedName name="hkjfgfhgfh" hidden="1">{#N/A,#N/A,FALSE,"Plan1";#N/A,#N/A,FALSE,"Plan2"}</definedName>
    <definedName name="hkjfhgjkfhghfg" localSheetId="24" hidden="1">{#N/A,#N/A,FALSE,"Plan1";#N/A,#N/A,FALSE,"Plan2"}</definedName>
    <definedName name="hkjfhgjkfhghfg" localSheetId="7" hidden="1">{#N/A,#N/A,FALSE,"Plan1";#N/A,#N/A,FALSE,"Plan2"}</definedName>
    <definedName name="hkjfhgjkfhghfg" localSheetId="9" hidden="1">{#N/A,#N/A,FALSE,"Plan1";#N/A,#N/A,FALSE,"Plan2"}</definedName>
    <definedName name="hkjfhgjkfhghfg" localSheetId="3" hidden="1">{#N/A,#N/A,FALSE,"Plan1";#N/A,#N/A,FALSE,"Plan2"}</definedName>
    <definedName name="hkjfhgjkfhghfg" localSheetId="2" hidden="1">{#N/A,#N/A,FALSE,"Plan1";#N/A,#N/A,FALSE,"Plan2"}</definedName>
    <definedName name="hkjfhgjkfhghfg" localSheetId="16" hidden="1">{#N/A,#N/A,FALSE,"Plan1";#N/A,#N/A,FALSE,"Plan2"}</definedName>
    <definedName name="hkjfhgjkfhghfg" localSheetId="0" hidden="1">{#N/A,#N/A,FALSE,"Plan1";#N/A,#N/A,FALSE,"Plan2"}</definedName>
    <definedName name="hkjfhgjkfhghfg" localSheetId="26" hidden="1">{#N/A,#N/A,FALSE,"Plan1";#N/A,#N/A,FALSE,"Plan2"}</definedName>
    <definedName name="hkjfhgjkfhghfg" localSheetId="11" hidden="1">{#N/A,#N/A,FALSE,"Plan1";#N/A,#N/A,FALSE,"Plan2"}</definedName>
    <definedName name="hkjfhgjkfhghfg" hidden="1">{#N/A,#N/A,FALSE,"Plan1";#N/A,#N/A,FALSE,"Plan2"}</definedName>
    <definedName name="HKLZHFRH" localSheetId="24" hidden="1">{#N/A,#N/A,FALSE,"Plan1";#N/A,#N/A,FALSE,"Plan2"}</definedName>
    <definedName name="HKLZHFRH" localSheetId="7" hidden="1">{#N/A,#N/A,FALSE,"Plan1";#N/A,#N/A,FALSE,"Plan2"}</definedName>
    <definedName name="HKLZHFRH" localSheetId="9" hidden="1">{#N/A,#N/A,FALSE,"Plan1";#N/A,#N/A,FALSE,"Plan2"}</definedName>
    <definedName name="HKLZHFRH" localSheetId="3" hidden="1">{#N/A,#N/A,FALSE,"Plan1";#N/A,#N/A,FALSE,"Plan2"}</definedName>
    <definedName name="HKLZHFRH" localSheetId="2" hidden="1">{#N/A,#N/A,FALSE,"Plan1";#N/A,#N/A,FALSE,"Plan2"}</definedName>
    <definedName name="HKLZHFRH" localSheetId="16" hidden="1">{#N/A,#N/A,FALSE,"Plan1";#N/A,#N/A,FALSE,"Plan2"}</definedName>
    <definedName name="HKLZHFRH" localSheetId="0" hidden="1">{#N/A,#N/A,FALSE,"Plan1";#N/A,#N/A,FALSE,"Plan2"}</definedName>
    <definedName name="HKLZHFRH" localSheetId="26" hidden="1">{#N/A,#N/A,FALSE,"Plan1";#N/A,#N/A,FALSE,"Plan2"}</definedName>
    <definedName name="HKLZHFRH" localSheetId="11" hidden="1">{#N/A,#N/A,FALSE,"Plan1";#N/A,#N/A,FALSE,"Plan2"}</definedName>
    <definedName name="HKLZHFRH" hidden="1">{#N/A,#N/A,FALSE,"Plan1";#N/A,#N/A,FALSE,"Plan2"}</definedName>
    <definedName name="ho" localSheetId="24" hidden="1">{#N/A,#N/A,FALSE,"TABLE"}</definedName>
    <definedName name="ho" localSheetId="7" hidden="1">{#N/A,#N/A,FALSE,"TABLE"}</definedName>
    <definedName name="ho" localSheetId="9" hidden="1">{#N/A,#N/A,FALSE,"TABLE"}</definedName>
    <definedName name="ho" localSheetId="3" hidden="1">{#N/A,#N/A,FALSE,"TABLE"}</definedName>
    <definedName name="ho" localSheetId="2" hidden="1">{#N/A,#N/A,FALSE,"TABLE"}</definedName>
    <definedName name="ho" localSheetId="16" hidden="1">{#N/A,#N/A,FALSE,"TABLE"}</definedName>
    <definedName name="ho" localSheetId="0" hidden="1">{#N/A,#N/A,FALSE,"TABLE"}</definedName>
    <definedName name="ho" localSheetId="26" hidden="1">{#N/A,#N/A,FALSE,"TABLE"}</definedName>
    <definedName name="ho" localSheetId="11" hidden="1">{#N/A,#N/A,FALSE,"TABLE"}</definedName>
    <definedName name="ho" hidden="1">{#N/A,#N/A,FALSE,"TABLE"}</definedName>
    <definedName name="HOJE" localSheetId="24">#REF!</definedName>
    <definedName name="HOJE" localSheetId="7">#REF!</definedName>
    <definedName name="HOJE" localSheetId="3">#REF!</definedName>
    <definedName name="HOJE" localSheetId="26">#REF!</definedName>
    <definedName name="HOJE">#REF!</definedName>
    <definedName name="HONORARIOS" localSheetId="7">#REF!</definedName>
    <definedName name="HONORARIOS" localSheetId="3">#REF!</definedName>
    <definedName name="HONORARIOS">#REF!</definedName>
    <definedName name="HOSPEDES" localSheetId="7">#REF!</definedName>
    <definedName name="HOSPEDES" localSheetId="3">#REF!</definedName>
    <definedName name="HOSPEDES">#REF!</definedName>
    <definedName name="HOTEL" localSheetId="7">#REF!</definedName>
    <definedName name="HOTEL" localSheetId="3">#REF!</definedName>
    <definedName name="HOTEL">#REF!</definedName>
    <definedName name="hrterte" localSheetId="24" hidden="1">{#N/A,#N/A,FALSE,"Plan1";#N/A,#N/A,FALSE,"Plan2"}</definedName>
    <definedName name="hrterte" localSheetId="7" hidden="1">{#N/A,#N/A,FALSE,"Plan1";#N/A,#N/A,FALSE,"Plan2"}</definedName>
    <definedName name="hrterte" localSheetId="9" hidden="1">{#N/A,#N/A,FALSE,"Plan1";#N/A,#N/A,FALSE,"Plan2"}</definedName>
    <definedName name="hrterte" localSheetId="3" hidden="1">{#N/A,#N/A,FALSE,"Plan1";#N/A,#N/A,FALSE,"Plan2"}</definedName>
    <definedName name="hrterte" localSheetId="2" hidden="1">{#N/A,#N/A,FALSE,"Plan1";#N/A,#N/A,FALSE,"Plan2"}</definedName>
    <definedName name="hrterte" localSheetId="16" hidden="1">{#N/A,#N/A,FALSE,"Plan1";#N/A,#N/A,FALSE,"Plan2"}</definedName>
    <definedName name="hrterte" localSheetId="0" hidden="1">{#N/A,#N/A,FALSE,"Plan1";#N/A,#N/A,FALSE,"Plan2"}</definedName>
    <definedName name="hrterte" localSheetId="26" hidden="1">{#N/A,#N/A,FALSE,"Plan1";#N/A,#N/A,FALSE,"Plan2"}</definedName>
    <definedName name="hrterte" localSheetId="11" hidden="1">{#N/A,#N/A,FALSE,"Plan1";#N/A,#N/A,FALSE,"Plan2"}</definedName>
    <definedName name="hrterte" hidden="1">{#N/A,#N/A,FALSE,"Plan1";#N/A,#N/A,FALSE,"Plan2"}</definedName>
    <definedName name="hsdf" localSheetId="24" hidden="1">{#N/A,#N/A,FALSE,"Plan1";#N/A,#N/A,FALSE,"Plan2"}</definedName>
    <definedName name="hsdf" localSheetId="7" hidden="1">{#N/A,#N/A,FALSE,"Plan1";#N/A,#N/A,FALSE,"Plan2"}</definedName>
    <definedName name="hsdf" localSheetId="9" hidden="1">{#N/A,#N/A,FALSE,"Plan1";#N/A,#N/A,FALSE,"Plan2"}</definedName>
    <definedName name="hsdf" localSheetId="3" hidden="1">{#N/A,#N/A,FALSE,"Plan1";#N/A,#N/A,FALSE,"Plan2"}</definedName>
    <definedName name="hsdf" localSheetId="2" hidden="1">{#N/A,#N/A,FALSE,"Plan1";#N/A,#N/A,FALSE,"Plan2"}</definedName>
    <definedName name="hsdf" localSheetId="16" hidden="1">{#N/A,#N/A,FALSE,"Plan1";#N/A,#N/A,FALSE,"Plan2"}</definedName>
    <definedName name="hsdf" localSheetId="0" hidden="1">{#N/A,#N/A,FALSE,"Plan1";#N/A,#N/A,FALSE,"Plan2"}</definedName>
    <definedName name="hsdf" localSheetId="26" hidden="1">{#N/A,#N/A,FALSE,"Plan1";#N/A,#N/A,FALSE,"Plan2"}</definedName>
    <definedName name="hsdf" localSheetId="11" hidden="1">{#N/A,#N/A,FALSE,"Plan1";#N/A,#N/A,FALSE,"Plan2"}</definedName>
    <definedName name="hsdf" hidden="1">{#N/A,#N/A,FALSE,"Plan1";#N/A,#N/A,FALSE,"Plan2"}</definedName>
    <definedName name="hsdfgdgudrt" localSheetId="24" hidden="1">{#N/A,#N/A,FALSE,"Plan1";#N/A,#N/A,FALSE,"Plan2"}</definedName>
    <definedName name="hsdfgdgudrt" localSheetId="7" hidden="1">{#N/A,#N/A,FALSE,"Plan1";#N/A,#N/A,FALSE,"Plan2"}</definedName>
    <definedName name="hsdfgdgudrt" localSheetId="9" hidden="1">{#N/A,#N/A,FALSE,"Plan1";#N/A,#N/A,FALSE,"Plan2"}</definedName>
    <definedName name="hsdfgdgudrt" localSheetId="3" hidden="1">{#N/A,#N/A,FALSE,"Plan1";#N/A,#N/A,FALSE,"Plan2"}</definedName>
    <definedName name="hsdfgdgudrt" localSheetId="2" hidden="1">{#N/A,#N/A,FALSE,"Plan1";#N/A,#N/A,FALSE,"Plan2"}</definedName>
    <definedName name="hsdfgdgudrt" localSheetId="16" hidden="1">{#N/A,#N/A,FALSE,"Plan1";#N/A,#N/A,FALSE,"Plan2"}</definedName>
    <definedName name="hsdfgdgudrt" localSheetId="0" hidden="1">{#N/A,#N/A,FALSE,"Plan1";#N/A,#N/A,FALSE,"Plan2"}</definedName>
    <definedName name="hsdfgdgudrt" localSheetId="26" hidden="1">{#N/A,#N/A,FALSE,"Plan1";#N/A,#N/A,FALSE,"Plan2"}</definedName>
    <definedName name="hsdfgdgudrt" localSheetId="11" hidden="1">{#N/A,#N/A,FALSE,"Plan1";#N/A,#N/A,FALSE,"Plan2"}</definedName>
    <definedName name="hsdfgdgudrt" hidden="1">{#N/A,#N/A,FALSE,"Plan1";#N/A,#N/A,FALSE,"Plan2"}</definedName>
    <definedName name="hsdfjkdhur" localSheetId="24" hidden="1">{#N/A,#N/A,FALSE,"Plan1";#N/A,#N/A,FALSE,"Plan2"}</definedName>
    <definedName name="hsdfjkdhur" localSheetId="7" hidden="1">{#N/A,#N/A,FALSE,"Plan1";#N/A,#N/A,FALSE,"Plan2"}</definedName>
    <definedName name="hsdfjkdhur" localSheetId="9" hidden="1">{#N/A,#N/A,FALSE,"Plan1";#N/A,#N/A,FALSE,"Plan2"}</definedName>
    <definedName name="hsdfjkdhur" localSheetId="3" hidden="1">{#N/A,#N/A,FALSE,"Plan1";#N/A,#N/A,FALSE,"Plan2"}</definedName>
    <definedName name="hsdfjkdhur" localSheetId="2" hidden="1">{#N/A,#N/A,FALSE,"Plan1";#N/A,#N/A,FALSE,"Plan2"}</definedName>
    <definedName name="hsdfjkdhur" localSheetId="16" hidden="1">{#N/A,#N/A,FALSE,"Plan1";#N/A,#N/A,FALSE,"Plan2"}</definedName>
    <definedName name="hsdfjkdhur" localSheetId="0" hidden="1">{#N/A,#N/A,FALSE,"Plan1";#N/A,#N/A,FALSE,"Plan2"}</definedName>
    <definedName name="hsdfjkdhur" localSheetId="26" hidden="1">{#N/A,#N/A,FALSE,"Plan1";#N/A,#N/A,FALSE,"Plan2"}</definedName>
    <definedName name="hsdfjkdhur" localSheetId="11" hidden="1">{#N/A,#N/A,FALSE,"Plan1";#N/A,#N/A,FALSE,"Plan2"}</definedName>
    <definedName name="hsdfjkdhur" hidden="1">{#N/A,#N/A,FALSE,"Plan1";#N/A,#N/A,FALSE,"Plan2"}</definedName>
    <definedName name="hsdgftdht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localSheetId="24" hidden="1">{#N/A,#N/A,FALSE,"Plan1";#N/A,#N/A,FALSE,"Plan2"}</definedName>
    <definedName name="hsdjffd" localSheetId="7" hidden="1">{#N/A,#N/A,FALSE,"Plan1";#N/A,#N/A,FALSE,"Plan2"}</definedName>
    <definedName name="hsdjffd" localSheetId="9" hidden="1">{#N/A,#N/A,FALSE,"Plan1";#N/A,#N/A,FALSE,"Plan2"}</definedName>
    <definedName name="hsdjffd" localSheetId="3" hidden="1">{#N/A,#N/A,FALSE,"Plan1";#N/A,#N/A,FALSE,"Plan2"}</definedName>
    <definedName name="hsdjffd" localSheetId="2" hidden="1">{#N/A,#N/A,FALSE,"Plan1";#N/A,#N/A,FALSE,"Plan2"}</definedName>
    <definedName name="hsdjffd" localSheetId="16" hidden="1">{#N/A,#N/A,FALSE,"Plan1";#N/A,#N/A,FALSE,"Plan2"}</definedName>
    <definedName name="hsdjffd" localSheetId="0" hidden="1">{#N/A,#N/A,FALSE,"Plan1";#N/A,#N/A,FALSE,"Plan2"}</definedName>
    <definedName name="hsdjffd" localSheetId="26" hidden="1">{#N/A,#N/A,FALSE,"Plan1";#N/A,#N/A,FALSE,"Plan2"}</definedName>
    <definedName name="hsdjffd" localSheetId="11" hidden="1">{#N/A,#N/A,FALSE,"Plan1";#N/A,#N/A,FALSE,"Plan2"}</definedName>
    <definedName name="hsdjffd" hidden="1">{#N/A,#N/A,FALSE,"Plan1";#N/A,#N/A,FALSE,"Plan2"}</definedName>
    <definedName name="hsdjffe" localSheetId="24" hidden="1">{#N/A,#N/A,FALSE,"Plan1";#N/A,#N/A,FALSE,"Plan2"}</definedName>
    <definedName name="hsdjffe" localSheetId="7" hidden="1">{#N/A,#N/A,FALSE,"Plan1";#N/A,#N/A,FALSE,"Plan2"}</definedName>
    <definedName name="hsdjffe" localSheetId="9" hidden="1">{#N/A,#N/A,FALSE,"Plan1";#N/A,#N/A,FALSE,"Plan2"}</definedName>
    <definedName name="hsdjffe" localSheetId="3" hidden="1">{#N/A,#N/A,FALSE,"Plan1";#N/A,#N/A,FALSE,"Plan2"}</definedName>
    <definedName name="hsdjffe" localSheetId="2" hidden="1">{#N/A,#N/A,FALSE,"Plan1";#N/A,#N/A,FALSE,"Plan2"}</definedName>
    <definedName name="hsdjffe" localSheetId="16" hidden="1">{#N/A,#N/A,FALSE,"Plan1";#N/A,#N/A,FALSE,"Plan2"}</definedName>
    <definedName name="hsdjffe" localSheetId="0" hidden="1">{#N/A,#N/A,FALSE,"Plan1";#N/A,#N/A,FALSE,"Plan2"}</definedName>
    <definedName name="hsdjffe" localSheetId="26" hidden="1">{#N/A,#N/A,FALSE,"Plan1";#N/A,#N/A,FALSE,"Plan2"}</definedName>
    <definedName name="hsdjffe" localSheetId="11" hidden="1">{#N/A,#N/A,FALSE,"Plan1";#N/A,#N/A,FALSE,"Plan2"}</definedName>
    <definedName name="hsdjffe" hidden="1">{#N/A,#N/A,FALSE,"Plan1";#N/A,#N/A,FALSE,"Plan2"}</definedName>
    <definedName name="HSFIHDTR" localSheetId="24" hidden="1">{"Econ Consolidado",#N/A,FALSE,"Econ Consol";"Fluxo de Caixa",#N/A,FALSE,"Fluxo Caixa";"Investimentos",#N/A,FALSE,"Investimentos"}</definedName>
    <definedName name="HSFIHDTR" localSheetId="7" hidden="1">{"Econ Consolidado",#N/A,FALSE,"Econ Consol";"Fluxo de Caixa",#N/A,FALSE,"Fluxo Caixa";"Investimentos",#N/A,FALSE,"Investimentos"}</definedName>
    <definedName name="HSFIHDTR" localSheetId="9" hidden="1">{"Econ Consolidado",#N/A,FALSE,"Econ Consol";"Fluxo de Caixa",#N/A,FALSE,"Fluxo Caixa";"Investimentos",#N/A,FALSE,"Investimentos"}</definedName>
    <definedName name="HSFIHDTR" localSheetId="3" hidden="1">{"Econ Consolidado",#N/A,FALSE,"Econ Consol";"Fluxo de Caixa",#N/A,FALSE,"Fluxo Caixa";"Investimentos",#N/A,FALSE,"Investimentos"}</definedName>
    <definedName name="HSFIHDTR" localSheetId="2" hidden="1">{"Econ Consolidado",#N/A,FALSE,"Econ Consol";"Fluxo de Caixa",#N/A,FALSE,"Fluxo Caixa";"Investimentos",#N/A,FALSE,"Investimentos"}</definedName>
    <definedName name="HSFIHDTR" localSheetId="16" hidden="1">{"Econ Consolidado",#N/A,FALSE,"Econ Consol";"Fluxo de Caixa",#N/A,FALSE,"Fluxo Caixa";"Investimentos",#N/A,FALSE,"Investimentos"}</definedName>
    <definedName name="HSFIHDTR" localSheetId="0" hidden="1">{"Econ Consolidado",#N/A,FALSE,"Econ Consol";"Fluxo de Caixa",#N/A,FALSE,"Fluxo Caixa";"Investimentos",#N/A,FALSE,"Investimentos"}</definedName>
    <definedName name="HSFIHDTR" localSheetId="26" hidden="1">{"Econ Consolidado",#N/A,FALSE,"Econ Consol";"Fluxo de Caixa",#N/A,FALSE,"Fluxo Caixa";"Investimentos",#N/A,FALSE,"Investimentos"}</definedName>
    <definedName name="HSFIHDTR" localSheetId="11" hidden="1">{"Econ Consolidado",#N/A,FALSE,"Econ Consol";"Fluxo de Caixa",#N/A,FALSE,"Fluxo Caixa";"Investimentos",#N/A,FALSE,"Investimentos"}</definedName>
    <definedName name="HSFIHDTR" hidden="1">{"Econ Consolidado",#N/A,FALSE,"Econ Consol";"Fluxo de Caixa",#N/A,FALSE,"Fluxo Caixa";"Investimentos",#N/A,FALSE,"Investimentos"}</definedName>
    <definedName name="hsfjkdshrgf" localSheetId="24" hidden="1">{#N/A,#N/A,FALSE,"Plan1";#N/A,#N/A,FALSE,"Plan2"}</definedName>
    <definedName name="hsfjkdshrgf" localSheetId="7" hidden="1">{#N/A,#N/A,FALSE,"Plan1";#N/A,#N/A,FALSE,"Plan2"}</definedName>
    <definedName name="hsfjkdshrgf" localSheetId="9" hidden="1">{#N/A,#N/A,FALSE,"Plan1";#N/A,#N/A,FALSE,"Plan2"}</definedName>
    <definedName name="hsfjkdshrgf" localSheetId="3" hidden="1">{#N/A,#N/A,FALSE,"Plan1";#N/A,#N/A,FALSE,"Plan2"}</definedName>
    <definedName name="hsfjkdshrgf" localSheetId="2" hidden="1">{#N/A,#N/A,FALSE,"Plan1";#N/A,#N/A,FALSE,"Plan2"}</definedName>
    <definedName name="hsfjkdshrgf" localSheetId="16" hidden="1">{#N/A,#N/A,FALSE,"Plan1";#N/A,#N/A,FALSE,"Plan2"}</definedName>
    <definedName name="hsfjkdshrgf" localSheetId="0" hidden="1">{#N/A,#N/A,FALSE,"Plan1";#N/A,#N/A,FALSE,"Plan2"}</definedName>
    <definedName name="hsfjkdshrgf" localSheetId="26" hidden="1">{#N/A,#N/A,FALSE,"Plan1";#N/A,#N/A,FALSE,"Plan2"}</definedName>
    <definedName name="hsfjkdshrgf" localSheetId="11" hidden="1">{#N/A,#N/A,FALSE,"Plan1";#N/A,#N/A,FALSE,"Plan2"}</definedName>
    <definedName name="hsfjkdshrgf" hidden="1">{#N/A,#N/A,FALSE,"Plan1";#N/A,#N/A,FALSE,"Plan2"}</definedName>
    <definedName name="hthhrtetdre" localSheetId="24" hidden="1">{#N/A,#N/A,FALSE,"Plan1";#N/A,#N/A,FALSE,"Plan2"}</definedName>
    <definedName name="hthhrtetdre" localSheetId="7" hidden="1">{#N/A,#N/A,FALSE,"Plan1";#N/A,#N/A,FALSE,"Plan2"}</definedName>
    <definedName name="hthhrtetdre" localSheetId="9" hidden="1">{#N/A,#N/A,FALSE,"Plan1";#N/A,#N/A,FALSE,"Plan2"}</definedName>
    <definedName name="hthhrtetdre" localSheetId="3" hidden="1">{#N/A,#N/A,FALSE,"Plan1";#N/A,#N/A,FALSE,"Plan2"}</definedName>
    <definedName name="hthhrtetdre" localSheetId="2" hidden="1">{#N/A,#N/A,FALSE,"Plan1";#N/A,#N/A,FALSE,"Plan2"}</definedName>
    <definedName name="hthhrtetdre" localSheetId="16" hidden="1">{#N/A,#N/A,FALSE,"Plan1";#N/A,#N/A,FALSE,"Plan2"}</definedName>
    <definedName name="hthhrtetdre" localSheetId="0" hidden="1">{#N/A,#N/A,FALSE,"Plan1";#N/A,#N/A,FALSE,"Plan2"}</definedName>
    <definedName name="hthhrtetdre" localSheetId="26" hidden="1">{#N/A,#N/A,FALSE,"Plan1";#N/A,#N/A,FALSE,"Plan2"}</definedName>
    <definedName name="hthhrtetdre" localSheetId="11" hidden="1">{#N/A,#N/A,FALSE,"Plan1";#N/A,#N/A,FALSE,"Plan2"}</definedName>
    <definedName name="hthhrtetdre" hidden="1">{#N/A,#N/A,FALSE,"Plan1";#N/A,#N/A,FALSE,"Plan2"}</definedName>
    <definedName name="HTM" localSheetId="24">#REF!</definedName>
    <definedName name="HTM" localSheetId="7">#REF!</definedName>
    <definedName name="HTM" localSheetId="3">#REF!</definedName>
    <definedName name="HTM" localSheetId="26">#REF!</definedName>
    <definedName name="HTM">#REF!</definedName>
    <definedName name="HTML_CodePage" hidden="1">949</definedName>
    <definedName name="HTML_Control" localSheetId="24" hidden="1">{"'장비'!$A$3:$M$12"}</definedName>
    <definedName name="HTML_Control" localSheetId="7" hidden="1">{"'장비'!$A$3:$M$12"}</definedName>
    <definedName name="HTML_Control" localSheetId="9" hidden="1">{"'장비'!$A$3:$M$12"}</definedName>
    <definedName name="HTML_Control" localSheetId="3" hidden="1">{"'장비'!$A$3:$M$12"}</definedName>
    <definedName name="HTML_Control" localSheetId="2" hidden="1">{"'장비'!$A$3:$M$12"}</definedName>
    <definedName name="HTML_Control" localSheetId="16" hidden="1">{"'장비'!$A$3:$M$12"}</definedName>
    <definedName name="HTML_Control" localSheetId="0" hidden="1">{"'장비'!$A$3:$M$12"}</definedName>
    <definedName name="HTML_Control" localSheetId="26" hidden="1">{"'장비'!$A$3:$M$12"}</definedName>
    <definedName name="HTML_Control" localSheetId="11" hidden="1">{"'장비'!$A$3:$M$12"}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HTML2_CONTROL" localSheetId="24" hidden="1">{"'Estimativa de Lançamento-JAN'!$A$1:$AI$85"}</definedName>
    <definedName name="HTML2_CONTROL" localSheetId="7" hidden="1">{"'Estimativa de Lançamento-JAN'!$A$1:$AI$85"}</definedName>
    <definedName name="HTML2_CONTROL" localSheetId="9" hidden="1">{"'Estimativa de Lançamento-JAN'!$A$1:$AI$85"}</definedName>
    <definedName name="HTML2_CONTROL" localSheetId="3" hidden="1">{"'Estimativa de Lançamento-JAN'!$A$1:$AI$85"}</definedName>
    <definedName name="HTML2_CONTROL" localSheetId="2" hidden="1">{"'Estimativa de Lançamento-JAN'!$A$1:$AI$85"}</definedName>
    <definedName name="HTML2_CONTROL" localSheetId="16" hidden="1">{"'Estimativa de Lançamento-JAN'!$A$1:$AI$85"}</definedName>
    <definedName name="HTML2_CONTROL" localSheetId="0" hidden="1">{"'Estimativa de Lançamento-JAN'!$A$1:$AI$85"}</definedName>
    <definedName name="HTML2_CONTROL" localSheetId="26" hidden="1">{"'Estimativa de Lançamento-JAN'!$A$1:$AI$85"}</definedName>
    <definedName name="HTML2_CONTROL" localSheetId="11" hidden="1">{"'Estimativa de Lançamento-JAN'!$A$1:$AI$85"}</definedName>
    <definedName name="HTML2_CONTROL" hidden="1">{"'Estimativa de Lançamento-JAN'!$A$1:$AI$85"}</definedName>
    <definedName name="HTML3_CONTROL" localSheetId="24" hidden="1">{"'Estimativa de Lançamento-JAN'!$A$1:$AI$85"}</definedName>
    <definedName name="HTML3_CONTROL" localSheetId="7" hidden="1">{"'Estimativa de Lançamento-JAN'!$A$1:$AI$85"}</definedName>
    <definedName name="HTML3_CONTROL" localSheetId="9" hidden="1">{"'Estimativa de Lançamento-JAN'!$A$1:$AI$85"}</definedName>
    <definedName name="HTML3_CONTROL" localSheetId="3" hidden="1">{"'Estimativa de Lançamento-JAN'!$A$1:$AI$85"}</definedName>
    <definedName name="HTML3_CONTROL" localSheetId="2" hidden="1">{"'Estimativa de Lançamento-JAN'!$A$1:$AI$85"}</definedName>
    <definedName name="HTML3_CONTROL" localSheetId="16" hidden="1">{"'Estimativa de Lançamento-JAN'!$A$1:$AI$85"}</definedName>
    <definedName name="HTML3_CONTROL" localSheetId="0" hidden="1">{"'Estimativa de Lançamento-JAN'!$A$1:$AI$85"}</definedName>
    <definedName name="HTML3_CONTROL" localSheetId="26" hidden="1">{"'Estimativa de Lançamento-JAN'!$A$1:$AI$85"}</definedName>
    <definedName name="HTML3_CONTROL" localSheetId="11" hidden="1">{"'Estimativa de Lançamento-JAN'!$A$1:$AI$85"}</definedName>
    <definedName name="HTML3_CONTROL" hidden="1">{"'Estimativa de Lançamento-JAN'!$A$1:$AI$85"}</definedName>
    <definedName name="HTMLControl" localSheetId="24" hidden="1">{"'Edit'!$A$1:$V$2277"}</definedName>
    <definedName name="HTMLControl" localSheetId="7" hidden="1">{"'Edit'!$A$1:$V$2277"}</definedName>
    <definedName name="HTMLControl" localSheetId="9" hidden="1">{"'Edit'!$A$1:$V$2277"}</definedName>
    <definedName name="HTMLControl" localSheetId="3" hidden="1">{"'Edit'!$A$1:$V$2277"}</definedName>
    <definedName name="HTMLControl" localSheetId="2" hidden="1">{"'Edit'!$A$1:$V$2277"}</definedName>
    <definedName name="HTMLControl" localSheetId="16" hidden="1">{"'Edit'!$A$1:$V$2277"}</definedName>
    <definedName name="HTMLControl" localSheetId="0" hidden="1">{"'Edit'!$A$1:$V$2277"}</definedName>
    <definedName name="HTMLControl" localSheetId="26" hidden="1">{"'Edit'!$A$1:$V$2277"}</definedName>
    <definedName name="HTMLControl" localSheetId="11" hidden="1">{"'Edit'!$A$1:$V$2277"}</definedName>
    <definedName name="HTMLControl" hidden="1">{"'Edit'!$A$1:$V$2277"}</definedName>
    <definedName name="HTN" localSheetId="7">#REF!</definedName>
    <definedName name="HTN" localSheetId="3">#REF!</definedName>
    <definedName name="HTN">#REF!</definedName>
    <definedName name="HVJKHGKFXHFD" localSheetId="24" hidden="1">{#N/A,#N/A,FALSE,"Plan1";#N/A,#N/A,FALSE,"Plan2"}</definedName>
    <definedName name="HVJKHGKFXHFD" localSheetId="7" hidden="1">{#N/A,#N/A,FALSE,"Plan1";#N/A,#N/A,FALSE,"Plan2"}</definedName>
    <definedName name="HVJKHGKFXHFD" localSheetId="9" hidden="1">{#N/A,#N/A,FALSE,"Plan1";#N/A,#N/A,FALSE,"Plan2"}</definedName>
    <definedName name="HVJKHGKFXHFD" localSheetId="3" hidden="1">{#N/A,#N/A,FALSE,"Plan1";#N/A,#N/A,FALSE,"Plan2"}</definedName>
    <definedName name="HVJKHGKFXHFD" localSheetId="2" hidden="1">{#N/A,#N/A,FALSE,"Plan1";#N/A,#N/A,FALSE,"Plan2"}</definedName>
    <definedName name="HVJKHGKFXHFD" localSheetId="16" hidden="1">{#N/A,#N/A,FALSE,"Plan1";#N/A,#N/A,FALSE,"Plan2"}</definedName>
    <definedName name="HVJKHGKFXHFD" localSheetId="0" hidden="1">{#N/A,#N/A,FALSE,"Plan1";#N/A,#N/A,FALSE,"Plan2"}</definedName>
    <definedName name="HVJKHGKFXHFD" localSheetId="26" hidden="1">{#N/A,#N/A,FALSE,"Plan1";#N/A,#N/A,FALSE,"Plan2"}</definedName>
    <definedName name="HVJKHGKFXHFD" localSheetId="11" hidden="1">{#N/A,#N/A,FALSE,"Plan1";#N/A,#N/A,FALSE,"Plan2"}</definedName>
    <definedName name="HVJKHGKFXHFD" hidden="1">{#N/A,#N/A,FALSE,"Plan1";#N/A,#N/A,FALSE,"Plan2"}</definedName>
    <definedName name="hwekjhekhf" localSheetId="24" hidden="1">{#N/A,#N/A,FALSE,"Plan1";#N/A,#N/A,FALSE,"Plan2"}</definedName>
    <definedName name="hwekjhekhf" localSheetId="7" hidden="1">{#N/A,#N/A,FALSE,"Plan1";#N/A,#N/A,FALSE,"Plan2"}</definedName>
    <definedName name="hwekjhekhf" localSheetId="9" hidden="1">{#N/A,#N/A,FALSE,"Plan1";#N/A,#N/A,FALSE,"Plan2"}</definedName>
    <definedName name="hwekjhekhf" localSheetId="3" hidden="1">{#N/A,#N/A,FALSE,"Plan1";#N/A,#N/A,FALSE,"Plan2"}</definedName>
    <definedName name="hwekjhekhf" localSheetId="2" hidden="1">{#N/A,#N/A,FALSE,"Plan1";#N/A,#N/A,FALSE,"Plan2"}</definedName>
    <definedName name="hwekjhekhf" localSheetId="16" hidden="1">{#N/A,#N/A,FALSE,"Plan1";#N/A,#N/A,FALSE,"Plan2"}</definedName>
    <definedName name="hwekjhekhf" localSheetId="0" hidden="1">{#N/A,#N/A,FALSE,"Plan1";#N/A,#N/A,FALSE,"Plan2"}</definedName>
    <definedName name="hwekjhekhf" localSheetId="26" hidden="1">{#N/A,#N/A,FALSE,"Plan1";#N/A,#N/A,FALSE,"Plan2"}</definedName>
    <definedName name="hwekjhekhf" localSheetId="11" hidden="1">{#N/A,#N/A,FALSE,"Plan1";#N/A,#N/A,FALSE,"Plan2"}</definedName>
    <definedName name="hwekjhekhf" hidden="1">{#N/A,#N/A,FALSE,"Plan1";#N/A,#N/A,FALSE,"Plan2"}</definedName>
    <definedName name="HXFRE" localSheetId="24" hidden="1">{#N/A,#N/A,FALSE,"Plan1";#N/A,#N/A,FALSE,"Plan2"}</definedName>
    <definedName name="HXFRE" localSheetId="7" hidden="1">{#N/A,#N/A,FALSE,"Plan1";#N/A,#N/A,FALSE,"Plan2"}</definedName>
    <definedName name="HXFRE" localSheetId="9" hidden="1">{#N/A,#N/A,FALSE,"Plan1";#N/A,#N/A,FALSE,"Plan2"}</definedName>
    <definedName name="HXFRE" localSheetId="3" hidden="1">{#N/A,#N/A,FALSE,"Plan1";#N/A,#N/A,FALSE,"Plan2"}</definedName>
    <definedName name="HXFRE" localSheetId="2" hidden="1">{#N/A,#N/A,FALSE,"Plan1";#N/A,#N/A,FALSE,"Plan2"}</definedName>
    <definedName name="HXFRE" localSheetId="16" hidden="1">{#N/A,#N/A,FALSE,"Plan1";#N/A,#N/A,FALSE,"Plan2"}</definedName>
    <definedName name="HXFRE" localSheetId="0" hidden="1">{#N/A,#N/A,FALSE,"Plan1";#N/A,#N/A,FALSE,"Plan2"}</definedName>
    <definedName name="HXFRE" localSheetId="26" hidden="1">{#N/A,#N/A,FALSE,"Plan1";#N/A,#N/A,FALSE,"Plan2"}</definedName>
    <definedName name="HXFRE" localSheetId="11" hidden="1">{#N/A,#N/A,FALSE,"Plan1";#N/A,#N/A,FALSE,"Plan2"}</definedName>
    <definedName name="HXFRE" hidden="1">{#N/A,#N/A,FALSE,"Plan1";#N/A,#N/A,FALSE,"Plan2"}</definedName>
    <definedName name="HXKJFGDKHG" localSheetId="24" hidden="1">{#N/A,#N/A,FALSE,"Plan1";#N/A,#N/A,FALSE,"Plan2"}</definedName>
    <definedName name="HXKJFGDKHG" localSheetId="7" hidden="1">{#N/A,#N/A,FALSE,"Plan1";#N/A,#N/A,FALSE,"Plan2"}</definedName>
    <definedName name="HXKJFGDKHG" localSheetId="9" hidden="1">{#N/A,#N/A,FALSE,"Plan1";#N/A,#N/A,FALSE,"Plan2"}</definedName>
    <definedName name="HXKJFGDKHG" localSheetId="3" hidden="1">{#N/A,#N/A,FALSE,"Plan1";#N/A,#N/A,FALSE,"Plan2"}</definedName>
    <definedName name="HXKJFGDKHG" localSheetId="2" hidden="1">{#N/A,#N/A,FALSE,"Plan1";#N/A,#N/A,FALSE,"Plan2"}</definedName>
    <definedName name="HXKJFGDKHG" localSheetId="16" hidden="1">{#N/A,#N/A,FALSE,"Plan1";#N/A,#N/A,FALSE,"Plan2"}</definedName>
    <definedName name="HXKJFGDKHG" localSheetId="0" hidden="1">{#N/A,#N/A,FALSE,"Plan1";#N/A,#N/A,FALSE,"Plan2"}</definedName>
    <definedName name="HXKJFGDKHG" localSheetId="26" hidden="1">{#N/A,#N/A,FALSE,"Plan1";#N/A,#N/A,FALSE,"Plan2"}</definedName>
    <definedName name="HXKJFGDKHG" localSheetId="11" hidden="1">{#N/A,#N/A,FALSE,"Plan1";#N/A,#N/A,FALSE,"Plan2"}</definedName>
    <definedName name="HXKJFGDKHG" hidden="1">{#N/A,#N/A,FALSE,"Plan1";#N/A,#N/A,FALSE,"Plan2"}</definedName>
    <definedName name="I" localSheetId="7">#REF!</definedName>
    <definedName name="I" localSheetId="9">#REF!</definedName>
    <definedName name="I" localSheetId="3">#REF!</definedName>
    <definedName name="I">#REF!</definedName>
    <definedName name="ibir_cdi" localSheetId="7">#REF!</definedName>
    <definedName name="ibir_cdi" localSheetId="3">#REF!</definedName>
    <definedName name="ibir_cdi">#REF!</definedName>
    <definedName name="ibir_hist" localSheetId="7">#REF!</definedName>
    <definedName name="ibir_hist" localSheetId="3">#REF!</definedName>
    <definedName name="ibir_hist">#REF!</definedName>
    <definedName name="ibir_uss" localSheetId="7">#REF!</definedName>
    <definedName name="ibir_uss" localSheetId="3">#REF!</definedName>
    <definedName name="ibir_uss">#REF!</definedName>
    <definedName name="IC" localSheetId="7" hidden="1">#REF!</definedName>
    <definedName name="IC" localSheetId="0" hidden="1">#REF!</definedName>
    <definedName name="IC" hidden="1">#REF!</definedName>
    <definedName name="icoa_cdi" localSheetId="7">#REF!</definedName>
    <definedName name="icoa_cdi" localSheetId="3">#REF!</definedName>
    <definedName name="icoa_cdi">#REF!</definedName>
    <definedName name="icoa_hist" localSheetId="7">#REF!</definedName>
    <definedName name="icoa_hist" localSheetId="3">#REF!</definedName>
    <definedName name="icoa_hist">#REF!</definedName>
    <definedName name="icoa_uss" localSheetId="7">#REF!</definedName>
    <definedName name="icoa_uss" localSheetId="3">#REF!</definedName>
    <definedName name="icoa_uss">#REF!</definedName>
    <definedName name="Identificação" localSheetId="7">#REF!</definedName>
    <definedName name="Identificação" localSheetId="3">#REF!</definedName>
    <definedName name="Identificação">#REF!</definedName>
    <definedName name="idfhgkjhfkthy" localSheetId="24" hidden="1">{#N/A,#N/A,FALSE,"Plan1";#N/A,#N/A,FALSE,"Plan2"}</definedName>
    <definedName name="idfhgkjhfkthy" localSheetId="7" hidden="1">{#N/A,#N/A,FALSE,"Plan1";#N/A,#N/A,FALSE,"Plan2"}</definedName>
    <definedName name="idfhgkjhfkthy" localSheetId="9" hidden="1">{#N/A,#N/A,FALSE,"Plan1";#N/A,#N/A,FALSE,"Plan2"}</definedName>
    <definedName name="idfhgkjhfkthy" localSheetId="3" hidden="1">{#N/A,#N/A,FALSE,"Plan1";#N/A,#N/A,FALSE,"Plan2"}</definedName>
    <definedName name="idfhgkjhfkthy" localSheetId="2" hidden="1">{#N/A,#N/A,FALSE,"Plan1";#N/A,#N/A,FALSE,"Plan2"}</definedName>
    <definedName name="idfhgkjhfkthy" localSheetId="16" hidden="1">{#N/A,#N/A,FALSE,"Plan1";#N/A,#N/A,FALSE,"Plan2"}</definedName>
    <definedName name="idfhgkjhfkthy" localSheetId="0" hidden="1">{#N/A,#N/A,FALSE,"Plan1";#N/A,#N/A,FALSE,"Plan2"}</definedName>
    <definedName name="idfhgkjhfkthy" localSheetId="26" hidden="1">{#N/A,#N/A,FALSE,"Plan1";#N/A,#N/A,FALSE,"Plan2"}</definedName>
    <definedName name="idfhgkjhfkthy" localSheetId="11" hidden="1">{#N/A,#N/A,FALSE,"Plan1";#N/A,#N/A,FALSE,"Plan2"}</definedName>
    <definedName name="idfhgkjhfkthy" hidden="1">{#N/A,#N/A,FALSE,"Plan1";#N/A,#N/A,FALSE,"Plan2"}</definedName>
    <definedName name="ieroweft" localSheetId="24" hidden="1">{#N/A,#N/A,FALSE,"Plan1";#N/A,#N/A,FALSE,"Plan2"}</definedName>
    <definedName name="ieroweft" localSheetId="7" hidden="1">{#N/A,#N/A,FALSE,"Plan1";#N/A,#N/A,FALSE,"Plan2"}</definedName>
    <definedName name="ieroweft" localSheetId="9" hidden="1">{#N/A,#N/A,FALSE,"Plan1";#N/A,#N/A,FALSE,"Plan2"}</definedName>
    <definedName name="ieroweft" localSheetId="3" hidden="1">{#N/A,#N/A,FALSE,"Plan1";#N/A,#N/A,FALSE,"Plan2"}</definedName>
    <definedName name="ieroweft" localSheetId="2" hidden="1">{#N/A,#N/A,FALSE,"Plan1";#N/A,#N/A,FALSE,"Plan2"}</definedName>
    <definedName name="ieroweft" localSheetId="16" hidden="1">{#N/A,#N/A,FALSE,"Plan1";#N/A,#N/A,FALSE,"Plan2"}</definedName>
    <definedName name="ieroweft" localSheetId="0" hidden="1">{#N/A,#N/A,FALSE,"Plan1";#N/A,#N/A,FALSE,"Plan2"}</definedName>
    <definedName name="ieroweft" localSheetId="26" hidden="1">{#N/A,#N/A,FALSE,"Plan1";#N/A,#N/A,FALSE,"Plan2"}</definedName>
    <definedName name="ieroweft" localSheetId="11" hidden="1">{#N/A,#N/A,FALSE,"Plan1";#N/A,#N/A,FALSE,"Plan2"}</definedName>
    <definedName name="ieroweft" hidden="1">{#N/A,#N/A,FALSE,"Plan1";#N/A,#N/A,FALSE,"Plan2"}</definedName>
    <definedName name="iewpotqi5poejy" localSheetId="24" hidden="1">{#N/A,#N/A,FALSE,"Plan1";#N/A,#N/A,FALSE,"Plan2"}</definedName>
    <definedName name="iewpotqi5poejy" localSheetId="7" hidden="1">{#N/A,#N/A,FALSE,"Plan1";#N/A,#N/A,FALSE,"Plan2"}</definedName>
    <definedName name="iewpotqi5poejy" localSheetId="9" hidden="1">{#N/A,#N/A,FALSE,"Plan1";#N/A,#N/A,FALSE,"Plan2"}</definedName>
    <definedName name="iewpotqi5poejy" localSheetId="3" hidden="1">{#N/A,#N/A,FALSE,"Plan1";#N/A,#N/A,FALSE,"Plan2"}</definedName>
    <definedName name="iewpotqi5poejy" localSheetId="2" hidden="1">{#N/A,#N/A,FALSE,"Plan1";#N/A,#N/A,FALSE,"Plan2"}</definedName>
    <definedName name="iewpotqi5poejy" localSheetId="16" hidden="1">{#N/A,#N/A,FALSE,"Plan1";#N/A,#N/A,FALSE,"Plan2"}</definedName>
    <definedName name="iewpotqi5poejy" localSheetId="0" hidden="1">{#N/A,#N/A,FALSE,"Plan1";#N/A,#N/A,FALSE,"Plan2"}</definedName>
    <definedName name="iewpotqi5poejy" localSheetId="26" hidden="1">{#N/A,#N/A,FALSE,"Plan1";#N/A,#N/A,FALSE,"Plan2"}</definedName>
    <definedName name="iewpotqi5poejy" localSheetId="11" hidden="1">{#N/A,#N/A,FALSE,"Plan1";#N/A,#N/A,FALSE,"Plan2"}</definedName>
    <definedName name="iewpotqi5poejy" hidden="1">{#N/A,#N/A,FALSE,"Plan1";#N/A,#N/A,FALSE,"Plan2"}</definedName>
    <definedName name="ihdfifguhgfuiyh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 localSheetId="7" hidden="1">#REF!</definedName>
    <definedName name="iheidhgufr" localSheetId="3" hidden="1">#REF!</definedName>
    <definedName name="iheidhgufr" localSheetId="0" hidden="1">#REF!</definedName>
    <definedName name="iheidhgufr" hidden="1">#REF!</definedName>
    <definedName name="ihfdkjhktgrd" localSheetId="24" hidden="1">{#N/A,#N/A,FALSE,"Plan1";#N/A,#N/A,FALSE,"Plan2"}</definedName>
    <definedName name="ihfdkjhktgrd" localSheetId="7" hidden="1">{#N/A,#N/A,FALSE,"Plan1";#N/A,#N/A,FALSE,"Plan2"}</definedName>
    <definedName name="ihfdkjhktgrd" localSheetId="9" hidden="1">{#N/A,#N/A,FALSE,"Plan1";#N/A,#N/A,FALSE,"Plan2"}</definedName>
    <definedName name="ihfdkjhktgrd" localSheetId="3" hidden="1">{#N/A,#N/A,FALSE,"Plan1";#N/A,#N/A,FALSE,"Plan2"}</definedName>
    <definedName name="ihfdkjhktgrd" localSheetId="2" hidden="1">{#N/A,#N/A,FALSE,"Plan1";#N/A,#N/A,FALSE,"Plan2"}</definedName>
    <definedName name="ihfdkjhktgrd" localSheetId="16" hidden="1">{#N/A,#N/A,FALSE,"Plan1";#N/A,#N/A,FALSE,"Plan2"}</definedName>
    <definedName name="ihfdkjhktgrd" localSheetId="0" hidden="1">{#N/A,#N/A,FALSE,"Plan1";#N/A,#N/A,FALSE,"Plan2"}</definedName>
    <definedName name="ihfdkjhktgrd" localSheetId="26" hidden="1">{#N/A,#N/A,FALSE,"Plan1";#N/A,#N/A,FALSE,"Plan2"}</definedName>
    <definedName name="ihfdkjhktgrd" localSheetId="11" hidden="1">{#N/A,#N/A,FALSE,"Plan1";#N/A,#N/A,FALSE,"Plan2"}</definedName>
    <definedName name="ihfdkjhktgrd" hidden="1">{#N/A,#N/A,FALSE,"Plan1";#N/A,#N/A,FALSE,"Plan2"}</definedName>
    <definedName name="ihrtetw4r" localSheetId="24" hidden="1">{#N/A,#N/A,FALSE,"Plan1";#N/A,#N/A,FALSE,"Plan2"}</definedName>
    <definedName name="ihrtetw4r" localSheetId="7" hidden="1">{#N/A,#N/A,FALSE,"Plan1";#N/A,#N/A,FALSE,"Plan2"}</definedName>
    <definedName name="ihrtetw4r" localSheetId="9" hidden="1">{#N/A,#N/A,FALSE,"Plan1";#N/A,#N/A,FALSE,"Plan2"}</definedName>
    <definedName name="ihrtetw4r" localSheetId="3" hidden="1">{#N/A,#N/A,FALSE,"Plan1";#N/A,#N/A,FALSE,"Plan2"}</definedName>
    <definedName name="ihrtetw4r" localSheetId="2" hidden="1">{#N/A,#N/A,FALSE,"Plan1";#N/A,#N/A,FALSE,"Plan2"}</definedName>
    <definedName name="ihrtetw4r" localSheetId="16" hidden="1">{#N/A,#N/A,FALSE,"Plan1";#N/A,#N/A,FALSE,"Plan2"}</definedName>
    <definedName name="ihrtetw4r" localSheetId="0" hidden="1">{#N/A,#N/A,FALSE,"Plan1";#N/A,#N/A,FALSE,"Plan2"}</definedName>
    <definedName name="ihrtetw4r" localSheetId="26" hidden="1">{#N/A,#N/A,FALSE,"Plan1";#N/A,#N/A,FALSE,"Plan2"}</definedName>
    <definedName name="ihrtetw4r" localSheetId="11" hidden="1">{#N/A,#N/A,FALSE,"Plan1";#N/A,#N/A,FALSE,"Plan2"}</definedName>
    <definedName name="ihrtetw4r" hidden="1">{#N/A,#N/A,FALSE,"Plan1";#N/A,#N/A,FALSE,"Plan2"}</definedName>
    <definedName name="II" localSheetId="7">#REF!</definedName>
    <definedName name="II" localSheetId="9">#REF!</definedName>
    <definedName name="II" localSheetId="3">#REF!</definedName>
    <definedName name="II">#REF!</definedName>
    <definedName name="IIASDSAWE" localSheetId="24" hidden="1">{"Econ Consolidado",#N/A,FALSE,"Econ Consol";"Fluxo de Caixa",#N/A,FALSE,"Fluxo Caixa";"Investimentos",#N/A,FALSE,"Investimentos"}</definedName>
    <definedName name="IIASDSAWE" localSheetId="7" hidden="1">{"Econ Consolidado",#N/A,FALSE,"Econ Consol";"Fluxo de Caixa",#N/A,FALSE,"Fluxo Caixa";"Investimentos",#N/A,FALSE,"Investimentos"}</definedName>
    <definedName name="IIASDSAWE" localSheetId="9" hidden="1">{"Econ Consolidado",#N/A,FALSE,"Econ Consol";"Fluxo de Caixa",#N/A,FALSE,"Fluxo Caixa";"Investimentos",#N/A,FALSE,"Investimentos"}</definedName>
    <definedName name="IIASDSAWE" localSheetId="3" hidden="1">{"Econ Consolidado",#N/A,FALSE,"Econ Consol";"Fluxo de Caixa",#N/A,FALSE,"Fluxo Caixa";"Investimentos",#N/A,FALSE,"Investimentos"}</definedName>
    <definedName name="IIASDSAWE" localSheetId="2" hidden="1">{"Econ Consolidado",#N/A,FALSE,"Econ Consol";"Fluxo de Caixa",#N/A,FALSE,"Fluxo Caixa";"Investimentos",#N/A,FALSE,"Investimentos"}</definedName>
    <definedName name="IIASDSAWE" localSheetId="16" hidden="1">{"Econ Consolidado",#N/A,FALSE,"Econ Consol";"Fluxo de Caixa",#N/A,FALSE,"Fluxo Caixa";"Investimentos",#N/A,FALSE,"Investimentos"}</definedName>
    <definedName name="IIASDSAWE" localSheetId="0" hidden="1">{"Econ Consolidado",#N/A,FALSE,"Econ Consol";"Fluxo de Caixa",#N/A,FALSE,"Fluxo Caixa";"Investimentos",#N/A,FALSE,"Investimentos"}</definedName>
    <definedName name="IIASDSAWE" localSheetId="26" hidden="1">{"Econ Consolidado",#N/A,FALSE,"Econ Consol";"Fluxo de Caixa",#N/A,FALSE,"Fluxo Caixa";"Investimentos",#N/A,FALSE,"Investimentos"}</definedName>
    <definedName name="IIASDSAWE" localSheetId="11" hidden="1">{"Econ Consolidado",#N/A,FALSE,"Econ Consol";"Fluxo de Caixa",#N/A,FALSE,"Fluxo Caixa";"Investimentos",#N/A,FALSE,"Investimentos"}</definedName>
    <definedName name="IIASDSAWE" hidden="1">{"Econ Consolidado",#N/A,FALSE,"Econ Consol";"Fluxo de Caixa",#N/A,FALSE,"Fluxo Caixa";"Investimentos",#N/A,FALSE,"Investimentos"}</definedName>
    <definedName name="III" localSheetId="7">#REF!</definedName>
    <definedName name="III" localSheetId="9">#REF!</definedName>
    <definedName name="III" localSheetId="3">#REF!</definedName>
    <definedName name="III">#REF!</definedName>
    <definedName name="iinstalações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localSheetId="24" hidden="1">{#N/A,#N/A,FALSE,"Plan1";#N/A,#N/A,FALSE,"Plan2"}</definedName>
    <definedName name="ilhweilrji4e" localSheetId="7" hidden="1">{#N/A,#N/A,FALSE,"Plan1";#N/A,#N/A,FALSE,"Plan2"}</definedName>
    <definedName name="ilhweilrji4e" localSheetId="9" hidden="1">{#N/A,#N/A,FALSE,"Plan1";#N/A,#N/A,FALSE,"Plan2"}</definedName>
    <definedName name="ilhweilrji4e" localSheetId="3" hidden="1">{#N/A,#N/A,FALSE,"Plan1";#N/A,#N/A,FALSE,"Plan2"}</definedName>
    <definedName name="ilhweilrji4e" localSheetId="2" hidden="1">{#N/A,#N/A,FALSE,"Plan1";#N/A,#N/A,FALSE,"Plan2"}</definedName>
    <definedName name="ilhweilrji4e" localSheetId="16" hidden="1">{#N/A,#N/A,FALSE,"Plan1";#N/A,#N/A,FALSE,"Plan2"}</definedName>
    <definedName name="ilhweilrji4e" localSheetId="0" hidden="1">{#N/A,#N/A,FALSE,"Plan1";#N/A,#N/A,FALSE,"Plan2"}</definedName>
    <definedName name="ilhweilrji4e" localSheetId="26" hidden="1">{#N/A,#N/A,FALSE,"Plan1";#N/A,#N/A,FALSE,"Plan2"}</definedName>
    <definedName name="ilhweilrji4e" localSheetId="11" hidden="1">{#N/A,#N/A,FALSE,"Plan1";#N/A,#N/A,FALSE,"Plan2"}</definedName>
    <definedName name="ilhweilrji4e" hidden="1">{#N/A,#N/A,FALSE,"Plan1";#N/A,#N/A,FALSE,"Plan2"}</definedName>
    <definedName name="ilsdr4wf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 localSheetId="24">#REF!</definedName>
    <definedName name="IM" localSheetId="7">#REF!</definedName>
    <definedName name="IM" localSheetId="3">#REF!</definedName>
    <definedName name="IM" localSheetId="26">#REF!</definedName>
    <definedName name="IM">#REF!</definedName>
    <definedName name="IMP" localSheetId="7" hidden="1">#REF!</definedName>
    <definedName name="IMP" localSheetId="3" hidden="1">#REF!</definedName>
    <definedName name="IMP" localSheetId="0" hidden="1">#REF!</definedName>
    <definedName name="IMP" hidden="1">#REF!</definedName>
    <definedName name="IMPERMEABILIZ." localSheetId="7">#REF!</definedName>
    <definedName name="IMPERMEABILIZ." localSheetId="3">#REF!</definedName>
    <definedName name="IMPERMEABILIZ.">#REF!</definedName>
    <definedName name="IMPF" localSheetId="7">#REF!</definedName>
    <definedName name="IMPF" localSheetId="3">#REF!</definedName>
    <definedName name="IMPF">#REF!</definedName>
    <definedName name="IMPI" localSheetId="7">#REF!</definedName>
    <definedName name="IMPI" localSheetId="3">#REF!</definedName>
    <definedName name="IMPI">#REF!</definedName>
    <definedName name="IMPOSTO" localSheetId="7">#REF!</definedName>
    <definedName name="IMPOSTO" localSheetId="3">#REF!</definedName>
    <definedName name="IMPOSTO">#REF!</definedName>
    <definedName name="INCC" localSheetId="7">#REF!</definedName>
    <definedName name="INCC" localSheetId="3">#REF!</definedName>
    <definedName name="INCC">#REF!</definedName>
    <definedName name="Incorido_Aplicado_X_Físico" localSheetId="7">#REF!</definedName>
    <definedName name="Incorido_Aplicado_X_Físico" localSheetId="3">#REF!</definedName>
    <definedName name="Incorido_Aplicado_X_Físico">#REF!</definedName>
    <definedName name="INCORPORAÇÃO" localSheetId="7">#REF!</definedName>
    <definedName name="INCORPORAÇÃO" localSheetId="3">#REF!</definedName>
    <definedName name="INCORPORAÇÃO">#REF!</definedName>
    <definedName name="Index" localSheetId="7" hidden="1">#REF!</definedName>
    <definedName name="Index" localSheetId="3" hidden="1">#REF!</definedName>
    <definedName name="Index" localSheetId="0" hidden="1">#REF!</definedName>
    <definedName name="Index" hidden="1">#REF!</definedName>
    <definedName name="Indice" localSheetId="7">#REF!</definedName>
    <definedName name="Indice" localSheetId="3">#REF!</definedName>
    <definedName name="Indice">#REF!</definedName>
    <definedName name="indice_correcao_proj" localSheetId="7">#REF!</definedName>
    <definedName name="indice_correcao_proj" localSheetId="3">#REF!</definedName>
    <definedName name="indice_correcao_proj">#REF!</definedName>
    <definedName name="infra" localSheetId="7">#REF!</definedName>
    <definedName name="infra" localSheetId="3">#REF!</definedName>
    <definedName name="infra">#REF!</definedName>
    <definedName name="Infra_OBra_Sienge" localSheetId="7">#REF!</definedName>
    <definedName name="Infra_OBra_Sienge" localSheetId="3">#REF!</definedName>
    <definedName name="Infra_OBra_Sienge">#REF!</definedName>
    <definedName name="Infra_Projetos_Sienge" localSheetId="7">#REF!</definedName>
    <definedName name="Infra_Projetos_Sienge" localSheetId="3">#REF!</definedName>
    <definedName name="Infra_Projetos_Sienge">#REF!</definedName>
    <definedName name="INFRA2" localSheetId="7">#REF!</definedName>
    <definedName name="INFRA2" localSheetId="3">#REF!</definedName>
    <definedName name="INFRA2">#REF!</definedName>
    <definedName name="Insatalações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 localSheetId="24">#REF!</definedName>
    <definedName name="INSS_Bloqueado_Fin_Medição" localSheetId="7">#REF!</definedName>
    <definedName name="INSS_Bloqueado_Fin_Medição" localSheetId="3">#REF!</definedName>
    <definedName name="INSS_Bloqueado_Fin_Medição" localSheetId="26">#REF!</definedName>
    <definedName name="INSS_Bloqueado_Fin_Medição">#REF!</definedName>
    <definedName name="Inss_Bloqueado_Previsão_Fin_Medições" localSheetId="7">#REF!</definedName>
    <definedName name="Inss_Bloqueado_Previsão_Fin_Medições" localSheetId="3">#REF!</definedName>
    <definedName name="Inss_Bloqueado_Previsão_Fin_Medições">#REF!</definedName>
    <definedName name="instalaçoes2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 localSheetId="7">OFFSET(#REF!,0,0,COUNTA(#REF!),1)</definedName>
    <definedName name="INSU" localSheetId="3">OFFSET(#REF!,0,0,COUNTA(#REF!),1)</definedName>
    <definedName name="INSU">OFFSET(#REF!,0,0,COUNTA(#REF!),1)</definedName>
    <definedName name="INSUMOS" localSheetId="24">#REF!</definedName>
    <definedName name="INSUMOS" localSheetId="7">#REF!</definedName>
    <definedName name="INSUMOS" localSheetId="3">#REF!</definedName>
    <definedName name="INSUMOS" localSheetId="26">#REF!</definedName>
    <definedName name="INSUMOS">#REF!</definedName>
    <definedName name="INT.FILTRO.NBASE" localSheetId="7">#REF!</definedName>
    <definedName name="INT.FILTRO.NBASE" localSheetId="3">#REF!</definedName>
    <definedName name="INT.FILTRO.NBASE">#REF!</definedName>
    <definedName name="INTEGRA" localSheetId="24" hidden="1">{"'Edit'!$A$1:$V$2277"}</definedName>
    <definedName name="INTEGRA" localSheetId="7" hidden="1">{"'Edit'!$A$1:$V$2277"}</definedName>
    <definedName name="INTEGRA" localSheetId="9" hidden="1">{"'Edit'!$A$1:$V$2277"}</definedName>
    <definedName name="INTEGRA" localSheetId="3" hidden="1">{"'Edit'!$A$1:$V$2277"}</definedName>
    <definedName name="INTEGRA" localSheetId="2" hidden="1">{"'Edit'!$A$1:$V$2277"}</definedName>
    <definedName name="INTEGRA" localSheetId="16" hidden="1">{"'Edit'!$A$1:$V$2277"}</definedName>
    <definedName name="INTEGRA" localSheetId="0" hidden="1">{"'Edit'!$A$1:$V$2277"}</definedName>
    <definedName name="INTEGRA" localSheetId="26" hidden="1">{"'Edit'!$A$1:$V$2277"}</definedName>
    <definedName name="INTEGRA" localSheetId="11" hidden="1">{"'Edit'!$A$1:$V$2277"}</definedName>
    <definedName name="INTEGRA" hidden="1">{"'Edit'!$A$1:$V$2277"}</definedName>
    <definedName name="IO">196.003</definedName>
    <definedName name="ioeriotyt" localSheetId="24" hidden="1">{#N/A,#N/A,FALSE,"Plan1";#N/A,#N/A,FALSE,"Plan2"}</definedName>
    <definedName name="ioeriotyt" localSheetId="7" hidden="1">{#N/A,#N/A,FALSE,"Plan1";#N/A,#N/A,FALSE,"Plan2"}</definedName>
    <definedName name="ioeriotyt" localSheetId="9" hidden="1">{#N/A,#N/A,FALSE,"Plan1";#N/A,#N/A,FALSE,"Plan2"}</definedName>
    <definedName name="ioeriotyt" localSheetId="3" hidden="1">{#N/A,#N/A,FALSE,"Plan1";#N/A,#N/A,FALSE,"Plan2"}</definedName>
    <definedName name="ioeriotyt" localSheetId="2" hidden="1">{#N/A,#N/A,FALSE,"Plan1";#N/A,#N/A,FALSE,"Plan2"}</definedName>
    <definedName name="ioeriotyt" localSheetId="16" hidden="1">{#N/A,#N/A,FALSE,"Plan1";#N/A,#N/A,FALSE,"Plan2"}</definedName>
    <definedName name="ioeriotyt" localSheetId="0" hidden="1">{#N/A,#N/A,FALSE,"Plan1";#N/A,#N/A,FALSE,"Plan2"}</definedName>
    <definedName name="ioeriotyt" localSheetId="26" hidden="1">{#N/A,#N/A,FALSE,"Plan1";#N/A,#N/A,FALSE,"Plan2"}</definedName>
    <definedName name="ioeriotyt" localSheetId="11" hidden="1">{#N/A,#N/A,FALSE,"Plan1";#N/A,#N/A,FALSE,"Plan2"}</definedName>
    <definedName name="ioeriotyt" hidden="1">{#N/A,#N/A,FALSE,"Plan1";#N/A,#N/A,FALSE,"Plan2"}</definedName>
    <definedName name="iohudtorh" localSheetId="24" hidden="1">{#N/A,#N/A,FALSE,"Plan1";#N/A,#N/A,FALSE,"Plan2"}</definedName>
    <definedName name="iohudtorh" localSheetId="7" hidden="1">{#N/A,#N/A,FALSE,"Plan1";#N/A,#N/A,FALSE,"Plan2"}</definedName>
    <definedName name="iohudtorh" localSheetId="9" hidden="1">{#N/A,#N/A,FALSE,"Plan1";#N/A,#N/A,FALSE,"Plan2"}</definedName>
    <definedName name="iohudtorh" localSheetId="3" hidden="1">{#N/A,#N/A,FALSE,"Plan1";#N/A,#N/A,FALSE,"Plan2"}</definedName>
    <definedName name="iohudtorh" localSheetId="2" hidden="1">{#N/A,#N/A,FALSE,"Plan1";#N/A,#N/A,FALSE,"Plan2"}</definedName>
    <definedName name="iohudtorh" localSheetId="16" hidden="1">{#N/A,#N/A,FALSE,"Plan1";#N/A,#N/A,FALSE,"Plan2"}</definedName>
    <definedName name="iohudtorh" localSheetId="0" hidden="1">{#N/A,#N/A,FALSE,"Plan1";#N/A,#N/A,FALSE,"Plan2"}</definedName>
    <definedName name="iohudtorh" localSheetId="26" hidden="1">{#N/A,#N/A,FALSE,"Plan1";#N/A,#N/A,FALSE,"Plan2"}</definedName>
    <definedName name="iohudtorh" localSheetId="11" hidden="1">{#N/A,#N/A,FALSE,"Plan1";#N/A,#N/A,FALSE,"Plan2"}</definedName>
    <definedName name="iohudtorh" hidden="1">{#N/A,#N/A,FALSE,"Plan1";#N/A,#N/A,FALSE,"Plan2"}</definedName>
    <definedName name="iojtkheayed" localSheetId="24" hidden="1">{#N/A,#N/A,FALSE,"Plan1";#N/A,#N/A,FALSE,"Plan2"}</definedName>
    <definedName name="iojtkheayed" localSheetId="7" hidden="1">{#N/A,#N/A,FALSE,"Plan1";#N/A,#N/A,FALSE,"Plan2"}</definedName>
    <definedName name="iojtkheayed" localSheetId="9" hidden="1">{#N/A,#N/A,FALSE,"Plan1";#N/A,#N/A,FALSE,"Plan2"}</definedName>
    <definedName name="iojtkheayed" localSheetId="3" hidden="1">{#N/A,#N/A,FALSE,"Plan1";#N/A,#N/A,FALSE,"Plan2"}</definedName>
    <definedName name="iojtkheayed" localSheetId="2" hidden="1">{#N/A,#N/A,FALSE,"Plan1";#N/A,#N/A,FALSE,"Plan2"}</definedName>
    <definedName name="iojtkheayed" localSheetId="16" hidden="1">{#N/A,#N/A,FALSE,"Plan1";#N/A,#N/A,FALSE,"Plan2"}</definedName>
    <definedName name="iojtkheayed" localSheetId="0" hidden="1">{#N/A,#N/A,FALSE,"Plan1";#N/A,#N/A,FALSE,"Plan2"}</definedName>
    <definedName name="iojtkheayed" localSheetId="26" hidden="1">{#N/A,#N/A,FALSE,"Plan1";#N/A,#N/A,FALSE,"Plan2"}</definedName>
    <definedName name="iojtkheayed" localSheetId="11" hidden="1">{#N/A,#N/A,FALSE,"Plan1";#N/A,#N/A,FALSE,"Plan2"}</definedName>
    <definedName name="iojtkheayed" hidden="1">{#N/A,#N/A,FALSE,"Plan1";#N/A,#N/A,FALSE,"Plan2"}</definedName>
    <definedName name="iouweroieuw4" localSheetId="24" hidden="1">{#N/A,#N/A,FALSE,"Plan1";#N/A,#N/A,FALSE,"Plan2"}</definedName>
    <definedName name="iouweroieuw4" localSheetId="7" hidden="1">{#N/A,#N/A,FALSE,"Plan1";#N/A,#N/A,FALSE,"Plan2"}</definedName>
    <definedName name="iouweroieuw4" localSheetId="9" hidden="1">{#N/A,#N/A,FALSE,"Plan1";#N/A,#N/A,FALSE,"Plan2"}</definedName>
    <definedName name="iouweroieuw4" localSheetId="3" hidden="1">{#N/A,#N/A,FALSE,"Plan1";#N/A,#N/A,FALSE,"Plan2"}</definedName>
    <definedName name="iouweroieuw4" localSheetId="2" hidden="1">{#N/A,#N/A,FALSE,"Plan1";#N/A,#N/A,FALSE,"Plan2"}</definedName>
    <definedName name="iouweroieuw4" localSheetId="16" hidden="1">{#N/A,#N/A,FALSE,"Plan1";#N/A,#N/A,FALSE,"Plan2"}</definedName>
    <definedName name="iouweroieuw4" localSheetId="0" hidden="1">{#N/A,#N/A,FALSE,"Plan1";#N/A,#N/A,FALSE,"Plan2"}</definedName>
    <definedName name="iouweroieuw4" localSheetId="26" hidden="1">{#N/A,#N/A,FALSE,"Plan1";#N/A,#N/A,FALSE,"Plan2"}</definedName>
    <definedName name="iouweroieuw4" localSheetId="11" hidden="1">{#N/A,#N/A,FALSE,"Plan1";#N/A,#N/A,FALSE,"Plan2"}</definedName>
    <definedName name="iouweroieuw4" hidden="1">{#N/A,#N/A,FALSE,"Plan1";#N/A,#N/A,FALSE,"Plan2"}</definedName>
    <definedName name="iphifpgh" localSheetId="24" hidden="1">{#N/A,#N/A,FALSE,"Plan1";#N/A,#N/A,FALSE,"Plan2"}</definedName>
    <definedName name="iphifpgh" localSheetId="7" hidden="1">{#N/A,#N/A,FALSE,"Plan1";#N/A,#N/A,FALSE,"Plan2"}</definedName>
    <definedName name="iphifpgh" localSheetId="9" hidden="1">{#N/A,#N/A,FALSE,"Plan1";#N/A,#N/A,FALSE,"Plan2"}</definedName>
    <definedName name="iphifpgh" localSheetId="3" hidden="1">{#N/A,#N/A,FALSE,"Plan1";#N/A,#N/A,FALSE,"Plan2"}</definedName>
    <definedName name="iphifpgh" localSheetId="2" hidden="1">{#N/A,#N/A,FALSE,"Plan1";#N/A,#N/A,FALSE,"Plan2"}</definedName>
    <definedName name="iphifpgh" localSheetId="16" hidden="1">{#N/A,#N/A,FALSE,"Plan1";#N/A,#N/A,FALSE,"Plan2"}</definedName>
    <definedName name="iphifpgh" localSheetId="0" hidden="1">{#N/A,#N/A,FALSE,"Plan1";#N/A,#N/A,FALSE,"Plan2"}</definedName>
    <definedName name="iphifpgh" localSheetId="26" hidden="1">{#N/A,#N/A,FALSE,"Plan1";#N/A,#N/A,FALSE,"Plan2"}</definedName>
    <definedName name="iphifpgh" localSheetId="11" hidden="1">{#N/A,#N/A,FALSE,"Plan1";#N/A,#N/A,FALSE,"Plan2"}</definedName>
    <definedName name="iphifpgh" hidden="1">{#N/A,#N/A,FALSE,"Plan1";#N/A,#N/A,FALSE,"Plan2"}</definedName>
    <definedName name="IPMF" localSheetId="24">#REF!</definedName>
    <definedName name="IPMF" localSheetId="7">#REF!</definedName>
    <definedName name="IPMF" localSheetId="3">#REF!</definedName>
    <definedName name="IPMF" localSheetId="26">#REF!</definedName>
    <definedName name="IPMF">#REF!</definedName>
    <definedName name="ipodsifgpds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localSheetId="24" hidden="1">{#N/A,#N/A,FALSE,"Plan1";#N/A,#N/A,FALSE,"Plan2"}</definedName>
    <definedName name="ipotjrjketjr" localSheetId="7" hidden="1">{#N/A,#N/A,FALSE,"Plan1";#N/A,#N/A,FALSE,"Plan2"}</definedName>
    <definedName name="ipotjrjketjr" localSheetId="9" hidden="1">{#N/A,#N/A,FALSE,"Plan1";#N/A,#N/A,FALSE,"Plan2"}</definedName>
    <definedName name="ipotjrjketjr" localSheetId="3" hidden="1">{#N/A,#N/A,FALSE,"Plan1";#N/A,#N/A,FALSE,"Plan2"}</definedName>
    <definedName name="ipotjrjketjr" localSheetId="2" hidden="1">{#N/A,#N/A,FALSE,"Plan1";#N/A,#N/A,FALSE,"Plan2"}</definedName>
    <definedName name="ipotjrjketjr" localSheetId="16" hidden="1">{#N/A,#N/A,FALSE,"Plan1";#N/A,#N/A,FALSE,"Plan2"}</definedName>
    <definedName name="ipotjrjketjr" localSheetId="0" hidden="1">{#N/A,#N/A,FALSE,"Plan1";#N/A,#N/A,FALSE,"Plan2"}</definedName>
    <definedName name="ipotjrjketjr" localSheetId="26" hidden="1">{#N/A,#N/A,FALSE,"Plan1";#N/A,#N/A,FALSE,"Plan2"}</definedName>
    <definedName name="ipotjrjketjr" localSheetId="11" hidden="1">{#N/A,#N/A,FALSE,"Plan1";#N/A,#N/A,FALSE,"Plan2"}</definedName>
    <definedName name="ipotjrjketjr" hidden="1">{#N/A,#N/A,FALSE,"Plan1";#N/A,#N/A,FALSE,"Plan2"}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40730.4399768518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_diferido" localSheetId="7">#REF!</definedName>
    <definedName name="IR_diferido" localSheetId="3">#REF!</definedName>
    <definedName name="IR_diferido">#REF!</definedName>
    <definedName name="ISOPOR" localSheetId="7">#REF!</definedName>
    <definedName name="ISOPOR" localSheetId="3">#REF!</definedName>
    <definedName name="ISOPOR">#REF!</definedName>
    <definedName name="ISS" localSheetId="7">#REF!</definedName>
    <definedName name="ISS" localSheetId="3">#REF!</definedName>
    <definedName name="ISS">#REF!</definedName>
    <definedName name="ItalieNS" localSheetId="7">#REF!</definedName>
    <definedName name="ItalieNS" localSheetId="3">#REF!</definedName>
    <definedName name="ItalieNS">#REF!</definedName>
    <definedName name="ItalieNT" localSheetId="7">#REF!</definedName>
    <definedName name="ItalieNT" localSheetId="3">#REF!</definedName>
    <definedName name="ItalieNT">#REF!</definedName>
    <definedName name="itc_cdi" localSheetId="7">#REF!</definedName>
    <definedName name="itc_cdi" localSheetId="3">#REF!</definedName>
    <definedName name="itc_cdi">#REF!</definedName>
    <definedName name="itc_hist" localSheetId="7">#REF!</definedName>
    <definedName name="itc_hist" localSheetId="3">#REF!</definedName>
    <definedName name="itc_hist">#REF!</definedName>
    <definedName name="itc_uss" localSheetId="7">#REF!</definedName>
    <definedName name="itc_uss" localSheetId="3">#REF!</definedName>
    <definedName name="itc_uss">#REF!</definedName>
    <definedName name="item_1" localSheetId="24">#REF!</definedName>
    <definedName name="item_1" localSheetId="7">#REF!</definedName>
    <definedName name="item_1" localSheetId="5">#REF!</definedName>
    <definedName name="item_1" localSheetId="3">#REF!</definedName>
    <definedName name="item_1" localSheetId="0">#REF!</definedName>
    <definedName name="item_1">#REF!</definedName>
    <definedName name="ITEMCONT" localSheetId="7">#REF!</definedName>
    <definedName name="ITEMCONT" localSheetId="3">#REF!</definedName>
    <definedName name="ITEMCONT">#REF!</definedName>
    <definedName name="ITEMDER" localSheetId="7">#REF!</definedName>
    <definedName name="ITEMDER" localSheetId="3">#REF!</definedName>
    <definedName name="ITEMDER">#REF!</definedName>
    <definedName name="ITEMIZAÇÃO" localSheetId="7">#REF!</definedName>
    <definedName name="ITEMIZAÇÃO" localSheetId="3">#REF!</definedName>
    <definedName name="ITEMIZAÇÃO">#REF!</definedName>
    <definedName name="ITEMIZAÇÃO_2" localSheetId="7">#REF!</definedName>
    <definedName name="ITEMIZAÇÃO_2" localSheetId="3">#REF!</definedName>
    <definedName name="ITEMIZAÇÃO_2">#REF!</definedName>
    <definedName name="ITEMIZAÇÃO_3" localSheetId="7">#REF!</definedName>
    <definedName name="ITEMIZAÇÃO_3" localSheetId="3">#REF!</definedName>
    <definedName name="ITEMIZAÇÃO_3">#REF!</definedName>
    <definedName name="ITEMIZAÇÃO_4" localSheetId="7">#REF!</definedName>
    <definedName name="ITEMIZAÇÃO_4" localSheetId="3">#REF!</definedName>
    <definedName name="ITEMIZAÇÃO_4">#REF!</definedName>
    <definedName name="ITEMIZAÇÃO_5" localSheetId="7">#REF!</definedName>
    <definedName name="ITEMIZAÇÃO_5" localSheetId="3">#REF!</definedName>
    <definedName name="ITEMIZAÇÃO_5">#REF!</definedName>
    <definedName name="ITEMIZAÇÃO_7" localSheetId="7">#REF!</definedName>
    <definedName name="ITEMIZAÇÃO_7" localSheetId="3">#REF!</definedName>
    <definedName name="ITEMIZAÇÃO_7">#REF!</definedName>
    <definedName name="ITEMIZAÇÃO_8" localSheetId="7">#REF!</definedName>
    <definedName name="ITEMIZAÇÃO_8" localSheetId="3">#REF!</definedName>
    <definedName name="ITEMIZAÇÃO_8">#REF!</definedName>
    <definedName name="ITEMR20" localSheetId="7">#REF!</definedName>
    <definedName name="ITEMR20" localSheetId="3">#REF!</definedName>
    <definedName name="ITEMR20">#REF!</definedName>
    <definedName name="ITEM별상세업무분장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 localSheetId="24">#REF!</definedName>
    <definedName name="ITENS" localSheetId="7">#REF!</definedName>
    <definedName name="ITENS" localSheetId="3">#REF!</definedName>
    <definedName name="ITENS" localSheetId="26">#REF!</definedName>
    <definedName name="ITENS">#REF!</definedName>
    <definedName name="ITENS0" localSheetId="7">#REF!</definedName>
    <definedName name="ITENS0" localSheetId="3">#REF!</definedName>
    <definedName name="ITENS0">#REF!</definedName>
    <definedName name="ITENS1" localSheetId="7">#REF!</definedName>
    <definedName name="ITENS1" localSheetId="3">#REF!</definedName>
    <definedName name="ITENS1">#REF!</definedName>
    <definedName name="ITENSP" localSheetId="7">#REF!</definedName>
    <definedName name="ITENSP" localSheetId="3">#REF!</definedName>
    <definedName name="ITENSP">#REF!</definedName>
    <definedName name="ITENSPMED" localSheetId="7">#REF!</definedName>
    <definedName name="ITENSPMED" localSheetId="3">#REF!</definedName>
    <definedName name="ITENSPMED">#REF!</definedName>
    <definedName name="IUGFGDFUY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 localSheetId="7">#REF!</definedName>
    <definedName name="IV" localSheetId="9">#REF!</definedName>
    <definedName name="IV" localSheetId="3">#REF!</definedName>
    <definedName name="IV">#REF!</definedName>
    <definedName name="iyguygiyt" localSheetId="24" hidden="1">{#N/A,#N/A,FALSE,"Plan1";#N/A,#N/A,FALSE,"Plan2"}</definedName>
    <definedName name="iyguygiyt" localSheetId="7" hidden="1">{#N/A,#N/A,FALSE,"Plan1";#N/A,#N/A,FALSE,"Plan2"}</definedName>
    <definedName name="iyguygiyt" localSheetId="9" hidden="1">{#N/A,#N/A,FALSE,"Plan1";#N/A,#N/A,FALSE,"Plan2"}</definedName>
    <definedName name="iyguygiyt" localSheetId="3" hidden="1">{#N/A,#N/A,FALSE,"Plan1";#N/A,#N/A,FALSE,"Plan2"}</definedName>
    <definedName name="iyguygiyt" localSheetId="2" hidden="1">{#N/A,#N/A,FALSE,"Plan1";#N/A,#N/A,FALSE,"Plan2"}</definedName>
    <definedName name="iyguygiyt" localSheetId="16" hidden="1">{#N/A,#N/A,FALSE,"Plan1";#N/A,#N/A,FALSE,"Plan2"}</definedName>
    <definedName name="iyguygiyt" localSheetId="0" hidden="1">{#N/A,#N/A,FALSE,"Plan1";#N/A,#N/A,FALSE,"Plan2"}</definedName>
    <definedName name="iyguygiyt" localSheetId="26" hidden="1">{#N/A,#N/A,FALSE,"Plan1";#N/A,#N/A,FALSE,"Plan2"}</definedName>
    <definedName name="iyguygiyt" localSheetId="11" hidden="1">{#N/A,#N/A,FALSE,"Plan1";#N/A,#N/A,FALSE,"Plan2"}</definedName>
    <definedName name="iyguygiyt" hidden="1">{#N/A,#N/A,FALSE,"Plan1";#N/A,#N/A,FALSE,"Plan2"}</definedName>
    <definedName name="iyuyheturtd" localSheetId="24" hidden="1">{#N/A,#N/A,FALSE,"Plan1";#N/A,#N/A,FALSE,"Plan2"}</definedName>
    <definedName name="iyuyheturtd" localSheetId="7" hidden="1">{#N/A,#N/A,FALSE,"Plan1";#N/A,#N/A,FALSE,"Plan2"}</definedName>
    <definedName name="iyuyheturtd" localSheetId="9" hidden="1">{#N/A,#N/A,FALSE,"Plan1";#N/A,#N/A,FALSE,"Plan2"}</definedName>
    <definedName name="iyuyheturtd" localSheetId="3" hidden="1">{#N/A,#N/A,FALSE,"Plan1";#N/A,#N/A,FALSE,"Plan2"}</definedName>
    <definedName name="iyuyheturtd" localSheetId="2" hidden="1">{#N/A,#N/A,FALSE,"Plan1";#N/A,#N/A,FALSE,"Plan2"}</definedName>
    <definedName name="iyuyheturtd" localSheetId="16" hidden="1">{#N/A,#N/A,FALSE,"Plan1";#N/A,#N/A,FALSE,"Plan2"}</definedName>
    <definedName name="iyuyheturtd" localSheetId="0" hidden="1">{#N/A,#N/A,FALSE,"Plan1";#N/A,#N/A,FALSE,"Plan2"}</definedName>
    <definedName name="iyuyheturtd" localSheetId="26" hidden="1">{#N/A,#N/A,FALSE,"Plan1";#N/A,#N/A,FALSE,"Plan2"}</definedName>
    <definedName name="iyuyheturtd" localSheetId="11" hidden="1">{#N/A,#N/A,FALSE,"Plan1";#N/A,#N/A,FALSE,"Plan2"}</definedName>
    <definedName name="iyuyheturtd" hidden="1">{#N/A,#N/A,FALSE,"Plan1";#N/A,#N/A,FALSE,"Plan2"}</definedName>
    <definedName name="j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localSheetId="24" hidden="1">{#N/A,#N/A,FALSE,"Plan1";#N/A,#N/A,FALSE,"Plan2"}</definedName>
    <definedName name="jalejdasjf" localSheetId="7" hidden="1">{#N/A,#N/A,FALSE,"Plan1";#N/A,#N/A,FALSE,"Plan2"}</definedName>
    <definedName name="jalejdasjf" localSheetId="9" hidden="1">{#N/A,#N/A,FALSE,"Plan1";#N/A,#N/A,FALSE,"Plan2"}</definedName>
    <definedName name="jalejdasjf" localSheetId="3" hidden="1">{#N/A,#N/A,FALSE,"Plan1";#N/A,#N/A,FALSE,"Plan2"}</definedName>
    <definedName name="jalejdasjf" localSheetId="2" hidden="1">{#N/A,#N/A,FALSE,"Plan1";#N/A,#N/A,FALSE,"Plan2"}</definedName>
    <definedName name="jalejdasjf" localSheetId="16" hidden="1">{#N/A,#N/A,FALSE,"Plan1";#N/A,#N/A,FALSE,"Plan2"}</definedName>
    <definedName name="jalejdasjf" localSheetId="0" hidden="1">{#N/A,#N/A,FALSE,"Plan1";#N/A,#N/A,FALSE,"Plan2"}</definedName>
    <definedName name="jalejdasjf" localSheetId="26" hidden="1">{#N/A,#N/A,FALSE,"Plan1";#N/A,#N/A,FALSE,"Plan2"}</definedName>
    <definedName name="jalejdasjf" localSheetId="11" hidden="1">{#N/A,#N/A,FALSE,"Plan1";#N/A,#N/A,FALSE,"Plan2"}</definedName>
    <definedName name="jalejdasjf" hidden="1">{#N/A,#N/A,FALSE,"Plan1";#N/A,#N/A,FALSE,"Plan2"}</definedName>
    <definedName name="jan_05" localSheetId="24">#REF!</definedName>
    <definedName name="jan_05" localSheetId="7">#REF!</definedName>
    <definedName name="jan_05" localSheetId="3">#REF!</definedName>
    <definedName name="jan_05" localSheetId="26">#REF!</definedName>
    <definedName name="jan_05">#REF!</definedName>
    <definedName name="jan17RJ" localSheetId="7">#REF!</definedName>
    <definedName name="jan17RJ" localSheetId="3">#REF!</definedName>
    <definedName name="jan17RJ">#REF!</definedName>
    <definedName name="JANEIRO2001" localSheetId="7">#REF!</definedName>
    <definedName name="JANEIRO2001" localSheetId="3">#REF!</definedName>
    <definedName name="JANEIRO2001">#REF!</definedName>
    <definedName name="JASDJS" localSheetId="24" hidden="1">{#N/A,#N/A,FALSE,"Plan1";#N/A,#N/A,FALSE,"Plan2"}</definedName>
    <definedName name="JASDJS" localSheetId="7" hidden="1">{#N/A,#N/A,FALSE,"Plan1";#N/A,#N/A,FALSE,"Plan2"}</definedName>
    <definedName name="JASDJS" localSheetId="9" hidden="1">{#N/A,#N/A,FALSE,"Plan1";#N/A,#N/A,FALSE,"Plan2"}</definedName>
    <definedName name="JASDJS" localSheetId="3" hidden="1">{#N/A,#N/A,FALSE,"Plan1";#N/A,#N/A,FALSE,"Plan2"}</definedName>
    <definedName name="JASDJS" localSheetId="2" hidden="1">{#N/A,#N/A,FALSE,"Plan1";#N/A,#N/A,FALSE,"Plan2"}</definedName>
    <definedName name="JASDJS" localSheetId="16" hidden="1">{#N/A,#N/A,FALSE,"Plan1";#N/A,#N/A,FALSE,"Plan2"}</definedName>
    <definedName name="JASDJS" localSheetId="0" hidden="1">{#N/A,#N/A,FALSE,"Plan1";#N/A,#N/A,FALSE,"Plan2"}</definedName>
    <definedName name="JASDJS" localSheetId="26" hidden="1">{#N/A,#N/A,FALSE,"Plan1";#N/A,#N/A,FALSE,"Plan2"}</definedName>
    <definedName name="JASDJS" localSheetId="11" hidden="1">{#N/A,#N/A,FALSE,"Plan1";#N/A,#N/A,FALSE,"Plan2"}</definedName>
    <definedName name="JASDJS" hidden="1">{#N/A,#N/A,FALSE,"Plan1";#N/A,#N/A,FALSE,"Plan2"}</definedName>
    <definedName name="jaskldjlse" localSheetId="24" hidden="1">{#N/A,#N/A,FALSE,"Plan1";#N/A,#N/A,FALSE,"Plan2"}</definedName>
    <definedName name="jaskldjlse" localSheetId="7" hidden="1">{#N/A,#N/A,FALSE,"Plan1";#N/A,#N/A,FALSE,"Plan2"}</definedName>
    <definedName name="jaskldjlse" localSheetId="9" hidden="1">{#N/A,#N/A,FALSE,"Plan1";#N/A,#N/A,FALSE,"Plan2"}</definedName>
    <definedName name="jaskldjlse" localSheetId="3" hidden="1">{#N/A,#N/A,FALSE,"Plan1";#N/A,#N/A,FALSE,"Plan2"}</definedName>
    <definedName name="jaskldjlse" localSheetId="2" hidden="1">{#N/A,#N/A,FALSE,"Plan1";#N/A,#N/A,FALSE,"Plan2"}</definedName>
    <definedName name="jaskldjlse" localSheetId="16" hidden="1">{#N/A,#N/A,FALSE,"Plan1";#N/A,#N/A,FALSE,"Plan2"}</definedName>
    <definedName name="jaskldjlse" localSheetId="0" hidden="1">{#N/A,#N/A,FALSE,"Plan1";#N/A,#N/A,FALSE,"Plan2"}</definedName>
    <definedName name="jaskldjlse" localSheetId="26" hidden="1">{#N/A,#N/A,FALSE,"Plan1";#N/A,#N/A,FALSE,"Plan2"}</definedName>
    <definedName name="jaskldjlse" localSheetId="11" hidden="1">{#N/A,#N/A,FALSE,"Plan1";#N/A,#N/A,FALSE,"Plan2"}</definedName>
    <definedName name="jaskldjlse" hidden="1">{#N/A,#N/A,FALSE,"Plan1";#N/A,#N/A,FALSE,"Plan2"}</definedName>
    <definedName name="JASLDKLD" localSheetId="24" hidden="1">{#N/A,#N/A,FALSE,"Plan1";#N/A,#N/A,FALSE,"Plan2"}</definedName>
    <definedName name="JASLDKLD" localSheetId="7" hidden="1">{#N/A,#N/A,FALSE,"Plan1";#N/A,#N/A,FALSE,"Plan2"}</definedName>
    <definedName name="JASLDKLD" localSheetId="9" hidden="1">{#N/A,#N/A,FALSE,"Plan1";#N/A,#N/A,FALSE,"Plan2"}</definedName>
    <definedName name="JASLDKLD" localSheetId="3" hidden="1">{#N/A,#N/A,FALSE,"Plan1";#N/A,#N/A,FALSE,"Plan2"}</definedName>
    <definedName name="JASLDKLD" localSheetId="2" hidden="1">{#N/A,#N/A,FALSE,"Plan1";#N/A,#N/A,FALSE,"Plan2"}</definedName>
    <definedName name="JASLDKLD" localSheetId="16" hidden="1">{#N/A,#N/A,FALSE,"Plan1";#N/A,#N/A,FALSE,"Plan2"}</definedName>
    <definedName name="JASLDKLD" localSheetId="0" hidden="1">{#N/A,#N/A,FALSE,"Plan1";#N/A,#N/A,FALSE,"Plan2"}</definedName>
    <definedName name="JASLDKLD" localSheetId="26" hidden="1">{#N/A,#N/A,FALSE,"Plan1";#N/A,#N/A,FALSE,"Plan2"}</definedName>
    <definedName name="JASLDKLD" localSheetId="11" hidden="1">{#N/A,#N/A,FALSE,"Plan1";#N/A,#N/A,FALSE,"Plan2"}</definedName>
    <definedName name="JASLDKLD" hidden="1">{#N/A,#N/A,FALSE,"Plan1";#N/A,#N/A,FALSE,"Plan2"}</definedName>
    <definedName name="jasoe" localSheetId="7" hidden="1">#REF!</definedName>
    <definedName name="jasoe" localSheetId="3" hidden="1">#REF!</definedName>
    <definedName name="jasoe" localSheetId="0" hidden="1">#REF!</definedName>
    <definedName name="jasoe" hidden="1">#REF!</definedName>
    <definedName name="jbzxffcbgdhgft" localSheetId="7" hidden="1">#REF!</definedName>
    <definedName name="jbzxffcbgdhgft" localSheetId="3" hidden="1">#REF!</definedName>
    <definedName name="jbzxffcbgdhgft" localSheetId="0" hidden="1">#REF!</definedName>
    <definedName name="jbzxffcbgdhgft" hidden="1">#REF!</definedName>
    <definedName name="JÇDFHDF" localSheetId="24" hidden="1">{"Econ Consolidado",#N/A,FALSE,"Econ Consol";"Fluxo de Caixa",#N/A,FALSE,"Fluxo Caixa";"Investimentos",#N/A,FALSE,"Investimentos"}</definedName>
    <definedName name="JÇDFHDF" localSheetId="7" hidden="1">{"Econ Consolidado",#N/A,FALSE,"Econ Consol";"Fluxo de Caixa",#N/A,FALSE,"Fluxo Caixa";"Investimentos",#N/A,FALSE,"Investimentos"}</definedName>
    <definedName name="JÇDFHDF" localSheetId="9" hidden="1">{"Econ Consolidado",#N/A,FALSE,"Econ Consol";"Fluxo de Caixa",#N/A,FALSE,"Fluxo Caixa";"Investimentos",#N/A,FALSE,"Investimentos"}</definedName>
    <definedName name="JÇDFHDF" localSheetId="3" hidden="1">{"Econ Consolidado",#N/A,FALSE,"Econ Consol";"Fluxo de Caixa",#N/A,FALSE,"Fluxo Caixa";"Investimentos",#N/A,FALSE,"Investimentos"}</definedName>
    <definedName name="JÇDFHDF" localSheetId="2" hidden="1">{"Econ Consolidado",#N/A,FALSE,"Econ Consol";"Fluxo de Caixa",#N/A,FALSE,"Fluxo Caixa";"Investimentos",#N/A,FALSE,"Investimentos"}</definedName>
    <definedName name="JÇDFHDF" localSheetId="16" hidden="1">{"Econ Consolidado",#N/A,FALSE,"Econ Consol";"Fluxo de Caixa",#N/A,FALSE,"Fluxo Caixa";"Investimentos",#N/A,FALSE,"Investimentos"}</definedName>
    <definedName name="JÇDFHDF" localSheetId="0" hidden="1">{"Econ Consolidado",#N/A,FALSE,"Econ Consol";"Fluxo de Caixa",#N/A,FALSE,"Fluxo Caixa";"Investimentos",#N/A,FALSE,"Investimentos"}</definedName>
    <definedName name="JÇDFHDF" localSheetId="26" hidden="1">{"Econ Consolidado",#N/A,FALSE,"Econ Consol";"Fluxo de Caixa",#N/A,FALSE,"Fluxo Caixa";"Investimentos",#N/A,FALSE,"Investimentos"}</definedName>
    <definedName name="JÇDFHDF" localSheetId="11" hidden="1">{"Econ Consolidado",#N/A,FALSE,"Econ Consol";"Fluxo de Caixa",#N/A,FALSE,"Fluxo Caixa";"Investimentos",#N/A,FALSE,"Investimentos"}</definedName>
    <definedName name="JÇDFHDF" hidden="1">{"Econ Consolidado",#N/A,FALSE,"Econ Consol";"Fluxo de Caixa",#N/A,FALSE,"Fluxo Caixa";"Investimentos",#N/A,FALSE,"Investimentos"}</definedName>
    <definedName name="jdbgftbhr" localSheetId="24" hidden="1">{#N/A,#N/A,FALSE,"Plan1";#N/A,#N/A,FALSE,"Plan2"}</definedName>
    <definedName name="jdbgftbhr" localSheetId="7" hidden="1">{#N/A,#N/A,FALSE,"Plan1";#N/A,#N/A,FALSE,"Plan2"}</definedName>
    <definedName name="jdbgftbhr" localSheetId="9" hidden="1">{#N/A,#N/A,FALSE,"Plan1";#N/A,#N/A,FALSE,"Plan2"}</definedName>
    <definedName name="jdbgftbhr" localSheetId="3" hidden="1">{#N/A,#N/A,FALSE,"Plan1";#N/A,#N/A,FALSE,"Plan2"}</definedName>
    <definedName name="jdbgftbhr" localSheetId="2" hidden="1">{#N/A,#N/A,FALSE,"Plan1";#N/A,#N/A,FALSE,"Plan2"}</definedName>
    <definedName name="jdbgftbhr" localSheetId="16" hidden="1">{#N/A,#N/A,FALSE,"Plan1";#N/A,#N/A,FALSE,"Plan2"}</definedName>
    <definedName name="jdbgftbhr" localSheetId="0" hidden="1">{#N/A,#N/A,FALSE,"Plan1";#N/A,#N/A,FALSE,"Plan2"}</definedName>
    <definedName name="jdbgftbhr" localSheetId="26" hidden="1">{#N/A,#N/A,FALSE,"Plan1";#N/A,#N/A,FALSE,"Plan2"}</definedName>
    <definedName name="jdbgftbhr" localSheetId="11" hidden="1">{#N/A,#N/A,FALSE,"Plan1";#N/A,#N/A,FALSE,"Plan2"}</definedName>
    <definedName name="jdbgftbhr" hidden="1">{#N/A,#N/A,FALSE,"Plan1";#N/A,#N/A,FALSE,"Plan2"}</definedName>
    <definedName name="jdfgkrhgft" localSheetId="7" hidden="1">#REF!</definedName>
    <definedName name="jdfgkrhgft" localSheetId="3" hidden="1">#REF!</definedName>
    <definedName name="jdfgkrhgft" localSheetId="0" hidden="1">#REF!</definedName>
    <definedName name="jdfgkrhgft" hidden="1">#REF!</definedName>
    <definedName name="jdfgldfjgklh" localSheetId="24" hidden="1">{#N/A,#N/A,FALSE,"Plan1";#N/A,#N/A,FALSE,"Plan2"}</definedName>
    <definedName name="jdfgldfjgklh" localSheetId="7" hidden="1">{#N/A,#N/A,FALSE,"Plan1";#N/A,#N/A,FALSE,"Plan2"}</definedName>
    <definedName name="jdfgldfjgklh" localSheetId="9" hidden="1">{#N/A,#N/A,FALSE,"Plan1";#N/A,#N/A,FALSE,"Plan2"}</definedName>
    <definedName name="jdfgldfjgklh" localSheetId="3" hidden="1">{#N/A,#N/A,FALSE,"Plan1";#N/A,#N/A,FALSE,"Plan2"}</definedName>
    <definedName name="jdfgldfjgklh" localSheetId="2" hidden="1">{#N/A,#N/A,FALSE,"Plan1";#N/A,#N/A,FALSE,"Plan2"}</definedName>
    <definedName name="jdfgldfjgklh" localSheetId="16" hidden="1">{#N/A,#N/A,FALSE,"Plan1";#N/A,#N/A,FALSE,"Plan2"}</definedName>
    <definedName name="jdfgldfjgklh" localSheetId="0" hidden="1">{#N/A,#N/A,FALSE,"Plan1";#N/A,#N/A,FALSE,"Plan2"}</definedName>
    <definedName name="jdfgldfjgklh" localSheetId="26" hidden="1">{#N/A,#N/A,FALSE,"Plan1";#N/A,#N/A,FALSE,"Plan2"}</definedName>
    <definedName name="jdfgldfjgklh" localSheetId="11" hidden="1">{#N/A,#N/A,FALSE,"Plan1";#N/A,#N/A,FALSE,"Plan2"}</definedName>
    <definedName name="jdfgldfjgklh" hidden="1">{#N/A,#N/A,FALSE,"Plan1";#N/A,#N/A,FALSE,"Plan2"}</definedName>
    <definedName name="jdfhjkdrhjtkg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localSheetId="24" hidden="1">{#N/A,#N/A,FALSE,"Plan1";#N/A,#N/A,FALSE,"Plan2"}</definedName>
    <definedName name="jdfjdtrgt" localSheetId="7" hidden="1">{#N/A,#N/A,FALSE,"Plan1";#N/A,#N/A,FALSE,"Plan2"}</definedName>
    <definedName name="jdfjdtrgt" localSheetId="9" hidden="1">{#N/A,#N/A,FALSE,"Plan1";#N/A,#N/A,FALSE,"Plan2"}</definedName>
    <definedName name="jdfjdtrgt" localSheetId="3" hidden="1">{#N/A,#N/A,FALSE,"Plan1";#N/A,#N/A,FALSE,"Plan2"}</definedName>
    <definedName name="jdfjdtrgt" localSheetId="2" hidden="1">{#N/A,#N/A,FALSE,"Plan1";#N/A,#N/A,FALSE,"Plan2"}</definedName>
    <definedName name="jdfjdtrgt" localSheetId="16" hidden="1">{#N/A,#N/A,FALSE,"Plan1";#N/A,#N/A,FALSE,"Plan2"}</definedName>
    <definedName name="jdfjdtrgt" localSheetId="0" hidden="1">{#N/A,#N/A,FALSE,"Plan1";#N/A,#N/A,FALSE,"Plan2"}</definedName>
    <definedName name="jdfjdtrgt" localSheetId="26" hidden="1">{#N/A,#N/A,FALSE,"Plan1";#N/A,#N/A,FALSE,"Plan2"}</definedName>
    <definedName name="jdfjdtrgt" localSheetId="11" hidden="1">{#N/A,#N/A,FALSE,"Plan1";#N/A,#N/A,FALSE,"Plan2"}</definedName>
    <definedName name="jdfjdtrgt" hidden="1">{#N/A,#N/A,FALSE,"Plan1";#N/A,#N/A,FALSE,"Plan2"}</definedName>
    <definedName name="JDFJLDJR" localSheetId="24" hidden="1">{#N/A,#N/A,FALSE,"Plan1";#N/A,#N/A,FALSE,"Plan2"}</definedName>
    <definedName name="JDFJLDJR" localSheetId="7" hidden="1">{#N/A,#N/A,FALSE,"Plan1";#N/A,#N/A,FALSE,"Plan2"}</definedName>
    <definedName name="JDFJLDJR" localSheetId="9" hidden="1">{#N/A,#N/A,FALSE,"Plan1";#N/A,#N/A,FALSE,"Plan2"}</definedName>
    <definedName name="JDFJLDJR" localSheetId="3" hidden="1">{#N/A,#N/A,FALSE,"Plan1";#N/A,#N/A,FALSE,"Plan2"}</definedName>
    <definedName name="JDFJLDJR" localSheetId="2" hidden="1">{#N/A,#N/A,FALSE,"Plan1";#N/A,#N/A,FALSE,"Plan2"}</definedName>
    <definedName name="JDFJLDJR" localSheetId="16" hidden="1">{#N/A,#N/A,FALSE,"Plan1";#N/A,#N/A,FALSE,"Plan2"}</definedName>
    <definedName name="JDFJLDJR" localSheetId="0" hidden="1">{#N/A,#N/A,FALSE,"Plan1";#N/A,#N/A,FALSE,"Plan2"}</definedName>
    <definedName name="JDFJLDJR" localSheetId="26" hidden="1">{#N/A,#N/A,FALSE,"Plan1";#N/A,#N/A,FALSE,"Plan2"}</definedName>
    <definedName name="JDFJLDJR" localSheetId="11" hidden="1">{#N/A,#N/A,FALSE,"Plan1";#N/A,#N/A,FALSE,"Plan2"}</definedName>
    <definedName name="JDFJLDJR" hidden="1">{#N/A,#N/A,FALSE,"Plan1";#N/A,#N/A,FALSE,"Plan2"}</definedName>
    <definedName name="jdfkgitfgdrtt" localSheetId="24" hidden="1">{#N/A,#N/A,FALSE,"Plan1";#N/A,#N/A,FALSE,"Plan2"}</definedName>
    <definedName name="jdfkgitfgdrtt" localSheetId="7" hidden="1">{#N/A,#N/A,FALSE,"Plan1";#N/A,#N/A,FALSE,"Plan2"}</definedName>
    <definedName name="jdfkgitfgdrtt" localSheetId="9" hidden="1">{#N/A,#N/A,FALSE,"Plan1";#N/A,#N/A,FALSE,"Plan2"}</definedName>
    <definedName name="jdfkgitfgdrtt" localSheetId="3" hidden="1">{#N/A,#N/A,FALSE,"Plan1";#N/A,#N/A,FALSE,"Plan2"}</definedName>
    <definedName name="jdfkgitfgdrtt" localSheetId="2" hidden="1">{#N/A,#N/A,FALSE,"Plan1";#N/A,#N/A,FALSE,"Plan2"}</definedName>
    <definedName name="jdfkgitfgdrtt" localSheetId="16" hidden="1">{#N/A,#N/A,FALSE,"Plan1";#N/A,#N/A,FALSE,"Plan2"}</definedName>
    <definedName name="jdfkgitfgdrtt" localSheetId="0" hidden="1">{#N/A,#N/A,FALSE,"Plan1";#N/A,#N/A,FALSE,"Plan2"}</definedName>
    <definedName name="jdfkgitfgdrtt" localSheetId="26" hidden="1">{#N/A,#N/A,FALSE,"Plan1";#N/A,#N/A,FALSE,"Plan2"}</definedName>
    <definedName name="jdfkgitfgdrtt" localSheetId="11" hidden="1">{#N/A,#N/A,FALSE,"Plan1";#N/A,#N/A,FALSE,"Plan2"}</definedName>
    <definedName name="jdfkgitfgdrtt" hidden="1">{#N/A,#N/A,FALSE,"Plan1";#N/A,#N/A,FALSE,"Plan2"}</definedName>
    <definedName name="JDFKHFKJ" localSheetId="24" hidden="1">{#N/A,#N/A,FALSE,"Plan1";#N/A,#N/A,FALSE,"Plan2"}</definedName>
    <definedName name="JDFKHFKJ" localSheetId="7" hidden="1">{#N/A,#N/A,FALSE,"Plan1";#N/A,#N/A,FALSE,"Plan2"}</definedName>
    <definedName name="JDFKHFKJ" localSheetId="9" hidden="1">{#N/A,#N/A,FALSE,"Plan1";#N/A,#N/A,FALSE,"Plan2"}</definedName>
    <definedName name="JDFKHFKJ" localSheetId="3" hidden="1">{#N/A,#N/A,FALSE,"Plan1";#N/A,#N/A,FALSE,"Plan2"}</definedName>
    <definedName name="JDFKHFKJ" localSheetId="2" hidden="1">{#N/A,#N/A,FALSE,"Plan1";#N/A,#N/A,FALSE,"Plan2"}</definedName>
    <definedName name="JDFKHFKJ" localSheetId="16" hidden="1">{#N/A,#N/A,FALSE,"Plan1";#N/A,#N/A,FALSE,"Plan2"}</definedName>
    <definedName name="JDFKHFKJ" localSheetId="0" hidden="1">{#N/A,#N/A,FALSE,"Plan1";#N/A,#N/A,FALSE,"Plan2"}</definedName>
    <definedName name="JDFKHFKJ" localSheetId="26" hidden="1">{#N/A,#N/A,FALSE,"Plan1";#N/A,#N/A,FALSE,"Plan2"}</definedName>
    <definedName name="JDFKHFKJ" localSheetId="11" hidden="1">{#N/A,#N/A,FALSE,"Plan1";#N/A,#N/A,FALSE,"Plan2"}</definedName>
    <definedName name="JDFKHFKJ" hidden="1">{#N/A,#N/A,FALSE,"Plan1";#N/A,#N/A,FALSE,"Plan2"}</definedName>
    <definedName name="jdfklgtdtr" localSheetId="24" hidden="1">{#N/A,#N/A,FALSE,"Plan1";#N/A,#N/A,FALSE,"Plan2"}</definedName>
    <definedName name="jdfklgtdtr" localSheetId="7" hidden="1">{#N/A,#N/A,FALSE,"Plan1";#N/A,#N/A,FALSE,"Plan2"}</definedName>
    <definedName name="jdfklgtdtr" localSheetId="9" hidden="1">{#N/A,#N/A,FALSE,"Plan1";#N/A,#N/A,FALSE,"Plan2"}</definedName>
    <definedName name="jdfklgtdtr" localSheetId="3" hidden="1">{#N/A,#N/A,FALSE,"Plan1";#N/A,#N/A,FALSE,"Plan2"}</definedName>
    <definedName name="jdfklgtdtr" localSheetId="2" hidden="1">{#N/A,#N/A,FALSE,"Plan1";#N/A,#N/A,FALSE,"Plan2"}</definedName>
    <definedName name="jdfklgtdtr" localSheetId="16" hidden="1">{#N/A,#N/A,FALSE,"Plan1";#N/A,#N/A,FALSE,"Plan2"}</definedName>
    <definedName name="jdfklgtdtr" localSheetId="0" hidden="1">{#N/A,#N/A,FALSE,"Plan1";#N/A,#N/A,FALSE,"Plan2"}</definedName>
    <definedName name="jdfklgtdtr" localSheetId="26" hidden="1">{#N/A,#N/A,FALSE,"Plan1";#N/A,#N/A,FALSE,"Plan2"}</definedName>
    <definedName name="jdfklgtdtr" localSheetId="11" hidden="1">{#N/A,#N/A,FALSE,"Plan1";#N/A,#N/A,FALSE,"Plan2"}</definedName>
    <definedName name="jdfklgtdtr" hidden="1">{#N/A,#N/A,FALSE,"Plan1";#N/A,#N/A,FALSE,"Plan2"}</definedName>
    <definedName name="JDFKTHRT" localSheetId="24" hidden="1">{#N/A,#N/A,FALSE,"Plan1";#N/A,#N/A,FALSE,"Plan2"}</definedName>
    <definedName name="JDFKTHRT" localSheetId="7" hidden="1">{#N/A,#N/A,FALSE,"Plan1";#N/A,#N/A,FALSE,"Plan2"}</definedName>
    <definedName name="JDFKTHRT" localSheetId="9" hidden="1">{#N/A,#N/A,FALSE,"Plan1";#N/A,#N/A,FALSE,"Plan2"}</definedName>
    <definedName name="JDFKTHRT" localSheetId="3" hidden="1">{#N/A,#N/A,FALSE,"Plan1";#N/A,#N/A,FALSE,"Plan2"}</definedName>
    <definedName name="JDFKTHRT" localSheetId="2" hidden="1">{#N/A,#N/A,FALSE,"Plan1";#N/A,#N/A,FALSE,"Plan2"}</definedName>
    <definedName name="JDFKTHRT" localSheetId="16" hidden="1">{#N/A,#N/A,FALSE,"Plan1";#N/A,#N/A,FALSE,"Plan2"}</definedName>
    <definedName name="JDFKTHRT" localSheetId="0" hidden="1">{#N/A,#N/A,FALSE,"Plan1";#N/A,#N/A,FALSE,"Plan2"}</definedName>
    <definedName name="JDFKTHRT" localSheetId="26" hidden="1">{#N/A,#N/A,FALSE,"Plan1";#N/A,#N/A,FALSE,"Plan2"}</definedName>
    <definedName name="JDFKTHRT" localSheetId="11" hidden="1">{#N/A,#N/A,FALSE,"Plan1";#N/A,#N/A,FALSE,"Plan2"}</definedName>
    <definedName name="JDFKTHRT" hidden="1">{#N/A,#N/A,FALSE,"Plan1";#N/A,#N/A,FALSE,"Plan2"}</definedName>
    <definedName name="JDFLKJDRF" localSheetId="24" hidden="1">{#N/A,#N/A,FALSE,"Plan1";#N/A,#N/A,FALSE,"Plan2"}</definedName>
    <definedName name="JDFLKJDRF" localSheetId="7" hidden="1">{#N/A,#N/A,FALSE,"Plan1";#N/A,#N/A,FALSE,"Plan2"}</definedName>
    <definedName name="JDFLKJDRF" localSheetId="9" hidden="1">{#N/A,#N/A,FALSE,"Plan1";#N/A,#N/A,FALSE,"Plan2"}</definedName>
    <definedName name="JDFLKJDRF" localSheetId="3" hidden="1">{#N/A,#N/A,FALSE,"Plan1";#N/A,#N/A,FALSE,"Plan2"}</definedName>
    <definedName name="JDFLKJDRF" localSheetId="2" hidden="1">{#N/A,#N/A,FALSE,"Plan1";#N/A,#N/A,FALSE,"Plan2"}</definedName>
    <definedName name="JDFLKJDRF" localSheetId="16" hidden="1">{#N/A,#N/A,FALSE,"Plan1";#N/A,#N/A,FALSE,"Plan2"}</definedName>
    <definedName name="JDFLKJDRF" localSheetId="0" hidden="1">{#N/A,#N/A,FALSE,"Plan1";#N/A,#N/A,FALSE,"Plan2"}</definedName>
    <definedName name="JDFLKJDRF" localSheetId="26" hidden="1">{#N/A,#N/A,FALSE,"Plan1";#N/A,#N/A,FALSE,"Plan2"}</definedName>
    <definedName name="JDFLKJDRF" localSheetId="11" hidden="1">{#N/A,#N/A,FALSE,"Plan1";#N/A,#N/A,FALSE,"Plan2"}</definedName>
    <definedName name="JDFLKJDRF" hidden="1">{#N/A,#N/A,FALSE,"Plan1";#N/A,#N/A,FALSE,"Plan2"}</definedName>
    <definedName name="jdfzlkjgfdht" localSheetId="24" hidden="1">{#N/A,#N/A,FALSE,"Plan1";#N/A,#N/A,FALSE,"Plan2"}</definedName>
    <definedName name="jdfzlkjgfdht" localSheetId="7" hidden="1">{#N/A,#N/A,FALSE,"Plan1";#N/A,#N/A,FALSE,"Plan2"}</definedName>
    <definedName name="jdfzlkjgfdht" localSheetId="9" hidden="1">{#N/A,#N/A,FALSE,"Plan1";#N/A,#N/A,FALSE,"Plan2"}</definedName>
    <definedName name="jdfzlkjgfdht" localSheetId="3" hidden="1">{#N/A,#N/A,FALSE,"Plan1";#N/A,#N/A,FALSE,"Plan2"}</definedName>
    <definedName name="jdfzlkjgfdht" localSheetId="2" hidden="1">{#N/A,#N/A,FALSE,"Plan1";#N/A,#N/A,FALSE,"Plan2"}</definedName>
    <definedName name="jdfzlkjgfdht" localSheetId="16" hidden="1">{#N/A,#N/A,FALSE,"Plan1";#N/A,#N/A,FALSE,"Plan2"}</definedName>
    <definedName name="jdfzlkjgfdht" localSheetId="0" hidden="1">{#N/A,#N/A,FALSE,"Plan1";#N/A,#N/A,FALSE,"Plan2"}</definedName>
    <definedName name="jdfzlkjgfdht" localSheetId="26" hidden="1">{#N/A,#N/A,FALSE,"Plan1";#N/A,#N/A,FALSE,"Plan2"}</definedName>
    <definedName name="jdfzlkjgfdht" localSheetId="11" hidden="1">{#N/A,#N/A,FALSE,"Plan1";#N/A,#N/A,FALSE,"Plan2"}</definedName>
    <definedName name="jdfzlkjgfdht" hidden="1">{#N/A,#N/A,FALSE,"Plan1";#N/A,#N/A,FALSE,"Plan2"}</definedName>
    <definedName name="jdglhfghkt" localSheetId="24" hidden="1">{#N/A,#N/A,FALSE,"Plan1";#N/A,#N/A,FALSE,"Plan2"}</definedName>
    <definedName name="jdglhfghkt" localSheetId="7" hidden="1">{#N/A,#N/A,FALSE,"Plan1";#N/A,#N/A,FALSE,"Plan2"}</definedName>
    <definedName name="jdglhfghkt" localSheetId="9" hidden="1">{#N/A,#N/A,FALSE,"Plan1";#N/A,#N/A,FALSE,"Plan2"}</definedName>
    <definedName name="jdglhfghkt" localSheetId="3" hidden="1">{#N/A,#N/A,FALSE,"Plan1";#N/A,#N/A,FALSE,"Plan2"}</definedName>
    <definedName name="jdglhfghkt" localSheetId="2" hidden="1">{#N/A,#N/A,FALSE,"Plan1";#N/A,#N/A,FALSE,"Plan2"}</definedName>
    <definedName name="jdglhfghkt" localSheetId="16" hidden="1">{#N/A,#N/A,FALSE,"Plan1";#N/A,#N/A,FALSE,"Plan2"}</definedName>
    <definedName name="jdglhfghkt" localSheetId="0" hidden="1">{#N/A,#N/A,FALSE,"Plan1";#N/A,#N/A,FALSE,"Plan2"}</definedName>
    <definedName name="jdglhfghkt" localSheetId="26" hidden="1">{#N/A,#N/A,FALSE,"Plan1";#N/A,#N/A,FALSE,"Plan2"}</definedName>
    <definedName name="jdglhfghkt" localSheetId="11" hidden="1">{#N/A,#N/A,FALSE,"Plan1";#N/A,#N/A,FALSE,"Plan2"}</definedName>
    <definedName name="jdglhfghkt" hidden="1">{#N/A,#N/A,FALSE,"Plan1";#N/A,#N/A,FALSE,"Plan2"}</definedName>
    <definedName name="jdhfjdhgfd" localSheetId="24" hidden="1">{#N/A,#N/A,FALSE,"Plan1";#N/A,#N/A,FALSE,"Plan2"}</definedName>
    <definedName name="jdhfjdhgfd" localSheetId="7" hidden="1">{#N/A,#N/A,FALSE,"Plan1";#N/A,#N/A,FALSE,"Plan2"}</definedName>
    <definedName name="jdhfjdhgfd" localSheetId="9" hidden="1">{#N/A,#N/A,FALSE,"Plan1";#N/A,#N/A,FALSE,"Plan2"}</definedName>
    <definedName name="jdhfjdhgfd" localSheetId="3" hidden="1">{#N/A,#N/A,FALSE,"Plan1";#N/A,#N/A,FALSE,"Plan2"}</definedName>
    <definedName name="jdhfjdhgfd" localSheetId="2" hidden="1">{#N/A,#N/A,FALSE,"Plan1";#N/A,#N/A,FALSE,"Plan2"}</definedName>
    <definedName name="jdhfjdhgfd" localSheetId="16" hidden="1">{#N/A,#N/A,FALSE,"Plan1";#N/A,#N/A,FALSE,"Plan2"}</definedName>
    <definedName name="jdhfjdhgfd" localSheetId="0" hidden="1">{#N/A,#N/A,FALSE,"Plan1";#N/A,#N/A,FALSE,"Plan2"}</definedName>
    <definedName name="jdhfjdhgfd" localSheetId="26" hidden="1">{#N/A,#N/A,FALSE,"Plan1";#N/A,#N/A,FALSE,"Plan2"}</definedName>
    <definedName name="jdhfjdhgfd" localSheetId="11" hidden="1">{#N/A,#N/A,FALSE,"Plan1";#N/A,#N/A,FALSE,"Plan2"}</definedName>
    <definedName name="jdhfjdhgfd" hidden="1">{#N/A,#N/A,FALSE,"Plan1";#N/A,#N/A,FALSE,"Plan2"}</definedName>
    <definedName name="jdjdjdjd" localSheetId="24" hidden="1">{#N/A,#N/A,FALSE,"명세표"}</definedName>
    <definedName name="jdjdjdjd" localSheetId="7" hidden="1">{#N/A,#N/A,FALSE,"명세표"}</definedName>
    <definedName name="jdjdjdjd" localSheetId="9" hidden="1">{#N/A,#N/A,FALSE,"명세표"}</definedName>
    <definedName name="jdjdjdjd" localSheetId="3" hidden="1">{#N/A,#N/A,FALSE,"명세표"}</definedName>
    <definedName name="jdjdjdjd" localSheetId="2" hidden="1">{#N/A,#N/A,FALSE,"명세표"}</definedName>
    <definedName name="jdjdjdjd" localSheetId="16" hidden="1">{#N/A,#N/A,FALSE,"명세표"}</definedName>
    <definedName name="jdjdjdjd" localSheetId="0" hidden="1">{#N/A,#N/A,FALSE,"명세표"}</definedName>
    <definedName name="jdjdjdjd" localSheetId="26" hidden="1">{#N/A,#N/A,FALSE,"명세표"}</definedName>
    <definedName name="jdjdjdjd" localSheetId="11" hidden="1">{#N/A,#N/A,FALSE,"명세표"}</definedName>
    <definedName name="jdjdjdjd" hidden="1">{#N/A,#N/A,FALSE,"명세표"}</definedName>
    <definedName name="jdkfhgjhf" localSheetId="24" hidden="1">{#N/A,#N/A,FALSE,"Plan1";#N/A,#N/A,FALSE,"Plan2"}</definedName>
    <definedName name="jdkfhgjhf" localSheetId="7" hidden="1">{#N/A,#N/A,FALSE,"Plan1";#N/A,#N/A,FALSE,"Plan2"}</definedName>
    <definedName name="jdkfhgjhf" localSheetId="9" hidden="1">{#N/A,#N/A,FALSE,"Plan1";#N/A,#N/A,FALSE,"Plan2"}</definedName>
    <definedName name="jdkfhgjhf" localSheetId="3" hidden="1">{#N/A,#N/A,FALSE,"Plan1";#N/A,#N/A,FALSE,"Plan2"}</definedName>
    <definedName name="jdkfhgjhf" localSheetId="2" hidden="1">{#N/A,#N/A,FALSE,"Plan1";#N/A,#N/A,FALSE,"Plan2"}</definedName>
    <definedName name="jdkfhgjhf" localSheetId="16" hidden="1">{#N/A,#N/A,FALSE,"Plan1";#N/A,#N/A,FALSE,"Plan2"}</definedName>
    <definedName name="jdkfhgjhf" localSheetId="0" hidden="1">{#N/A,#N/A,FALSE,"Plan1";#N/A,#N/A,FALSE,"Plan2"}</definedName>
    <definedName name="jdkfhgjhf" localSheetId="26" hidden="1">{#N/A,#N/A,FALSE,"Plan1";#N/A,#N/A,FALSE,"Plan2"}</definedName>
    <definedName name="jdkfhgjhf" localSheetId="11" hidden="1">{#N/A,#N/A,FALSE,"Plan1";#N/A,#N/A,FALSE,"Plan2"}</definedName>
    <definedName name="jdkfhgjhf" hidden="1">{#N/A,#N/A,FALSE,"Plan1";#N/A,#N/A,FALSE,"Plan2"}</definedName>
    <definedName name="jdkfjdtr" localSheetId="24" hidden="1">{#N/A,#N/A,FALSE,"Plan1";#N/A,#N/A,FALSE,"Plan2"}</definedName>
    <definedName name="jdkfjdtr" localSheetId="7" hidden="1">{#N/A,#N/A,FALSE,"Plan1";#N/A,#N/A,FALSE,"Plan2"}</definedName>
    <definedName name="jdkfjdtr" localSheetId="9" hidden="1">{#N/A,#N/A,FALSE,"Plan1";#N/A,#N/A,FALSE,"Plan2"}</definedName>
    <definedName name="jdkfjdtr" localSheetId="3" hidden="1">{#N/A,#N/A,FALSE,"Plan1";#N/A,#N/A,FALSE,"Plan2"}</definedName>
    <definedName name="jdkfjdtr" localSheetId="2" hidden="1">{#N/A,#N/A,FALSE,"Plan1";#N/A,#N/A,FALSE,"Plan2"}</definedName>
    <definedName name="jdkfjdtr" localSheetId="16" hidden="1">{#N/A,#N/A,FALSE,"Plan1";#N/A,#N/A,FALSE,"Plan2"}</definedName>
    <definedName name="jdkfjdtr" localSheetId="0" hidden="1">{#N/A,#N/A,FALSE,"Plan1";#N/A,#N/A,FALSE,"Plan2"}</definedName>
    <definedName name="jdkfjdtr" localSheetId="26" hidden="1">{#N/A,#N/A,FALSE,"Plan1";#N/A,#N/A,FALSE,"Plan2"}</definedName>
    <definedName name="jdkfjdtr" localSheetId="11" hidden="1">{#N/A,#N/A,FALSE,"Plan1";#N/A,#N/A,FALSE,"Plan2"}</definedName>
    <definedName name="jdkfjdtr" hidden="1">{#N/A,#N/A,FALSE,"Plan1";#N/A,#N/A,FALSE,"Plan2"}</definedName>
    <definedName name="jdljgftldjti5r" localSheetId="24" hidden="1">{#N/A,#N/A,FALSE,"Plan1";#N/A,#N/A,FALSE,"Plan2"}</definedName>
    <definedName name="jdljgftldjti5r" localSheetId="7" hidden="1">{#N/A,#N/A,FALSE,"Plan1";#N/A,#N/A,FALSE,"Plan2"}</definedName>
    <definedName name="jdljgftldjti5r" localSheetId="9" hidden="1">{#N/A,#N/A,FALSE,"Plan1";#N/A,#N/A,FALSE,"Plan2"}</definedName>
    <definedName name="jdljgftldjti5r" localSheetId="3" hidden="1">{#N/A,#N/A,FALSE,"Plan1";#N/A,#N/A,FALSE,"Plan2"}</definedName>
    <definedName name="jdljgftldjti5r" localSheetId="2" hidden="1">{#N/A,#N/A,FALSE,"Plan1";#N/A,#N/A,FALSE,"Plan2"}</definedName>
    <definedName name="jdljgftldjti5r" localSheetId="16" hidden="1">{#N/A,#N/A,FALSE,"Plan1";#N/A,#N/A,FALSE,"Plan2"}</definedName>
    <definedName name="jdljgftldjti5r" localSheetId="0" hidden="1">{#N/A,#N/A,FALSE,"Plan1";#N/A,#N/A,FALSE,"Plan2"}</definedName>
    <definedName name="jdljgftldjti5r" localSheetId="26" hidden="1">{#N/A,#N/A,FALSE,"Plan1";#N/A,#N/A,FALSE,"Plan2"}</definedName>
    <definedName name="jdljgftldjti5r" localSheetId="11" hidden="1">{#N/A,#N/A,FALSE,"Plan1";#N/A,#N/A,FALSE,"Plan2"}</definedName>
    <definedName name="jdljgftldjti5r" hidden="1">{#N/A,#N/A,FALSE,"Plan1";#N/A,#N/A,FALSE,"Plan2"}</definedName>
    <definedName name="JDLKJDASGF" localSheetId="24" hidden="1">{#N/A,#N/A,FALSE,"Plan1";#N/A,#N/A,FALSE,"Plan2"}</definedName>
    <definedName name="JDLKJDASGF" localSheetId="7" hidden="1">{#N/A,#N/A,FALSE,"Plan1";#N/A,#N/A,FALSE,"Plan2"}</definedName>
    <definedName name="JDLKJDASGF" localSheetId="9" hidden="1">{#N/A,#N/A,FALSE,"Plan1";#N/A,#N/A,FALSE,"Plan2"}</definedName>
    <definedName name="JDLKJDASGF" localSheetId="3" hidden="1">{#N/A,#N/A,FALSE,"Plan1";#N/A,#N/A,FALSE,"Plan2"}</definedName>
    <definedName name="JDLKJDASGF" localSheetId="2" hidden="1">{#N/A,#N/A,FALSE,"Plan1";#N/A,#N/A,FALSE,"Plan2"}</definedName>
    <definedName name="JDLKJDASGF" localSheetId="16" hidden="1">{#N/A,#N/A,FALSE,"Plan1";#N/A,#N/A,FALSE,"Plan2"}</definedName>
    <definedName name="JDLKJDASGF" localSheetId="0" hidden="1">{#N/A,#N/A,FALSE,"Plan1";#N/A,#N/A,FALSE,"Plan2"}</definedName>
    <definedName name="JDLKJDASGF" localSheetId="26" hidden="1">{#N/A,#N/A,FALSE,"Plan1";#N/A,#N/A,FALSE,"Plan2"}</definedName>
    <definedName name="JDLKJDASGF" localSheetId="11" hidden="1">{#N/A,#N/A,FALSE,"Plan1";#N/A,#N/A,FALSE,"Plan2"}</definedName>
    <definedName name="JDLKJDASGF" hidden="1">{#N/A,#N/A,FALSE,"Plan1";#N/A,#N/A,FALSE,"Plan2"}</definedName>
    <definedName name="jdrfkdjfghrtfjg" localSheetId="24" hidden="1">{#N/A,#N/A,FALSE,"Plan1";#N/A,#N/A,FALSE,"Plan2"}</definedName>
    <definedName name="jdrfkdjfghrtfjg" localSheetId="7" hidden="1">{#N/A,#N/A,FALSE,"Plan1";#N/A,#N/A,FALSE,"Plan2"}</definedName>
    <definedName name="jdrfkdjfghrtfjg" localSheetId="9" hidden="1">{#N/A,#N/A,FALSE,"Plan1";#N/A,#N/A,FALSE,"Plan2"}</definedName>
    <definedName name="jdrfkdjfghrtfjg" localSheetId="3" hidden="1">{#N/A,#N/A,FALSE,"Plan1";#N/A,#N/A,FALSE,"Plan2"}</definedName>
    <definedName name="jdrfkdjfghrtfjg" localSheetId="2" hidden="1">{#N/A,#N/A,FALSE,"Plan1";#N/A,#N/A,FALSE,"Plan2"}</definedName>
    <definedName name="jdrfkdjfghrtfjg" localSheetId="16" hidden="1">{#N/A,#N/A,FALSE,"Plan1";#N/A,#N/A,FALSE,"Plan2"}</definedName>
    <definedName name="jdrfkdjfghrtfjg" localSheetId="0" hidden="1">{#N/A,#N/A,FALSE,"Plan1";#N/A,#N/A,FALSE,"Plan2"}</definedName>
    <definedName name="jdrfkdjfghrtfjg" localSheetId="26" hidden="1">{#N/A,#N/A,FALSE,"Plan1";#N/A,#N/A,FALSE,"Plan2"}</definedName>
    <definedName name="jdrfkdjfghrtfjg" localSheetId="11" hidden="1">{#N/A,#N/A,FALSE,"Plan1";#N/A,#N/A,FALSE,"Plan2"}</definedName>
    <definedName name="jdrfkdjfghrtfjg" hidden="1">{#N/A,#N/A,FALSE,"Plan1";#N/A,#N/A,FALSE,"Plan2"}</definedName>
    <definedName name="jdskfhdk" localSheetId="24" hidden="1">{#N/A,#N/A,FALSE,"Plan1";#N/A,#N/A,FALSE,"Plan2"}</definedName>
    <definedName name="jdskfhdk" localSheetId="7" hidden="1">{#N/A,#N/A,FALSE,"Plan1";#N/A,#N/A,FALSE,"Plan2"}</definedName>
    <definedName name="jdskfhdk" localSheetId="9" hidden="1">{#N/A,#N/A,FALSE,"Plan1";#N/A,#N/A,FALSE,"Plan2"}</definedName>
    <definedName name="jdskfhdk" localSheetId="3" hidden="1">{#N/A,#N/A,FALSE,"Plan1";#N/A,#N/A,FALSE,"Plan2"}</definedName>
    <definedName name="jdskfhdk" localSheetId="2" hidden="1">{#N/A,#N/A,FALSE,"Plan1";#N/A,#N/A,FALSE,"Plan2"}</definedName>
    <definedName name="jdskfhdk" localSheetId="16" hidden="1">{#N/A,#N/A,FALSE,"Plan1";#N/A,#N/A,FALSE,"Plan2"}</definedName>
    <definedName name="jdskfhdk" localSheetId="0" hidden="1">{#N/A,#N/A,FALSE,"Plan1";#N/A,#N/A,FALSE,"Plan2"}</definedName>
    <definedName name="jdskfhdk" localSheetId="26" hidden="1">{#N/A,#N/A,FALSE,"Plan1";#N/A,#N/A,FALSE,"Plan2"}</definedName>
    <definedName name="jdskfhdk" localSheetId="11" hidden="1">{#N/A,#N/A,FALSE,"Plan1";#N/A,#N/A,FALSE,"Plan2"}</definedName>
    <definedName name="jdskfhdk" hidden="1">{#N/A,#N/A,FALSE,"Plan1";#N/A,#N/A,FALSE,"Plan2"}</definedName>
    <definedName name="JDSKLGKDRHGGF" localSheetId="24" hidden="1">{#N/A,#N/A,FALSE,"Plan1";#N/A,#N/A,FALSE,"Plan2"}</definedName>
    <definedName name="JDSKLGKDRHGGF" localSheetId="7" hidden="1">{#N/A,#N/A,FALSE,"Plan1";#N/A,#N/A,FALSE,"Plan2"}</definedName>
    <definedName name="JDSKLGKDRHGGF" localSheetId="9" hidden="1">{#N/A,#N/A,FALSE,"Plan1";#N/A,#N/A,FALSE,"Plan2"}</definedName>
    <definedName name="JDSKLGKDRHGGF" localSheetId="3" hidden="1">{#N/A,#N/A,FALSE,"Plan1";#N/A,#N/A,FALSE,"Plan2"}</definedName>
    <definedName name="JDSKLGKDRHGGF" localSheetId="2" hidden="1">{#N/A,#N/A,FALSE,"Plan1";#N/A,#N/A,FALSE,"Plan2"}</definedName>
    <definedName name="JDSKLGKDRHGGF" localSheetId="16" hidden="1">{#N/A,#N/A,FALSE,"Plan1";#N/A,#N/A,FALSE,"Plan2"}</definedName>
    <definedName name="JDSKLGKDRHGGF" localSheetId="0" hidden="1">{#N/A,#N/A,FALSE,"Plan1";#N/A,#N/A,FALSE,"Plan2"}</definedName>
    <definedName name="JDSKLGKDRHGGF" localSheetId="26" hidden="1">{#N/A,#N/A,FALSE,"Plan1";#N/A,#N/A,FALSE,"Plan2"}</definedName>
    <definedName name="JDSKLGKDRHGGF" localSheetId="11" hidden="1">{#N/A,#N/A,FALSE,"Plan1";#N/A,#N/A,FALSE,"Plan2"}</definedName>
    <definedName name="JDSKLGKDRHGGF" hidden="1">{#N/A,#N/A,FALSE,"Plan1";#N/A,#N/A,FALSE,"Plan2"}</definedName>
    <definedName name="jefsgfr" localSheetId="24" hidden="1">{#N/A,#N/A,FALSE,"Plan1";#N/A,#N/A,FALSE,"Plan2"}</definedName>
    <definedName name="jefsgfr" localSheetId="7" hidden="1">{#N/A,#N/A,FALSE,"Plan1";#N/A,#N/A,FALSE,"Plan2"}</definedName>
    <definedName name="jefsgfr" localSheetId="9" hidden="1">{#N/A,#N/A,FALSE,"Plan1";#N/A,#N/A,FALSE,"Plan2"}</definedName>
    <definedName name="jefsgfr" localSheetId="3" hidden="1">{#N/A,#N/A,FALSE,"Plan1";#N/A,#N/A,FALSE,"Plan2"}</definedName>
    <definedName name="jefsgfr" localSheetId="2" hidden="1">{#N/A,#N/A,FALSE,"Plan1";#N/A,#N/A,FALSE,"Plan2"}</definedName>
    <definedName name="jefsgfr" localSheetId="16" hidden="1">{#N/A,#N/A,FALSE,"Plan1";#N/A,#N/A,FALSE,"Plan2"}</definedName>
    <definedName name="jefsgfr" localSheetId="0" hidden="1">{#N/A,#N/A,FALSE,"Plan1";#N/A,#N/A,FALSE,"Plan2"}</definedName>
    <definedName name="jefsgfr" localSheetId="26" hidden="1">{#N/A,#N/A,FALSE,"Plan1";#N/A,#N/A,FALSE,"Plan2"}</definedName>
    <definedName name="jefsgfr" localSheetId="11" hidden="1">{#N/A,#N/A,FALSE,"Plan1";#N/A,#N/A,FALSE,"Plan2"}</definedName>
    <definedName name="jefsgfr" hidden="1">{#N/A,#N/A,FALSE,"Plan1";#N/A,#N/A,FALSE,"Plan2"}</definedName>
    <definedName name="JERHIEHYURE" localSheetId="24" hidden="1">{#N/A,#N/A,FALSE,"Plan1";#N/A,#N/A,FALSE,"Plan2"}</definedName>
    <definedName name="JERHIEHYURE" localSheetId="7" hidden="1">{#N/A,#N/A,FALSE,"Plan1";#N/A,#N/A,FALSE,"Plan2"}</definedName>
    <definedName name="JERHIEHYURE" localSheetId="9" hidden="1">{#N/A,#N/A,FALSE,"Plan1";#N/A,#N/A,FALSE,"Plan2"}</definedName>
    <definedName name="JERHIEHYURE" localSheetId="3" hidden="1">{#N/A,#N/A,FALSE,"Plan1";#N/A,#N/A,FALSE,"Plan2"}</definedName>
    <definedName name="JERHIEHYURE" localSheetId="2" hidden="1">{#N/A,#N/A,FALSE,"Plan1";#N/A,#N/A,FALSE,"Plan2"}</definedName>
    <definedName name="JERHIEHYURE" localSheetId="16" hidden="1">{#N/A,#N/A,FALSE,"Plan1";#N/A,#N/A,FALSE,"Plan2"}</definedName>
    <definedName name="JERHIEHYURE" localSheetId="0" hidden="1">{#N/A,#N/A,FALSE,"Plan1";#N/A,#N/A,FALSE,"Plan2"}</definedName>
    <definedName name="JERHIEHYURE" localSheetId="26" hidden="1">{#N/A,#N/A,FALSE,"Plan1";#N/A,#N/A,FALSE,"Plan2"}</definedName>
    <definedName name="JERHIEHYURE" localSheetId="11" hidden="1">{#N/A,#N/A,FALSE,"Plan1";#N/A,#N/A,FALSE,"Plan2"}</definedName>
    <definedName name="JERHIEHYURE" hidden="1">{#N/A,#N/A,FALSE,"Plan1";#N/A,#N/A,FALSE,"Plan2"}</definedName>
    <definedName name="jfddlsrtyty" localSheetId="24" hidden="1">{#N/A,#N/A,FALSE,"Plan1";#N/A,#N/A,FALSE,"Plan2"}</definedName>
    <definedName name="jfddlsrtyty" localSheetId="7" hidden="1">{#N/A,#N/A,FALSE,"Plan1";#N/A,#N/A,FALSE,"Plan2"}</definedName>
    <definedName name="jfddlsrtyty" localSheetId="9" hidden="1">{#N/A,#N/A,FALSE,"Plan1";#N/A,#N/A,FALSE,"Plan2"}</definedName>
    <definedName name="jfddlsrtyty" localSheetId="3" hidden="1">{#N/A,#N/A,FALSE,"Plan1";#N/A,#N/A,FALSE,"Plan2"}</definedName>
    <definedName name="jfddlsrtyty" localSheetId="2" hidden="1">{#N/A,#N/A,FALSE,"Plan1";#N/A,#N/A,FALSE,"Plan2"}</definedName>
    <definedName name="jfddlsrtyty" localSheetId="16" hidden="1">{#N/A,#N/A,FALSE,"Plan1";#N/A,#N/A,FALSE,"Plan2"}</definedName>
    <definedName name="jfddlsrtyty" localSheetId="0" hidden="1">{#N/A,#N/A,FALSE,"Plan1";#N/A,#N/A,FALSE,"Plan2"}</definedName>
    <definedName name="jfddlsrtyty" localSheetId="26" hidden="1">{#N/A,#N/A,FALSE,"Plan1";#N/A,#N/A,FALSE,"Plan2"}</definedName>
    <definedName name="jfddlsrtyty" localSheetId="11" hidden="1">{#N/A,#N/A,FALSE,"Plan1";#N/A,#N/A,FALSE,"Plan2"}</definedName>
    <definedName name="jfddlsrtyty" hidden="1">{#N/A,#N/A,FALSE,"Plan1";#N/A,#N/A,FALSE,"Plan2"}</definedName>
    <definedName name="jfdjtgdjghitfyh" localSheetId="24" hidden="1">{#N/A,#N/A,FALSE,"Plan1";#N/A,#N/A,FALSE,"Plan2"}</definedName>
    <definedName name="jfdjtgdjghitfyh" localSheetId="7" hidden="1">{#N/A,#N/A,FALSE,"Plan1";#N/A,#N/A,FALSE,"Plan2"}</definedName>
    <definedName name="jfdjtgdjghitfyh" localSheetId="9" hidden="1">{#N/A,#N/A,FALSE,"Plan1";#N/A,#N/A,FALSE,"Plan2"}</definedName>
    <definedName name="jfdjtgdjghitfyh" localSheetId="3" hidden="1">{#N/A,#N/A,FALSE,"Plan1";#N/A,#N/A,FALSE,"Plan2"}</definedName>
    <definedName name="jfdjtgdjghitfyh" localSheetId="2" hidden="1">{#N/A,#N/A,FALSE,"Plan1";#N/A,#N/A,FALSE,"Plan2"}</definedName>
    <definedName name="jfdjtgdjghitfyh" localSheetId="16" hidden="1">{#N/A,#N/A,FALSE,"Plan1";#N/A,#N/A,FALSE,"Plan2"}</definedName>
    <definedName name="jfdjtgdjghitfyh" localSheetId="0" hidden="1">{#N/A,#N/A,FALSE,"Plan1";#N/A,#N/A,FALSE,"Plan2"}</definedName>
    <definedName name="jfdjtgdjghitfyh" localSheetId="26" hidden="1">{#N/A,#N/A,FALSE,"Plan1";#N/A,#N/A,FALSE,"Plan2"}</definedName>
    <definedName name="jfdjtgdjghitfyh" localSheetId="11" hidden="1">{#N/A,#N/A,FALSE,"Plan1";#N/A,#N/A,FALSE,"Plan2"}</definedName>
    <definedName name="jfdjtgdjghitfyh" hidden="1">{#N/A,#N/A,FALSE,"Plan1";#N/A,#N/A,FALSE,"Plan2"}</definedName>
    <definedName name="jfdkgkftftg" localSheetId="24" hidden="1">{#N/A,#N/A,FALSE,"Plan1";#N/A,#N/A,FALSE,"Plan2"}</definedName>
    <definedName name="jfdkgkftftg" localSheetId="7" hidden="1">{#N/A,#N/A,FALSE,"Plan1";#N/A,#N/A,FALSE,"Plan2"}</definedName>
    <definedName name="jfdkgkftftg" localSheetId="9" hidden="1">{#N/A,#N/A,FALSE,"Plan1";#N/A,#N/A,FALSE,"Plan2"}</definedName>
    <definedName name="jfdkgkftftg" localSheetId="3" hidden="1">{#N/A,#N/A,FALSE,"Plan1";#N/A,#N/A,FALSE,"Plan2"}</definedName>
    <definedName name="jfdkgkftftg" localSheetId="2" hidden="1">{#N/A,#N/A,FALSE,"Plan1";#N/A,#N/A,FALSE,"Plan2"}</definedName>
    <definedName name="jfdkgkftftg" localSheetId="16" hidden="1">{#N/A,#N/A,FALSE,"Plan1";#N/A,#N/A,FALSE,"Plan2"}</definedName>
    <definedName name="jfdkgkftftg" localSheetId="0" hidden="1">{#N/A,#N/A,FALSE,"Plan1";#N/A,#N/A,FALSE,"Plan2"}</definedName>
    <definedName name="jfdkgkftftg" localSheetId="26" hidden="1">{#N/A,#N/A,FALSE,"Plan1";#N/A,#N/A,FALSE,"Plan2"}</definedName>
    <definedName name="jfdkgkftftg" localSheetId="11" hidden="1">{#N/A,#N/A,FALSE,"Plan1";#N/A,#N/A,FALSE,"Plan2"}</definedName>
    <definedName name="jfdkgkftftg" hidden="1">{#N/A,#N/A,FALSE,"Plan1";#N/A,#N/A,FALSE,"Plan2"}</definedName>
    <definedName name="jfghjkfdhtkyru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localSheetId="24" hidden="1">{#N/A,#N/A,FALSE,"Plan1";#N/A,#N/A,FALSE,"Plan2"}</definedName>
    <definedName name="JFGJYHTY" localSheetId="7" hidden="1">{#N/A,#N/A,FALSE,"Plan1";#N/A,#N/A,FALSE,"Plan2"}</definedName>
    <definedName name="JFGJYHTY" localSheetId="9" hidden="1">{#N/A,#N/A,FALSE,"Plan1";#N/A,#N/A,FALSE,"Plan2"}</definedName>
    <definedName name="JFGJYHTY" localSheetId="3" hidden="1">{#N/A,#N/A,FALSE,"Plan1";#N/A,#N/A,FALSE,"Plan2"}</definedName>
    <definedName name="JFGJYHTY" localSheetId="2" hidden="1">{#N/A,#N/A,FALSE,"Plan1";#N/A,#N/A,FALSE,"Plan2"}</definedName>
    <definedName name="JFGJYHTY" localSheetId="16" hidden="1">{#N/A,#N/A,FALSE,"Plan1";#N/A,#N/A,FALSE,"Plan2"}</definedName>
    <definedName name="JFGJYHTY" localSheetId="0" hidden="1">{#N/A,#N/A,FALSE,"Plan1";#N/A,#N/A,FALSE,"Plan2"}</definedName>
    <definedName name="JFGJYHTY" localSheetId="26" hidden="1">{#N/A,#N/A,FALSE,"Plan1";#N/A,#N/A,FALSE,"Plan2"}</definedName>
    <definedName name="JFGJYHTY" localSheetId="11" hidden="1">{#N/A,#N/A,FALSE,"Plan1";#N/A,#N/A,FALSE,"Plan2"}</definedName>
    <definedName name="JFGJYHTY" hidden="1">{#N/A,#N/A,FALSE,"Plan1";#N/A,#N/A,FALSE,"Plan2"}</definedName>
    <definedName name="jfgkflcnjkglc" localSheetId="24" hidden="1">{#N/A,#N/A,FALSE,"Plan1";#N/A,#N/A,FALSE,"Plan2"}</definedName>
    <definedName name="jfgkflcnjkglc" localSheetId="7" hidden="1">{#N/A,#N/A,FALSE,"Plan1";#N/A,#N/A,FALSE,"Plan2"}</definedName>
    <definedName name="jfgkflcnjkglc" localSheetId="9" hidden="1">{#N/A,#N/A,FALSE,"Plan1";#N/A,#N/A,FALSE,"Plan2"}</definedName>
    <definedName name="jfgkflcnjkglc" localSheetId="3" hidden="1">{#N/A,#N/A,FALSE,"Plan1";#N/A,#N/A,FALSE,"Plan2"}</definedName>
    <definedName name="jfgkflcnjkglc" localSheetId="2" hidden="1">{#N/A,#N/A,FALSE,"Plan1";#N/A,#N/A,FALSE,"Plan2"}</definedName>
    <definedName name="jfgkflcnjkglc" localSheetId="16" hidden="1">{#N/A,#N/A,FALSE,"Plan1";#N/A,#N/A,FALSE,"Plan2"}</definedName>
    <definedName name="jfgkflcnjkglc" localSheetId="0" hidden="1">{#N/A,#N/A,FALSE,"Plan1";#N/A,#N/A,FALSE,"Plan2"}</definedName>
    <definedName name="jfgkflcnjkglc" localSheetId="26" hidden="1">{#N/A,#N/A,FALSE,"Plan1";#N/A,#N/A,FALSE,"Plan2"}</definedName>
    <definedName name="jfgkflcnjkglc" localSheetId="11" hidden="1">{#N/A,#N/A,FALSE,"Plan1";#N/A,#N/A,FALSE,"Plan2"}</definedName>
    <definedName name="jfgkflcnjkglc" hidden="1">{#N/A,#N/A,FALSE,"Plan1";#N/A,#N/A,FALSE,"Plan2"}</definedName>
    <definedName name="JFHRE" localSheetId="24" hidden="1">{#N/A,#N/A,FALSE,"Plan1";#N/A,#N/A,FALSE,"Plan2"}</definedName>
    <definedName name="JFHRE" localSheetId="7" hidden="1">{#N/A,#N/A,FALSE,"Plan1";#N/A,#N/A,FALSE,"Plan2"}</definedName>
    <definedName name="JFHRE" localSheetId="9" hidden="1">{#N/A,#N/A,FALSE,"Plan1";#N/A,#N/A,FALSE,"Plan2"}</definedName>
    <definedName name="JFHRE" localSheetId="3" hidden="1">{#N/A,#N/A,FALSE,"Plan1";#N/A,#N/A,FALSE,"Plan2"}</definedName>
    <definedName name="JFHRE" localSheetId="2" hidden="1">{#N/A,#N/A,FALSE,"Plan1";#N/A,#N/A,FALSE,"Plan2"}</definedName>
    <definedName name="JFHRE" localSheetId="16" hidden="1">{#N/A,#N/A,FALSE,"Plan1";#N/A,#N/A,FALSE,"Plan2"}</definedName>
    <definedName name="JFHRE" localSheetId="0" hidden="1">{#N/A,#N/A,FALSE,"Plan1";#N/A,#N/A,FALSE,"Plan2"}</definedName>
    <definedName name="JFHRE" localSheetId="26" hidden="1">{#N/A,#N/A,FALSE,"Plan1";#N/A,#N/A,FALSE,"Plan2"}</definedName>
    <definedName name="JFHRE" localSheetId="11" hidden="1">{#N/A,#N/A,FALSE,"Plan1";#N/A,#N/A,FALSE,"Plan2"}</definedName>
    <definedName name="JFHRE" hidden="1">{#N/A,#N/A,FALSE,"Plan1";#N/A,#N/A,FALSE,"Plan2"}</definedName>
    <definedName name="jfkdls5jtirjd" localSheetId="24" hidden="1">{#N/A,#N/A,FALSE,"Plan1";#N/A,#N/A,FALSE,"Plan2"}</definedName>
    <definedName name="jfkdls5jtirjd" localSheetId="7" hidden="1">{#N/A,#N/A,FALSE,"Plan1";#N/A,#N/A,FALSE,"Plan2"}</definedName>
    <definedName name="jfkdls5jtirjd" localSheetId="9" hidden="1">{#N/A,#N/A,FALSE,"Plan1";#N/A,#N/A,FALSE,"Plan2"}</definedName>
    <definedName name="jfkdls5jtirjd" localSheetId="3" hidden="1">{#N/A,#N/A,FALSE,"Plan1";#N/A,#N/A,FALSE,"Plan2"}</definedName>
    <definedName name="jfkdls5jtirjd" localSheetId="2" hidden="1">{#N/A,#N/A,FALSE,"Plan1";#N/A,#N/A,FALSE,"Plan2"}</definedName>
    <definedName name="jfkdls5jtirjd" localSheetId="16" hidden="1">{#N/A,#N/A,FALSE,"Plan1";#N/A,#N/A,FALSE,"Plan2"}</definedName>
    <definedName name="jfkdls5jtirjd" localSheetId="0" hidden="1">{#N/A,#N/A,FALSE,"Plan1";#N/A,#N/A,FALSE,"Plan2"}</definedName>
    <definedName name="jfkdls5jtirjd" localSheetId="26" hidden="1">{#N/A,#N/A,FALSE,"Plan1";#N/A,#N/A,FALSE,"Plan2"}</definedName>
    <definedName name="jfkdls5jtirjd" localSheetId="11" hidden="1">{#N/A,#N/A,FALSE,"Plan1";#N/A,#N/A,FALSE,"Plan2"}</definedName>
    <definedName name="jfkdls5jtirjd" hidden="1">{#N/A,#N/A,FALSE,"Plan1";#N/A,#N/A,FALSE,"Plan2"}</definedName>
    <definedName name="jfkljdkfcj" localSheetId="24" hidden="1">{#N/A,#N/A,FALSE,"Plan1";#N/A,#N/A,FALSE,"Plan2"}</definedName>
    <definedName name="jfkljdkfcj" localSheetId="7" hidden="1">{#N/A,#N/A,FALSE,"Plan1";#N/A,#N/A,FALSE,"Plan2"}</definedName>
    <definedName name="jfkljdkfcj" localSheetId="9" hidden="1">{#N/A,#N/A,FALSE,"Plan1";#N/A,#N/A,FALSE,"Plan2"}</definedName>
    <definedName name="jfkljdkfcj" localSheetId="3" hidden="1">{#N/A,#N/A,FALSE,"Plan1";#N/A,#N/A,FALSE,"Plan2"}</definedName>
    <definedName name="jfkljdkfcj" localSheetId="2" hidden="1">{#N/A,#N/A,FALSE,"Plan1";#N/A,#N/A,FALSE,"Plan2"}</definedName>
    <definedName name="jfkljdkfcj" localSheetId="16" hidden="1">{#N/A,#N/A,FALSE,"Plan1";#N/A,#N/A,FALSE,"Plan2"}</definedName>
    <definedName name="jfkljdkfcj" localSheetId="0" hidden="1">{#N/A,#N/A,FALSE,"Plan1";#N/A,#N/A,FALSE,"Plan2"}</definedName>
    <definedName name="jfkljdkfcj" localSheetId="26" hidden="1">{#N/A,#N/A,FALSE,"Plan1";#N/A,#N/A,FALSE,"Plan2"}</definedName>
    <definedName name="jfkljdkfcj" localSheetId="11" hidden="1">{#N/A,#N/A,FALSE,"Plan1";#N/A,#N/A,FALSE,"Plan2"}</definedName>
    <definedName name="jfkljdkfcj" hidden="1">{#N/A,#N/A,FALSE,"Plan1";#N/A,#N/A,FALSE,"Plan2"}</definedName>
    <definedName name="jfkrhdtghdut" localSheetId="24" hidden="1">{#N/A,#N/A,FALSE,"Plan1";#N/A,#N/A,FALSE,"Plan2"}</definedName>
    <definedName name="jfkrhdtghdut" localSheetId="7" hidden="1">{#N/A,#N/A,FALSE,"Plan1";#N/A,#N/A,FALSE,"Plan2"}</definedName>
    <definedName name="jfkrhdtghdut" localSheetId="9" hidden="1">{#N/A,#N/A,FALSE,"Plan1";#N/A,#N/A,FALSE,"Plan2"}</definedName>
    <definedName name="jfkrhdtghdut" localSheetId="3" hidden="1">{#N/A,#N/A,FALSE,"Plan1";#N/A,#N/A,FALSE,"Plan2"}</definedName>
    <definedName name="jfkrhdtghdut" localSheetId="2" hidden="1">{#N/A,#N/A,FALSE,"Plan1";#N/A,#N/A,FALSE,"Plan2"}</definedName>
    <definedName name="jfkrhdtghdut" localSheetId="16" hidden="1">{#N/A,#N/A,FALSE,"Plan1";#N/A,#N/A,FALSE,"Plan2"}</definedName>
    <definedName name="jfkrhdtghdut" localSheetId="0" hidden="1">{#N/A,#N/A,FALSE,"Plan1";#N/A,#N/A,FALSE,"Plan2"}</definedName>
    <definedName name="jfkrhdtghdut" localSheetId="26" hidden="1">{#N/A,#N/A,FALSE,"Plan1";#N/A,#N/A,FALSE,"Plan2"}</definedName>
    <definedName name="jfkrhdtghdut" localSheetId="11" hidden="1">{#N/A,#N/A,FALSE,"Plan1";#N/A,#N/A,FALSE,"Plan2"}</definedName>
    <definedName name="jfkrhdtghdut" hidden="1">{#N/A,#N/A,FALSE,"Plan1";#N/A,#N/A,FALSE,"Plan2"}</definedName>
    <definedName name="JFRESR" localSheetId="24" hidden="1">{#N/A,#N/A,FALSE,"Plan1";#N/A,#N/A,FALSE,"Plan2"}</definedName>
    <definedName name="JFRESR" localSheetId="7" hidden="1">{#N/A,#N/A,FALSE,"Plan1";#N/A,#N/A,FALSE,"Plan2"}</definedName>
    <definedName name="JFRESR" localSheetId="9" hidden="1">{#N/A,#N/A,FALSE,"Plan1";#N/A,#N/A,FALSE,"Plan2"}</definedName>
    <definedName name="JFRESR" localSheetId="3" hidden="1">{#N/A,#N/A,FALSE,"Plan1";#N/A,#N/A,FALSE,"Plan2"}</definedName>
    <definedName name="JFRESR" localSheetId="2" hidden="1">{#N/A,#N/A,FALSE,"Plan1";#N/A,#N/A,FALSE,"Plan2"}</definedName>
    <definedName name="JFRESR" localSheetId="16" hidden="1">{#N/A,#N/A,FALSE,"Plan1";#N/A,#N/A,FALSE,"Plan2"}</definedName>
    <definedName name="JFRESR" localSheetId="0" hidden="1">{#N/A,#N/A,FALSE,"Plan1";#N/A,#N/A,FALSE,"Plan2"}</definedName>
    <definedName name="JFRESR" localSheetId="26" hidden="1">{#N/A,#N/A,FALSE,"Plan1";#N/A,#N/A,FALSE,"Plan2"}</definedName>
    <definedName name="JFRESR" localSheetId="11" hidden="1">{#N/A,#N/A,FALSE,"Plan1";#N/A,#N/A,FALSE,"Plan2"}</definedName>
    <definedName name="JFRESR" hidden="1">{#N/A,#N/A,FALSE,"Plan1";#N/A,#N/A,FALSE,"Plan2"}</definedName>
    <definedName name="jgdfdgfjgdj" localSheetId="24" hidden="1">{#N/A,#N/A,FALSE,"Plan1";#N/A,#N/A,FALSE,"Plan2"}</definedName>
    <definedName name="jgdfdgfjgdj" localSheetId="7" hidden="1">{#N/A,#N/A,FALSE,"Plan1";#N/A,#N/A,FALSE,"Plan2"}</definedName>
    <definedName name="jgdfdgfjgdj" localSheetId="9" hidden="1">{#N/A,#N/A,FALSE,"Plan1";#N/A,#N/A,FALSE,"Plan2"}</definedName>
    <definedName name="jgdfdgfjgdj" localSheetId="3" hidden="1">{#N/A,#N/A,FALSE,"Plan1";#N/A,#N/A,FALSE,"Plan2"}</definedName>
    <definedName name="jgdfdgfjgdj" localSheetId="2" hidden="1">{#N/A,#N/A,FALSE,"Plan1";#N/A,#N/A,FALSE,"Plan2"}</definedName>
    <definedName name="jgdfdgfjgdj" localSheetId="16" hidden="1">{#N/A,#N/A,FALSE,"Plan1";#N/A,#N/A,FALSE,"Plan2"}</definedName>
    <definedName name="jgdfdgfjgdj" localSheetId="0" hidden="1">{#N/A,#N/A,FALSE,"Plan1";#N/A,#N/A,FALSE,"Plan2"}</definedName>
    <definedName name="jgdfdgfjgdj" localSheetId="26" hidden="1">{#N/A,#N/A,FALSE,"Plan1";#N/A,#N/A,FALSE,"Plan2"}</definedName>
    <definedName name="jgdfdgfjgdj" localSheetId="11" hidden="1">{#N/A,#N/A,FALSE,"Plan1";#N/A,#N/A,FALSE,"Plan2"}</definedName>
    <definedName name="jgdfdgfjgdj" hidden="1">{#N/A,#N/A,FALSE,"Plan1";#N/A,#N/A,FALSE,"Plan2"}</definedName>
    <definedName name="jgdfght" localSheetId="24" hidden="1">{#N/A,#N/A,FALSE,"Plan1";#N/A,#N/A,FALSE,"Plan2"}</definedName>
    <definedName name="jgdfght" localSheetId="7" hidden="1">{#N/A,#N/A,FALSE,"Plan1";#N/A,#N/A,FALSE,"Plan2"}</definedName>
    <definedName name="jgdfght" localSheetId="9" hidden="1">{#N/A,#N/A,FALSE,"Plan1";#N/A,#N/A,FALSE,"Plan2"}</definedName>
    <definedName name="jgdfght" localSheetId="3" hidden="1">{#N/A,#N/A,FALSE,"Plan1";#N/A,#N/A,FALSE,"Plan2"}</definedName>
    <definedName name="jgdfght" localSheetId="2" hidden="1">{#N/A,#N/A,FALSE,"Plan1";#N/A,#N/A,FALSE,"Plan2"}</definedName>
    <definedName name="jgdfght" localSheetId="16" hidden="1">{#N/A,#N/A,FALSE,"Plan1";#N/A,#N/A,FALSE,"Plan2"}</definedName>
    <definedName name="jgdfght" localSheetId="0" hidden="1">{#N/A,#N/A,FALSE,"Plan1";#N/A,#N/A,FALSE,"Plan2"}</definedName>
    <definedName name="jgdfght" localSheetId="26" hidden="1">{#N/A,#N/A,FALSE,"Plan1";#N/A,#N/A,FALSE,"Plan2"}</definedName>
    <definedName name="jgdfght" localSheetId="11" hidden="1">{#N/A,#N/A,FALSE,"Plan1";#N/A,#N/A,FALSE,"Plan2"}</definedName>
    <definedName name="jgdfght" hidden="1">{#N/A,#N/A,FALSE,"Plan1";#N/A,#N/A,FALSE,"Plan2"}</definedName>
    <definedName name="jgfgdsgfdhrf" localSheetId="24" hidden="1">{#N/A,#N/A,FALSE,"Plan1";#N/A,#N/A,FALSE,"Plan2"}</definedName>
    <definedName name="jgfgdsgfdhrf" localSheetId="7" hidden="1">{#N/A,#N/A,FALSE,"Plan1";#N/A,#N/A,FALSE,"Plan2"}</definedName>
    <definedName name="jgfgdsgfdhrf" localSheetId="9" hidden="1">{#N/A,#N/A,FALSE,"Plan1";#N/A,#N/A,FALSE,"Plan2"}</definedName>
    <definedName name="jgfgdsgfdhrf" localSheetId="3" hidden="1">{#N/A,#N/A,FALSE,"Plan1";#N/A,#N/A,FALSE,"Plan2"}</definedName>
    <definedName name="jgfgdsgfdhrf" localSheetId="2" hidden="1">{#N/A,#N/A,FALSE,"Plan1";#N/A,#N/A,FALSE,"Plan2"}</definedName>
    <definedName name="jgfgdsgfdhrf" localSheetId="16" hidden="1">{#N/A,#N/A,FALSE,"Plan1";#N/A,#N/A,FALSE,"Plan2"}</definedName>
    <definedName name="jgfgdsgfdhrf" localSheetId="0" hidden="1">{#N/A,#N/A,FALSE,"Plan1";#N/A,#N/A,FALSE,"Plan2"}</definedName>
    <definedName name="jgfgdsgfdhrf" localSheetId="26" hidden="1">{#N/A,#N/A,FALSE,"Plan1";#N/A,#N/A,FALSE,"Plan2"}</definedName>
    <definedName name="jgfgdsgfdhrf" localSheetId="11" hidden="1">{#N/A,#N/A,FALSE,"Plan1";#N/A,#N/A,FALSE,"Plan2"}</definedName>
    <definedName name="jgfgdsgfdhrf" hidden="1">{#N/A,#N/A,FALSE,"Plan1";#N/A,#N/A,FALSE,"Plan2"}</definedName>
    <definedName name="JGFJGTFT" localSheetId="24" hidden="1">{#N/A,#N/A,FALSE,"Plan1";#N/A,#N/A,FALSE,"Plan2"}</definedName>
    <definedName name="JGFJGTFT" localSheetId="7" hidden="1">{#N/A,#N/A,FALSE,"Plan1";#N/A,#N/A,FALSE,"Plan2"}</definedName>
    <definedName name="JGFJGTFT" localSheetId="9" hidden="1">{#N/A,#N/A,FALSE,"Plan1";#N/A,#N/A,FALSE,"Plan2"}</definedName>
    <definedName name="JGFJGTFT" localSheetId="3" hidden="1">{#N/A,#N/A,FALSE,"Plan1";#N/A,#N/A,FALSE,"Plan2"}</definedName>
    <definedName name="JGFJGTFT" localSheetId="2" hidden="1">{#N/A,#N/A,FALSE,"Plan1";#N/A,#N/A,FALSE,"Plan2"}</definedName>
    <definedName name="JGFJGTFT" localSheetId="16" hidden="1">{#N/A,#N/A,FALSE,"Plan1";#N/A,#N/A,FALSE,"Plan2"}</definedName>
    <definedName name="JGFJGTFT" localSheetId="0" hidden="1">{#N/A,#N/A,FALSE,"Plan1";#N/A,#N/A,FALSE,"Plan2"}</definedName>
    <definedName name="JGFJGTFT" localSheetId="26" hidden="1">{#N/A,#N/A,FALSE,"Plan1";#N/A,#N/A,FALSE,"Plan2"}</definedName>
    <definedName name="JGFJGTFT" localSheetId="11" hidden="1">{#N/A,#N/A,FALSE,"Plan1";#N/A,#N/A,FALSE,"Plan2"}</definedName>
    <definedName name="JGFJGTFT" hidden="1">{#N/A,#N/A,FALSE,"Plan1";#N/A,#N/A,FALSE,"Plan2"}</definedName>
    <definedName name="JGJSFJKSDGB" hidden="1">17</definedName>
    <definedName name="jgkjkhjuftgi" localSheetId="24" hidden="1">{#N/A,#N/A,FALSE,"Plan1";#N/A,#N/A,FALSE,"Plan2"}</definedName>
    <definedName name="jgkjkhjuftgi" localSheetId="7" hidden="1">{#N/A,#N/A,FALSE,"Plan1";#N/A,#N/A,FALSE,"Plan2"}</definedName>
    <definedName name="jgkjkhjuftgi" localSheetId="9" hidden="1">{#N/A,#N/A,FALSE,"Plan1";#N/A,#N/A,FALSE,"Plan2"}</definedName>
    <definedName name="jgkjkhjuftgi" localSheetId="3" hidden="1">{#N/A,#N/A,FALSE,"Plan1";#N/A,#N/A,FALSE,"Plan2"}</definedName>
    <definedName name="jgkjkhjuftgi" localSheetId="2" hidden="1">{#N/A,#N/A,FALSE,"Plan1";#N/A,#N/A,FALSE,"Plan2"}</definedName>
    <definedName name="jgkjkhjuftgi" localSheetId="16" hidden="1">{#N/A,#N/A,FALSE,"Plan1";#N/A,#N/A,FALSE,"Plan2"}</definedName>
    <definedName name="jgkjkhjuftgi" localSheetId="0" hidden="1">{#N/A,#N/A,FALSE,"Plan1";#N/A,#N/A,FALSE,"Plan2"}</definedName>
    <definedName name="jgkjkhjuftgi" localSheetId="26" hidden="1">{#N/A,#N/A,FALSE,"Plan1";#N/A,#N/A,FALSE,"Plan2"}</definedName>
    <definedName name="jgkjkhjuftgi" localSheetId="11" hidden="1">{#N/A,#N/A,FALSE,"Plan1";#N/A,#N/A,FALSE,"Plan2"}</definedName>
    <definedName name="jgkjkhjuftgi" hidden="1">{#N/A,#N/A,FALSE,"Plan1";#N/A,#N/A,FALSE,"Plan2"}</definedName>
    <definedName name="jhd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localSheetId="24" hidden="1">{#N/A,#N/A,FALSE,"Plan1";#N/A,#N/A,FALSE,"Plan2"}</definedName>
    <definedName name="jhdfjjhirft" localSheetId="7" hidden="1">{#N/A,#N/A,FALSE,"Plan1";#N/A,#N/A,FALSE,"Plan2"}</definedName>
    <definedName name="jhdfjjhirft" localSheetId="9" hidden="1">{#N/A,#N/A,FALSE,"Plan1";#N/A,#N/A,FALSE,"Plan2"}</definedName>
    <definedName name="jhdfjjhirft" localSheetId="3" hidden="1">{#N/A,#N/A,FALSE,"Plan1";#N/A,#N/A,FALSE,"Plan2"}</definedName>
    <definedName name="jhdfjjhirft" localSheetId="2" hidden="1">{#N/A,#N/A,FALSE,"Plan1";#N/A,#N/A,FALSE,"Plan2"}</definedName>
    <definedName name="jhdfjjhirft" localSheetId="16" hidden="1">{#N/A,#N/A,FALSE,"Plan1";#N/A,#N/A,FALSE,"Plan2"}</definedName>
    <definedName name="jhdfjjhirft" localSheetId="0" hidden="1">{#N/A,#N/A,FALSE,"Plan1";#N/A,#N/A,FALSE,"Plan2"}</definedName>
    <definedName name="jhdfjjhirft" localSheetId="26" hidden="1">{#N/A,#N/A,FALSE,"Plan1";#N/A,#N/A,FALSE,"Plan2"}</definedName>
    <definedName name="jhdfjjhirft" localSheetId="11" hidden="1">{#N/A,#N/A,FALSE,"Plan1";#N/A,#N/A,FALSE,"Plan2"}</definedName>
    <definedName name="jhdfjjhirft" hidden="1">{#N/A,#N/A,FALSE,"Plan1";#N/A,#N/A,FALSE,"Plan2"}</definedName>
    <definedName name="jhdfjkhtrdhf" localSheetId="24" hidden="1">{#N/A,#N/A,FALSE,"Plan1";#N/A,#N/A,FALSE,"Plan2"}</definedName>
    <definedName name="jhdfjkhtrdhf" localSheetId="7" hidden="1">{#N/A,#N/A,FALSE,"Plan1";#N/A,#N/A,FALSE,"Plan2"}</definedName>
    <definedName name="jhdfjkhtrdhf" localSheetId="9" hidden="1">{#N/A,#N/A,FALSE,"Plan1";#N/A,#N/A,FALSE,"Plan2"}</definedName>
    <definedName name="jhdfjkhtrdhf" localSheetId="3" hidden="1">{#N/A,#N/A,FALSE,"Plan1";#N/A,#N/A,FALSE,"Plan2"}</definedName>
    <definedName name="jhdfjkhtrdhf" localSheetId="2" hidden="1">{#N/A,#N/A,FALSE,"Plan1";#N/A,#N/A,FALSE,"Plan2"}</definedName>
    <definedName name="jhdfjkhtrdhf" localSheetId="16" hidden="1">{#N/A,#N/A,FALSE,"Plan1";#N/A,#N/A,FALSE,"Plan2"}</definedName>
    <definedName name="jhdfjkhtrdhf" localSheetId="0" hidden="1">{#N/A,#N/A,FALSE,"Plan1";#N/A,#N/A,FALSE,"Plan2"}</definedName>
    <definedName name="jhdfjkhtrdhf" localSheetId="26" hidden="1">{#N/A,#N/A,FALSE,"Plan1";#N/A,#N/A,FALSE,"Plan2"}</definedName>
    <definedName name="jhdfjkhtrdhf" localSheetId="11" hidden="1">{#N/A,#N/A,FALSE,"Plan1";#N/A,#N/A,FALSE,"Plan2"}</definedName>
    <definedName name="jhdfjkhtrdhf" hidden="1">{#N/A,#N/A,FALSE,"Plan1";#N/A,#N/A,FALSE,"Plan2"}</definedName>
    <definedName name="jhdfuthr" localSheetId="24" hidden="1">{#N/A,#N/A,FALSE,"Plan1";#N/A,#N/A,FALSE,"Plan2"}</definedName>
    <definedName name="jhdfuthr" localSheetId="7" hidden="1">{#N/A,#N/A,FALSE,"Plan1";#N/A,#N/A,FALSE,"Plan2"}</definedName>
    <definedName name="jhdfuthr" localSheetId="9" hidden="1">{#N/A,#N/A,FALSE,"Plan1";#N/A,#N/A,FALSE,"Plan2"}</definedName>
    <definedName name="jhdfuthr" localSheetId="3" hidden="1">{#N/A,#N/A,FALSE,"Plan1";#N/A,#N/A,FALSE,"Plan2"}</definedName>
    <definedName name="jhdfuthr" localSheetId="2" hidden="1">{#N/A,#N/A,FALSE,"Plan1";#N/A,#N/A,FALSE,"Plan2"}</definedName>
    <definedName name="jhdfuthr" localSheetId="16" hidden="1">{#N/A,#N/A,FALSE,"Plan1";#N/A,#N/A,FALSE,"Plan2"}</definedName>
    <definedName name="jhdfuthr" localSheetId="0" hidden="1">{#N/A,#N/A,FALSE,"Plan1";#N/A,#N/A,FALSE,"Plan2"}</definedName>
    <definedName name="jhdfuthr" localSheetId="26" hidden="1">{#N/A,#N/A,FALSE,"Plan1";#N/A,#N/A,FALSE,"Plan2"}</definedName>
    <definedName name="jhdfuthr" localSheetId="11" hidden="1">{#N/A,#N/A,FALSE,"Plan1";#N/A,#N/A,FALSE,"Plan2"}</definedName>
    <definedName name="jhdfuthr" hidden="1">{#N/A,#N/A,FALSE,"Plan1";#N/A,#N/A,FALSE,"Plan2"}</definedName>
    <definedName name="JHDFZGRDHF" localSheetId="24" hidden="1">{"Econ Consolidado",#N/A,FALSE,"Econ Consol";"Fluxo de Caixa",#N/A,FALSE,"Fluxo Caixa";"Investimentos",#N/A,FALSE,"Investimentos"}</definedName>
    <definedName name="JHDFZGRDHF" localSheetId="7" hidden="1">{"Econ Consolidado",#N/A,FALSE,"Econ Consol";"Fluxo de Caixa",#N/A,FALSE,"Fluxo Caixa";"Investimentos",#N/A,FALSE,"Investimentos"}</definedName>
    <definedName name="JHDFZGRDHF" localSheetId="9" hidden="1">{"Econ Consolidado",#N/A,FALSE,"Econ Consol";"Fluxo de Caixa",#N/A,FALSE,"Fluxo Caixa";"Investimentos",#N/A,FALSE,"Investimentos"}</definedName>
    <definedName name="JHDFZGRDHF" localSheetId="3" hidden="1">{"Econ Consolidado",#N/A,FALSE,"Econ Consol";"Fluxo de Caixa",#N/A,FALSE,"Fluxo Caixa";"Investimentos",#N/A,FALSE,"Investimentos"}</definedName>
    <definedName name="JHDFZGRDHF" localSheetId="2" hidden="1">{"Econ Consolidado",#N/A,FALSE,"Econ Consol";"Fluxo de Caixa",#N/A,FALSE,"Fluxo Caixa";"Investimentos",#N/A,FALSE,"Investimentos"}</definedName>
    <definedName name="JHDFZGRDHF" localSheetId="16" hidden="1">{"Econ Consolidado",#N/A,FALSE,"Econ Consol";"Fluxo de Caixa",#N/A,FALSE,"Fluxo Caixa";"Investimentos",#N/A,FALSE,"Investimentos"}</definedName>
    <definedName name="JHDFZGRDHF" localSheetId="0" hidden="1">{"Econ Consolidado",#N/A,FALSE,"Econ Consol";"Fluxo de Caixa",#N/A,FALSE,"Fluxo Caixa";"Investimentos",#N/A,FALSE,"Investimentos"}</definedName>
    <definedName name="JHDFZGRDHF" localSheetId="26" hidden="1">{"Econ Consolidado",#N/A,FALSE,"Econ Consol";"Fluxo de Caixa",#N/A,FALSE,"Fluxo Caixa";"Investimentos",#N/A,FALSE,"Investimentos"}</definedName>
    <definedName name="JHDFZGRDHF" localSheetId="11" hidden="1">{"Econ Consolidado",#N/A,FALSE,"Econ Consol";"Fluxo de Caixa",#N/A,FALSE,"Fluxo Caixa";"Investimentos",#N/A,FALSE,"Investimentos"}</definedName>
    <definedName name="JHDFZGRDHF" hidden="1">{"Econ Consolidado",#N/A,FALSE,"Econ Consol";"Fluxo de Caixa",#N/A,FALSE,"Fluxo Caixa";"Investimentos",#N/A,FALSE,"Investimentos"}</definedName>
    <definedName name="JHERKHKFGH" localSheetId="24" hidden="1">{#N/A,#N/A,FALSE,"Plan1";#N/A,#N/A,FALSE,"Plan2"}</definedName>
    <definedName name="JHERKHKFGH" localSheetId="7" hidden="1">{#N/A,#N/A,FALSE,"Plan1";#N/A,#N/A,FALSE,"Plan2"}</definedName>
    <definedName name="JHERKHKFGH" localSheetId="9" hidden="1">{#N/A,#N/A,FALSE,"Plan1";#N/A,#N/A,FALSE,"Plan2"}</definedName>
    <definedName name="JHERKHKFGH" localSheetId="3" hidden="1">{#N/A,#N/A,FALSE,"Plan1";#N/A,#N/A,FALSE,"Plan2"}</definedName>
    <definedName name="JHERKHKFGH" localSheetId="2" hidden="1">{#N/A,#N/A,FALSE,"Plan1";#N/A,#N/A,FALSE,"Plan2"}</definedName>
    <definedName name="JHERKHKFGH" localSheetId="16" hidden="1">{#N/A,#N/A,FALSE,"Plan1";#N/A,#N/A,FALSE,"Plan2"}</definedName>
    <definedName name="JHERKHKFGH" localSheetId="0" hidden="1">{#N/A,#N/A,FALSE,"Plan1";#N/A,#N/A,FALSE,"Plan2"}</definedName>
    <definedName name="JHERKHKFGH" localSheetId="26" hidden="1">{#N/A,#N/A,FALSE,"Plan1";#N/A,#N/A,FALSE,"Plan2"}</definedName>
    <definedName name="JHERKHKFGH" localSheetId="11" hidden="1">{#N/A,#N/A,FALSE,"Plan1";#N/A,#N/A,FALSE,"Plan2"}</definedName>
    <definedName name="JHERKHKFGH" hidden="1">{#N/A,#N/A,FALSE,"Plan1";#N/A,#N/A,FALSE,"Plan2"}</definedName>
    <definedName name="jhfhhztfhe" localSheetId="7" hidden="1">#REF!</definedName>
    <definedName name="jhfhhztfhe" localSheetId="3" hidden="1">#REF!</definedName>
    <definedName name="jhfhhztfhe" localSheetId="0" hidden="1">#REF!</definedName>
    <definedName name="jhfhhztfhe" hidden="1">#REF!</definedName>
    <definedName name="JHGKJFJFJGL" localSheetId="24" hidden="1">{#N/A,#N/A,FALSE,"Plan1";#N/A,#N/A,FALSE,"Plan2"}</definedName>
    <definedName name="JHGKJFJFJGL" localSheetId="7" hidden="1">{#N/A,#N/A,FALSE,"Plan1";#N/A,#N/A,FALSE,"Plan2"}</definedName>
    <definedName name="JHGKJFJFJGL" localSheetId="9" hidden="1">{#N/A,#N/A,FALSE,"Plan1";#N/A,#N/A,FALSE,"Plan2"}</definedName>
    <definedName name="JHGKJFJFJGL" localSheetId="3" hidden="1">{#N/A,#N/A,FALSE,"Plan1";#N/A,#N/A,FALSE,"Plan2"}</definedName>
    <definedName name="JHGKJFJFJGL" localSheetId="2" hidden="1">{#N/A,#N/A,FALSE,"Plan1";#N/A,#N/A,FALSE,"Plan2"}</definedName>
    <definedName name="JHGKJFJFJGL" localSheetId="16" hidden="1">{#N/A,#N/A,FALSE,"Plan1";#N/A,#N/A,FALSE,"Plan2"}</definedName>
    <definedName name="JHGKJFJFJGL" localSheetId="0" hidden="1">{#N/A,#N/A,FALSE,"Plan1";#N/A,#N/A,FALSE,"Plan2"}</definedName>
    <definedName name="JHGKJFJFJGL" localSheetId="26" hidden="1">{#N/A,#N/A,FALSE,"Plan1";#N/A,#N/A,FALSE,"Plan2"}</definedName>
    <definedName name="JHGKJFJFJGL" localSheetId="11" hidden="1">{#N/A,#N/A,FALSE,"Plan1";#N/A,#N/A,FALSE,"Plan2"}</definedName>
    <definedName name="JHGKJFJFJGL" hidden="1">{#N/A,#N/A,FALSE,"Plan1";#N/A,#N/A,FALSE,"Plan2"}</definedName>
    <definedName name="jhsdjkhfuks" localSheetId="24" hidden="1">{#N/A,#N/A,FALSE,"Plan1";#N/A,#N/A,FALSE,"Plan2"}</definedName>
    <definedName name="jhsdjkhfuks" localSheetId="7" hidden="1">{#N/A,#N/A,FALSE,"Plan1";#N/A,#N/A,FALSE,"Plan2"}</definedName>
    <definedName name="jhsdjkhfuks" localSheetId="9" hidden="1">{#N/A,#N/A,FALSE,"Plan1";#N/A,#N/A,FALSE,"Plan2"}</definedName>
    <definedName name="jhsdjkhfuks" localSheetId="3" hidden="1">{#N/A,#N/A,FALSE,"Plan1";#N/A,#N/A,FALSE,"Plan2"}</definedName>
    <definedName name="jhsdjkhfuks" localSheetId="2" hidden="1">{#N/A,#N/A,FALSE,"Plan1";#N/A,#N/A,FALSE,"Plan2"}</definedName>
    <definedName name="jhsdjkhfuks" localSheetId="16" hidden="1">{#N/A,#N/A,FALSE,"Plan1";#N/A,#N/A,FALSE,"Plan2"}</definedName>
    <definedName name="jhsdjkhfuks" localSheetId="0" hidden="1">{#N/A,#N/A,FALSE,"Plan1";#N/A,#N/A,FALSE,"Plan2"}</definedName>
    <definedName name="jhsdjkhfuks" localSheetId="26" hidden="1">{#N/A,#N/A,FALSE,"Plan1";#N/A,#N/A,FALSE,"Plan2"}</definedName>
    <definedName name="jhsdjkhfuks" localSheetId="11" hidden="1">{#N/A,#N/A,FALSE,"Plan1";#N/A,#N/A,FALSE,"Plan2"}</definedName>
    <definedName name="jhsdjkhfuks" hidden="1">{#N/A,#N/A,FALSE,"Plan1";#N/A,#N/A,FALSE,"Plan2"}</definedName>
    <definedName name="jisdrkje" localSheetId="24" hidden="1">{#N/A,#N/A,FALSE,"Plan1";#N/A,#N/A,FALSE,"Plan2"}</definedName>
    <definedName name="jisdrkje" localSheetId="7" hidden="1">{#N/A,#N/A,FALSE,"Plan1";#N/A,#N/A,FALSE,"Plan2"}</definedName>
    <definedName name="jisdrkje" localSheetId="9" hidden="1">{#N/A,#N/A,FALSE,"Plan1";#N/A,#N/A,FALSE,"Plan2"}</definedName>
    <definedName name="jisdrkje" localSheetId="3" hidden="1">{#N/A,#N/A,FALSE,"Plan1";#N/A,#N/A,FALSE,"Plan2"}</definedName>
    <definedName name="jisdrkje" localSheetId="2" hidden="1">{#N/A,#N/A,FALSE,"Plan1";#N/A,#N/A,FALSE,"Plan2"}</definedName>
    <definedName name="jisdrkje" localSheetId="16" hidden="1">{#N/A,#N/A,FALSE,"Plan1";#N/A,#N/A,FALSE,"Plan2"}</definedName>
    <definedName name="jisdrkje" localSheetId="0" hidden="1">{#N/A,#N/A,FALSE,"Plan1";#N/A,#N/A,FALSE,"Plan2"}</definedName>
    <definedName name="jisdrkje" localSheetId="26" hidden="1">{#N/A,#N/A,FALSE,"Plan1";#N/A,#N/A,FALSE,"Plan2"}</definedName>
    <definedName name="jisdrkje" localSheetId="11" hidden="1">{#N/A,#N/A,FALSE,"Plan1";#N/A,#N/A,FALSE,"Plan2"}</definedName>
    <definedName name="jisdrkje" hidden="1">{#N/A,#N/A,FALSE,"Plan1";#N/A,#N/A,FALSE,"Plan2"}</definedName>
    <definedName name="jishfrieyhtau" localSheetId="24" hidden="1">{#N/A,#N/A,FALSE,"Plan1";#N/A,#N/A,FALSE,"Plan2"}</definedName>
    <definedName name="jishfrieyhtau" localSheetId="7" hidden="1">{#N/A,#N/A,FALSE,"Plan1";#N/A,#N/A,FALSE,"Plan2"}</definedName>
    <definedName name="jishfrieyhtau" localSheetId="9" hidden="1">{#N/A,#N/A,FALSE,"Plan1";#N/A,#N/A,FALSE,"Plan2"}</definedName>
    <definedName name="jishfrieyhtau" localSheetId="3" hidden="1">{#N/A,#N/A,FALSE,"Plan1";#N/A,#N/A,FALSE,"Plan2"}</definedName>
    <definedName name="jishfrieyhtau" localSheetId="2" hidden="1">{#N/A,#N/A,FALSE,"Plan1";#N/A,#N/A,FALSE,"Plan2"}</definedName>
    <definedName name="jishfrieyhtau" localSheetId="16" hidden="1">{#N/A,#N/A,FALSE,"Plan1";#N/A,#N/A,FALSE,"Plan2"}</definedName>
    <definedName name="jishfrieyhtau" localSheetId="0" hidden="1">{#N/A,#N/A,FALSE,"Plan1";#N/A,#N/A,FALSE,"Plan2"}</definedName>
    <definedName name="jishfrieyhtau" localSheetId="26" hidden="1">{#N/A,#N/A,FALSE,"Plan1";#N/A,#N/A,FALSE,"Plan2"}</definedName>
    <definedName name="jishfrieyhtau" localSheetId="11" hidden="1">{#N/A,#N/A,FALSE,"Plan1";#N/A,#N/A,FALSE,"Plan2"}</definedName>
    <definedName name="jishfrieyhtau" hidden="1">{#N/A,#N/A,FALSE,"Plan1";#N/A,#N/A,FALSE,"Plan2"}</definedName>
    <definedName name="jiu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localSheetId="24" hidden="1">{"'Apr-00'!$B$4:$AD$44"}</definedName>
    <definedName name="jj" localSheetId="7" hidden="1">{"'Apr-00'!$B$4:$AD$44"}</definedName>
    <definedName name="jj" localSheetId="9" hidden="1">{"'Apr-00'!$B$4:$AD$44"}</definedName>
    <definedName name="jj" localSheetId="3" hidden="1">{"'Apr-00'!$B$4:$AD$44"}</definedName>
    <definedName name="jj" localSheetId="2" hidden="1">{"'Apr-00'!$B$4:$AD$44"}</definedName>
    <definedName name="jj" localSheetId="16" hidden="1">{"'Apr-00'!$B$4:$AD$44"}</definedName>
    <definedName name="jj" localSheetId="0" hidden="1">{"'Apr-00'!$B$4:$AD$44"}</definedName>
    <definedName name="jj" localSheetId="26" hidden="1">{"'Apr-00'!$B$4:$AD$44"}</definedName>
    <definedName name="jj" localSheetId="11" hidden="1">{"'Apr-00'!$B$4:$AD$44"}</definedName>
    <definedName name="jj" hidden="1">{"'Apr-00'!$B$4:$AD$44"}</definedName>
    <definedName name="jjfdsktyhhy" localSheetId="24" hidden="1">{#N/A,#N/A,FALSE,"Plan1";#N/A,#N/A,FALSE,"Plan2"}</definedName>
    <definedName name="jjfdsktyhhy" localSheetId="7" hidden="1">{#N/A,#N/A,FALSE,"Plan1";#N/A,#N/A,FALSE,"Plan2"}</definedName>
    <definedName name="jjfdsktyhhy" localSheetId="9" hidden="1">{#N/A,#N/A,FALSE,"Plan1";#N/A,#N/A,FALSE,"Plan2"}</definedName>
    <definedName name="jjfdsktyhhy" localSheetId="3" hidden="1">{#N/A,#N/A,FALSE,"Plan1";#N/A,#N/A,FALSE,"Plan2"}</definedName>
    <definedName name="jjfdsktyhhy" localSheetId="2" hidden="1">{#N/A,#N/A,FALSE,"Plan1";#N/A,#N/A,FALSE,"Plan2"}</definedName>
    <definedName name="jjfdsktyhhy" localSheetId="16" hidden="1">{#N/A,#N/A,FALSE,"Plan1";#N/A,#N/A,FALSE,"Plan2"}</definedName>
    <definedName name="jjfdsktyhhy" localSheetId="0" hidden="1">{#N/A,#N/A,FALSE,"Plan1";#N/A,#N/A,FALSE,"Plan2"}</definedName>
    <definedName name="jjfdsktyhhy" localSheetId="26" hidden="1">{#N/A,#N/A,FALSE,"Plan1";#N/A,#N/A,FALSE,"Plan2"}</definedName>
    <definedName name="jjfdsktyhhy" localSheetId="11" hidden="1">{#N/A,#N/A,FALSE,"Plan1";#N/A,#N/A,FALSE,"Plan2"}</definedName>
    <definedName name="jjfdsktyhhy" hidden="1">{#N/A,#N/A,FALSE,"Plan1";#N/A,#N/A,FALSE,"Plan2"}</definedName>
    <definedName name="jjjjjjjjjjjjjjjjjjjj" localSheetId="24">#REF!</definedName>
    <definedName name="jjjjjjjjjjjjjjjjjjjj" localSheetId="7">#REF!</definedName>
    <definedName name="jjjjjjjjjjjjjjjjjjjj" localSheetId="3">#REF!</definedName>
    <definedName name="jjjjjjjjjjjjjjjjjjjj" localSheetId="26">#REF!</definedName>
    <definedName name="jjjjjjjjjjjjjjjjjjjj">#REF!</definedName>
    <definedName name="jjkjkjk" localSheetId="24" hidden="1">{#N/A,#N/A,FALSE,"Plan1";#N/A,#N/A,FALSE,"Plan2"}</definedName>
    <definedName name="jjkjkjk" localSheetId="7" hidden="1">{#N/A,#N/A,FALSE,"Plan1";#N/A,#N/A,FALSE,"Plan2"}</definedName>
    <definedName name="jjkjkjk" localSheetId="9" hidden="1">{#N/A,#N/A,FALSE,"Plan1";#N/A,#N/A,FALSE,"Plan2"}</definedName>
    <definedName name="jjkjkjk" localSheetId="3" hidden="1">{#N/A,#N/A,FALSE,"Plan1";#N/A,#N/A,FALSE,"Plan2"}</definedName>
    <definedName name="jjkjkjk" localSheetId="2" hidden="1">{#N/A,#N/A,FALSE,"Plan1";#N/A,#N/A,FALSE,"Plan2"}</definedName>
    <definedName name="jjkjkjk" localSheetId="16" hidden="1">{#N/A,#N/A,FALSE,"Plan1";#N/A,#N/A,FALSE,"Plan2"}</definedName>
    <definedName name="jjkjkjk" localSheetId="0" hidden="1">{#N/A,#N/A,FALSE,"Plan1";#N/A,#N/A,FALSE,"Plan2"}</definedName>
    <definedName name="jjkjkjk" localSheetId="26" hidden="1">{#N/A,#N/A,FALSE,"Plan1";#N/A,#N/A,FALSE,"Plan2"}</definedName>
    <definedName name="jjkjkjk" localSheetId="11" hidden="1">{#N/A,#N/A,FALSE,"Plan1";#N/A,#N/A,FALSE,"Plan2"}</definedName>
    <definedName name="jjkjkjk" hidden="1">{#N/A,#N/A,FALSE,"Plan1";#N/A,#N/A,FALSE,"Plan2"}</definedName>
    <definedName name="JKDCK" localSheetId="24" hidden="1">{#N/A,#N/A,FALSE,"Plan1";#N/A,#N/A,FALSE,"Plan2"}</definedName>
    <definedName name="JKDCK" localSheetId="7" hidden="1">{#N/A,#N/A,FALSE,"Plan1";#N/A,#N/A,FALSE,"Plan2"}</definedName>
    <definedName name="JKDCK" localSheetId="9" hidden="1">{#N/A,#N/A,FALSE,"Plan1";#N/A,#N/A,FALSE,"Plan2"}</definedName>
    <definedName name="JKDCK" localSheetId="3" hidden="1">{#N/A,#N/A,FALSE,"Plan1";#N/A,#N/A,FALSE,"Plan2"}</definedName>
    <definedName name="JKDCK" localSheetId="2" hidden="1">{#N/A,#N/A,FALSE,"Plan1";#N/A,#N/A,FALSE,"Plan2"}</definedName>
    <definedName name="JKDCK" localSheetId="16" hidden="1">{#N/A,#N/A,FALSE,"Plan1";#N/A,#N/A,FALSE,"Plan2"}</definedName>
    <definedName name="JKDCK" localSheetId="0" hidden="1">{#N/A,#N/A,FALSE,"Plan1";#N/A,#N/A,FALSE,"Plan2"}</definedName>
    <definedName name="JKDCK" localSheetId="26" hidden="1">{#N/A,#N/A,FALSE,"Plan1";#N/A,#N/A,FALSE,"Plan2"}</definedName>
    <definedName name="JKDCK" localSheetId="11" hidden="1">{#N/A,#N/A,FALSE,"Plan1";#N/A,#N/A,FALSE,"Plan2"}</definedName>
    <definedName name="JKDCK" hidden="1">{#N/A,#N/A,FALSE,"Plan1";#N/A,#N/A,FALSE,"Plan2"}</definedName>
    <definedName name="JKDFHKHFR" localSheetId="24" hidden="1">{#N/A,#N/A,FALSE,"Plan1";#N/A,#N/A,FALSE,"Plan2"}</definedName>
    <definedName name="JKDFHKHFR" localSheetId="7" hidden="1">{#N/A,#N/A,FALSE,"Plan1";#N/A,#N/A,FALSE,"Plan2"}</definedName>
    <definedName name="JKDFHKHFR" localSheetId="9" hidden="1">{#N/A,#N/A,FALSE,"Plan1";#N/A,#N/A,FALSE,"Plan2"}</definedName>
    <definedName name="JKDFHKHFR" localSheetId="3" hidden="1">{#N/A,#N/A,FALSE,"Plan1";#N/A,#N/A,FALSE,"Plan2"}</definedName>
    <definedName name="JKDFHKHFR" localSheetId="2" hidden="1">{#N/A,#N/A,FALSE,"Plan1";#N/A,#N/A,FALSE,"Plan2"}</definedName>
    <definedName name="JKDFHKHFR" localSheetId="16" hidden="1">{#N/A,#N/A,FALSE,"Plan1";#N/A,#N/A,FALSE,"Plan2"}</definedName>
    <definedName name="JKDFHKHFR" localSheetId="0" hidden="1">{#N/A,#N/A,FALSE,"Plan1";#N/A,#N/A,FALSE,"Plan2"}</definedName>
    <definedName name="JKDFHKHFR" localSheetId="26" hidden="1">{#N/A,#N/A,FALSE,"Plan1";#N/A,#N/A,FALSE,"Plan2"}</definedName>
    <definedName name="JKDFHKHFR" localSheetId="11" hidden="1">{#N/A,#N/A,FALSE,"Plan1";#N/A,#N/A,FALSE,"Plan2"}</definedName>
    <definedName name="JKDFHKHFR" hidden="1">{#N/A,#N/A,FALSE,"Plan1";#N/A,#N/A,FALSE,"Plan2"}</definedName>
    <definedName name="JKDFTRDRJ" localSheetId="24" hidden="1">{#N/A,#N/A,FALSE,"Plan1";#N/A,#N/A,FALSE,"Plan2"}</definedName>
    <definedName name="JKDFTRDRJ" localSheetId="7" hidden="1">{#N/A,#N/A,FALSE,"Plan1";#N/A,#N/A,FALSE,"Plan2"}</definedName>
    <definedName name="JKDFTRDRJ" localSheetId="9" hidden="1">{#N/A,#N/A,FALSE,"Plan1";#N/A,#N/A,FALSE,"Plan2"}</definedName>
    <definedName name="JKDFTRDRJ" localSheetId="3" hidden="1">{#N/A,#N/A,FALSE,"Plan1";#N/A,#N/A,FALSE,"Plan2"}</definedName>
    <definedName name="JKDFTRDRJ" localSheetId="2" hidden="1">{#N/A,#N/A,FALSE,"Plan1";#N/A,#N/A,FALSE,"Plan2"}</definedName>
    <definedName name="JKDFTRDRJ" localSheetId="16" hidden="1">{#N/A,#N/A,FALSE,"Plan1";#N/A,#N/A,FALSE,"Plan2"}</definedName>
    <definedName name="JKDFTRDRJ" localSheetId="0" hidden="1">{#N/A,#N/A,FALSE,"Plan1";#N/A,#N/A,FALSE,"Plan2"}</definedName>
    <definedName name="JKDFTRDRJ" localSheetId="26" hidden="1">{#N/A,#N/A,FALSE,"Plan1";#N/A,#N/A,FALSE,"Plan2"}</definedName>
    <definedName name="JKDFTRDRJ" localSheetId="11" hidden="1">{#N/A,#N/A,FALSE,"Plan1";#N/A,#N/A,FALSE,"Plan2"}</definedName>
    <definedName name="JKDFTRDRJ" hidden="1">{#N/A,#N/A,FALSE,"Plan1";#N/A,#N/A,FALSE,"Plan2"}</definedName>
    <definedName name="jkdhfukhddf" localSheetId="24" hidden="1">{#N/A,#N/A,FALSE,"Plan1";#N/A,#N/A,FALSE,"Plan2"}</definedName>
    <definedName name="jkdhfukhddf" localSheetId="7" hidden="1">{#N/A,#N/A,FALSE,"Plan1";#N/A,#N/A,FALSE,"Plan2"}</definedName>
    <definedName name="jkdhfukhddf" localSheetId="9" hidden="1">{#N/A,#N/A,FALSE,"Plan1";#N/A,#N/A,FALSE,"Plan2"}</definedName>
    <definedName name="jkdhfukhddf" localSheetId="3" hidden="1">{#N/A,#N/A,FALSE,"Plan1";#N/A,#N/A,FALSE,"Plan2"}</definedName>
    <definedName name="jkdhfukhddf" localSheetId="2" hidden="1">{#N/A,#N/A,FALSE,"Plan1";#N/A,#N/A,FALSE,"Plan2"}</definedName>
    <definedName name="jkdhfukhddf" localSheetId="16" hidden="1">{#N/A,#N/A,FALSE,"Plan1";#N/A,#N/A,FALSE,"Plan2"}</definedName>
    <definedName name="jkdhfukhddf" localSheetId="0" hidden="1">{#N/A,#N/A,FALSE,"Plan1";#N/A,#N/A,FALSE,"Plan2"}</definedName>
    <definedName name="jkdhfukhddf" localSheetId="26" hidden="1">{#N/A,#N/A,FALSE,"Plan1";#N/A,#N/A,FALSE,"Plan2"}</definedName>
    <definedName name="jkdhfukhddf" localSheetId="11" hidden="1">{#N/A,#N/A,FALSE,"Plan1";#N/A,#N/A,FALSE,"Plan2"}</definedName>
    <definedName name="jkdhfukhddf" hidden="1">{#N/A,#N/A,FALSE,"Plan1";#N/A,#N/A,FALSE,"Plan2"}</definedName>
    <definedName name="JKDRKGJHTDRF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localSheetId="24" hidden="1">{#N/A,#N/A,FALSE,"Plan1";#N/A,#N/A,FALSE,"Plan2"}</definedName>
    <definedName name="jkelsjreja" localSheetId="7" hidden="1">{#N/A,#N/A,FALSE,"Plan1";#N/A,#N/A,FALSE,"Plan2"}</definedName>
    <definedName name="jkelsjreja" localSheetId="9" hidden="1">{#N/A,#N/A,FALSE,"Plan1";#N/A,#N/A,FALSE,"Plan2"}</definedName>
    <definedName name="jkelsjreja" localSheetId="3" hidden="1">{#N/A,#N/A,FALSE,"Plan1";#N/A,#N/A,FALSE,"Plan2"}</definedName>
    <definedName name="jkelsjreja" localSheetId="2" hidden="1">{#N/A,#N/A,FALSE,"Plan1";#N/A,#N/A,FALSE,"Plan2"}</definedName>
    <definedName name="jkelsjreja" localSheetId="16" hidden="1">{#N/A,#N/A,FALSE,"Plan1";#N/A,#N/A,FALSE,"Plan2"}</definedName>
    <definedName name="jkelsjreja" localSheetId="0" hidden="1">{#N/A,#N/A,FALSE,"Plan1";#N/A,#N/A,FALSE,"Plan2"}</definedName>
    <definedName name="jkelsjreja" localSheetId="26" hidden="1">{#N/A,#N/A,FALSE,"Plan1";#N/A,#N/A,FALSE,"Plan2"}</definedName>
    <definedName name="jkelsjreja" localSheetId="11" hidden="1">{#N/A,#N/A,FALSE,"Plan1";#N/A,#N/A,FALSE,"Plan2"}</definedName>
    <definedName name="jkelsjreja" hidden="1">{#N/A,#N/A,FALSE,"Plan1";#N/A,#N/A,FALSE,"Plan2"}</definedName>
    <definedName name="jkfhjgkfhghh" localSheetId="24" hidden="1">{#N/A,#N/A,FALSE,"Plan1";#N/A,#N/A,FALSE,"Plan2"}</definedName>
    <definedName name="jkfhjgkfhghh" localSheetId="7" hidden="1">{#N/A,#N/A,FALSE,"Plan1";#N/A,#N/A,FALSE,"Plan2"}</definedName>
    <definedName name="jkfhjgkfhghh" localSheetId="9" hidden="1">{#N/A,#N/A,FALSE,"Plan1";#N/A,#N/A,FALSE,"Plan2"}</definedName>
    <definedName name="jkfhjgkfhghh" localSheetId="3" hidden="1">{#N/A,#N/A,FALSE,"Plan1";#N/A,#N/A,FALSE,"Plan2"}</definedName>
    <definedName name="jkfhjgkfhghh" localSheetId="2" hidden="1">{#N/A,#N/A,FALSE,"Plan1";#N/A,#N/A,FALSE,"Plan2"}</definedName>
    <definedName name="jkfhjgkfhghh" localSheetId="16" hidden="1">{#N/A,#N/A,FALSE,"Plan1";#N/A,#N/A,FALSE,"Plan2"}</definedName>
    <definedName name="jkfhjgkfhghh" localSheetId="0" hidden="1">{#N/A,#N/A,FALSE,"Plan1";#N/A,#N/A,FALSE,"Plan2"}</definedName>
    <definedName name="jkfhjgkfhghh" localSheetId="26" hidden="1">{#N/A,#N/A,FALSE,"Plan1";#N/A,#N/A,FALSE,"Plan2"}</definedName>
    <definedName name="jkfhjgkfhghh" localSheetId="11" hidden="1">{#N/A,#N/A,FALSE,"Plan1";#N/A,#N/A,FALSE,"Plan2"}</definedName>
    <definedName name="jkfhjgkfhghh" hidden="1">{#N/A,#N/A,FALSE,"Plan1";#N/A,#N/A,FALSE,"Plan2"}</definedName>
    <definedName name="jkhderjkhes" localSheetId="24" hidden="1">{#N/A,#N/A,FALSE,"Plan1";#N/A,#N/A,FALSE,"Plan2"}</definedName>
    <definedName name="jkhderjkhes" localSheetId="7" hidden="1">{#N/A,#N/A,FALSE,"Plan1";#N/A,#N/A,FALSE,"Plan2"}</definedName>
    <definedName name="jkhderjkhes" localSheetId="9" hidden="1">{#N/A,#N/A,FALSE,"Plan1";#N/A,#N/A,FALSE,"Plan2"}</definedName>
    <definedName name="jkhderjkhes" localSheetId="3" hidden="1">{#N/A,#N/A,FALSE,"Plan1";#N/A,#N/A,FALSE,"Plan2"}</definedName>
    <definedName name="jkhderjkhes" localSheetId="2" hidden="1">{#N/A,#N/A,FALSE,"Plan1";#N/A,#N/A,FALSE,"Plan2"}</definedName>
    <definedName name="jkhderjkhes" localSheetId="16" hidden="1">{#N/A,#N/A,FALSE,"Plan1";#N/A,#N/A,FALSE,"Plan2"}</definedName>
    <definedName name="jkhderjkhes" localSheetId="0" hidden="1">{#N/A,#N/A,FALSE,"Plan1";#N/A,#N/A,FALSE,"Plan2"}</definedName>
    <definedName name="jkhderjkhes" localSheetId="26" hidden="1">{#N/A,#N/A,FALSE,"Plan1";#N/A,#N/A,FALSE,"Plan2"}</definedName>
    <definedName name="jkhderjkhes" localSheetId="11" hidden="1">{#N/A,#N/A,FALSE,"Plan1";#N/A,#N/A,FALSE,"Plan2"}</definedName>
    <definedName name="jkhderjkhes" hidden="1">{#N/A,#N/A,FALSE,"Plan1";#N/A,#N/A,FALSE,"Plan2"}</definedName>
    <definedName name="jkhdfhfd" localSheetId="24" hidden="1">{#N/A,#N/A,FALSE,"Plan1";#N/A,#N/A,FALSE,"Plan2"}</definedName>
    <definedName name="jkhdfhfd" localSheetId="7" hidden="1">{#N/A,#N/A,FALSE,"Plan1";#N/A,#N/A,FALSE,"Plan2"}</definedName>
    <definedName name="jkhdfhfd" localSheetId="9" hidden="1">{#N/A,#N/A,FALSE,"Plan1";#N/A,#N/A,FALSE,"Plan2"}</definedName>
    <definedName name="jkhdfhfd" localSheetId="3" hidden="1">{#N/A,#N/A,FALSE,"Plan1";#N/A,#N/A,FALSE,"Plan2"}</definedName>
    <definedName name="jkhdfhfd" localSheetId="2" hidden="1">{#N/A,#N/A,FALSE,"Plan1";#N/A,#N/A,FALSE,"Plan2"}</definedName>
    <definedName name="jkhdfhfd" localSheetId="16" hidden="1">{#N/A,#N/A,FALSE,"Plan1";#N/A,#N/A,FALSE,"Plan2"}</definedName>
    <definedName name="jkhdfhfd" localSheetId="0" hidden="1">{#N/A,#N/A,FALSE,"Plan1";#N/A,#N/A,FALSE,"Plan2"}</definedName>
    <definedName name="jkhdfhfd" localSheetId="26" hidden="1">{#N/A,#N/A,FALSE,"Plan1";#N/A,#N/A,FALSE,"Plan2"}</definedName>
    <definedName name="jkhdfhfd" localSheetId="11" hidden="1">{#N/A,#N/A,FALSE,"Plan1";#N/A,#N/A,FALSE,"Plan2"}</definedName>
    <definedName name="jkhdfhfd" hidden="1">{#N/A,#N/A,FALSE,"Plan1";#N/A,#N/A,FALSE,"Plan2"}</definedName>
    <definedName name="jkhfhest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localSheetId="24" hidden="1">{#N/A,#N/A,FALSE,"Plan1";#N/A,#N/A,FALSE,"Plan2"}</definedName>
    <definedName name="JKHFKJHGKFTHUDET" localSheetId="7" hidden="1">{#N/A,#N/A,FALSE,"Plan1";#N/A,#N/A,FALSE,"Plan2"}</definedName>
    <definedName name="JKHFKJHGKFTHUDET" localSheetId="9" hidden="1">{#N/A,#N/A,FALSE,"Plan1";#N/A,#N/A,FALSE,"Plan2"}</definedName>
    <definedName name="JKHFKJHGKFTHUDET" localSheetId="3" hidden="1">{#N/A,#N/A,FALSE,"Plan1";#N/A,#N/A,FALSE,"Plan2"}</definedName>
    <definedName name="JKHFKJHGKFTHUDET" localSheetId="2" hidden="1">{#N/A,#N/A,FALSE,"Plan1";#N/A,#N/A,FALSE,"Plan2"}</definedName>
    <definedName name="JKHFKJHGKFTHUDET" localSheetId="16" hidden="1">{#N/A,#N/A,FALSE,"Plan1";#N/A,#N/A,FALSE,"Plan2"}</definedName>
    <definedName name="JKHFKJHGKFTHUDET" localSheetId="0" hidden="1">{#N/A,#N/A,FALSE,"Plan1";#N/A,#N/A,FALSE,"Plan2"}</definedName>
    <definedName name="JKHFKJHGKFTHUDET" localSheetId="26" hidden="1">{#N/A,#N/A,FALSE,"Plan1";#N/A,#N/A,FALSE,"Plan2"}</definedName>
    <definedName name="JKHFKJHGKFTHUDET" localSheetId="11" hidden="1">{#N/A,#N/A,FALSE,"Plan1";#N/A,#N/A,FALSE,"Plan2"}</definedName>
    <definedName name="JKHFKJHGKFTHUDET" hidden="1">{#N/A,#N/A,FALSE,"Plan1";#N/A,#N/A,FALSE,"Plan2"}</definedName>
    <definedName name="JKHGDHFUHTG" localSheetId="24" hidden="1">{#N/A,#N/A,FALSE,"Plan1";#N/A,#N/A,FALSE,"Plan2"}</definedName>
    <definedName name="JKHGDHFUHTG" localSheetId="7" hidden="1">{#N/A,#N/A,FALSE,"Plan1";#N/A,#N/A,FALSE,"Plan2"}</definedName>
    <definedName name="JKHGDHFUHTG" localSheetId="9" hidden="1">{#N/A,#N/A,FALSE,"Plan1";#N/A,#N/A,FALSE,"Plan2"}</definedName>
    <definedName name="JKHGDHFUHTG" localSheetId="3" hidden="1">{#N/A,#N/A,FALSE,"Plan1";#N/A,#N/A,FALSE,"Plan2"}</definedName>
    <definedName name="JKHGDHFUHTG" localSheetId="2" hidden="1">{#N/A,#N/A,FALSE,"Plan1";#N/A,#N/A,FALSE,"Plan2"}</definedName>
    <definedName name="JKHGDHFUHTG" localSheetId="16" hidden="1">{#N/A,#N/A,FALSE,"Plan1";#N/A,#N/A,FALSE,"Plan2"}</definedName>
    <definedName name="JKHGDHFUHTG" localSheetId="0" hidden="1">{#N/A,#N/A,FALSE,"Plan1";#N/A,#N/A,FALSE,"Plan2"}</definedName>
    <definedName name="JKHGDHFUHTG" localSheetId="26" hidden="1">{#N/A,#N/A,FALSE,"Plan1";#N/A,#N/A,FALSE,"Plan2"}</definedName>
    <definedName name="JKHGDHFUHTG" localSheetId="11" hidden="1">{#N/A,#N/A,FALSE,"Plan1";#N/A,#N/A,FALSE,"Plan2"}</definedName>
    <definedName name="JKHGDHFUHTG" hidden="1">{#N/A,#N/A,FALSE,"Plan1";#N/A,#N/A,FALSE,"Plan2"}</definedName>
    <definedName name="jkhsdzjkfyiu" localSheetId="24" hidden="1">{#N/A,#N/A,FALSE,"Plan1";#N/A,#N/A,FALSE,"Plan2"}</definedName>
    <definedName name="jkhsdzjkfyiu" localSheetId="7" hidden="1">{#N/A,#N/A,FALSE,"Plan1";#N/A,#N/A,FALSE,"Plan2"}</definedName>
    <definedName name="jkhsdzjkfyiu" localSheetId="9" hidden="1">{#N/A,#N/A,FALSE,"Plan1";#N/A,#N/A,FALSE,"Plan2"}</definedName>
    <definedName name="jkhsdzjkfyiu" localSheetId="3" hidden="1">{#N/A,#N/A,FALSE,"Plan1";#N/A,#N/A,FALSE,"Plan2"}</definedName>
    <definedName name="jkhsdzjkfyiu" localSheetId="2" hidden="1">{#N/A,#N/A,FALSE,"Plan1";#N/A,#N/A,FALSE,"Plan2"}</definedName>
    <definedName name="jkhsdzjkfyiu" localSheetId="16" hidden="1">{#N/A,#N/A,FALSE,"Plan1";#N/A,#N/A,FALSE,"Plan2"}</definedName>
    <definedName name="jkhsdzjkfyiu" localSheetId="0" hidden="1">{#N/A,#N/A,FALSE,"Plan1";#N/A,#N/A,FALSE,"Plan2"}</definedName>
    <definedName name="jkhsdzjkfyiu" localSheetId="26" hidden="1">{#N/A,#N/A,FALSE,"Plan1";#N/A,#N/A,FALSE,"Plan2"}</definedName>
    <definedName name="jkhsdzjkfyiu" localSheetId="11" hidden="1">{#N/A,#N/A,FALSE,"Plan1";#N/A,#N/A,FALSE,"Plan2"}</definedName>
    <definedName name="jkhsdzjkfyiu" hidden="1">{#N/A,#N/A,FALSE,"Plan1";#N/A,#N/A,FALSE,"Plan2"}</definedName>
    <definedName name="jkjsdkhfdhrf" localSheetId="24" hidden="1">{#N/A,#N/A,FALSE,"Plan1";#N/A,#N/A,FALSE,"Plan2"}</definedName>
    <definedName name="jkjsdkhfdhrf" localSheetId="7" hidden="1">{#N/A,#N/A,FALSE,"Plan1";#N/A,#N/A,FALSE,"Plan2"}</definedName>
    <definedName name="jkjsdkhfdhrf" localSheetId="9" hidden="1">{#N/A,#N/A,FALSE,"Plan1";#N/A,#N/A,FALSE,"Plan2"}</definedName>
    <definedName name="jkjsdkhfdhrf" localSheetId="3" hidden="1">{#N/A,#N/A,FALSE,"Plan1";#N/A,#N/A,FALSE,"Plan2"}</definedName>
    <definedName name="jkjsdkhfdhrf" localSheetId="2" hidden="1">{#N/A,#N/A,FALSE,"Plan1";#N/A,#N/A,FALSE,"Plan2"}</definedName>
    <definedName name="jkjsdkhfdhrf" localSheetId="16" hidden="1">{#N/A,#N/A,FALSE,"Plan1";#N/A,#N/A,FALSE,"Plan2"}</definedName>
    <definedName name="jkjsdkhfdhrf" localSheetId="0" hidden="1">{#N/A,#N/A,FALSE,"Plan1";#N/A,#N/A,FALSE,"Plan2"}</definedName>
    <definedName name="jkjsdkhfdhrf" localSheetId="26" hidden="1">{#N/A,#N/A,FALSE,"Plan1";#N/A,#N/A,FALSE,"Plan2"}</definedName>
    <definedName name="jkjsdkhfdhrf" localSheetId="11" hidden="1">{#N/A,#N/A,FALSE,"Plan1";#N/A,#N/A,FALSE,"Plan2"}</definedName>
    <definedName name="jkjsdkhfdhrf" hidden="1">{#N/A,#N/A,FALSE,"Plan1";#N/A,#N/A,FALSE,"Plan2"}</definedName>
    <definedName name="jklgfsjgtjtg" localSheetId="24" hidden="1">{#N/A,#N/A,FALSE,"Plan1";#N/A,#N/A,FALSE,"Plan2"}</definedName>
    <definedName name="jklgfsjgtjtg" localSheetId="7" hidden="1">{#N/A,#N/A,FALSE,"Plan1";#N/A,#N/A,FALSE,"Plan2"}</definedName>
    <definedName name="jklgfsjgtjtg" localSheetId="9" hidden="1">{#N/A,#N/A,FALSE,"Plan1";#N/A,#N/A,FALSE,"Plan2"}</definedName>
    <definedName name="jklgfsjgtjtg" localSheetId="3" hidden="1">{#N/A,#N/A,FALSE,"Plan1";#N/A,#N/A,FALSE,"Plan2"}</definedName>
    <definedName name="jklgfsjgtjtg" localSheetId="2" hidden="1">{#N/A,#N/A,FALSE,"Plan1";#N/A,#N/A,FALSE,"Plan2"}</definedName>
    <definedName name="jklgfsjgtjtg" localSheetId="16" hidden="1">{#N/A,#N/A,FALSE,"Plan1";#N/A,#N/A,FALSE,"Plan2"}</definedName>
    <definedName name="jklgfsjgtjtg" localSheetId="0" hidden="1">{#N/A,#N/A,FALSE,"Plan1";#N/A,#N/A,FALSE,"Plan2"}</definedName>
    <definedName name="jklgfsjgtjtg" localSheetId="26" hidden="1">{#N/A,#N/A,FALSE,"Plan1";#N/A,#N/A,FALSE,"Plan2"}</definedName>
    <definedName name="jklgfsjgtjtg" localSheetId="11" hidden="1">{#N/A,#N/A,FALSE,"Plan1";#N/A,#N/A,FALSE,"Plan2"}</definedName>
    <definedName name="jklgfsjgtjtg" hidden="1">{#N/A,#N/A,FALSE,"Plan1";#N/A,#N/A,FALSE,"Plan2"}</definedName>
    <definedName name="jksldfjsdhf" localSheetId="24" hidden="1">{#N/A,#N/A,FALSE,"Plan1";#N/A,#N/A,FALSE,"Plan2"}</definedName>
    <definedName name="jksldfjsdhf" localSheetId="7" hidden="1">{#N/A,#N/A,FALSE,"Plan1";#N/A,#N/A,FALSE,"Plan2"}</definedName>
    <definedName name="jksldfjsdhf" localSheetId="9" hidden="1">{#N/A,#N/A,FALSE,"Plan1";#N/A,#N/A,FALSE,"Plan2"}</definedName>
    <definedName name="jksldfjsdhf" localSheetId="3" hidden="1">{#N/A,#N/A,FALSE,"Plan1";#N/A,#N/A,FALSE,"Plan2"}</definedName>
    <definedName name="jksldfjsdhf" localSheetId="2" hidden="1">{#N/A,#N/A,FALSE,"Plan1";#N/A,#N/A,FALSE,"Plan2"}</definedName>
    <definedName name="jksldfjsdhf" localSheetId="16" hidden="1">{#N/A,#N/A,FALSE,"Plan1";#N/A,#N/A,FALSE,"Plan2"}</definedName>
    <definedName name="jksldfjsdhf" localSheetId="0" hidden="1">{#N/A,#N/A,FALSE,"Plan1";#N/A,#N/A,FALSE,"Plan2"}</definedName>
    <definedName name="jksldfjsdhf" localSheetId="26" hidden="1">{#N/A,#N/A,FALSE,"Plan1";#N/A,#N/A,FALSE,"Plan2"}</definedName>
    <definedName name="jksldfjsdhf" localSheetId="11" hidden="1">{#N/A,#N/A,FALSE,"Plan1";#N/A,#N/A,FALSE,"Plan2"}</definedName>
    <definedName name="jksldfjsdhf" hidden="1">{#N/A,#N/A,FALSE,"Plan1";#N/A,#N/A,FALSE,"Plan2"}</definedName>
    <definedName name="jkxhcjkhfr" localSheetId="24" hidden="1">{#N/A,#N/A,FALSE,"Plan1";#N/A,#N/A,FALSE,"Plan2"}</definedName>
    <definedName name="jkxhcjkhfr" localSheetId="7" hidden="1">{#N/A,#N/A,FALSE,"Plan1";#N/A,#N/A,FALSE,"Plan2"}</definedName>
    <definedName name="jkxhcjkhfr" localSheetId="9" hidden="1">{#N/A,#N/A,FALSE,"Plan1";#N/A,#N/A,FALSE,"Plan2"}</definedName>
    <definedName name="jkxhcjkhfr" localSheetId="3" hidden="1">{#N/A,#N/A,FALSE,"Plan1";#N/A,#N/A,FALSE,"Plan2"}</definedName>
    <definedName name="jkxhcjkhfr" localSheetId="2" hidden="1">{#N/A,#N/A,FALSE,"Plan1";#N/A,#N/A,FALSE,"Plan2"}</definedName>
    <definedName name="jkxhcjkhfr" localSheetId="16" hidden="1">{#N/A,#N/A,FALSE,"Plan1";#N/A,#N/A,FALSE,"Plan2"}</definedName>
    <definedName name="jkxhcjkhfr" localSheetId="0" hidden="1">{#N/A,#N/A,FALSE,"Plan1";#N/A,#N/A,FALSE,"Plan2"}</definedName>
    <definedName name="jkxhcjkhfr" localSheetId="26" hidden="1">{#N/A,#N/A,FALSE,"Plan1";#N/A,#N/A,FALSE,"Plan2"}</definedName>
    <definedName name="jkxhcjkhfr" localSheetId="11" hidden="1">{#N/A,#N/A,FALSE,"Plan1";#N/A,#N/A,FALSE,"Plan2"}</definedName>
    <definedName name="jkxhcjkhfr" hidden="1">{#N/A,#N/A,FALSE,"Plan1";#N/A,#N/A,FALSE,"Plan2"}</definedName>
    <definedName name="JNGCKFKJFGH" localSheetId="24" hidden="1">{#N/A,#N/A,FALSE,"Plan1";#N/A,#N/A,FALSE,"Plan2"}</definedName>
    <definedName name="JNGCKFKJFGH" localSheetId="7" hidden="1">{#N/A,#N/A,FALSE,"Plan1";#N/A,#N/A,FALSE,"Plan2"}</definedName>
    <definedName name="JNGCKFKJFGH" localSheetId="9" hidden="1">{#N/A,#N/A,FALSE,"Plan1";#N/A,#N/A,FALSE,"Plan2"}</definedName>
    <definedName name="JNGCKFKJFGH" localSheetId="3" hidden="1">{#N/A,#N/A,FALSE,"Plan1";#N/A,#N/A,FALSE,"Plan2"}</definedName>
    <definedName name="JNGCKFKJFGH" localSheetId="2" hidden="1">{#N/A,#N/A,FALSE,"Plan1";#N/A,#N/A,FALSE,"Plan2"}</definedName>
    <definedName name="JNGCKFKJFGH" localSheetId="16" hidden="1">{#N/A,#N/A,FALSE,"Plan1";#N/A,#N/A,FALSE,"Plan2"}</definedName>
    <definedName name="JNGCKFKJFGH" localSheetId="0" hidden="1">{#N/A,#N/A,FALSE,"Plan1";#N/A,#N/A,FALSE,"Plan2"}</definedName>
    <definedName name="JNGCKFKJFGH" localSheetId="26" hidden="1">{#N/A,#N/A,FALSE,"Plan1";#N/A,#N/A,FALSE,"Plan2"}</definedName>
    <definedName name="JNGCKFKJFGH" localSheetId="11" hidden="1">{#N/A,#N/A,FALSE,"Plan1";#N/A,#N/A,FALSE,"Plan2"}</definedName>
    <definedName name="JNGCKFKJFGH" hidden="1">{#N/A,#N/A,FALSE,"Plan1";#N/A,#N/A,FALSE,"Plan2"}</definedName>
    <definedName name="JOALDO" localSheetId="24">#REF!</definedName>
    <definedName name="JOALDO" localSheetId="7">#REF!</definedName>
    <definedName name="JOALDO" localSheetId="3">#REF!</definedName>
    <definedName name="JOALDO" localSheetId="26">#REF!</definedName>
    <definedName name="JOALDO">#REF!</definedName>
    <definedName name="joao_cdi" localSheetId="7">#REF!</definedName>
    <definedName name="joao_cdi" localSheetId="3">#REF!</definedName>
    <definedName name="joao_cdi">#REF!</definedName>
    <definedName name="joao_hist" localSheetId="7">#REF!</definedName>
    <definedName name="joao_hist" localSheetId="3">#REF!</definedName>
    <definedName name="joao_hist">#REF!</definedName>
    <definedName name="joao_uss" localSheetId="7">#REF!</definedName>
    <definedName name="joao_uss" localSheetId="3">#REF!</definedName>
    <definedName name="joao_uss">#REF!</definedName>
    <definedName name="JREJRW" localSheetId="24" hidden="1">{#N/A,#N/A,FALSE,"Plan1";#N/A,#N/A,FALSE,"Plan2"}</definedName>
    <definedName name="JREJRW" localSheetId="7" hidden="1">{#N/A,#N/A,FALSE,"Plan1";#N/A,#N/A,FALSE,"Plan2"}</definedName>
    <definedName name="JREJRW" localSheetId="9" hidden="1">{#N/A,#N/A,FALSE,"Plan1";#N/A,#N/A,FALSE,"Plan2"}</definedName>
    <definedName name="JREJRW" localSheetId="3" hidden="1">{#N/A,#N/A,FALSE,"Plan1";#N/A,#N/A,FALSE,"Plan2"}</definedName>
    <definedName name="JREJRW" localSheetId="2" hidden="1">{#N/A,#N/A,FALSE,"Plan1";#N/A,#N/A,FALSE,"Plan2"}</definedName>
    <definedName name="JREJRW" localSheetId="16" hidden="1">{#N/A,#N/A,FALSE,"Plan1";#N/A,#N/A,FALSE,"Plan2"}</definedName>
    <definedName name="JREJRW" localSheetId="0" hidden="1">{#N/A,#N/A,FALSE,"Plan1";#N/A,#N/A,FALSE,"Plan2"}</definedName>
    <definedName name="JREJRW" localSheetId="26" hidden="1">{#N/A,#N/A,FALSE,"Plan1";#N/A,#N/A,FALSE,"Plan2"}</definedName>
    <definedName name="JREJRW" localSheetId="11" hidden="1">{#N/A,#N/A,FALSE,"Plan1";#N/A,#N/A,FALSE,"Plan2"}</definedName>
    <definedName name="JREJRW" hidden="1">{#N/A,#N/A,FALSE,"Plan1";#N/A,#N/A,FALSE,"Plan2"}</definedName>
    <definedName name="JSADKAH" localSheetId="24" hidden="1">{"Econ Consolidado",#N/A,FALSE,"Econ Consol";"Fluxo de Caixa",#N/A,FALSE,"Fluxo Caixa";"Investimentos",#N/A,FALSE,"Investimentos"}</definedName>
    <definedName name="JSADKAH" localSheetId="7" hidden="1">{"Econ Consolidado",#N/A,FALSE,"Econ Consol";"Fluxo de Caixa",#N/A,FALSE,"Fluxo Caixa";"Investimentos",#N/A,FALSE,"Investimentos"}</definedName>
    <definedName name="JSADKAH" localSheetId="9" hidden="1">{"Econ Consolidado",#N/A,FALSE,"Econ Consol";"Fluxo de Caixa",#N/A,FALSE,"Fluxo Caixa";"Investimentos",#N/A,FALSE,"Investimentos"}</definedName>
    <definedName name="JSADKAH" localSheetId="3" hidden="1">{"Econ Consolidado",#N/A,FALSE,"Econ Consol";"Fluxo de Caixa",#N/A,FALSE,"Fluxo Caixa";"Investimentos",#N/A,FALSE,"Investimentos"}</definedName>
    <definedName name="JSADKAH" localSheetId="2" hidden="1">{"Econ Consolidado",#N/A,FALSE,"Econ Consol";"Fluxo de Caixa",#N/A,FALSE,"Fluxo Caixa";"Investimentos",#N/A,FALSE,"Investimentos"}</definedName>
    <definedName name="JSADKAH" localSheetId="16" hidden="1">{"Econ Consolidado",#N/A,FALSE,"Econ Consol";"Fluxo de Caixa",#N/A,FALSE,"Fluxo Caixa";"Investimentos",#N/A,FALSE,"Investimentos"}</definedName>
    <definedName name="JSADKAH" localSheetId="0" hidden="1">{"Econ Consolidado",#N/A,FALSE,"Econ Consol";"Fluxo de Caixa",#N/A,FALSE,"Fluxo Caixa";"Investimentos",#N/A,FALSE,"Investimentos"}</definedName>
    <definedName name="JSADKAH" localSheetId="26" hidden="1">{"Econ Consolidado",#N/A,FALSE,"Econ Consol";"Fluxo de Caixa",#N/A,FALSE,"Fluxo Caixa";"Investimentos",#N/A,FALSE,"Investimentos"}</definedName>
    <definedName name="JSADKAH" localSheetId="11" hidden="1">{"Econ Consolidado",#N/A,FALSE,"Econ Consol";"Fluxo de Caixa",#N/A,FALSE,"Fluxo Caixa";"Investimentos",#N/A,FALSE,"Investimentos"}</definedName>
    <definedName name="JSADKAH" hidden="1">{"Econ Consolidado",#N/A,FALSE,"Econ Consol";"Fluxo de Caixa",#N/A,FALSE,"Fluxo Caixa";"Investimentos",#N/A,FALSE,"Investimentos"}</definedName>
    <definedName name="JSDAJRE" localSheetId="24" hidden="1">{#N/A,#N/A,FALSE,"Plan1";#N/A,#N/A,FALSE,"Plan2"}</definedName>
    <definedName name="JSDAJRE" localSheetId="7" hidden="1">{#N/A,#N/A,FALSE,"Plan1";#N/A,#N/A,FALSE,"Plan2"}</definedName>
    <definedName name="JSDAJRE" localSheetId="9" hidden="1">{#N/A,#N/A,FALSE,"Plan1";#N/A,#N/A,FALSE,"Plan2"}</definedName>
    <definedName name="JSDAJRE" localSheetId="3" hidden="1">{#N/A,#N/A,FALSE,"Plan1";#N/A,#N/A,FALSE,"Plan2"}</definedName>
    <definedName name="JSDAJRE" localSheetId="2" hidden="1">{#N/A,#N/A,FALSE,"Plan1";#N/A,#N/A,FALSE,"Plan2"}</definedName>
    <definedName name="JSDAJRE" localSheetId="16" hidden="1">{#N/A,#N/A,FALSE,"Plan1";#N/A,#N/A,FALSE,"Plan2"}</definedName>
    <definedName name="JSDAJRE" localSheetId="0" hidden="1">{#N/A,#N/A,FALSE,"Plan1";#N/A,#N/A,FALSE,"Plan2"}</definedName>
    <definedName name="JSDAJRE" localSheetId="26" hidden="1">{#N/A,#N/A,FALSE,"Plan1";#N/A,#N/A,FALSE,"Plan2"}</definedName>
    <definedName name="JSDAJRE" localSheetId="11" hidden="1">{#N/A,#N/A,FALSE,"Plan1";#N/A,#N/A,FALSE,"Plan2"}</definedName>
    <definedName name="JSDAJRE" hidden="1">{#N/A,#N/A,FALSE,"Plan1";#N/A,#N/A,FALSE,"Plan2"}</definedName>
    <definedName name="jsdffsed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localSheetId="24" hidden="1">{#N/A,#N/A,FALSE,"Plan1";#N/A,#N/A,FALSE,"Plan2"}</definedName>
    <definedName name="jsdfjgx" localSheetId="7" hidden="1">{#N/A,#N/A,FALSE,"Plan1";#N/A,#N/A,FALSE,"Plan2"}</definedName>
    <definedName name="jsdfjgx" localSheetId="9" hidden="1">{#N/A,#N/A,FALSE,"Plan1";#N/A,#N/A,FALSE,"Plan2"}</definedName>
    <definedName name="jsdfjgx" localSheetId="3" hidden="1">{#N/A,#N/A,FALSE,"Plan1";#N/A,#N/A,FALSE,"Plan2"}</definedName>
    <definedName name="jsdfjgx" localSheetId="2" hidden="1">{#N/A,#N/A,FALSE,"Plan1";#N/A,#N/A,FALSE,"Plan2"}</definedName>
    <definedName name="jsdfjgx" localSheetId="16" hidden="1">{#N/A,#N/A,FALSE,"Plan1";#N/A,#N/A,FALSE,"Plan2"}</definedName>
    <definedName name="jsdfjgx" localSheetId="0" hidden="1">{#N/A,#N/A,FALSE,"Plan1";#N/A,#N/A,FALSE,"Plan2"}</definedName>
    <definedName name="jsdfjgx" localSheetId="26" hidden="1">{#N/A,#N/A,FALSE,"Plan1";#N/A,#N/A,FALSE,"Plan2"}</definedName>
    <definedName name="jsdfjgx" localSheetId="11" hidden="1">{#N/A,#N/A,FALSE,"Plan1";#N/A,#N/A,FALSE,"Plan2"}</definedName>
    <definedName name="jsdfjgx" hidden="1">{#N/A,#N/A,FALSE,"Plan1";#N/A,#N/A,FALSE,"Plan2"}</definedName>
    <definedName name="jsdfkgnfr" localSheetId="7" hidden="1">#REF!</definedName>
    <definedName name="jsdfkgnfr" localSheetId="3" hidden="1">#REF!</definedName>
    <definedName name="jsdfkgnfr" localSheetId="0" hidden="1">#REF!</definedName>
    <definedName name="jsdfkgnfr" hidden="1">#REF!</definedName>
    <definedName name="jsdfsdfd" localSheetId="24" hidden="1">{#N/A,#N/A,FALSE,"Plan1";#N/A,#N/A,FALSE,"Plan2"}</definedName>
    <definedName name="jsdfsdfd" localSheetId="7" hidden="1">{#N/A,#N/A,FALSE,"Plan1";#N/A,#N/A,FALSE,"Plan2"}</definedName>
    <definedName name="jsdfsdfd" localSheetId="9" hidden="1">{#N/A,#N/A,FALSE,"Plan1";#N/A,#N/A,FALSE,"Plan2"}</definedName>
    <definedName name="jsdfsdfd" localSheetId="3" hidden="1">{#N/A,#N/A,FALSE,"Plan1";#N/A,#N/A,FALSE,"Plan2"}</definedName>
    <definedName name="jsdfsdfd" localSheetId="2" hidden="1">{#N/A,#N/A,FALSE,"Plan1";#N/A,#N/A,FALSE,"Plan2"}</definedName>
    <definedName name="jsdfsdfd" localSheetId="16" hidden="1">{#N/A,#N/A,FALSE,"Plan1";#N/A,#N/A,FALSE,"Plan2"}</definedName>
    <definedName name="jsdfsdfd" localSheetId="0" hidden="1">{#N/A,#N/A,FALSE,"Plan1";#N/A,#N/A,FALSE,"Plan2"}</definedName>
    <definedName name="jsdfsdfd" localSheetId="26" hidden="1">{#N/A,#N/A,FALSE,"Plan1";#N/A,#N/A,FALSE,"Plan2"}</definedName>
    <definedName name="jsdfsdfd" localSheetId="11" hidden="1">{#N/A,#N/A,FALSE,"Plan1";#N/A,#N/A,FALSE,"Plan2"}</definedName>
    <definedName name="jsdfsdfd" hidden="1">{#N/A,#N/A,FALSE,"Plan1";#N/A,#N/A,FALSE,"Plan2"}</definedName>
    <definedName name="jsdljficd" localSheetId="24" hidden="1">{#N/A,#N/A,FALSE,"Plan1";#N/A,#N/A,FALSE,"Plan2"}</definedName>
    <definedName name="jsdljficd" localSheetId="7" hidden="1">{#N/A,#N/A,FALSE,"Plan1";#N/A,#N/A,FALSE,"Plan2"}</definedName>
    <definedName name="jsdljficd" localSheetId="9" hidden="1">{#N/A,#N/A,FALSE,"Plan1";#N/A,#N/A,FALSE,"Plan2"}</definedName>
    <definedName name="jsdljficd" localSheetId="3" hidden="1">{#N/A,#N/A,FALSE,"Plan1";#N/A,#N/A,FALSE,"Plan2"}</definedName>
    <definedName name="jsdljficd" localSheetId="2" hidden="1">{#N/A,#N/A,FALSE,"Plan1";#N/A,#N/A,FALSE,"Plan2"}</definedName>
    <definedName name="jsdljficd" localSheetId="16" hidden="1">{#N/A,#N/A,FALSE,"Plan1";#N/A,#N/A,FALSE,"Plan2"}</definedName>
    <definedName name="jsdljficd" localSheetId="0" hidden="1">{#N/A,#N/A,FALSE,"Plan1";#N/A,#N/A,FALSE,"Plan2"}</definedName>
    <definedName name="jsdljficd" localSheetId="26" hidden="1">{#N/A,#N/A,FALSE,"Plan1";#N/A,#N/A,FALSE,"Plan2"}</definedName>
    <definedName name="jsdljficd" localSheetId="11" hidden="1">{#N/A,#N/A,FALSE,"Plan1";#N/A,#N/A,FALSE,"Plan2"}</definedName>
    <definedName name="jsdljficd" hidden="1">{#N/A,#N/A,FALSE,"Plan1";#N/A,#N/A,FALSE,"Plan2"}</definedName>
    <definedName name="JSDTLFJDRG" localSheetId="24" hidden="1">{#N/A,#N/A,FALSE,"Plan1";#N/A,#N/A,FALSE,"Plan2"}</definedName>
    <definedName name="JSDTLFJDRG" localSheetId="7" hidden="1">{#N/A,#N/A,FALSE,"Plan1";#N/A,#N/A,FALSE,"Plan2"}</definedName>
    <definedName name="JSDTLFJDRG" localSheetId="9" hidden="1">{#N/A,#N/A,FALSE,"Plan1";#N/A,#N/A,FALSE,"Plan2"}</definedName>
    <definedName name="JSDTLFJDRG" localSheetId="3" hidden="1">{#N/A,#N/A,FALSE,"Plan1";#N/A,#N/A,FALSE,"Plan2"}</definedName>
    <definedName name="JSDTLFJDRG" localSheetId="2" hidden="1">{#N/A,#N/A,FALSE,"Plan1";#N/A,#N/A,FALSE,"Plan2"}</definedName>
    <definedName name="JSDTLFJDRG" localSheetId="16" hidden="1">{#N/A,#N/A,FALSE,"Plan1";#N/A,#N/A,FALSE,"Plan2"}</definedName>
    <definedName name="JSDTLFJDRG" localSheetId="0" hidden="1">{#N/A,#N/A,FALSE,"Plan1";#N/A,#N/A,FALSE,"Plan2"}</definedName>
    <definedName name="JSDTLFJDRG" localSheetId="26" hidden="1">{#N/A,#N/A,FALSE,"Plan1";#N/A,#N/A,FALSE,"Plan2"}</definedName>
    <definedName name="JSDTLFJDRG" localSheetId="11" hidden="1">{#N/A,#N/A,FALSE,"Plan1";#N/A,#N/A,FALSE,"Plan2"}</definedName>
    <definedName name="JSDTLFJDRG" hidden="1">{#N/A,#N/A,FALSE,"Plan1";#N/A,#N/A,FALSE,"Plan2"}</definedName>
    <definedName name="jsfjsjferwea" localSheetId="24" hidden="1">{#N/A,#N/A,FALSE,"Plan1";#N/A,#N/A,FALSE,"Plan2"}</definedName>
    <definedName name="jsfjsjferwea" localSheetId="7" hidden="1">{#N/A,#N/A,FALSE,"Plan1";#N/A,#N/A,FALSE,"Plan2"}</definedName>
    <definedName name="jsfjsjferwea" localSheetId="9" hidden="1">{#N/A,#N/A,FALSE,"Plan1";#N/A,#N/A,FALSE,"Plan2"}</definedName>
    <definedName name="jsfjsjferwea" localSheetId="3" hidden="1">{#N/A,#N/A,FALSE,"Plan1";#N/A,#N/A,FALSE,"Plan2"}</definedName>
    <definedName name="jsfjsjferwea" localSheetId="2" hidden="1">{#N/A,#N/A,FALSE,"Plan1";#N/A,#N/A,FALSE,"Plan2"}</definedName>
    <definedName name="jsfjsjferwea" localSheetId="16" hidden="1">{#N/A,#N/A,FALSE,"Plan1";#N/A,#N/A,FALSE,"Plan2"}</definedName>
    <definedName name="jsfjsjferwea" localSheetId="0" hidden="1">{#N/A,#N/A,FALSE,"Plan1";#N/A,#N/A,FALSE,"Plan2"}</definedName>
    <definedName name="jsfjsjferwea" localSheetId="26" hidden="1">{#N/A,#N/A,FALSE,"Plan1";#N/A,#N/A,FALSE,"Plan2"}</definedName>
    <definedName name="jsfjsjferwea" localSheetId="11" hidden="1">{#N/A,#N/A,FALSE,"Plan1";#N/A,#N/A,FALSE,"Plan2"}</definedName>
    <definedName name="jsfjsjferwea" hidden="1">{#N/A,#N/A,FALSE,"Plan1";#N/A,#N/A,FALSE,"Plan2"}</definedName>
    <definedName name="jslrjer" localSheetId="24" hidden="1">{#N/A,#N/A,FALSE,"Plan1";#N/A,#N/A,FALSE,"Plan2"}</definedName>
    <definedName name="jslrjer" localSheetId="7" hidden="1">{#N/A,#N/A,FALSE,"Plan1";#N/A,#N/A,FALSE,"Plan2"}</definedName>
    <definedName name="jslrjer" localSheetId="9" hidden="1">{#N/A,#N/A,FALSE,"Plan1";#N/A,#N/A,FALSE,"Plan2"}</definedName>
    <definedName name="jslrjer" localSheetId="3" hidden="1">{#N/A,#N/A,FALSE,"Plan1";#N/A,#N/A,FALSE,"Plan2"}</definedName>
    <definedName name="jslrjer" localSheetId="2" hidden="1">{#N/A,#N/A,FALSE,"Plan1";#N/A,#N/A,FALSE,"Plan2"}</definedName>
    <definedName name="jslrjer" localSheetId="16" hidden="1">{#N/A,#N/A,FALSE,"Plan1";#N/A,#N/A,FALSE,"Plan2"}</definedName>
    <definedName name="jslrjer" localSheetId="0" hidden="1">{#N/A,#N/A,FALSE,"Plan1";#N/A,#N/A,FALSE,"Plan2"}</definedName>
    <definedName name="jslrjer" localSheetId="26" hidden="1">{#N/A,#N/A,FALSE,"Plan1";#N/A,#N/A,FALSE,"Plan2"}</definedName>
    <definedName name="jslrjer" localSheetId="11" hidden="1">{#N/A,#N/A,FALSE,"Plan1";#N/A,#N/A,FALSE,"Plan2"}</definedName>
    <definedName name="jslrjer" hidden="1">{#N/A,#N/A,FALSE,"Plan1";#N/A,#N/A,FALSE,"Plan2"}</definedName>
    <definedName name="juklhkhdf" localSheetId="24" hidden="1">{#N/A,#N/A,FALSE,"Plan1";#N/A,#N/A,FALSE,"Plan2"}</definedName>
    <definedName name="juklhkhdf" localSheetId="7" hidden="1">{#N/A,#N/A,FALSE,"Plan1";#N/A,#N/A,FALSE,"Plan2"}</definedName>
    <definedName name="juklhkhdf" localSheetId="9" hidden="1">{#N/A,#N/A,FALSE,"Plan1";#N/A,#N/A,FALSE,"Plan2"}</definedName>
    <definedName name="juklhkhdf" localSheetId="3" hidden="1">{#N/A,#N/A,FALSE,"Plan1";#N/A,#N/A,FALSE,"Plan2"}</definedName>
    <definedName name="juklhkhdf" localSheetId="2" hidden="1">{#N/A,#N/A,FALSE,"Plan1";#N/A,#N/A,FALSE,"Plan2"}</definedName>
    <definedName name="juklhkhdf" localSheetId="16" hidden="1">{#N/A,#N/A,FALSE,"Plan1";#N/A,#N/A,FALSE,"Plan2"}</definedName>
    <definedName name="juklhkhdf" localSheetId="0" hidden="1">{#N/A,#N/A,FALSE,"Plan1";#N/A,#N/A,FALSE,"Plan2"}</definedName>
    <definedName name="juklhkhdf" localSheetId="26" hidden="1">{#N/A,#N/A,FALSE,"Plan1";#N/A,#N/A,FALSE,"Plan2"}</definedName>
    <definedName name="juklhkhdf" localSheetId="11" hidden="1">{#N/A,#N/A,FALSE,"Plan1";#N/A,#N/A,FALSE,"Plan2"}</definedName>
    <definedName name="juklhkhdf" hidden="1">{#N/A,#N/A,FALSE,"Plan1";#N/A,#N/A,FALSE,"Plan2"}</definedName>
    <definedName name="jul17RJ" localSheetId="24">#REF!</definedName>
    <definedName name="jul17RJ" localSheetId="7">#REF!</definedName>
    <definedName name="jul17RJ" localSheetId="3">#REF!</definedName>
    <definedName name="jul17RJ" localSheetId="26">#REF!</definedName>
    <definedName name="jul17RJ">#REF!</definedName>
    <definedName name="JULHO" localSheetId="7">#REF!</definedName>
    <definedName name="JULHO" localSheetId="3">#REF!</definedName>
    <definedName name="JULHO">#REF!</definedName>
    <definedName name="JULHO2001" localSheetId="7">#REF!</definedName>
    <definedName name="JULHO2001" localSheetId="3">#REF!</definedName>
    <definedName name="JULHO2001">#REF!</definedName>
    <definedName name="JULHO99" localSheetId="24" hidden="1">{#N/A,#N/A,TRUE,"Quinzena 01 à 15-04-98 "}</definedName>
    <definedName name="JULHO99" localSheetId="7" hidden="1">{#N/A,#N/A,TRUE,"Quinzena 01 à 15-04-98 "}</definedName>
    <definedName name="JULHO99" localSheetId="9" hidden="1">{#N/A,#N/A,TRUE,"Quinzena 01 à 15-04-98 "}</definedName>
    <definedName name="JULHO99" localSheetId="3" hidden="1">{#N/A,#N/A,TRUE,"Quinzena 01 à 15-04-98 "}</definedName>
    <definedName name="JULHO99" localSheetId="2" hidden="1">{#N/A,#N/A,TRUE,"Quinzena 01 à 15-04-98 "}</definedName>
    <definedName name="JULHO99" localSheetId="16" hidden="1">{#N/A,#N/A,TRUE,"Quinzena 01 à 15-04-98 "}</definedName>
    <definedName name="JULHO99" localSheetId="0" hidden="1">{#N/A,#N/A,TRUE,"Quinzena 01 à 15-04-98 "}</definedName>
    <definedName name="JULHO99" localSheetId="26" hidden="1">{#N/A,#N/A,TRUE,"Quinzena 01 à 15-04-98 "}</definedName>
    <definedName name="JULHO99" localSheetId="11" hidden="1">{#N/A,#N/A,TRUE,"Quinzena 01 à 15-04-98 "}</definedName>
    <definedName name="JULHO99" hidden="1">{#N/A,#N/A,TRUE,"Quinzena 01 à 15-04-98 "}</definedName>
    <definedName name="jun17RJ" localSheetId="24">#REF!</definedName>
    <definedName name="jun17RJ" localSheetId="7">#REF!</definedName>
    <definedName name="jun17RJ" localSheetId="3">#REF!</definedName>
    <definedName name="jun17RJ" localSheetId="26">#REF!</definedName>
    <definedName name="jun17RJ">#REF!</definedName>
    <definedName name="JUNHO" localSheetId="7">#REF!</definedName>
    <definedName name="JUNHO" localSheetId="3">#REF!</definedName>
    <definedName name="JUNHO">#REF!</definedName>
    <definedName name="JUNHO2001" localSheetId="7">#REF!</definedName>
    <definedName name="JUNHO2001" localSheetId="3">#REF!</definedName>
    <definedName name="JUNHO2001">#REF!</definedName>
    <definedName name="JurosTpMes" localSheetId="7">#REF!</definedName>
    <definedName name="JurosTpMes" localSheetId="3">#REF!</definedName>
    <definedName name="JurosTpMes">#REF!</definedName>
    <definedName name="jwekljd" localSheetId="24" hidden="1">{#N/A,#N/A,FALSE,"Plan1";#N/A,#N/A,FALSE,"Plan2"}</definedName>
    <definedName name="jwekljd" localSheetId="7" hidden="1">{#N/A,#N/A,FALSE,"Plan1";#N/A,#N/A,FALSE,"Plan2"}</definedName>
    <definedName name="jwekljd" localSheetId="9" hidden="1">{#N/A,#N/A,FALSE,"Plan1";#N/A,#N/A,FALSE,"Plan2"}</definedName>
    <definedName name="jwekljd" localSheetId="3" hidden="1">{#N/A,#N/A,FALSE,"Plan1";#N/A,#N/A,FALSE,"Plan2"}</definedName>
    <definedName name="jwekljd" localSheetId="2" hidden="1">{#N/A,#N/A,FALSE,"Plan1";#N/A,#N/A,FALSE,"Plan2"}</definedName>
    <definedName name="jwekljd" localSheetId="16" hidden="1">{#N/A,#N/A,FALSE,"Plan1";#N/A,#N/A,FALSE,"Plan2"}</definedName>
    <definedName name="jwekljd" localSheetId="0" hidden="1">{#N/A,#N/A,FALSE,"Plan1";#N/A,#N/A,FALSE,"Plan2"}</definedName>
    <definedName name="jwekljd" localSheetId="26" hidden="1">{#N/A,#N/A,FALSE,"Plan1";#N/A,#N/A,FALSE,"Plan2"}</definedName>
    <definedName name="jwekljd" localSheetId="11" hidden="1">{#N/A,#N/A,FALSE,"Plan1";#N/A,#N/A,FALSE,"Plan2"}</definedName>
    <definedName name="jwekljd" hidden="1">{#N/A,#N/A,FALSE,"Plan1";#N/A,#N/A,FALSE,"Plan2"}</definedName>
    <definedName name="JWEOITORU5Y" localSheetId="24" hidden="1">{#N/A,#N/A,FALSE,"Plan1";#N/A,#N/A,FALSE,"Plan2"}</definedName>
    <definedName name="JWEOITORU5Y" localSheetId="7" hidden="1">{#N/A,#N/A,FALSE,"Plan1";#N/A,#N/A,FALSE,"Plan2"}</definedName>
    <definedName name="JWEOITORU5Y" localSheetId="9" hidden="1">{#N/A,#N/A,FALSE,"Plan1";#N/A,#N/A,FALSE,"Plan2"}</definedName>
    <definedName name="JWEOITORU5Y" localSheetId="3" hidden="1">{#N/A,#N/A,FALSE,"Plan1";#N/A,#N/A,FALSE,"Plan2"}</definedName>
    <definedName name="JWEOITORU5Y" localSheetId="2" hidden="1">{#N/A,#N/A,FALSE,"Plan1";#N/A,#N/A,FALSE,"Plan2"}</definedName>
    <definedName name="JWEOITORU5Y" localSheetId="16" hidden="1">{#N/A,#N/A,FALSE,"Plan1";#N/A,#N/A,FALSE,"Plan2"}</definedName>
    <definedName name="JWEOITORU5Y" localSheetId="0" hidden="1">{#N/A,#N/A,FALSE,"Plan1";#N/A,#N/A,FALSE,"Plan2"}</definedName>
    <definedName name="JWEOITORU5Y" localSheetId="26" hidden="1">{#N/A,#N/A,FALSE,"Plan1";#N/A,#N/A,FALSE,"Plan2"}</definedName>
    <definedName name="JWEOITORU5Y" localSheetId="11" hidden="1">{#N/A,#N/A,FALSE,"Plan1";#N/A,#N/A,FALSE,"Plan2"}</definedName>
    <definedName name="JWEOITORU5Y" hidden="1">{#N/A,#N/A,FALSE,"Plan1";#N/A,#N/A,FALSE,"Plan2"}</definedName>
    <definedName name="jxdfjsrf" localSheetId="24" hidden="1">{#N/A,#N/A,FALSE,"Plan1";#N/A,#N/A,FALSE,"Plan2"}</definedName>
    <definedName name="jxdfjsrf" localSheetId="7" hidden="1">{#N/A,#N/A,FALSE,"Plan1";#N/A,#N/A,FALSE,"Plan2"}</definedName>
    <definedName name="jxdfjsrf" localSheetId="9" hidden="1">{#N/A,#N/A,FALSE,"Plan1";#N/A,#N/A,FALSE,"Plan2"}</definedName>
    <definedName name="jxdfjsrf" localSheetId="3" hidden="1">{#N/A,#N/A,FALSE,"Plan1";#N/A,#N/A,FALSE,"Plan2"}</definedName>
    <definedName name="jxdfjsrf" localSheetId="2" hidden="1">{#N/A,#N/A,FALSE,"Plan1";#N/A,#N/A,FALSE,"Plan2"}</definedName>
    <definedName name="jxdfjsrf" localSheetId="16" hidden="1">{#N/A,#N/A,FALSE,"Plan1";#N/A,#N/A,FALSE,"Plan2"}</definedName>
    <definedName name="jxdfjsrf" localSheetId="0" hidden="1">{#N/A,#N/A,FALSE,"Plan1";#N/A,#N/A,FALSE,"Plan2"}</definedName>
    <definedName name="jxdfjsrf" localSheetId="26" hidden="1">{#N/A,#N/A,FALSE,"Plan1";#N/A,#N/A,FALSE,"Plan2"}</definedName>
    <definedName name="jxdfjsrf" localSheetId="11" hidden="1">{#N/A,#N/A,FALSE,"Plan1";#N/A,#N/A,FALSE,"Plan2"}</definedName>
    <definedName name="jxdfjsrf" hidden="1">{#N/A,#N/A,FALSE,"Plan1";#N/A,#N/A,FALSE,"Plan2"}</definedName>
    <definedName name="jxdklfjv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 localSheetId="7" hidden="1">#REF!</definedName>
    <definedName name="JY" localSheetId="3" hidden="1">#REF!</definedName>
    <definedName name="JY" localSheetId="0" hidden="1">#REF!</definedName>
    <definedName name="JY" hidden="1">#REF!</definedName>
    <definedName name="jzsdjkszl" localSheetId="24" hidden="1">{#N/A,#N/A,FALSE,"Plan1";#N/A,#N/A,FALSE,"Plan2"}</definedName>
    <definedName name="jzsdjkszl" localSheetId="7" hidden="1">{#N/A,#N/A,FALSE,"Plan1";#N/A,#N/A,FALSE,"Plan2"}</definedName>
    <definedName name="jzsdjkszl" localSheetId="9" hidden="1">{#N/A,#N/A,FALSE,"Plan1";#N/A,#N/A,FALSE,"Plan2"}</definedName>
    <definedName name="jzsdjkszl" localSheetId="3" hidden="1">{#N/A,#N/A,FALSE,"Plan1";#N/A,#N/A,FALSE,"Plan2"}</definedName>
    <definedName name="jzsdjkszl" localSheetId="2" hidden="1">{#N/A,#N/A,FALSE,"Plan1";#N/A,#N/A,FALSE,"Plan2"}</definedName>
    <definedName name="jzsdjkszl" localSheetId="16" hidden="1">{#N/A,#N/A,FALSE,"Plan1";#N/A,#N/A,FALSE,"Plan2"}</definedName>
    <definedName name="jzsdjkszl" localSheetId="0" hidden="1">{#N/A,#N/A,FALSE,"Plan1";#N/A,#N/A,FALSE,"Plan2"}</definedName>
    <definedName name="jzsdjkszl" localSheetId="26" hidden="1">{#N/A,#N/A,FALSE,"Plan1";#N/A,#N/A,FALSE,"Plan2"}</definedName>
    <definedName name="jzsdjkszl" localSheetId="11" hidden="1">{#N/A,#N/A,FALSE,"Plan1";#N/A,#N/A,FALSE,"Plan2"}</definedName>
    <definedName name="jzsdjkszl" hidden="1">{#N/A,#N/A,FALSE,"Plan1";#N/A,#N/A,FALSE,"Plan2"}</definedName>
    <definedName name="JZXFKLJLDJF" localSheetId="24" hidden="1">{#N/A,#N/A,FALSE,"Plan1";#N/A,#N/A,FALSE,"Plan2"}</definedName>
    <definedName name="JZXFKLJLDJF" localSheetId="7" hidden="1">{#N/A,#N/A,FALSE,"Plan1";#N/A,#N/A,FALSE,"Plan2"}</definedName>
    <definedName name="JZXFKLJLDJF" localSheetId="9" hidden="1">{#N/A,#N/A,FALSE,"Plan1";#N/A,#N/A,FALSE,"Plan2"}</definedName>
    <definedName name="JZXFKLJLDJF" localSheetId="3" hidden="1">{#N/A,#N/A,FALSE,"Plan1";#N/A,#N/A,FALSE,"Plan2"}</definedName>
    <definedName name="JZXFKLJLDJF" localSheetId="2" hidden="1">{#N/A,#N/A,FALSE,"Plan1";#N/A,#N/A,FALSE,"Plan2"}</definedName>
    <definedName name="JZXFKLJLDJF" localSheetId="16" hidden="1">{#N/A,#N/A,FALSE,"Plan1";#N/A,#N/A,FALSE,"Plan2"}</definedName>
    <definedName name="JZXFKLJLDJF" localSheetId="0" hidden="1">{#N/A,#N/A,FALSE,"Plan1";#N/A,#N/A,FALSE,"Plan2"}</definedName>
    <definedName name="JZXFKLJLDJF" localSheetId="26" hidden="1">{#N/A,#N/A,FALSE,"Plan1";#N/A,#N/A,FALSE,"Plan2"}</definedName>
    <definedName name="JZXFKLJLDJF" localSheetId="11" hidden="1">{#N/A,#N/A,FALSE,"Plan1";#N/A,#N/A,FALSE,"Plan2"}</definedName>
    <definedName name="JZXFKLJLDJF" hidden="1">{#N/A,#N/A,FALSE,"Plan1";#N/A,#N/A,FALSE,"Plan2"}</definedName>
    <definedName name="jzxklfdlvgfg" localSheetId="24" hidden="1">{#N/A,#N/A,FALSE,"Plan1";#N/A,#N/A,FALSE,"Plan2"}</definedName>
    <definedName name="jzxklfdlvgfg" localSheetId="7" hidden="1">{#N/A,#N/A,FALSE,"Plan1";#N/A,#N/A,FALSE,"Plan2"}</definedName>
    <definedName name="jzxklfdlvgfg" localSheetId="9" hidden="1">{#N/A,#N/A,FALSE,"Plan1";#N/A,#N/A,FALSE,"Plan2"}</definedName>
    <definedName name="jzxklfdlvgfg" localSheetId="3" hidden="1">{#N/A,#N/A,FALSE,"Plan1";#N/A,#N/A,FALSE,"Plan2"}</definedName>
    <definedName name="jzxklfdlvgfg" localSheetId="2" hidden="1">{#N/A,#N/A,FALSE,"Plan1";#N/A,#N/A,FALSE,"Plan2"}</definedName>
    <definedName name="jzxklfdlvgfg" localSheetId="16" hidden="1">{#N/A,#N/A,FALSE,"Plan1";#N/A,#N/A,FALSE,"Plan2"}</definedName>
    <definedName name="jzxklfdlvgfg" localSheetId="0" hidden="1">{#N/A,#N/A,FALSE,"Plan1";#N/A,#N/A,FALSE,"Plan2"}</definedName>
    <definedName name="jzxklfdlvgfg" localSheetId="26" hidden="1">{#N/A,#N/A,FALSE,"Plan1";#N/A,#N/A,FALSE,"Plan2"}</definedName>
    <definedName name="jzxklfdlvgfg" localSheetId="11" hidden="1">{#N/A,#N/A,FALSE,"Plan1";#N/A,#N/A,FALSE,"Plan2"}</definedName>
    <definedName name="jzxklfdlvgfg" hidden="1">{#N/A,#N/A,FALSE,"Plan1";#N/A,#N/A,FALSE,"Plan2"}</definedName>
    <definedName name="k" localSheetId="24" hidden="1">{#N/A,#N/A,FALSE,"Plan1";#N/A,#N/A,FALSE,"Plan2"}</definedName>
    <definedName name="k" localSheetId="7" hidden="1">{#N/A,#N/A,FALSE,"Plan1";#N/A,#N/A,FALSE,"Plan2"}</definedName>
    <definedName name="k" localSheetId="9" hidden="1">{#N/A,#N/A,FALSE,"Plan1";#N/A,#N/A,FALSE,"Plan2"}</definedName>
    <definedName name="k" localSheetId="3" hidden="1">{#N/A,#N/A,FALSE,"Plan1";#N/A,#N/A,FALSE,"Plan2"}</definedName>
    <definedName name="k" localSheetId="2" hidden="1">{#N/A,#N/A,FALSE,"Plan1";#N/A,#N/A,FALSE,"Plan2"}</definedName>
    <definedName name="k" localSheetId="16" hidden="1">{#N/A,#N/A,FALSE,"Plan1";#N/A,#N/A,FALSE,"Plan2"}</definedName>
    <definedName name="k" localSheetId="0" hidden="1">{#N/A,#N/A,FALSE,"Plan1";#N/A,#N/A,FALSE,"Plan2"}</definedName>
    <definedName name="k" localSheetId="26" hidden="1">{#N/A,#N/A,FALSE,"Plan1";#N/A,#N/A,FALSE,"Plan2"}</definedName>
    <definedName name="k" localSheetId="11" hidden="1">{#N/A,#N/A,FALSE,"Plan1";#N/A,#N/A,FALSE,"Plan2"}</definedName>
    <definedName name="k" hidden="1">{#N/A,#N/A,FALSE,"Plan1";#N/A,#N/A,FALSE,"Plan2"}</definedName>
    <definedName name="K_1" localSheetId="24">#REF!</definedName>
    <definedName name="K_1" localSheetId="7">#REF!</definedName>
    <definedName name="K_1" localSheetId="3">#REF!</definedName>
    <definedName name="K_1" localSheetId="26">#REF!</definedName>
    <definedName name="K_1">#REF!</definedName>
    <definedName name="kaedkroswr" localSheetId="24" hidden="1">{"Econ Consolidado",#N/A,FALSE,"Econ Consol";"Fluxo de Caixa",#N/A,FALSE,"Fluxo Caixa";"Investimentos",#N/A,FALSE,"Investimentos"}</definedName>
    <definedName name="kaedkroswr" localSheetId="7" hidden="1">{"Econ Consolidado",#N/A,FALSE,"Econ Consol";"Fluxo de Caixa",#N/A,FALSE,"Fluxo Caixa";"Investimentos",#N/A,FALSE,"Investimentos"}</definedName>
    <definedName name="kaedkroswr" localSheetId="9" hidden="1">{"Econ Consolidado",#N/A,FALSE,"Econ Consol";"Fluxo de Caixa",#N/A,FALSE,"Fluxo Caixa";"Investimentos",#N/A,FALSE,"Investimentos"}</definedName>
    <definedName name="kaedkroswr" localSheetId="3" hidden="1">{"Econ Consolidado",#N/A,FALSE,"Econ Consol";"Fluxo de Caixa",#N/A,FALSE,"Fluxo Caixa";"Investimentos",#N/A,FALSE,"Investimentos"}</definedName>
    <definedName name="kaedkroswr" localSheetId="2" hidden="1">{"Econ Consolidado",#N/A,FALSE,"Econ Consol";"Fluxo de Caixa",#N/A,FALSE,"Fluxo Caixa";"Investimentos",#N/A,FALSE,"Investimentos"}</definedName>
    <definedName name="kaedkroswr" localSheetId="16" hidden="1">{"Econ Consolidado",#N/A,FALSE,"Econ Consol";"Fluxo de Caixa",#N/A,FALSE,"Fluxo Caixa";"Investimentos",#N/A,FALSE,"Investimentos"}</definedName>
    <definedName name="kaedkroswr" localSheetId="0" hidden="1">{"Econ Consolidado",#N/A,FALSE,"Econ Consol";"Fluxo de Caixa",#N/A,FALSE,"Fluxo Caixa";"Investimentos",#N/A,FALSE,"Investimentos"}</definedName>
    <definedName name="kaedkroswr" localSheetId="26" hidden="1">{"Econ Consolidado",#N/A,FALSE,"Econ Consol";"Fluxo de Caixa",#N/A,FALSE,"Fluxo Caixa";"Investimentos",#N/A,FALSE,"Investimentos"}</definedName>
    <definedName name="kaedkroswr" localSheetId="11" hidden="1">{"Econ Consolidado",#N/A,FALSE,"Econ Consol";"Fluxo de Caixa",#N/A,FALSE,"Fluxo Caixa";"Investimentos",#N/A,FALSE,"Investimentos"}</definedName>
    <definedName name="kaedkroswr" hidden="1">{"Econ Consolidado",#N/A,FALSE,"Econ Consol";"Fluxo de Caixa",#N/A,FALSE,"Fluxo Caixa";"Investimentos",#N/A,FALSE,"Investimentos"}</definedName>
    <definedName name="kapa" localSheetId="24">#REF!</definedName>
    <definedName name="kapa" localSheetId="7">#REF!</definedName>
    <definedName name="kapa" localSheetId="3">#REF!</definedName>
    <definedName name="kapa" localSheetId="26">#REF!</definedName>
    <definedName name="kapa">#REF!</definedName>
    <definedName name="kç\lKçaksdçaqew" localSheetId="24" hidden="1">{#N/A,#N/A,FALSE,"Plan1";#N/A,#N/A,FALSE,"Plan2"}</definedName>
    <definedName name="kç\lKçaksdçaqew" localSheetId="7" hidden="1">{#N/A,#N/A,FALSE,"Plan1";#N/A,#N/A,FALSE,"Plan2"}</definedName>
    <definedName name="kç\lKçaksdçaqew" localSheetId="9" hidden="1">{#N/A,#N/A,FALSE,"Plan1";#N/A,#N/A,FALSE,"Plan2"}</definedName>
    <definedName name="kç\lKçaksdçaqew" localSheetId="3" hidden="1">{#N/A,#N/A,FALSE,"Plan1";#N/A,#N/A,FALSE,"Plan2"}</definedName>
    <definedName name="kç\lKçaksdçaqew" localSheetId="2" hidden="1">{#N/A,#N/A,FALSE,"Plan1";#N/A,#N/A,FALSE,"Plan2"}</definedName>
    <definedName name="kç\lKçaksdçaqew" localSheetId="16" hidden="1">{#N/A,#N/A,FALSE,"Plan1";#N/A,#N/A,FALSE,"Plan2"}</definedName>
    <definedName name="kç\lKçaksdçaqew" localSheetId="0" hidden="1">{#N/A,#N/A,FALSE,"Plan1";#N/A,#N/A,FALSE,"Plan2"}</definedName>
    <definedName name="kç\lKçaksdçaqew" localSheetId="26" hidden="1">{#N/A,#N/A,FALSE,"Plan1";#N/A,#N/A,FALSE,"Plan2"}</definedName>
    <definedName name="kç\lKçaksdçaqew" localSheetId="11" hidden="1">{#N/A,#N/A,FALSE,"Plan1";#N/A,#N/A,FALSE,"Plan2"}</definedName>
    <definedName name="kç\lKçaksdçaqew" hidden="1">{#N/A,#N/A,FALSE,"Plan1";#N/A,#N/A,FALSE,"Plan2"}</definedName>
    <definedName name="kçdasekr" localSheetId="24" hidden="1">{#N/A,#N/A,FALSE,"Plan1";#N/A,#N/A,FALSE,"Plan2"}</definedName>
    <definedName name="kçdasekr" localSheetId="7" hidden="1">{#N/A,#N/A,FALSE,"Plan1";#N/A,#N/A,FALSE,"Plan2"}</definedName>
    <definedName name="kçdasekr" localSheetId="9" hidden="1">{#N/A,#N/A,FALSE,"Plan1";#N/A,#N/A,FALSE,"Plan2"}</definedName>
    <definedName name="kçdasekr" localSheetId="3" hidden="1">{#N/A,#N/A,FALSE,"Plan1";#N/A,#N/A,FALSE,"Plan2"}</definedName>
    <definedName name="kçdasekr" localSheetId="2" hidden="1">{#N/A,#N/A,FALSE,"Plan1";#N/A,#N/A,FALSE,"Plan2"}</definedName>
    <definedName name="kçdasekr" localSheetId="16" hidden="1">{#N/A,#N/A,FALSE,"Plan1";#N/A,#N/A,FALSE,"Plan2"}</definedName>
    <definedName name="kçdasekr" localSheetId="0" hidden="1">{#N/A,#N/A,FALSE,"Plan1";#N/A,#N/A,FALSE,"Plan2"}</definedName>
    <definedName name="kçdasekr" localSheetId="26" hidden="1">{#N/A,#N/A,FALSE,"Plan1";#N/A,#N/A,FALSE,"Plan2"}</definedName>
    <definedName name="kçdasekr" localSheetId="11" hidden="1">{#N/A,#N/A,FALSE,"Plan1";#N/A,#N/A,FALSE,"Plan2"}</definedName>
    <definedName name="kçdasekr" hidden="1">{#N/A,#N/A,FALSE,"Plan1";#N/A,#N/A,FALSE,"Plan2"}</definedName>
    <definedName name="kçfdljtredr" localSheetId="24" hidden="1">{#N/A,#N/A,FALSE,"Plan1";#N/A,#N/A,FALSE,"Plan2"}</definedName>
    <definedName name="kçfdljtredr" localSheetId="7" hidden="1">{#N/A,#N/A,FALSE,"Plan1";#N/A,#N/A,FALSE,"Plan2"}</definedName>
    <definedName name="kçfdljtredr" localSheetId="9" hidden="1">{#N/A,#N/A,FALSE,"Plan1";#N/A,#N/A,FALSE,"Plan2"}</definedName>
    <definedName name="kçfdljtredr" localSheetId="3" hidden="1">{#N/A,#N/A,FALSE,"Plan1";#N/A,#N/A,FALSE,"Plan2"}</definedName>
    <definedName name="kçfdljtredr" localSheetId="2" hidden="1">{#N/A,#N/A,FALSE,"Plan1";#N/A,#N/A,FALSE,"Plan2"}</definedName>
    <definedName name="kçfdljtredr" localSheetId="16" hidden="1">{#N/A,#N/A,FALSE,"Plan1";#N/A,#N/A,FALSE,"Plan2"}</definedName>
    <definedName name="kçfdljtredr" localSheetId="0" hidden="1">{#N/A,#N/A,FALSE,"Plan1";#N/A,#N/A,FALSE,"Plan2"}</definedName>
    <definedName name="kçfdljtredr" localSheetId="26" hidden="1">{#N/A,#N/A,FALSE,"Plan1";#N/A,#N/A,FALSE,"Plan2"}</definedName>
    <definedName name="kçfdljtredr" localSheetId="11" hidden="1">{#N/A,#N/A,FALSE,"Plan1";#N/A,#N/A,FALSE,"Plan2"}</definedName>
    <definedName name="kçfdljtredr" hidden="1">{#N/A,#N/A,FALSE,"Plan1";#N/A,#N/A,FALSE,"Plan2"}</definedName>
    <definedName name="KCIVIL" localSheetId="24">#REF!</definedName>
    <definedName name="KCIVIL" localSheetId="7">#REF!</definedName>
    <definedName name="KCIVIL" localSheetId="3">#REF!</definedName>
    <definedName name="KCIVIL" localSheetId="26">#REF!</definedName>
    <definedName name="KCIVIL">#REF!</definedName>
    <definedName name="kclçkglf" localSheetId="24" hidden="1">{#N/A,#N/A,FALSE,"Plan1";#N/A,#N/A,FALSE,"Plan2"}</definedName>
    <definedName name="kclçkglf" localSheetId="7" hidden="1">{#N/A,#N/A,FALSE,"Plan1";#N/A,#N/A,FALSE,"Plan2"}</definedName>
    <definedName name="kclçkglf" localSheetId="9" hidden="1">{#N/A,#N/A,FALSE,"Plan1";#N/A,#N/A,FALSE,"Plan2"}</definedName>
    <definedName name="kclçkglf" localSheetId="3" hidden="1">{#N/A,#N/A,FALSE,"Plan1";#N/A,#N/A,FALSE,"Plan2"}</definedName>
    <definedName name="kclçkglf" localSheetId="2" hidden="1">{#N/A,#N/A,FALSE,"Plan1";#N/A,#N/A,FALSE,"Plan2"}</definedName>
    <definedName name="kclçkglf" localSheetId="16" hidden="1">{#N/A,#N/A,FALSE,"Plan1";#N/A,#N/A,FALSE,"Plan2"}</definedName>
    <definedName name="kclçkglf" localSheetId="0" hidden="1">{#N/A,#N/A,FALSE,"Plan1";#N/A,#N/A,FALSE,"Plan2"}</definedName>
    <definedName name="kclçkglf" localSheetId="26" hidden="1">{#N/A,#N/A,FALSE,"Plan1";#N/A,#N/A,FALSE,"Plan2"}</definedName>
    <definedName name="kclçkglf" localSheetId="11" hidden="1">{#N/A,#N/A,FALSE,"Plan1";#N/A,#N/A,FALSE,"Plan2"}</definedName>
    <definedName name="kclçkglf" hidden="1">{#N/A,#N/A,FALSE,"Plan1";#N/A,#N/A,FALSE,"Plan2"}</definedName>
    <definedName name="kçlkasçkere" localSheetId="24" hidden="1">{#N/A,#N/A,FALSE,"Plan1";#N/A,#N/A,FALSE,"Plan2"}</definedName>
    <definedName name="kçlkasçkere" localSheetId="7" hidden="1">{#N/A,#N/A,FALSE,"Plan1";#N/A,#N/A,FALSE,"Plan2"}</definedName>
    <definedName name="kçlkasçkere" localSheetId="9" hidden="1">{#N/A,#N/A,FALSE,"Plan1";#N/A,#N/A,FALSE,"Plan2"}</definedName>
    <definedName name="kçlkasçkere" localSheetId="3" hidden="1">{#N/A,#N/A,FALSE,"Plan1";#N/A,#N/A,FALSE,"Plan2"}</definedName>
    <definedName name="kçlkasçkere" localSheetId="2" hidden="1">{#N/A,#N/A,FALSE,"Plan1";#N/A,#N/A,FALSE,"Plan2"}</definedName>
    <definedName name="kçlkasçkere" localSheetId="16" hidden="1">{#N/A,#N/A,FALSE,"Plan1";#N/A,#N/A,FALSE,"Plan2"}</definedName>
    <definedName name="kçlkasçkere" localSheetId="0" hidden="1">{#N/A,#N/A,FALSE,"Plan1";#N/A,#N/A,FALSE,"Plan2"}</definedName>
    <definedName name="kçlkasçkere" localSheetId="26" hidden="1">{#N/A,#N/A,FALSE,"Plan1";#N/A,#N/A,FALSE,"Plan2"}</definedName>
    <definedName name="kçlkasçkere" localSheetId="11" hidden="1">{#N/A,#N/A,FALSE,"Plan1";#N/A,#N/A,FALSE,"Plan2"}</definedName>
    <definedName name="kçlkasçkere" hidden="1">{#N/A,#N/A,FALSE,"Plan1";#N/A,#N/A,FALSE,"Plan2"}</definedName>
    <definedName name="kdfbngtjkbf" localSheetId="24" hidden="1">{#N/A,#N/A,FALSE,"Plan1";#N/A,#N/A,FALSE,"Plan2"}</definedName>
    <definedName name="kdfbngtjkbf" localSheetId="7" hidden="1">{#N/A,#N/A,FALSE,"Plan1";#N/A,#N/A,FALSE,"Plan2"}</definedName>
    <definedName name="kdfbngtjkbf" localSheetId="9" hidden="1">{#N/A,#N/A,FALSE,"Plan1";#N/A,#N/A,FALSE,"Plan2"}</definedName>
    <definedName name="kdfbngtjkbf" localSheetId="3" hidden="1">{#N/A,#N/A,FALSE,"Plan1";#N/A,#N/A,FALSE,"Plan2"}</definedName>
    <definedName name="kdfbngtjkbf" localSheetId="2" hidden="1">{#N/A,#N/A,FALSE,"Plan1";#N/A,#N/A,FALSE,"Plan2"}</definedName>
    <definedName name="kdfbngtjkbf" localSheetId="16" hidden="1">{#N/A,#N/A,FALSE,"Plan1";#N/A,#N/A,FALSE,"Plan2"}</definedName>
    <definedName name="kdfbngtjkbf" localSheetId="0" hidden="1">{#N/A,#N/A,FALSE,"Plan1";#N/A,#N/A,FALSE,"Plan2"}</definedName>
    <definedName name="kdfbngtjkbf" localSheetId="26" hidden="1">{#N/A,#N/A,FALSE,"Plan1";#N/A,#N/A,FALSE,"Plan2"}</definedName>
    <definedName name="kdfbngtjkbf" localSheetId="11" hidden="1">{#N/A,#N/A,FALSE,"Plan1";#N/A,#N/A,FALSE,"Plan2"}</definedName>
    <definedName name="kdfbngtjkbf" hidden="1">{#N/A,#N/A,FALSE,"Plan1";#N/A,#N/A,FALSE,"Plan2"}</definedName>
    <definedName name="kdfhkghkrh" localSheetId="24" hidden="1">{#N/A,#N/A,FALSE,"Plan1";#N/A,#N/A,FALSE,"Plan2"}</definedName>
    <definedName name="kdfhkghkrh" localSheetId="7" hidden="1">{#N/A,#N/A,FALSE,"Plan1";#N/A,#N/A,FALSE,"Plan2"}</definedName>
    <definedName name="kdfhkghkrh" localSheetId="9" hidden="1">{#N/A,#N/A,FALSE,"Plan1";#N/A,#N/A,FALSE,"Plan2"}</definedName>
    <definedName name="kdfhkghkrh" localSheetId="3" hidden="1">{#N/A,#N/A,FALSE,"Plan1";#N/A,#N/A,FALSE,"Plan2"}</definedName>
    <definedName name="kdfhkghkrh" localSheetId="2" hidden="1">{#N/A,#N/A,FALSE,"Plan1";#N/A,#N/A,FALSE,"Plan2"}</definedName>
    <definedName name="kdfhkghkrh" localSheetId="16" hidden="1">{#N/A,#N/A,FALSE,"Plan1";#N/A,#N/A,FALSE,"Plan2"}</definedName>
    <definedName name="kdfhkghkrh" localSheetId="0" hidden="1">{#N/A,#N/A,FALSE,"Plan1";#N/A,#N/A,FALSE,"Plan2"}</definedName>
    <definedName name="kdfhkghkrh" localSheetId="26" hidden="1">{#N/A,#N/A,FALSE,"Plan1";#N/A,#N/A,FALSE,"Plan2"}</definedName>
    <definedName name="kdfhkghkrh" localSheetId="11" hidden="1">{#N/A,#N/A,FALSE,"Plan1";#N/A,#N/A,FALSE,"Plan2"}</definedName>
    <definedName name="kdfhkghkrh" hidden="1">{#N/A,#N/A,FALSE,"Plan1";#N/A,#N/A,FALSE,"Plan2"}</definedName>
    <definedName name="kdfiere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localSheetId="24" hidden="1">{#N/A,#N/A,FALSE,"Plan1";#N/A,#N/A,FALSE,"Plan2"}</definedName>
    <definedName name="kdfkçrkf" localSheetId="7" hidden="1">{#N/A,#N/A,FALSE,"Plan1";#N/A,#N/A,FALSE,"Plan2"}</definedName>
    <definedName name="kdfkçrkf" localSheetId="9" hidden="1">{#N/A,#N/A,FALSE,"Plan1";#N/A,#N/A,FALSE,"Plan2"}</definedName>
    <definedName name="kdfkçrkf" localSheetId="3" hidden="1">{#N/A,#N/A,FALSE,"Plan1";#N/A,#N/A,FALSE,"Plan2"}</definedName>
    <definedName name="kdfkçrkf" localSheetId="2" hidden="1">{#N/A,#N/A,FALSE,"Plan1";#N/A,#N/A,FALSE,"Plan2"}</definedName>
    <definedName name="kdfkçrkf" localSheetId="16" hidden="1">{#N/A,#N/A,FALSE,"Plan1";#N/A,#N/A,FALSE,"Plan2"}</definedName>
    <definedName name="kdfkçrkf" localSheetId="0" hidden="1">{#N/A,#N/A,FALSE,"Plan1";#N/A,#N/A,FALSE,"Plan2"}</definedName>
    <definedName name="kdfkçrkf" localSheetId="26" hidden="1">{#N/A,#N/A,FALSE,"Plan1";#N/A,#N/A,FALSE,"Plan2"}</definedName>
    <definedName name="kdfkçrkf" localSheetId="11" hidden="1">{#N/A,#N/A,FALSE,"Plan1";#N/A,#N/A,FALSE,"Plan2"}</definedName>
    <definedName name="kdfkçrkf" hidden="1">{#N/A,#N/A,FALSE,"Plan1";#N/A,#N/A,FALSE,"Plan2"}</definedName>
    <definedName name="kdfljlfr" localSheetId="24" hidden="1">{#N/A,#N/A,FALSE,"Plan1";#N/A,#N/A,FALSE,"Plan2"}</definedName>
    <definedName name="kdfljlfr" localSheetId="7" hidden="1">{#N/A,#N/A,FALSE,"Plan1";#N/A,#N/A,FALSE,"Plan2"}</definedName>
    <definedName name="kdfljlfr" localSheetId="9" hidden="1">{#N/A,#N/A,FALSE,"Plan1";#N/A,#N/A,FALSE,"Plan2"}</definedName>
    <definedName name="kdfljlfr" localSheetId="3" hidden="1">{#N/A,#N/A,FALSE,"Plan1";#N/A,#N/A,FALSE,"Plan2"}</definedName>
    <definedName name="kdfljlfr" localSheetId="2" hidden="1">{#N/A,#N/A,FALSE,"Plan1";#N/A,#N/A,FALSE,"Plan2"}</definedName>
    <definedName name="kdfljlfr" localSheetId="16" hidden="1">{#N/A,#N/A,FALSE,"Plan1";#N/A,#N/A,FALSE,"Plan2"}</definedName>
    <definedName name="kdfljlfr" localSheetId="0" hidden="1">{#N/A,#N/A,FALSE,"Plan1";#N/A,#N/A,FALSE,"Plan2"}</definedName>
    <definedName name="kdfljlfr" localSheetId="26" hidden="1">{#N/A,#N/A,FALSE,"Plan1";#N/A,#N/A,FALSE,"Plan2"}</definedName>
    <definedName name="kdfljlfr" localSheetId="11" hidden="1">{#N/A,#N/A,FALSE,"Plan1";#N/A,#N/A,FALSE,"Plan2"}</definedName>
    <definedName name="kdfljlfr" hidden="1">{#N/A,#N/A,FALSE,"Plan1";#N/A,#N/A,FALSE,"Plan2"}</definedName>
    <definedName name="kdhfgkdfhytgu" localSheetId="24" hidden="1">{#N/A,#N/A,FALSE,"Plan1";#N/A,#N/A,FALSE,"Plan2"}</definedName>
    <definedName name="kdhfgkdfhytgu" localSheetId="7" hidden="1">{#N/A,#N/A,FALSE,"Plan1";#N/A,#N/A,FALSE,"Plan2"}</definedName>
    <definedName name="kdhfgkdfhytgu" localSheetId="9" hidden="1">{#N/A,#N/A,FALSE,"Plan1";#N/A,#N/A,FALSE,"Plan2"}</definedName>
    <definedName name="kdhfgkdfhytgu" localSheetId="3" hidden="1">{#N/A,#N/A,FALSE,"Plan1";#N/A,#N/A,FALSE,"Plan2"}</definedName>
    <definedName name="kdhfgkdfhytgu" localSheetId="2" hidden="1">{#N/A,#N/A,FALSE,"Plan1";#N/A,#N/A,FALSE,"Plan2"}</definedName>
    <definedName name="kdhfgkdfhytgu" localSheetId="16" hidden="1">{#N/A,#N/A,FALSE,"Plan1";#N/A,#N/A,FALSE,"Plan2"}</definedName>
    <definedName name="kdhfgkdfhytgu" localSheetId="0" hidden="1">{#N/A,#N/A,FALSE,"Plan1";#N/A,#N/A,FALSE,"Plan2"}</definedName>
    <definedName name="kdhfgkdfhytgu" localSheetId="26" hidden="1">{#N/A,#N/A,FALSE,"Plan1";#N/A,#N/A,FALSE,"Plan2"}</definedName>
    <definedName name="kdhfgkdfhytgu" localSheetId="11" hidden="1">{#N/A,#N/A,FALSE,"Plan1";#N/A,#N/A,FALSE,"Plan2"}</definedName>
    <definedName name="kdhfgkdfhytgu" hidden="1">{#N/A,#N/A,FALSE,"Plan1";#N/A,#N/A,FALSE,"Plan2"}</definedName>
    <definedName name="kdhgftfg" localSheetId="24" hidden="1">{#N/A,#N/A,FALSE,"Plan1";#N/A,#N/A,FALSE,"Plan2"}</definedName>
    <definedName name="kdhgftfg" localSheetId="7" hidden="1">{#N/A,#N/A,FALSE,"Plan1";#N/A,#N/A,FALSE,"Plan2"}</definedName>
    <definedName name="kdhgftfg" localSheetId="9" hidden="1">{#N/A,#N/A,FALSE,"Plan1";#N/A,#N/A,FALSE,"Plan2"}</definedName>
    <definedName name="kdhgftfg" localSheetId="3" hidden="1">{#N/A,#N/A,FALSE,"Plan1";#N/A,#N/A,FALSE,"Plan2"}</definedName>
    <definedName name="kdhgftfg" localSheetId="2" hidden="1">{#N/A,#N/A,FALSE,"Plan1";#N/A,#N/A,FALSE,"Plan2"}</definedName>
    <definedName name="kdhgftfg" localSheetId="16" hidden="1">{#N/A,#N/A,FALSE,"Plan1";#N/A,#N/A,FALSE,"Plan2"}</definedName>
    <definedName name="kdhgftfg" localSheetId="0" hidden="1">{#N/A,#N/A,FALSE,"Plan1";#N/A,#N/A,FALSE,"Plan2"}</definedName>
    <definedName name="kdhgftfg" localSheetId="26" hidden="1">{#N/A,#N/A,FALSE,"Plan1";#N/A,#N/A,FALSE,"Plan2"}</definedName>
    <definedName name="kdhgftfg" localSheetId="11" hidden="1">{#N/A,#N/A,FALSE,"Plan1";#N/A,#N/A,FALSE,"Plan2"}</definedName>
    <definedName name="kdhgftfg" hidden="1">{#N/A,#N/A,FALSE,"Plan1";#N/A,#N/A,FALSE,"Plan2"}</definedName>
    <definedName name="KDHKFGKKHGF" localSheetId="24" hidden="1">{#N/A,#N/A,FALSE,"Plan1";#N/A,#N/A,FALSE,"Plan2"}</definedName>
    <definedName name="KDHKFGKKHGF" localSheetId="7" hidden="1">{#N/A,#N/A,FALSE,"Plan1";#N/A,#N/A,FALSE,"Plan2"}</definedName>
    <definedName name="KDHKFGKKHGF" localSheetId="9" hidden="1">{#N/A,#N/A,FALSE,"Plan1";#N/A,#N/A,FALSE,"Plan2"}</definedName>
    <definedName name="KDHKFGKKHGF" localSheetId="3" hidden="1">{#N/A,#N/A,FALSE,"Plan1";#N/A,#N/A,FALSE,"Plan2"}</definedName>
    <definedName name="KDHKFGKKHGF" localSheetId="2" hidden="1">{#N/A,#N/A,FALSE,"Plan1";#N/A,#N/A,FALSE,"Plan2"}</definedName>
    <definedName name="KDHKFGKKHGF" localSheetId="16" hidden="1">{#N/A,#N/A,FALSE,"Plan1";#N/A,#N/A,FALSE,"Plan2"}</definedName>
    <definedName name="KDHKFGKKHGF" localSheetId="0" hidden="1">{#N/A,#N/A,FALSE,"Plan1";#N/A,#N/A,FALSE,"Plan2"}</definedName>
    <definedName name="KDHKFGKKHGF" localSheetId="26" hidden="1">{#N/A,#N/A,FALSE,"Plan1";#N/A,#N/A,FALSE,"Plan2"}</definedName>
    <definedName name="KDHKFGKKHGF" localSheetId="11" hidden="1">{#N/A,#N/A,FALSE,"Plan1";#N/A,#N/A,FALSE,"Plan2"}</definedName>
    <definedName name="KDHKFGKKHGF" hidden="1">{#N/A,#N/A,FALSE,"Plan1";#N/A,#N/A,FALSE,"Plan2"}</definedName>
    <definedName name="kdjfdr" localSheetId="7" hidden="1">#REF!</definedName>
    <definedName name="kdjfdr" localSheetId="3" hidden="1">#REF!</definedName>
    <definedName name="kdjfdr" localSheetId="0" hidden="1">#REF!</definedName>
    <definedName name="kdjfdr" hidden="1">#REF!</definedName>
    <definedName name="kdjgkfjgd" localSheetId="24" hidden="1">{#N/A,#N/A,FALSE,"Plan1";#N/A,#N/A,FALSE,"Plan2"}</definedName>
    <definedName name="kdjgkfjgd" localSheetId="7" hidden="1">{#N/A,#N/A,FALSE,"Plan1";#N/A,#N/A,FALSE,"Plan2"}</definedName>
    <definedName name="kdjgkfjgd" localSheetId="9" hidden="1">{#N/A,#N/A,FALSE,"Plan1";#N/A,#N/A,FALSE,"Plan2"}</definedName>
    <definedName name="kdjgkfjgd" localSheetId="3" hidden="1">{#N/A,#N/A,FALSE,"Plan1";#N/A,#N/A,FALSE,"Plan2"}</definedName>
    <definedName name="kdjgkfjgd" localSheetId="2" hidden="1">{#N/A,#N/A,FALSE,"Plan1";#N/A,#N/A,FALSE,"Plan2"}</definedName>
    <definedName name="kdjgkfjgd" localSheetId="16" hidden="1">{#N/A,#N/A,FALSE,"Plan1";#N/A,#N/A,FALSE,"Plan2"}</definedName>
    <definedName name="kdjgkfjgd" localSheetId="0" hidden="1">{#N/A,#N/A,FALSE,"Plan1";#N/A,#N/A,FALSE,"Plan2"}</definedName>
    <definedName name="kdjgkfjgd" localSheetId="26" hidden="1">{#N/A,#N/A,FALSE,"Plan1";#N/A,#N/A,FALSE,"Plan2"}</definedName>
    <definedName name="kdjgkfjgd" localSheetId="11" hidden="1">{#N/A,#N/A,FALSE,"Plan1";#N/A,#N/A,FALSE,"Plan2"}</definedName>
    <definedName name="kdjgkfjgd" hidden="1">{#N/A,#N/A,FALSE,"Plan1";#N/A,#N/A,FALSE,"Plan2"}</definedName>
    <definedName name="kdjglkdlgjd" localSheetId="24" hidden="1">{#N/A,#N/A,FALSE,"Plan1";#N/A,#N/A,FALSE,"Plan2"}</definedName>
    <definedName name="kdjglkdlgjd" localSheetId="7" hidden="1">{#N/A,#N/A,FALSE,"Plan1";#N/A,#N/A,FALSE,"Plan2"}</definedName>
    <definedName name="kdjglkdlgjd" localSheetId="9" hidden="1">{#N/A,#N/A,FALSE,"Plan1";#N/A,#N/A,FALSE,"Plan2"}</definedName>
    <definedName name="kdjglkdlgjd" localSheetId="3" hidden="1">{#N/A,#N/A,FALSE,"Plan1";#N/A,#N/A,FALSE,"Plan2"}</definedName>
    <definedName name="kdjglkdlgjd" localSheetId="2" hidden="1">{#N/A,#N/A,FALSE,"Plan1";#N/A,#N/A,FALSE,"Plan2"}</definedName>
    <definedName name="kdjglkdlgjd" localSheetId="16" hidden="1">{#N/A,#N/A,FALSE,"Plan1";#N/A,#N/A,FALSE,"Plan2"}</definedName>
    <definedName name="kdjglkdlgjd" localSheetId="0" hidden="1">{#N/A,#N/A,FALSE,"Plan1";#N/A,#N/A,FALSE,"Plan2"}</definedName>
    <definedName name="kdjglkdlgjd" localSheetId="26" hidden="1">{#N/A,#N/A,FALSE,"Plan1";#N/A,#N/A,FALSE,"Plan2"}</definedName>
    <definedName name="kdjglkdlgjd" localSheetId="11" hidden="1">{#N/A,#N/A,FALSE,"Plan1";#N/A,#N/A,FALSE,"Plan2"}</definedName>
    <definedName name="kdjglkdlgjd" hidden="1">{#N/A,#N/A,FALSE,"Plan1";#N/A,#N/A,FALSE,"Plan2"}</definedName>
    <definedName name="kdjsfkldjgkty" localSheetId="24" hidden="1">{#N/A,#N/A,FALSE,"Plan1";#N/A,#N/A,FALSE,"Plan2"}</definedName>
    <definedName name="kdjsfkldjgkty" localSheetId="7" hidden="1">{#N/A,#N/A,FALSE,"Plan1";#N/A,#N/A,FALSE,"Plan2"}</definedName>
    <definedName name="kdjsfkldjgkty" localSheetId="9" hidden="1">{#N/A,#N/A,FALSE,"Plan1";#N/A,#N/A,FALSE,"Plan2"}</definedName>
    <definedName name="kdjsfkldjgkty" localSheetId="3" hidden="1">{#N/A,#N/A,FALSE,"Plan1";#N/A,#N/A,FALSE,"Plan2"}</definedName>
    <definedName name="kdjsfkldjgkty" localSheetId="2" hidden="1">{#N/A,#N/A,FALSE,"Plan1";#N/A,#N/A,FALSE,"Plan2"}</definedName>
    <definedName name="kdjsfkldjgkty" localSheetId="16" hidden="1">{#N/A,#N/A,FALSE,"Plan1";#N/A,#N/A,FALSE,"Plan2"}</definedName>
    <definedName name="kdjsfkldjgkty" localSheetId="0" hidden="1">{#N/A,#N/A,FALSE,"Plan1";#N/A,#N/A,FALSE,"Plan2"}</definedName>
    <definedName name="kdjsfkldjgkty" localSheetId="26" hidden="1">{#N/A,#N/A,FALSE,"Plan1";#N/A,#N/A,FALSE,"Plan2"}</definedName>
    <definedName name="kdjsfkldjgkty" localSheetId="11" hidden="1">{#N/A,#N/A,FALSE,"Plan1";#N/A,#N/A,FALSE,"Plan2"}</definedName>
    <definedName name="kdjsfkldjgkty" hidden="1">{#N/A,#N/A,FALSE,"Plan1";#N/A,#N/A,FALSE,"Plan2"}</definedName>
    <definedName name="KDJU" localSheetId="24" hidden="1">{"'장비'!$A$3:$M$12"}</definedName>
    <definedName name="KDJU" localSheetId="7" hidden="1">{"'장비'!$A$3:$M$12"}</definedName>
    <definedName name="KDJU" localSheetId="9" hidden="1">{"'장비'!$A$3:$M$12"}</definedName>
    <definedName name="KDJU" localSheetId="3" hidden="1">{"'장비'!$A$3:$M$12"}</definedName>
    <definedName name="KDJU" localSheetId="2" hidden="1">{"'장비'!$A$3:$M$12"}</definedName>
    <definedName name="KDJU" localSheetId="16" hidden="1">{"'장비'!$A$3:$M$12"}</definedName>
    <definedName name="KDJU" localSheetId="0" hidden="1">{"'장비'!$A$3:$M$12"}</definedName>
    <definedName name="KDJU" localSheetId="26" hidden="1">{"'장비'!$A$3:$M$12"}</definedName>
    <definedName name="KDJU" localSheetId="11" hidden="1">{"'장비'!$A$3:$M$12"}</definedName>
    <definedName name="KDJU" hidden="1">{"'장비'!$A$3:$M$12"}</definedName>
    <definedName name="kdkjhgdkfhjk" localSheetId="24" hidden="1">{#N/A,#N/A,FALSE,"Plan1";#N/A,#N/A,FALSE,"Plan2"}</definedName>
    <definedName name="kdkjhgdkfhjk" localSheetId="7" hidden="1">{#N/A,#N/A,FALSE,"Plan1";#N/A,#N/A,FALSE,"Plan2"}</definedName>
    <definedName name="kdkjhgdkfhjk" localSheetId="9" hidden="1">{#N/A,#N/A,FALSE,"Plan1";#N/A,#N/A,FALSE,"Plan2"}</definedName>
    <definedName name="kdkjhgdkfhjk" localSheetId="3" hidden="1">{#N/A,#N/A,FALSE,"Plan1";#N/A,#N/A,FALSE,"Plan2"}</definedName>
    <definedName name="kdkjhgdkfhjk" localSheetId="2" hidden="1">{#N/A,#N/A,FALSE,"Plan1";#N/A,#N/A,FALSE,"Plan2"}</definedName>
    <definedName name="kdkjhgdkfhjk" localSheetId="16" hidden="1">{#N/A,#N/A,FALSE,"Plan1";#N/A,#N/A,FALSE,"Plan2"}</definedName>
    <definedName name="kdkjhgdkfhjk" localSheetId="0" hidden="1">{#N/A,#N/A,FALSE,"Plan1";#N/A,#N/A,FALSE,"Plan2"}</definedName>
    <definedName name="kdkjhgdkfhjk" localSheetId="26" hidden="1">{#N/A,#N/A,FALSE,"Plan1";#N/A,#N/A,FALSE,"Plan2"}</definedName>
    <definedName name="kdkjhgdkfhjk" localSheetId="11" hidden="1">{#N/A,#N/A,FALSE,"Plan1";#N/A,#N/A,FALSE,"Plan2"}</definedName>
    <definedName name="kdkjhgdkfhjk" hidden="1">{#N/A,#N/A,FALSE,"Plan1";#N/A,#N/A,FALSE,"Plan2"}</definedName>
    <definedName name="kdsf" localSheetId="24" hidden="1">{#N/A,#N/A,FALSE,"Plan1";#N/A,#N/A,FALSE,"Plan2"}</definedName>
    <definedName name="kdsf" localSheetId="7" hidden="1">{#N/A,#N/A,FALSE,"Plan1";#N/A,#N/A,FALSE,"Plan2"}</definedName>
    <definedName name="kdsf" localSheetId="9" hidden="1">{#N/A,#N/A,FALSE,"Plan1";#N/A,#N/A,FALSE,"Plan2"}</definedName>
    <definedName name="kdsf" localSheetId="3" hidden="1">{#N/A,#N/A,FALSE,"Plan1";#N/A,#N/A,FALSE,"Plan2"}</definedName>
    <definedName name="kdsf" localSheetId="2" hidden="1">{#N/A,#N/A,FALSE,"Plan1";#N/A,#N/A,FALSE,"Plan2"}</definedName>
    <definedName name="kdsf" localSheetId="16" hidden="1">{#N/A,#N/A,FALSE,"Plan1";#N/A,#N/A,FALSE,"Plan2"}</definedName>
    <definedName name="kdsf" localSheetId="0" hidden="1">{#N/A,#N/A,FALSE,"Plan1";#N/A,#N/A,FALSE,"Plan2"}</definedName>
    <definedName name="kdsf" localSheetId="26" hidden="1">{#N/A,#N/A,FALSE,"Plan1";#N/A,#N/A,FALSE,"Plan2"}</definedName>
    <definedName name="kdsf" localSheetId="11" hidden="1">{#N/A,#N/A,FALSE,"Plan1";#N/A,#N/A,FALSE,"Plan2"}</definedName>
    <definedName name="kdsf" hidden="1">{#N/A,#N/A,FALSE,"Plan1";#N/A,#N/A,FALSE,"Plan2"}</definedName>
    <definedName name="kdsr" localSheetId="24" hidden="1">{#N/A,#N/A,FALSE,"Plan1";#N/A,#N/A,FALSE,"Plan2"}</definedName>
    <definedName name="kdsr" localSheetId="7" hidden="1">{#N/A,#N/A,FALSE,"Plan1";#N/A,#N/A,FALSE,"Plan2"}</definedName>
    <definedName name="kdsr" localSheetId="9" hidden="1">{#N/A,#N/A,FALSE,"Plan1";#N/A,#N/A,FALSE,"Plan2"}</definedName>
    <definedName name="kdsr" localSheetId="3" hidden="1">{#N/A,#N/A,FALSE,"Plan1";#N/A,#N/A,FALSE,"Plan2"}</definedName>
    <definedName name="kdsr" localSheetId="2" hidden="1">{#N/A,#N/A,FALSE,"Plan1";#N/A,#N/A,FALSE,"Plan2"}</definedName>
    <definedName name="kdsr" localSheetId="16" hidden="1">{#N/A,#N/A,FALSE,"Plan1";#N/A,#N/A,FALSE,"Plan2"}</definedName>
    <definedName name="kdsr" localSheetId="0" hidden="1">{#N/A,#N/A,FALSE,"Plan1";#N/A,#N/A,FALSE,"Plan2"}</definedName>
    <definedName name="kdsr" localSheetId="26" hidden="1">{#N/A,#N/A,FALSE,"Plan1";#N/A,#N/A,FALSE,"Plan2"}</definedName>
    <definedName name="kdsr" localSheetId="11" hidden="1">{#N/A,#N/A,FALSE,"Plan1";#N/A,#N/A,FALSE,"Plan2"}</definedName>
    <definedName name="kdsr" hidden="1">{#N/A,#N/A,FALSE,"Plan1";#N/A,#N/A,FALSE,"Plan2"}</definedName>
    <definedName name="kergtfdstr" localSheetId="24" hidden="1">{#N/A,#N/A,FALSE,"Plan1";#N/A,#N/A,FALSE,"Plan2"}</definedName>
    <definedName name="kergtfdstr" localSheetId="7" hidden="1">{#N/A,#N/A,FALSE,"Plan1";#N/A,#N/A,FALSE,"Plan2"}</definedName>
    <definedName name="kergtfdstr" localSheetId="9" hidden="1">{#N/A,#N/A,FALSE,"Plan1";#N/A,#N/A,FALSE,"Plan2"}</definedName>
    <definedName name="kergtfdstr" localSheetId="3" hidden="1">{#N/A,#N/A,FALSE,"Plan1";#N/A,#N/A,FALSE,"Plan2"}</definedName>
    <definedName name="kergtfdstr" localSheetId="2" hidden="1">{#N/A,#N/A,FALSE,"Plan1";#N/A,#N/A,FALSE,"Plan2"}</definedName>
    <definedName name="kergtfdstr" localSheetId="16" hidden="1">{#N/A,#N/A,FALSE,"Plan1";#N/A,#N/A,FALSE,"Plan2"}</definedName>
    <definedName name="kergtfdstr" localSheetId="0" hidden="1">{#N/A,#N/A,FALSE,"Plan1";#N/A,#N/A,FALSE,"Plan2"}</definedName>
    <definedName name="kergtfdstr" localSheetId="26" hidden="1">{#N/A,#N/A,FALSE,"Plan1";#N/A,#N/A,FALSE,"Plan2"}</definedName>
    <definedName name="kergtfdstr" localSheetId="11" hidden="1">{#N/A,#N/A,FALSE,"Plan1";#N/A,#N/A,FALSE,"Plan2"}</definedName>
    <definedName name="kergtfdstr" hidden="1">{#N/A,#N/A,FALSE,"Plan1";#N/A,#N/A,FALSE,"Plan2"}</definedName>
    <definedName name="kesp" localSheetId="24">#REF!</definedName>
    <definedName name="kesp" localSheetId="7">#REF!</definedName>
    <definedName name="kesp" localSheetId="3">#REF!</definedName>
    <definedName name="kesp" localSheetId="26">#REF!</definedName>
    <definedName name="kesp">#REF!</definedName>
    <definedName name="KFDKTHGT" localSheetId="24" hidden="1">{#N/A,#N/A,FALSE,"Plan1";#N/A,#N/A,FALSE,"Plan2"}</definedName>
    <definedName name="KFDKTHGT" localSheetId="7" hidden="1">{#N/A,#N/A,FALSE,"Plan1";#N/A,#N/A,FALSE,"Plan2"}</definedName>
    <definedName name="KFDKTHGT" localSheetId="9" hidden="1">{#N/A,#N/A,FALSE,"Plan1";#N/A,#N/A,FALSE,"Plan2"}</definedName>
    <definedName name="KFDKTHGT" localSheetId="3" hidden="1">{#N/A,#N/A,FALSE,"Plan1";#N/A,#N/A,FALSE,"Plan2"}</definedName>
    <definedName name="KFDKTHGT" localSheetId="2" hidden="1">{#N/A,#N/A,FALSE,"Plan1";#N/A,#N/A,FALSE,"Plan2"}</definedName>
    <definedName name="KFDKTHGT" localSheetId="16" hidden="1">{#N/A,#N/A,FALSE,"Plan1";#N/A,#N/A,FALSE,"Plan2"}</definedName>
    <definedName name="KFDKTHGT" localSheetId="0" hidden="1">{#N/A,#N/A,FALSE,"Plan1";#N/A,#N/A,FALSE,"Plan2"}</definedName>
    <definedName name="KFDKTHGT" localSheetId="26" hidden="1">{#N/A,#N/A,FALSE,"Plan1";#N/A,#N/A,FALSE,"Plan2"}</definedName>
    <definedName name="KFDKTHGT" localSheetId="11" hidden="1">{#N/A,#N/A,FALSE,"Plan1";#N/A,#N/A,FALSE,"Plan2"}</definedName>
    <definedName name="KFDKTHGT" hidden="1">{#N/A,#N/A,FALSE,"Plan1";#N/A,#N/A,FALSE,"Plan2"}</definedName>
    <definedName name="kfdxlfdzs" localSheetId="24" hidden="1">{"Econ Consolidado",#N/A,FALSE,"Econ Consol";"Fluxo de Caixa",#N/A,FALSE,"Fluxo Caixa";"Investimentos",#N/A,FALSE,"Investimentos"}</definedName>
    <definedName name="kfdxlfdzs" localSheetId="7" hidden="1">{"Econ Consolidado",#N/A,FALSE,"Econ Consol";"Fluxo de Caixa",#N/A,FALSE,"Fluxo Caixa";"Investimentos",#N/A,FALSE,"Investimentos"}</definedName>
    <definedName name="kfdxlfdzs" localSheetId="9" hidden="1">{"Econ Consolidado",#N/A,FALSE,"Econ Consol";"Fluxo de Caixa",#N/A,FALSE,"Fluxo Caixa";"Investimentos",#N/A,FALSE,"Investimentos"}</definedName>
    <definedName name="kfdxlfdzs" localSheetId="3" hidden="1">{"Econ Consolidado",#N/A,FALSE,"Econ Consol";"Fluxo de Caixa",#N/A,FALSE,"Fluxo Caixa";"Investimentos",#N/A,FALSE,"Investimentos"}</definedName>
    <definedName name="kfdxlfdzs" localSheetId="2" hidden="1">{"Econ Consolidado",#N/A,FALSE,"Econ Consol";"Fluxo de Caixa",#N/A,FALSE,"Fluxo Caixa";"Investimentos",#N/A,FALSE,"Investimentos"}</definedName>
    <definedName name="kfdxlfdzs" localSheetId="16" hidden="1">{"Econ Consolidado",#N/A,FALSE,"Econ Consol";"Fluxo de Caixa",#N/A,FALSE,"Fluxo Caixa";"Investimentos",#N/A,FALSE,"Investimentos"}</definedName>
    <definedName name="kfdxlfdzs" localSheetId="0" hidden="1">{"Econ Consolidado",#N/A,FALSE,"Econ Consol";"Fluxo de Caixa",#N/A,FALSE,"Fluxo Caixa";"Investimentos",#N/A,FALSE,"Investimentos"}</definedName>
    <definedName name="kfdxlfdzs" localSheetId="26" hidden="1">{"Econ Consolidado",#N/A,FALSE,"Econ Consol";"Fluxo de Caixa",#N/A,FALSE,"Fluxo Caixa";"Investimentos",#N/A,FALSE,"Investimentos"}</definedName>
    <definedName name="kfdxlfdzs" localSheetId="11" hidden="1">{"Econ Consolidado",#N/A,FALSE,"Econ Consol";"Fluxo de Caixa",#N/A,FALSE,"Fluxo Caixa";"Investimentos",#N/A,FALSE,"Investimentos"}</definedName>
    <definedName name="kfdxlfdzs" hidden="1">{"Econ Consolidado",#N/A,FALSE,"Econ Consol";"Fluxo de Caixa",#N/A,FALSE,"Fluxo Caixa";"Investimentos",#N/A,FALSE,"Investimentos"}</definedName>
    <definedName name="kfgkhjkjhy" localSheetId="24" hidden="1">{#N/A,#N/A,FALSE,"Plan1";#N/A,#N/A,FALSE,"Plan2"}</definedName>
    <definedName name="kfgkhjkjhy" localSheetId="7" hidden="1">{#N/A,#N/A,FALSE,"Plan1";#N/A,#N/A,FALSE,"Plan2"}</definedName>
    <definedName name="kfgkhjkjhy" localSheetId="9" hidden="1">{#N/A,#N/A,FALSE,"Plan1";#N/A,#N/A,FALSE,"Plan2"}</definedName>
    <definedName name="kfgkhjkjhy" localSheetId="3" hidden="1">{#N/A,#N/A,FALSE,"Plan1";#N/A,#N/A,FALSE,"Plan2"}</definedName>
    <definedName name="kfgkhjkjhy" localSheetId="2" hidden="1">{#N/A,#N/A,FALSE,"Plan1";#N/A,#N/A,FALSE,"Plan2"}</definedName>
    <definedName name="kfgkhjkjhy" localSheetId="16" hidden="1">{#N/A,#N/A,FALSE,"Plan1";#N/A,#N/A,FALSE,"Plan2"}</definedName>
    <definedName name="kfgkhjkjhy" localSheetId="0" hidden="1">{#N/A,#N/A,FALSE,"Plan1";#N/A,#N/A,FALSE,"Plan2"}</definedName>
    <definedName name="kfgkhjkjhy" localSheetId="26" hidden="1">{#N/A,#N/A,FALSE,"Plan1";#N/A,#N/A,FALSE,"Plan2"}</definedName>
    <definedName name="kfgkhjkjhy" localSheetId="11" hidden="1">{#N/A,#N/A,FALSE,"Plan1";#N/A,#N/A,FALSE,"Plan2"}</definedName>
    <definedName name="kfgkhjkjhy" hidden="1">{#N/A,#N/A,FALSE,"Plan1";#N/A,#N/A,FALSE,"Plan2"}</definedName>
    <definedName name="KFJFDSDF" localSheetId="24" hidden="1">{#N/A,#N/A,FALSE,"Plan1";#N/A,#N/A,FALSE,"Plan2"}</definedName>
    <definedName name="KFJFDSDF" localSheetId="7" hidden="1">{#N/A,#N/A,FALSE,"Plan1";#N/A,#N/A,FALSE,"Plan2"}</definedName>
    <definedName name="KFJFDSDF" localSheetId="9" hidden="1">{#N/A,#N/A,FALSE,"Plan1";#N/A,#N/A,FALSE,"Plan2"}</definedName>
    <definedName name="KFJFDSDF" localSheetId="3" hidden="1">{#N/A,#N/A,FALSE,"Plan1";#N/A,#N/A,FALSE,"Plan2"}</definedName>
    <definedName name="KFJFDSDF" localSheetId="2" hidden="1">{#N/A,#N/A,FALSE,"Plan1";#N/A,#N/A,FALSE,"Plan2"}</definedName>
    <definedName name="KFJFDSDF" localSheetId="16" hidden="1">{#N/A,#N/A,FALSE,"Plan1";#N/A,#N/A,FALSE,"Plan2"}</definedName>
    <definedName name="KFJFDSDF" localSheetId="0" hidden="1">{#N/A,#N/A,FALSE,"Plan1";#N/A,#N/A,FALSE,"Plan2"}</definedName>
    <definedName name="KFJFDSDF" localSheetId="26" hidden="1">{#N/A,#N/A,FALSE,"Plan1";#N/A,#N/A,FALSE,"Plan2"}</definedName>
    <definedName name="KFJFDSDF" localSheetId="11" hidden="1">{#N/A,#N/A,FALSE,"Plan1";#N/A,#N/A,FALSE,"Plan2"}</definedName>
    <definedName name="KFJFDSDF" hidden="1">{#N/A,#N/A,FALSE,"Plan1";#N/A,#N/A,FALSE,"Plan2"}</definedName>
    <definedName name="kfnkeasd" localSheetId="24" hidden="1">{#N/A,#N/A,FALSE,"Plan1";#N/A,#N/A,FALSE,"Plan2"}</definedName>
    <definedName name="kfnkeasd" localSheetId="7" hidden="1">{#N/A,#N/A,FALSE,"Plan1";#N/A,#N/A,FALSE,"Plan2"}</definedName>
    <definedName name="kfnkeasd" localSheetId="9" hidden="1">{#N/A,#N/A,FALSE,"Plan1";#N/A,#N/A,FALSE,"Plan2"}</definedName>
    <definedName name="kfnkeasd" localSheetId="3" hidden="1">{#N/A,#N/A,FALSE,"Plan1";#N/A,#N/A,FALSE,"Plan2"}</definedName>
    <definedName name="kfnkeasd" localSheetId="2" hidden="1">{#N/A,#N/A,FALSE,"Plan1";#N/A,#N/A,FALSE,"Plan2"}</definedName>
    <definedName name="kfnkeasd" localSheetId="16" hidden="1">{#N/A,#N/A,FALSE,"Plan1";#N/A,#N/A,FALSE,"Plan2"}</definedName>
    <definedName name="kfnkeasd" localSheetId="0" hidden="1">{#N/A,#N/A,FALSE,"Plan1";#N/A,#N/A,FALSE,"Plan2"}</definedName>
    <definedName name="kfnkeasd" localSheetId="26" hidden="1">{#N/A,#N/A,FALSE,"Plan1";#N/A,#N/A,FALSE,"Plan2"}</definedName>
    <definedName name="kfnkeasd" localSheetId="11" hidden="1">{#N/A,#N/A,FALSE,"Plan1";#N/A,#N/A,FALSE,"Plan2"}</definedName>
    <definedName name="kfnkeasd" hidden="1">{#N/A,#N/A,FALSE,"Plan1";#N/A,#N/A,FALSE,"Plan2"}</definedName>
    <definedName name="khdjkfkjhtg" localSheetId="24" hidden="1">{#N/A,#N/A,FALSE,"Plan1";#N/A,#N/A,FALSE,"Plan2"}</definedName>
    <definedName name="khdjkfkjhtg" localSheetId="7" hidden="1">{#N/A,#N/A,FALSE,"Plan1";#N/A,#N/A,FALSE,"Plan2"}</definedName>
    <definedName name="khdjkfkjhtg" localSheetId="9" hidden="1">{#N/A,#N/A,FALSE,"Plan1";#N/A,#N/A,FALSE,"Plan2"}</definedName>
    <definedName name="khdjkfkjhtg" localSheetId="3" hidden="1">{#N/A,#N/A,FALSE,"Plan1";#N/A,#N/A,FALSE,"Plan2"}</definedName>
    <definedName name="khdjkfkjhtg" localSheetId="2" hidden="1">{#N/A,#N/A,FALSE,"Plan1";#N/A,#N/A,FALSE,"Plan2"}</definedName>
    <definedName name="khdjkfkjhtg" localSheetId="16" hidden="1">{#N/A,#N/A,FALSE,"Plan1";#N/A,#N/A,FALSE,"Plan2"}</definedName>
    <definedName name="khdjkfkjhtg" localSheetId="0" hidden="1">{#N/A,#N/A,FALSE,"Plan1";#N/A,#N/A,FALSE,"Plan2"}</definedName>
    <definedName name="khdjkfkjhtg" localSheetId="26" hidden="1">{#N/A,#N/A,FALSE,"Plan1";#N/A,#N/A,FALSE,"Plan2"}</definedName>
    <definedName name="khdjkfkjhtg" localSheetId="11" hidden="1">{#N/A,#N/A,FALSE,"Plan1";#N/A,#N/A,FALSE,"Plan2"}</definedName>
    <definedName name="khdjkfkjhtg" hidden="1">{#N/A,#N/A,FALSE,"Plan1";#N/A,#N/A,FALSE,"Plan2"}</definedName>
    <definedName name="khdkfjhhfsdg" localSheetId="24" hidden="1">{#N/A,#N/A,FALSE,"Plan1";#N/A,#N/A,FALSE,"Plan2"}</definedName>
    <definedName name="khdkfjhhfsdg" localSheetId="7" hidden="1">{#N/A,#N/A,FALSE,"Plan1";#N/A,#N/A,FALSE,"Plan2"}</definedName>
    <definedName name="khdkfjhhfsdg" localSheetId="9" hidden="1">{#N/A,#N/A,FALSE,"Plan1";#N/A,#N/A,FALSE,"Plan2"}</definedName>
    <definedName name="khdkfjhhfsdg" localSheetId="3" hidden="1">{#N/A,#N/A,FALSE,"Plan1";#N/A,#N/A,FALSE,"Plan2"}</definedName>
    <definedName name="khdkfjhhfsdg" localSheetId="2" hidden="1">{#N/A,#N/A,FALSE,"Plan1";#N/A,#N/A,FALSE,"Plan2"}</definedName>
    <definedName name="khdkfjhhfsdg" localSheetId="16" hidden="1">{#N/A,#N/A,FALSE,"Plan1";#N/A,#N/A,FALSE,"Plan2"}</definedName>
    <definedName name="khdkfjhhfsdg" localSheetId="0" hidden="1">{#N/A,#N/A,FALSE,"Plan1";#N/A,#N/A,FALSE,"Plan2"}</definedName>
    <definedName name="khdkfjhhfsdg" localSheetId="26" hidden="1">{#N/A,#N/A,FALSE,"Plan1";#N/A,#N/A,FALSE,"Plan2"}</definedName>
    <definedName name="khdkfjhhfsdg" localSheetId="11" hidden="1">{#N/A,#N/A,FALSE,"Plan1";#N/A,#N/A,FALSE,"Plan2"}</definedName>
    <definedName name="khdkfjhhfsdg" hidden="1">{#N/A,#N/A,FALSE,"Plan1";#N/A,#N/A,FALSE,"Plan2"}</definedName>
    <definedName name="khdkjfhgudytu" localSheetId="24" hidden="1">{#N/A,#N/A,FALSE,"Plan1";#N/A,#N/A,FALSE,"Plan2"}</definedName>
    <definedName name="khdkjfhgudytu" localSheetId="7" hidden="1">{#N/A,#N/A,FALSE,"Plan1";#N/A,#N/A,FALSE,"Plan2"}</definedName>
    <definedName name="khdkjfhgudytu" localSheetId="9" hidden="1">{#N/A,#N/A,FALSE,"Plan1";#N/A,#N/A,FALSE,"Plan2"}</definedName>
    <definedName name="khdkjfhgudytu" localSheetId="3" hidden="1">{#N/A,#N/A,FALSE,"Plan1";#N/A,#N/A,FALSE,"Plan2"}</definedName>
    <definedName name="khdkjfhgudytu" localSheetId="2" hidden="1">{#N/A,#N/A,FALSE,"Plan1";#N/A,#N/A,FALSE,"Plan2"}</definedName>
    <definedName name="khdkjfhgudytu" localSheetId="16" hidden="1">{#N/A,#N/A,FALSE,"Plan1";#N/A,#N/A,FALSE,"Plan2"}</definedName>
    <definedName name="khdkjfhgudytu" localSheetId="0" hidden="1">{#N/A,#N/A,FALSE,"Plan1";#N/A,#N/A,FALSE,"Plan2"}</definedName>
    <definedName name="khdkjfhgudytu" localSheetId="26" hidden="1">{#N/A,#N/A,FALSE,"Plan1";#N/A,#N/A,FALSE,"Plan2"}</definedName>
    <definedName name="khdkjfhgudytu" localSheetId="11" hidden="1">{#N/A,#N/A,FALSE,"Plan1";#N/A,#N/A,FALSE,"Plan2"}</definedName>
    <definedName name="khdkjfhgudytu" hidden="1">{#N/A,#N/A,FALSE,"Plan1";#N/A,#N/A,FALSE,"Plan2"}</definedName>
    <definedName name="khfdghhhgd" localSheetId="24" hidden="1">{#N/A,#N/A,FALSE,"Plan1";#N/A,#N/A,FALSE,"Plan2"}</definedName>
    <definedName name="khfdghhhgd" localSheetId="7" hidden="1">{#N/A,#N/A,FALSE,"Plan1";#N/A,#N/A,FALSE,"Plan2"}</definedName>
    <definedName name="khfdghhhgd" localSheetId="9" hidden="1">{#N/A,#N/A,FALSE,"Plan1";#N/A,#N/A,FALSE,"Plan2"}</definedName>
    <definedName name="khfdghhhgd" localSheetId="3" hidden="1">{#N/A,#N/A,FALSE,"Plan1";#N/A,#N/A,FALSE,"Plan2"}</definedName>
    <definedName name="khfdghhhgd" localSheetId="2" hidden="1">{#N/A,#N/A,FALSE,"Plan1";#N/A,#N/A,FALSE,"Plan2"}</definedName>
    <definedName name="khfdghhhgd" localSheetId="16" hidden="1">{#N/A,#N/A,FALSE,"Plan1";#N/A,#N/A,FALSE,"Plan2"}</definedName>
    <definedName name="khfdghhhgd" localSheetId="0" hidden="1">{#N/A,#N/A,FALSE,"Plan1";#N/A,#N/A,FALSE,"Plan2"}</definedName>
    <definedName name="khfdghhhgd" localSheetId="26" hidden="1">{#N/A,#N/A,FALSE,"Plan1";#N/A,#N/A,FALSE,"Plan2"}</definedName>
    <definedName name="khfdghhhgd" localSheetId="11" hidden="1">{#N/A,#N/A,FALSE,"Plan1";#N/A,#N/A,FALSE,"Plan2"}</definedName>
    <definedName name="khfdghhhgd" hidden="1">{#N/A,#N/A,FALSE,"Plan1";#N/A,#N/A,FALSE,"Plan2"}</definedName>
    <definedName name="khfdkjhsdjf" localSheetId="24" hidden="1">{#N/A,#N/A,FALSE,"Plan1";#N/A,#N/A,FALSE,"Plan2"}</definedName>
    <definedName name="khfdkjhsdjf" localSheetId="7" hidden="1">{#N/A,#N/A,FALSE,"Plan1";#N/A,#N/A,FALSE,"Plan2"}</definedName>
    <definedName name="khfdkjhsdjf" localSheetId="9" hidden="1">{#N/A,#N/A,FALSE,"Plan1";#N/A,#N/A,FALSE,"Plan2"}</definedName>
    <definedName name="khfdkjhsdjf" localSheetId="3" hidden="1">{#N/A,#N/A,FALSE,"Plan1";#N/A,#N/A,FALSE,"Plan2"}</definedName>
    <definedName name="khfdkjhsdjf" localSheetId="2" hidden="1">{#N/A,#N/A,FALSE,"Plan1";#N/A,#N/A,FALSE,"Plan2"}</definedName>
    <definedName name="khfdkjhsdjf" localSheetId="16" hidden="1">{#N/A,#N/A,FALSE,"Plan1";#N/A,#N/A,FALSE,"Plan2"}</definedName>
    <definedName name="khfdkjhsdjf" localSheetId="0" hidden="1">{#N/A,#N/A,FALSE,"Plan1";#N/A,#N/A,FALSE,"Plan2"}</definedName>
    <definedName name="khfdkjhsdjf" localSheetId="26" hidden="1">{#N/A,#N/A,FALSE,"Plan1";#N/A,#N/A,FALSE,"Plan2"}</definedName>
    <definedName name="khfdkjhsdjf" localSheetId="11" hidden="1">{#N/A,#N/A,FALSE,"Plan1";#N/A,#N/A,FALSE,"Plan2"}</definedName>
    <definedName name="khfdkjhsdjf" hidden="1">{#N/A,#N/A,FALSE,"Plan1";#N/A,#N/A,FALSE,"Plan2"}</definedName>
    <definedName name="khgdkftfy" localSheetId="24" hidden="1">{#N/A,#N/A,FALSE,"Plan1";#N/A,#N/A,FALSE,"Plan2"}</definedName>
    <definedName name="khgdkftfy" localSheetId="7" hidden="1">{#N/A,#N/A,FALSE,"Plan1";#N/A,#N/A,FALSE,"Plan2"}</definedName>
    <definedName name="khgdkftfy" localSheetId="9" hidden="1">{#N/A,#N/A,FALSE,"Plan1";#N/A,#N/A,FALSE,"Plan2"}</definedName>
    <definedName name="khgdkftfy" localSheetId="3" hidden="1">{#N/A,#N/A,FALSE,"Plan1";#N/A,#N/A,FALSE,"Plan2"}</definedName>
    <definedName name="khgdkftfy" localSheetId="2" hidden="1">{#N/A,#N/A,FALSE,"Plan1";#N/A,#N/A,FALSE,"Plan2"}</definedName>
    <definedName name="khgdkftfy" localSheetId="16" hidden="1">{#N/A,#N/A,FALSE,"Plan1";#N/A,#N/A,FALSE,"Plan2"}</definedName>
    <definedName name="khgdkftfy" localSheetId="0" hidden="1">{#N/A,#N/A,FALSE,"Plan1";#N/A,#N/A,FALSE,"Plan2"}</definedName>
    <definedName name="khgdkftfy" localSheetId="26" hidden="1">{#N/A,#N/A,FALSE,"Plan1";#N/A,#N/A,FALSE,"Plan2"}</definedName>
    <definedName name="khgdkftfy" localSheetId="11" hidden="1">{#N/A,#N/A,FALSE,"Plan1";#N/A,#N/A,FALSE,"Plan2"}</definedName>
    <definedName name="khgdkftfy" hidden="1">{#N/A,#N/A,FALSE,"Plan1";#N/A,#N/A,FALSE,"Plan2"}</definedName>
    <definedName name="khgfhhtuhf" localSheetId="24" hidden="1">{#N/A,#N/A,FALSE,"Plan1";#N/A,#N/A,FALSE,"Plan2"}</definedName>
    <definedName name="khgfhhtuhf" localSheetId="7" hidden="1">{#N/A,#N/A,FALSE,"Plan1";#N/A,#N/A,FALSE,"Plan2"}</definedName>
    <definedName name="khgfhhtuhf" localSheetId="9" hidden="1">{#N/A,#N/A,FALSE,"Plan1";#N/A,#N/A,FALSE,"Plan2"}</definedName>
    <definedName name="khgfhhtuhf" localSheetId="3" hidden="1">{#N/A,#N/A,FALSE,"Plan1";#N/A,#N/A,FALSE,"Plan2"}</definedName>
    <definedName name="khgfhhtuhf" localSheetId="2" hidden="1">{#N/A,#N/A,FALSE,"Plan1";#N/A,#N/A,FALSE,"Plan2"}</definedName>
    <definedName name="khgfhhtuhf" localSheetId="16" hidden="1">{#N/A,#N/A,FALSE,"Plan1";#N/A,#N/A,FALSE,"Plan2"}</definedName>
    <definedName name="khgfhhtuhf" localSheetId="0" hidden="1">{#N/A,#N/A,FALSE,"Plan1";#N/A,#N/A,FALSE,"Plan2"}</definedName>
    <definedName name="khgfhhtuhf" localSheetId="26" hidden="1">{#N/A,#N/A,FALSE,"Plan1";#N/A,#N/A,FALSE,"Plan2"}</definedName>
    <definedName name="khgfhhtuhf" localSheetId="11" hidden="1">{#N/A,#N/A,FALSE,"Plan1";#N/A,#N/A,FALSE,"Plan2"}</definedName>
    <definedName name="khgfhhtuhf" hidden="1">{#N/A,#N/A,FALSE,"Plan1";#N/A,#N/A,FALSE,"Plan2"}</definedName>
    <definedName name="khjkh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localSheetId="24" hidden="1">{#N/A,#N/A,FALSE,"Plan1";#N/A,#N/A,FALSE,"Plan2"}</definedName>
    <definedName name="KHJKLSDF" localSheetId="7" hidden="1">{#N/A,#N/A,FALSE,"Plan1";#N/A,#N/A,FALSE,"Plan2"}</definedName>
    <definedName name="KHJKLSDF" localSheetId="9" hidden="1">{#N/A,#N/A,FALSE,"Plan1";#N/A,#N/A,FALSE,"Plan2"}</definedName>
    <definedName name="KHJKLSDF" localSheetId="3" hidden="1">{#N/A,#N/A,FALSE,"Plan1";#N/A,#N/A,FALSE,"Plan2"}</definedName>
    <definedName name="KHJKLSDF" localSheetId="2" hidden="1">{#N/A,#N/A,FALSE,"Plan1";#N/A,#N/A,FALSE,"Plan2"}</definedName>
    <definedName name="KHJKLSDF" localSheetId="16" hidden="1">{#N/A,#N/A,FALSE,"Plan1";#N/A,#N/A,FALSE,"Plan2"}</definedName>
    <definedName name="KHJKLSDF" localSheetId="0" hidden="1">{#N/A,#N/A,FALSE,"Plan1";#N/A,#N/A,FALSE,"Plan2"}</definedName>
    <definedName name="KHJKLSDF" localSheetId="26" hidden="1">{#N/A,#N/A,FALSE,"Plan1";#N/A,#N/A,FALSE,"Plan2"}</definedName>
    <definedName name="KHJKLSDF" localSheetId="11" hidden="1">{#N/A,#N/A,FALSE,"Plan1";#N/A,#N/A,FALSE,"Plan2"}</definedName>
    <definedName name="KHJKLSDF" hidden="1">{#N/A,#N/A,FALSE,"Plan1";#N/A,#N/A,FALSE,"Plan2"}</definedName>
    <definedName name="kieret" localSheetId="24" hidden="1">{#N/A,#N/A,FALSE,"Plan1";#N/A,#N/A,FALSE,"Plan2"}</definedName>
    <definedName name="kieret" localSheetId="7" hidden="1">{#N/A,#N/A,FALSE,"Plan1";#N/A,#N/A,FALSE,"Plan2"}</definedName>
    <definedName name="kieret" localSheetId="9" hidden="1">{#N/A,#N/A,FALSE,"Plan1";#N/A,#N/A,FALSE,"Plan2"}</definedName>
    <definedName name="kieret" localSheetId="3" hidden="1">{#N/A,#N/A,FALSE,"Plan1";#N/A,#N/A,FALSE,"Plan2"}</definedName>
    <definedName name="kieret" localSheetId="2" hidden="1">{#N/A,#N/A,FALSE,"Plan1";#N/A,#N/A,FALSE,"Plan2"}</definedName>
    <definedName name="kieret" localSheetId="16" hidden="1">{#N/A,#N/A,FALSE,"Plan1";#N/A,#N/A,FALSE,"Plan2"}</definedName>
    <definedName name="kieret" localSheetId="0" hidden="1">{#N/A,#N/A,FALSE,"Plan1";#N/A,#N/A,FALSE,"Plan2"}</definedName>
    <definedName name="kieret" localSheetId="26" hidden="1">{#N/A,#N/A,FALSE,"Plan1";#N/A,#N/A,FALSE,"Plan2"}</definedName>
    <definedName name="kieret" localSheetId="11" hidden="1">{#N/A,#N/A,FALSE,"Plan1";#N/A,#N/A,FALSE,"Plan2"}</definedName>
    <definedName name="kieret" hidden="1">{#N/A,#N/A,FALSE,"Plan1";#N/A,#N/A,FALSE,"Plan2"}</definedName>
    <definedName name="kiweokwr" localSheetId="7" hidden="1">#REF!</definedName>
    <definedName name="kiweokwr" localSheetId="3" hidden="1">#REF!</definedName>
    <definedName name="kiweokwr" localSheetId="0" hidden="1">#REF!</definedName>
    <definedName name="kiweokwr" hidden="1">#REF!</definedName>
    <definedName name="kjchkfhsezk" localSheetId="24" hidden="1">{#N/A,#N/A,FALSE,"Plan1";#N/A,#N/A,FALSE,"Plan2"}</definedName>
    <definedName name="kjchkfhsezk" localSheetId="7" hidden="1">{#N/A,#N/A,FALSE,"Plan1";#N/A,#N/A,FALSE,"Plan2"}</definedName>
    <definedName name="kjchkfhsezk" localSheetId="9" hidden="1">{#N/A,#N/A,FALSE,"Plan1";#N/A,#N/A,FALSE,"Plan2"}</definedName>
    <definedName name="kjchkfhsezk" localSheetId="3" hidden="1">{#N/A,#N/A,FALSE,"Plan1";#N/A,#N/A,FALSE,"Plan2"}</definedName>
    <definedName name="kjchkfhsezk" localSheetId="2" hidden="1">{#N/A,#N/A,FALSE,"Plan1";#N/A,#N/A,FALSE,"Plan2"}</definedName>
    <definedName name="kjchkfhsezk" localSheetId="16" hidden="1">{#N/A,#N/A,FALSE,"Plan1";#N/A,#N/A,FALSE,"Plan2"}</definedName>
    <definedName name="kjchkfhsezk" localSheetId="0" hidden="1">{#N/A,#N/A,FALSE,"Plan1";#N/A,#N/A,FALSE,"Plan2"}</definedName>
    <definedName name="kjchkfhsezk" localSheetId="26" hidden="1">{#N/A,#N/A,FALSE,"Plan1";#N/A,#N/A,FALSE,"Plan2"}</definedName>
    <definedName name="kjchkfhsezk" localSheetId="11" hidden="1">{#N/A,#N/A,FALSE,"Plan1";#N/A,#N/A,FALSE,"Plan2"}</definedName>
    <definedName name="kjchkfhsezk" hidden="1">{#N/A,#N/A,FALSE,"Plan1";#N/A,#N/A,FALSE,"Plan2"}</definedName>
    <definedName name="kjdghksef" localSheetId="24" hidden="1">{#N/A,#N/A,FALSE,"Plan1";#N/A,#N/A,FALSE,"Plan2"}</definedName>
    <definedName name="kjdghksef" localSheetId="7" hidden="1">{#N/A,#N/A,FALSE,"Plan1";#N/A,#N/A,FALSE,"Plan2"}</definedName>
    <definedName name="kjdghksef" localSheetId="9" hidden="1">{#N/A,#N/A,FALSE,"Plan1";#N/A,#N/A,FALSE,"Plan2"}</definedName>
    <definedName name="kjdghksef" localSheetId="3" hidden="1">{#N/A,#N/A,FALSE,"Plan1";#N/A,#N/A,FALSE,"Plan2"}</definedName>
    <definedName name="kjdghksef" localSheetId="2" hidden="1">{#N/A,#N/A,FALSE,"Plan1";#N/A,#N/A,FALSE,"Plan2"}</definedName>
    <definedName name="kjdghksef" localSheetId="16" hidden="1">{#N/A,#N/A,FALSE,"Plan1";#N/A,#N/A,FALSE,"Plan2"}</definedName>
    <definedName name="kjdghksef" localSheetId="0" hidden="1">{#N/A,#N/A,FALSE,"Plan1";#N/A,#N/A,FALSE,"Plan2"}</definedName>
    <definedName name="kjdghksef" localSheetId="26" hidden="1">{#N/A,#N/A,FALSE,"Plan1";#N/A,#N/A,FALSE,"Plan2"}</definedName>
    <definedName name="kjdghksef" localSheetId="11" hidden="1">{#N/A,#N/A,FALSE,"Plan1";#N/A,#N/A,FALSE,"Plan2"}</definedName>
    <definedName name="kjdghksef" hidden="1">{#N/A,#N/A,FALSE,"Plan1";#N/A,#N/A,FALSE,"Plan2"}</definedName>
    <definedName name="kjdkftyhtert" localSheetId="24" hidden="1">{#N/A,#N/A,FALSE,"Plan1";#N/A,#N/A,FALSE,"Plan2"}</definedName>
    <definedName name="kjdkftyhtert" localSheetId="7" hidden="1">{#N/A,#N/A,FALSE,"Plan1";#N/A,#N/A,FALSE,"Plan2"}</definedName>
    <definedName name="kjdkftyhtert" localSheetId="9" hidden="1">{#N/A,#N/A,FALSE,"Plan1";#N/A,#N/A,FALSE,"Plan2"}</definedName>
    <definedName name="kjdkftyhtert" localSheetId="3" hidden="1">{#N/A,#N/A,FALSE,"Plan1";#N/A,#N/A,FALSE,"Plan2"}</definedName>
    <definedName name="kjdkftyhtert" localSheetId="2" hidden="1">{#N/A,#N/A,FALSE,"Plan1";#N/A,#N/A,FALSE,"Plan2"}</definedName>
    <definedName name="kjdkftyhtert" localSheetId="16" hidden="1">{#N/A,#N/A,FALSE,"Plan1";#N/A,#N/A,FALSE,"Plan2"}</definedName>
    <definedName name="kjdkftyhtert" localSheetId="0" hidden="1">{#N/A,#N/A,FALSE,"Plan1";#N/A,#N/A,FALSE,"Plan2"}</definedName>
    <definedName name="kjdkftyhtert" localSheetId="26" hidden="1">{#N/A,#N/A,FALSE,"Plan1";#N/A,#N/A,FALSE,"Plan2"}</definedName>
    <definedName name="kjdkftyhtert" localSheetId="11" hidden="1">{#N/A,#N/A,FALSE,"Plan1";#N/A,#N/A,FALSE,"Plan2"}</definedName>
    <definedName name="kjdkftyhtert" hidden="1">{#N/A,#N/A,FALSE,"Plan1";#N/A,#N/A,FALSE,"Plan2"}</definedName>
    <definedName name="kjdlfkjds" localSheetId="24" hidden="1">{#N/A,#N/A,FALSE,"Plan1";#N/A,#N/A,FALSE,"Plan2"}</definedName>
    <definedName name="kjdlfkjds" localSheetId="7" hidden="1">{#N/A,#N/A,FALSE,"Plan1";#N/A,#N/A,FALSE,"Plan2"}</definedName>
    <definedName name="kjdlfkjds" localSheetId="9" hidden="1">{#N/A,#N/A,FALSE,"Plan1";#N/A,#N/A,FALSE,"Plan2"}</definedName>
    <definedName name="kjdlfkjds" localSheetId="3" hidden="1">{#N/A,#N/A,FALSE,"Plan1";#N/A,#N/A,FALSE,"Plan2"}</definedName>
    <definedName name="kjdlfkjds" localSheetId="2" hidden="1">{#N/A,#N/A,FALSE,"Plan1";#N/A,#N/A,FALSE,"Plan2"}</definedName>
    <definedName name="kjdlfkjds" localSheetId="16" hidden="1">{#N/A,#N/A,FALSE,"Plan1";#N/A,#N/A,FALSE,"Plan2"}</definedName>
    <definedName name="kjdlfkjds" localSheetId="0" hidden="1">{#N/A,#N/A,FALSE,"Plan1";#N/A,#N/A,FALSE,"Plan2"}</definedName>
    <definedName name="kjdlfkjds" localSheetId="26" hidden="1">{#N/A,#N/A,FALSE,"Plan1";#N/A,#N/A,FALSE,"Plan2"}</definedName>
    <definedName name="kjdlfkjds" localSheetId="11" hidden="1">{#N/A,#N/A,FALSE,"Plan1";#N/A,#N/A,FALSE,"Plan2"}</definedName>
    <definedName name="kjdlfkjds" hidden="1">{#N/A,#N/A,FALSE,"Plan1";#N/A,#N/A,FALSE,"Plan2"}</definedName>
    <definedName name="kjdzhfytrfy" localSheetId="24" hidden="1">{#N/A,#N/A,FALSE,"Plan1";#N/A,#N/A,FALSE,"Plan2"}</definedName>
    <definedName name="kjdzhfytrfy" localSheetId="7" hidden="1">{#N/A,#N/A,FALSE,"Plan1";#N/A,#N/A,FALSE,"Plan2"}</definedName>
    <definedName name="kjdzhfytrfy" localSheetId="9" hidden="1">{#N/A,#N/A,FALSE,"Plan1";#N/A,#N/A,FALSE,"Plan2"}</definedName>
    <definedName name="kjdzhfytrfy" localSheetId="3" hidden="1">{#N/A,#N/A,FALSE,"Plan1";#N/A,#N/A,FALSE,"Plan2"}</definedName>
    <definedName name="kjdzhfytrfy" localSheetId="2" hidden="1">{#N/A,#N/A,FALSE,"Plan1";#N/A,#N/A,FALSE,"Plan2"}</definedName>
    <definedName name="kjdzhfytrfy" localSheetId="16" hidden="1">{#N/A,#N/A,FALSE,"Plan1";#N/A,#N/A,FALSE,"Plan2"}</definedName>
    <definedName name="kjdzhfytrfy" localSheetId="0" hidden="1">{#N/A,#N/A,FALSE,"Plan1";#N/A,#N/A,FALSE,"Plan2"}</definedName>
    <definedName name="kjdzhfytrfy" localSheetId="26" hidden="1">{#N/A,#N/A,FALSE,"Plan1";#N/A,#N/A,FALSE,"Plan2"}</definedName>
    <definedName name="kjdzhfytrfy" localSheetId="11" hidden="1">{#N/A,#N/A,FALSE,"Plan1";#N/A,#N/A,FALSE,"Plan2"}</definedName>
    <definedName name="kjdzhfytrfy" hidden="1">{#N/A,#N/A,FALSE,"Plan1";#N/A,#N/A,FALSE,"Plan2"}</definedName>
    <definedName name="kjhdfgjthdft" localSheetId="24" hidden="1">{#N/A,#N/A,FALSE,"Plan1";#N/A,#N/A,FALSE,"Plan2"}</definedName>
    <definedName name="kjhdfgjthdft" localSheetId="7" hidden="1">{#N/A,#N/A,FALSE,"Plan1";#N/A,#N/A,FALSE,"Plan2"}</definedName>
    <definedName name="kjhdfgjthdft" localSheetId="9" hidden="1">{#N/A,#N/A,FALSE,"Plan1";#N/A,#N/A,FALSE,"Plan2"}</definedName>
    <definedName name="kjhdfgjthdft" localSheetId="3" hidden="1">{#N/A,#N/A,FALSE,"Plan1";#N/A,#N/A,FALSE,"Plan2"}</definedName>
    <definedName name="kjhdfgjthdft" localSheetId="2" hidden="1">{#N/A,#N/A,FALSE,"Plan1";#N/A,#N/A,FALSE,"Plan2"}</definedName>
    <definedName name="kjhdfgjthdft" localSheetId="16" hidden="1">{#N/A,#N/A,FALSE,"Plan1";#N/A,#N/A,FALSE,"Plan2"}</definedName>
    <definedName name="kjhdfgjthdft" localSheetId="0" hidden="1">{#N/A,#N/A,FALSE,"Plan1";#N/A,#N/A,FALSE,"Plan2"}</definedName>
    <definedName name="kjhdfgjthdft" localSheetId="26" hidden="1">{#N/A,#N/A,FALSE,"Plan1";#N/A,#N/A,FALSE,"Plan2"}</definedName>
    <definedName name="kjhdfgjthdft" localSheetId="11" hidden="1">{#N/A,#N/A,FALSE,"Plan1";#N/A,#N/A,FALSE,"Plan2"}</definedName>
    <definedName name="kjhdfgjthdft" hidden="1">{#N/A,#N/A,FALSE,"Plan1";#N/A,#N/A,FALSE,"Plan2"}</definedName>
    <definedName name="kjhsdfk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localSheetId="24" hidden="1">{#N/A,#N/A,FALSE,"Plan1";#N/A,#N/A,FALSE,"Plan2"}</definedName>
    <definedName name="kjhsiorf" localSheetId="7" hidden="1">{#N/A,#N/A,FALSE,"Plan1";#N/A,#N/A,FALSE,"Plan2"}</definedName>
    <definedName name="kjhsiorf" localSheetId="9" hidden="1">{#N/A,#N/A,FALSE,"Plan1";#N/A,#N/A,FALSE,"Plan2"}</definedName>
    <definedName name="kjhsiorf" localSheetId="3" hidden="1">{#N/A,#N/A,FALSE,"Plan1";#N/A,#N/A,FALSE,"Plan2"}</definedName>
    <definedName name="kjhsiorf" localSheetId="2" hidden="1">{#N/A,#N/A,FALSE,"Plan1";#N/A,#N/A,FALSE,"Plan2"}</definedName>
    <definedName name="kjhsiorf" localSheetId="16" hidden="1">{#N/A,#N/A,FALSE,"Plan1";#N/A,#N/A,FALSE,"Plan2"}</definedName>
    <definedName name="kjhsiorf" localSheetId="0" hidden="1">{#N/A,#N/A,FALSE,"Plan1";#N/A,#N/A,FALSE,"Plan2"}</definedName>
    <definedName name="kjhsiorf" localSheetId="26" hidden="1">{#N/A,#N/A,FALSE,"Plan1";#N/A,#N/A,FALSE,"Plan2"}</definedName>
    <definedName name="kjhsiorf" localSheetId="11" hidden="1">{#N/A,#N/A,FALSE,"Plan1";#N/A,#N/A,FALSE,"Plan2"}</definedName>
    <definedName name="kjhsiorf" hidden="1">{#N/A,#N/A,FALSE,"Plan1";#N/A,#N/A,FALSE,"Plan2"}</definedName>
    <definedName name="KJJ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localSheetId="24" hidden="1">{#N/A,#N/A,FALSE,"Plan1";#N/A,#N/A,FALSE,"Plan2"}</definedName>
    <definedName name="kjjwww" localSheetId="7" hidden="1">{#N/A,#N/A,FALSE,"Plan1";#N/A,#N/A,FALSE,"Plan2"}</definedName>
    <definedName name="kjjwww" localSheetId="9" hidden="1">{#N/A,#N/A,FALSE,"Plan1";#N/A,#N/A,FALSE,"Plan2"}</definedName>
    <definedName name="kjjwww" localSheetId="3" hidden="1">{#N/A,#N/A,FALSE,"Plan1";#N/A,#N/A,FALSE,"Plan2"}</definedName>
    <definedName name="kjjwww" localSheetId="2" hidden="1">{#N/A,#N/A,FALSE,"Plan1";#N/A,#N/A,FALSE,"Plan2"}</definedName>
    <definedName name="kjjwww" localSheetId="16" hidden="1">{#N/A,#N/A,FALSE,"Plan1";#N/A,#N/A,FALSE,"Plan2"}</definedName>
    <definedName name="kjjwww" localSheetId="0" hidden="1">{#N/A,#N/A,FALSE,"Plan1";#N/A,#N/A,FALSE,"Plan2"}</definedName>
    <definedName name="kjjwww" localSheetId="26" hidden="1">{#N/A,#N/A,FALSE,"Plan1";#N/A,#N/A,FALSE,"Plan2"}</definedName>
    <definedName name="kjjwww" localSheetId="11" hidden="1">{#N/A,#N/A,FALSE,"Plan1";#N/A,#N/A,FALSE,"Plan2"}</definedName>
    <definedName name="kjjwww" hidden="1">{#N/A,#N/A,FALSE,"Plan1";#N/A,#N/A,FALSE,"Plan2"}</definedName>
    <definedName name="kjl" localSheetId="24" hidden="1">{#N/A,#N/A,FALSE,"ENG'G(보호계전기)"}</definedName>
    <definedName name="kjl" localSheetId="7" hidden="1">{#N/A,#N/A,FALSE,"ENG'G(보호계전기)"}</definedName>
    <definedName name="kjl" localSheetId="9" hidden="1">{#N/A,#N/A,FALSE,"ENG'G(보호계전기)"}</definedName>
    <definedName name="kjl" localSheetId="3" hidden="1">{#N/A,#N/A,FALSE,"ENG'G(보호계전기)"}</definedName>
    <definedName name="kjl" localSheetId="2" hidden="1">{#N/A,#N/A,FALSE,"ENG'G(보호계전기)"}</definedName>
    <definedName name="kjl" localSheetId="16" hidden="1">{#N/A,#N/A,FALSE,"ENG'G(보호계전기)"}</definedName>
    <definedName name="kjl" localSheetId="0" hidden="1">{#N/A,#N/A,FALSE,"ENG'G(보호계전기)"}</definedName>
    <definedName name="kjl" localSheetId="26" hidden="1">{#N/A,#N/A,FALSE,"ENG'G(보호계전기)"}</definedName>
    <definedName name="kjl" localSheetId="11" hidden="1">{#N/A,#N/A,FALSE,"ENG'G(보호계전기)"}</definedName>
    <definedName name="kjl" hidden="1">{#N/A,#N/A,FALSE,"ENG'G(보호계전기)"}</definedName>
    <definedName name="KJOI" localSheetId="24" hidden="1">{#N/A,#N/A,FALSE,"Plan1";#N/A,#N/A,FALSE,"Plan2"}</definedName>
    <definedName name="KJOI" localSheetId="7" hidden="1">{#N/A,#N/A,FALSE,"Plan1";#N/A,#N/A,FALSE,"Plan2"}</definedName>
    <definedName name="KJOI" localSheetId="9" hidden="1">{#N/A,#N/A,FALSE,"Plan1";#N/A,#N/A,FALSE,"Plan2"}</definedName>
    <definedName name="KJOI" localSheetId="3" hidden="1">{#N/A,#N/A,FALSE,"Plan1";#N/A,#N/A,FALSE,"Plan2"}</definedName>
    <definedName name="KJOI" localSheetId="2" hidden="1">{#N/A,#N/A,FALSE,"Plan1";#N/A,#N/A,FALSE,"Plan2"}</definedName>
    <definedName name="KJOI" localSheetId="16" hidden="1">{#N/A,#N/A,FALSE,"Plan1";#N/A,#N/A,FALSE,"Plan2"}</definedName>
    <definedName name="KJOI" localSheetId="0" hidden="1">{#N/A,#N/A,FALSE,"Plan1";#N/A,#N/A,FALSE,"Plan2"}</definedName>
    <definedName name="KJOI" localSheetId="26" hidden="1">{#N/A,#N/A,FALSE,"Plan1";#N/A,#N/A,FALSE,"Plan2"}</definedName>
    <definedName name="KJOI" localSheetId="11" hidden="1">{#N/A,#N/A,FALSE,"Plan1";#N/A,#N/A,FALSE,"Plan2"}</definedName>
    <definedName name="KJOI" hidden="1">{#N/A,#N/A,FALSE,"Plan1";#N/A,#N/A,FALSE,"Plan2"}</definedName>
    <definedName name="kjqwerw" localSheetId="24" hidden="1">{#N/A,#N/A,FALSE,"Plan1";#N/A,#N/A,FALSE,"Plan2"}</definedName>
    <definedName name="kjqwerw" localSheetId="7" hidden="1">{#N/A,#N/A,FALSE,"Plan1";#N/A,#N/A,FALSE,"Plan2"}</definedName>
    <definedName name="kjqwerw" localSheetId="9" hidden="1">{#N/A,#N/A,FALSE,"Plan1";#N/A,#N/A,FALSE,"Plan2"}</definedName>
    <definedName name="kjqwerw" localSheetId="3" hidden="1">{#N/A,#N/A,FALSE,"Plan1";#N/A,#N/A,FALSE,"Plan2"}</definedName>
    <definedName name="kjqwerw" localSheetId="2" hidden="1">{#N/A,#N/A,FALSE,"Plan1";#N/A,#N/A,FALSE,"Plan2"}</definedName>
    <definedName name="kjqwerw" localSheetId="16" hidden="1">{#N/A,#N/A,FALSE,"Plan1";#N/A,#N/A,FALSE,"Plan2"}</definedName>
    <definedName name="kjqwerw" localSheetId="0" hidden="1">{#N/A,#N/A,FALSE,"Plan1";#N/A,#N/A,FALSE,"Plan2"}</definedName>
    <definedName name="kjqwerw" localSheetId="26" hidden="1">{#N/A,#N/A,FALSE,"Plan1";#N/A,#N/A,FALSE,"Plan2"}</definedName>
    <definedName name="kjqwerw" localSheetId="11" hidden="1">{#N/A,#N/A,FALSE,"Plan1";#N/A,#N/A,FALSE,"Plan2"}</definedName>
    <definedName name="kjqwerw" hidden="1">{#N/A,#N/A,FALSE,"Plan1";#N/A,#N/A,FALSE,"Plan2"}</definedName>
    <definedName name="kjsfert" localSheetId="24" hidden="1">{#N/A,#N/A,FALSE,"Plan1";#N/A,#N/A,FALSE,"Plan2"}</definedName>
    <definedName name="kjsfert" localSheetId="7" hidden="1">{#N/A,#N/A,FALSE,"Plan1";#N/A,#N/A,FALSE,"Plan2"}</definedName>
    <definedName name="kjsfert" localSheetId="9" hidden="1">{#N/A,#N/A,FALSE,"Plan1";#N/A,#N/A,FALSE,"Plan2"}</definedName>
    <definedName name="kjsfert" localSheetId="3" hidden="1">{#N/A,#N/A,FALSE,"Plan1";#N/A,#N/A,FALSE,"Plan2"}</definedName>
    <definedName name="kjsfert" localSheetId="2" hidden="1">{#N/A,#N/A,FALSE,"Plan1";#N/A,#N/A,FALSE,"Plan2"}</definedName>
    <definedName name="kjsfert" localSheetId="16" hidden="1">{#N/A,#N/A,FALSE,"Plan1";#N/A,#N/A,FALSE,"Plan2"}</definedName>
    <definedName name="kjsfert" localSheetId="0" hidden="1">{#N/A,#N/A,FALSE,"Plan1";#N/A,#N/A,FALSE,"Plan2"}</definedName>
    <definedName name="kjsfert" localSheetId="26" hidden="1">{#N/A,#N/A,FALSE,"Plan1";#N/A,#N/A,FALSE,"Plan2"}</definedName>
    <definedName name="kjsfert" localSheetId="11" hidden="1">{#N/A,#N/A,FALSE,"Plan1";#N/A,#N/A,FALSE,"Plan2"}</definedName>
    <definedName name="kjsfert" hidden="1">{#N/A,#N/A,FALSE,"Plan1";#N/A,#N/A,FALSE,"Plan2"}</definedName>
    <definedName name="KJXCFKR" localSheetId="24" hidden="1">{#N/A,#N/A,FALSE,"Plan1";#N/A,#N/A,FALSE,"Plan2"}</definedName>
    <definedName name="KJXCFKR" localSheetId="7" hidden="1">{#N/A,#N/A,FALSE,"Plan1";#N/A,#N/A,FALSE,"Plan2"}</definedName>
    <definedName name="KJXCFKR" localSheetId="9" hidden="1">{#N/A,#N/A,FALSE,"Plan1";#N/A,#N/A,FALSE,"Plan2"}</definedName>
    <definedName name="KJXCFKR" localSheetId="3" hidden="1">{#N/A,#N/A,FALSE,"Plan1";#N/A,#N/A,FALSE,"Plan2"}</definedName>
    <definedName name="KJXCFKR" localSheetId="2" hidden="1">{#N/A,#N/A,FALSE,"Plan1";#N/A,#N/A,FALSE,"Plan2"}</definedName>
    <definedName name="KJXCFKR" localSheetId="16" hidden="1">{#N/A,#N/A,FALSE,"Plan1";#N/A,#N/A,FALSE,"Plan2"}</definedName>
    <definedName name="KJXCFKR" localSheetId="0" hidden="1">{#N/A,#N/A,FALSE,"Plan1";#N/A,#N/A,FALSE,"Plan2"}</definedName>
    <definedName name="KJXCFKR" localSheetId="26" hidden="1">{#N/A,#N/A,FALSE,"Plan1";#N/A,#N/A,FALSE,"Plan2"}</definedName>
    <definedName name="KJXCFKR" localSheetId="11" hidden="1">{#N/A,#N/A,FALSE,"Plan1";#N/A,#N/A,FALSE,"Plan2"}</definedName>
    <definedName name="KJXCFKR" hidden="1">{#N/A,#N/A,FALSE,"Plan1";#N/A,#N/A,FALSE,"Plan2"}</definedName>
    <definedName name="KJXDFD" localSheetId="24" hidden="1">{#N/A,#N/A,FALSE,"Plan1";#N/A,#N/A,FALSE,"Plan2"}</definedName>
    <definedName name="KJXDFD" localSheetId="7" hidden="1">{#N/A,#N/A,FALSE,"Plan1";#N/A,#N/A,FALSE,"Plan2"}</definedName>
    <definedName name="KJXDFD" localSheetId="9" hidden="1">{#N/A,#N/A,FALSE,"Plan1";#N/A,#N/A,FALSE,"Plan2"}</definedName>
    <definedName name="KJXDFD" localSheetId="3" hidden="1">{#N/A,#N/A,FALSE,"Plan1";#N/A,#N/A,FALSE,"Plan2"}</definedName>
    <definedName name="KJXDFD" localSheetId="2" hidden="1">{#N/A,#N/A,FALSE,"Plan1";#N/A,#N/A,FALSE,"Plan2"}</definedName>
    <definedName name="KJXDFD" localSheetId="16" hidden="1">{#N/A,#N/A,FALSE,"Plan1";#N/A,#N/A,FALSE,"Plan2"}</definedName>
    <definedName name="KJXDFD" localSheetId="0" hidden="1">{#N/A,#N/A,FALSE,"Plan1";#N/A,#N/A,FALSE,"Plan2"}</definedName>
    <definedName name="KJXDFD" localSheetId="26" hidden="1">{#N/A,#N/A,FALSE,"Plan1";#N/A,#N/A,FALSE,"Plan2"}</definedName>
    <definedName name="KJXDFD" localSheetId="11" hidden="1">{#N/A,#N/A,FALSE,"Plan1";#N/A,#N/A,FALSE,"Plan2"}</definedName>
    <definedName name="KJXDFD" hidden="1">{#N/A,#N/A,FALSE,"Plan1";#N/A,#N/A,FALSE,"Plan2"}</definedName>
    <definedName name="kjydhfkjghkjfh" localSheetId="7" hidden="1">#REF!</definedName>
    <definedName name="kjydhfkjghkjfh" localSheetId="3" hidden="1">#REF!</definedName>
    <definedName name="kjydhfkjghkjfh" localSheetId="0" hidden="1">#REF!</definedName>
    <definedName name="kjydhfkjghkjfh" hidden="1">#REF!</definedName>
    <definedName name="kk" localSheetId="7">#REF!</definedName>
    <definedName name="kk" localSheetId="3">#REF!</definedName>
    <definedName name="kk">#REF!</definedName>
    <definedName name="kkf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localSheetId="24" hidden="1">{#N/A,#N/A,FALSE,"Plan1";#N/A,#N/A,FALSE,"Plan2"}</definedName>
    <definedName name="kkk" localSheetId="7" hidden="1">{#N/A,#N/A,FALSE,"Plan1";#N/A,#N/A,FALSE,"Plan2"}</definedName>
    <definedName name="kkk" localSheetId="9" hidden="1">{#N/A,#N/A,FALSE,"Plan1";#N/A,#N/A,FALSE,"Plan2"}</definedName>
    <definedName name="kkk" localSheetId="3" hidden="1">{#N/A,#N/A,FALSE,"Plan1";#N/A,#N/A,FALSE,"Plan2"}</definedName>
    <definedName name="kkk" localSheetId="2" hidden="1">{#N/A,#N/A,FALSE,"Plan1";#N/A,#N/A,FALSE,"Plan2"}</definedName>
    <definedName name="kkk" localSheetId="16" hidden="1">{#N/A,#N/A,FALSE,"Plan1";#N/A,#N/A,FALSE,"Plan2"}</definedName>
    <definedName name="kkk" localSheetId="0" hidden="1">{#N/A,#N/A,FALSE,"Plan1";#N/A,#N/A,FALSE,"Plan2"}</definedName>
    <definedName name="kkk" localSheetId="26" hidden="1">{#N/A,#N/A,FALSE,"Plan1";#N/A,#N/A,FALSE,"Plan2"}</definedName>
    <definedName name="kkk" localSheetId="11" hidden="1">{#N/A,#N/A,FALSE,"Plan1";#N/A,#N/A,FALSE,"Plan2"}</definedName>
    <definedName name="kkk" hidden="1">{#N/A,#N/A,FALSE,"Plan1";#N/A,#N/A,FALSE,"Plan2"}</definedName>
    <definedName name="kkkkk" localSheetId="24" hidden="1">{#N/A,#N/A,FALSE,"Plan1";#N/A,#N/A,FALSE,"Plan2"}</definedName>
    <definedName name="kkkkk" localSheetId="7" hidden="1">{#N/A,#N/A,FALSE,"Plan1";#N/A,#N/A,FALSE,"Plan2"}</definedName>
    <definedName name="kkkkk" localSheetId="9" hidden="1">{#N/A,#N/A,FALSE,"Plan1";#N/A,#N/A,FALSE,"Plan2"}</definedName>
    <definedName name="kkkkk" localSheetId="3" hidden="1">{#N/A,#N/A,FALSE,"Plan1";#N/A,#N/A,FALSE,"Plan2"}</definedName>
    <definedName name="kkkkk" localSheetId="2" hidden="1">{#N/A,#N/A,FALSE,"Plan1";#N/A,#N/A,FALSE,"Plan2"}</definedName>
    <definedName name="kkkkk" localSheetId="16" hidden="1">{#N/A,#N/A,FALSE,"Plan1";#N/A,#N/A,FALSE,"Plan2"}</definedName>
    <definedName name="kkkkk" localSheetId="0" hidden="1">{#N/A,#N/A,FALSE,"Plan1";#N/A,#N/A,FALSE,"Plan2"}</definedName>
    <definedName name="kkkkk" localSheetId="26" hidden="1">{#N/A,#N/A,FALSE,"Plan1";#N/A,#N/A,FALSE,"Plan2"}</definedName>
    <definedName name="kkkkk" localSheetId="11" hidden="1">{#N/A,#N/A,FALSE,"Plan1";#N/A,#N/A,FALSE,"Plan2"}</definedName>
    <definedName name="kkkkk" hidden="1">{#N/A,#N/A,FALSE,"Plan1";#N/A,#N/A,FALSE,"Plan2"}</definedName>
    <definedName name="kkkkkk" localSheetId="24" hidden="1">{#N/A,#N/A,FALSE,"Plan1";#N/A,#N/A,FALSE,"Plan2"}</definedName>
    <definedName name="kkkkkk" localSheetId="7" hidden="1">{#N/A,#N/A,FALSE,"Plan1";#N/A,#N/A,FALSE,"Plan2"}</definedName>
    <definedName name="kkkkkk" localSheetId="9" hidden="1">{#N/A,#N/A,FALSE,"Plan1";#N/A,#N/A,FALSE,"Plan2"}</definedName>
    <definedName name="kkkkkk" localSheetId="3" hidden="1">{#N/A,#N/A,FALSE,"Plan1";#N/A,#N/A,FALSE,"Plan2"}</definedName>
    <definedName name="kkkkkk" localSheetId="2" hidden="1">{#N/A,#N/A,FALSE,"Plan1";#N/A,#N/A,FALSE,"Plan2"}</definedName>
    <definedName name="kkkkkk" localSheetId="16" hidden="1">{#N/A,#N/A,FALSE,"Plan1";#N/A,#N/A,FALSE,"Plan2"}</definedName>
    <definedName name="kkkkkk" localSheetId="0" hidden="1">{#N/A,#N/A,FALSE,"Plan1";#N/A,#N/A,FALSE,"Plan2"}</definedName>
    <definedName name="kkkkkk" localSheetId="26" hidden="1">{#N/A,#N/A,FALSE,"Plan1";#N/A,#N/A,FALSE,"Plan2"}</definedName>
    <definedName name="kkkkkk" localSheetId="11" hidden="1">{#N/A,#N/A,FALSE,"Plan1";#N/A,#N/A,FALSE,"Plan2"}</definedName>
    <definedName name="kkkkkk" hidden="1">{#N/A,#N/A,FALSE,"Plan1";#N/A,#N/A,FALSE,"Plan2"}</definedName>
    <definedName name="kko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localSheetId="24" hidden="1">{#N/A,#N/A,FALSE,"Plan1";#N/A,#N/A,FALSE,"Plan2"}</definedName>
    <definedName name="kksaklçer" localSheetId="7" hidden="1">{#N/A,#N/A,FALSE,"Plan1";#N/A,#N/A,FALSE,"Plan2"}</definedName>
    <definedName name="kksaklçer" localSheetId="9" hidden="1">{#N/A,#N/A,FALSE,"Plan1";#N/A,#N/A,FALSE,"Plan2"}</definedName>
    <definedName name="kksaklçer" localSheetId="3" hidden="1">{#N/A,#N/A,FALSE,"Plan1";#N/A,#N/A,FALSE,"Plan2"}</definedName>
    <definedName name="kksaklçer" localSheetId="2" hidden="1">{#N/A,#N/A,FALSE,"Plan1";#N/A,#N/A,FALSE,"Plan2"}</definedName>
    <definedName name="kksaklçer" localSheetId="16" hidden="1">{#N/A,#N/A,FALSE,"Plan1";#N/A,#N/A,FALSE,"Plan2"}</definedName>
    <definedName name="kksaklçer" localSheetId="0" hidden="1">{#N/A,#N/A,FALSE,"Plan1";#N/A,#N/A,FALSE,"Plan2"}</definedName>
    <definedName name="kksaklçer" localSheetId="26" hidden="1">{#N/A,#N/A,FALSE,"Plan1";#N/A,#N/A,FALSE,"Plan2"}</definedName>
    <definedName name="kksaklçer" localSheetId="11" hidden="1">{#N/A,#N/A,FALSE,"Plan1";#N/A,#N/A,FALSE,"Plan2"}</definedName>
    <definedName name="kksaklçer" hidden="1">{#N/A,#N/A,FALSE,"Plan1";#N/A,#N/A,FALSE,"Plan2"}</definedName>
    <definedName name="kksarde" localSheetId="24" hidden="1">{#N/A,#N/A,FALSE,"Plan1";#N/A,#N/A,FALSE,"Plan2"}</definedName>
    <definedName name="kksarde" localSheetId="7" hidden="1">{#N/A,#N/A,FALSE,"Plan1";#N/A,#N/A,FALSE,"Plan2"}</definedName>
    <definedName name="kksarde" localSheetId="9" hidden="1">{#N/A,#N/A,FALSE,"Plan1";#N/A,#N/A,FALSE,"Plan2"}</definedName>
    <definedName name="kksarde" localSheetId="3" hidden="1">{#N/A,#N/A,FALSE,"Plan1";#N/A,#N/A,FALSE,"Plan2"}</definedName>
    <definedName name="kksarde" localSheetId="2" hidden="1">{#N/A,#N/A,FALSE,"Plan1";#N/A,#N/A,FALSE,"Plan2"}</definedName>
    <definedName name="kksarde" localSheetId="16" hidden="1">{#N/A,#N/A,FALSE,"Plan1";#N/A,#N/A,FALSE,"Plan2"}</definedName>
    <definedName name="kksarde" localSheetId="0" hidden="1">{#N/A,#N/A,FALSE,"Plan1";#N/A,#N/A,FALSE,"Plan2"}</definedName>
    <definedName name="kksarde" localSheetId="26" hidden="1">{#N/A,#N/A,FALSE,"Plan1";#N/A,#N/A,FALSE,"Plan2"}</definedName>
    <definedName name="kksarde" localSheetId="11" hidden="1">{#N/A,#N/A,FALSE,"Plan1";#N/A,#N/A,FALSE,"Plan2"}</definedName>
    <definedName name="kksarde" hidden="1">{#N/A,#N/A,FALSE,"Plan1";#N/A,#N/A,FALSE,"Plan2"}</definedName>
    <definedName name="klaskldjsw" localSheetId="24" hidden="1">{#N/A,#N/A,FALSE,"Plan1";#N/A,#N/A,FALSE,"Plan2"}</definedName>
    <definedName name="klaskldjsw" localSheetId="7" hidden="1">{#N/A,#N/A,FALSE,"Plan1";#N/A,#N/A,FALSE,"Plan2"}</definedName>
    <definedName name="klaskldjsw" localSheetId="9" hidden="1">{#N/A,#N/A,FALSE,"Plan1";#N/A,#N/A,FALSE,"Plan2"}</definedName>
    <definedName name="klaskldjsw" localSheetId="3" hidden="1">{#N/A,#N/A,FALSE,"Plan1";#N/A,#N/A,FALSE,"Plan2"}</definedName>
    <definedName name="klaskldjsw" localSheetId="2" hidden="1">{#N/A,#N/A,FALSE,"Plan1";#N/A,#N/A,FALSE,"Plan2"}</definedName>
    <definedName name="klaskldjsw" localSheetId="16" hidden="1">{#N/A,#N/A,FALSE,"Plan1";#N/A,#N/A,FALSE,"Plan2"}</definedName>
    <definedName name="klaskldjsw" localSheetId="0" hidden="1">{#N/A,#N/A,FALSE,"Plan1";#N/A,#N/A,FALSE,"Plan2"}</definedName>
    <definedName name="klaskldjsw" localSheetId="26" hidden="1">{#N/A,#N/A,FALSE,"Plan1";#N/A,#N/A,FALSE,"Plan2"}</definedName>
    <definedName name="klaskldjsw" localSheetId="11" hidden="1">{#N/A,#N/A,FALSE,"Plan1";#N/A,#N/A,FALSE,"Plan2"}</definedName>
    <definedName name="klaskldjsw" hidden="1">{#N/A,#N/A,FALSE,"Plan1";#N/A,#N/A,FALSE,"Plan2"}</definedName>
    <definedName name="klçkop" localSheetId="24" hidden="1">{#N/A,#N/A,FALSE,"Plan1";#N/A,#N/A,FALSE,"Plan2"}</definedName>
    <definedName name="klçkop" localSheetId="7" hidden="1">{#N/A,#N/A,FALSE,"Plan1";#N/A,#N/A,FALSE,"Plan2"}</definedName>
    <definedName name="klçkop" localSheetId="9" hidden="1">{#N/A,#N/A,FALSE,"Plan1";#N/A,#N/A,FALSE,"Plan2"}</definedName>
    <definedName name="klçkop" localSheetId="3" hidden="1">{#N/A,#N/A,FALSE,"Plan1";#N/A,#N/A,FALSE,"Plan2"}</definedName>
    <definedName name="klçkop" localSheetId="2" hidden="1">{#N/A,#N/A,FALSE,"Plan1";#N/A,#N/A,FALSE,"Plan2"}</definedName>
    <definedName name="klçkop" localSheetId="16" hidden="1">{#N/A,#N/A,FALSE,"Plan1";#N/A,#N/A,FALSE,"Plan2"}</definedName>
    <definedName name="klçkop" localSheetId="0" hidden="1">{#N/A,#N/A,FALSE,"Plan1";#N/A,#N/A,FALSE,"Plan2"}</definedName>
    <definedName name="klçkop" localSheetId="26" hidden="1">{#N/A,#N/A,FALSE,"Plan1";#N/A,#N/A,FALSE,"Plan2"}</definedName>
    <definedName name="klçkop" localSheetId="11" hidden="1">{#N/A,#N/A,FALSE,"Plan1";#N/A,#N/A,FALSE,"Plan2"}</definedName>
    <definedName name="klçkop" hidden="1">{#N/A,#N/A,FALSE,"Plan1";#N/A,#N/A,FALSE,"Plan2"}</definedName>
    <definedName name="KLDFNTRDT" localSheetId="24" hidden="1">{#N/A,#N/A,FALSE,"Plan1";#N/A,#N/A,FALSE,"Plan2"}</definedName>
    <definedName name="KLDFNTRDT" localSheetId="7" hidden="1">{#N/A,#N/A,FALSE,"Plan1";#N/A,#N/A,FALSE,"Plan2"}</definedName>
    <definedName name="KLDFNTRDT" localSheetId="9" hidden="1">{#N/A,#N/A,FALSE,"Plan1";#N/A,#N/A,FALSE,"Plan2"}</definedName>
    <definedName name="KLDFNTRDT" localSheetId="3" hidden="1">{#N/A,#N/A,FALSE,"Plan1";#N/A,#N/A,FALSE,"Plan2"}</definedName>
    <definedName name="KLDFNTRDT" localSheetId="2" hidden="1">{#N/A,#N/A,FALSE,"Plan1";#N/A,#N/A,FALSE,"Plan2"}</definedName>
    <definedName name="KLDFNTRDT" localSheetId="16" hidden="1">{#N/A,#N/A,FALSE,"Plan1";#N/A,#N/A,FALSE,"Plan2"}</definedName>
    <definedName name="KLDFNTRDT" localSheetId="0" hidden="1">{#N/A,#N/A,FALSE,"Plan1";#N/A,#N/A,FALSE,"Plan2"}</definedName>
    <definedName name="KLDFNTRDT" localSheetId="26" hidden="1">{#N/A,#N/A,FALSE,"Plan1";#N/A,#N/A,FALSE,"Plan2"}</definedName>
    <definedName name="KLDFNTRDT" localSheetId="11" hidden="1">{#N/A,#N/A,FALSE,"Plan1";#N/A,#N/A,FALSE,"Plan2"}</definedName>
    <definedName name="KLDFNTRDT" hidden="1">{#N/A,#N/A,FALSE,"Plan1";#N/A,#N/A,FALSE,"Plan2"}</definedName>
    <definedName name="klhjsdklhdf" localSheetId="24" hidden="1">{#N/A,#N/A,FALSE,"Plan1";#N/A,#N/A,FALSE,"Plan2"}</definedName>
    <definedName name="klhjsdklhdf" localSheetId="7" hidden="1">{#N/A,#N/A,FALSE,"Plan1";#N/A,#N/A,FALSE,"Plan2"}</definedName>
    <definedName name="klhjsdklhdf" localSheetId="9" hidden="1">{#N/A,#N/A,FALSE,"Plan1";#N/A,#N/A,FALSE,"Plan2"}</definedName>
    <definedName name="klhjsdklhdf" localSheetId="3" hidden="1">{#N/A,#N/A,FALSE,"Plan1";#N/A,#N/A,FALSE,"Plan2"}</definedName>
    <definedName name="klhjsdklhdf" localSheetId="2" hidden="1">{#N/A,#N/A,FALSE,"Plan1";#N/A,#N/A,FALSE,"Plan2"}</definedName>
    <definedName name="klhjsdklhdf" localSheetId="16" hidden="1">{#N/A,#N/A,FALSE,"Plan1";#N/A,#N/A,FALSE,"Plan2"}</definedName>
    <definedName name="klhjsdklhdf" localSheetId="0" hidden="1">{#N/A,#N/A,FALSE,"Plan1";#N/A,#N/A,FALSE,"Plan2"}</definedName>
    <definedName name="klhjsdklhdf" localSheetId="26" hidden="1">{#N/A,#N/A,FALSE,"Plan1";#N/A,#N/A,FALSE,"Plan2"}</definedName>
    <definedName name="klhjsdklhdf" localSheetId="11" hidden="1">{#N/A,#N/A,FALSE,"Plan1";#N/A,#N/A,FALSE,"Plan2"}</definedName>
    <definedName name="klhjsdklhdf" hidden="1">{#N/A,#N/A,FALSE,"Plan1";#N/A,#N/A,FALSE,"Plan2"}</definedName>
    <definedName name="KLHSKLRHWE" localSheetId="24" hidden="1">{#N/A,#N/A,FALSE,"Plan1";#N/A,#N/A,FALSE,"Plan2"}</definedName>
    <definedName name="KLHSKLRHWE" localSheetId="7" hidden="1">{#N/A,#N/A,FALSE,"Plan1";#N/A,#N/A,FALSE,"Plan2"}</definedName>
    <definedName name="KLHSKLRHWE" localSheetId="9" hidden="1">{#N/A,#N/A,FALSE,"Plan1";#N/A,#N/A,FALSE,"Plan2"}</definedName>
    <definedName name="KLHSKLRHWE" localSheetId="3" hidden="1">{#N/A,#N/A,FALSE,"Plan1";#N/A,#N/A,FALSE,"Plan2"}</definedName>
    <definedName name="KLHSKLRHWE" localSheetId="2" hidden="1">{#N/A,#N/A,FALSE,"Plan1";#N/A,#N/A,FALSE,"Plan2"}</definedName>
    <definedName name="KLHSKLRHWE" localSheetId="16" hidden="1">{#N/A,#N/A,FALSE,"Plan1";#N/A,#N/A,FALSE,"Plan2"}</definedName>
    <definedName name="KLHSKLRHWE" localSheetId="0" hidden="1">{#N/A,#N/A,FALSE,"Plan1";#N/A,#N/A,FALSE,"Plan2"}</definedName>
    <definedName name="KLHSKLRHWE" localSheetId="26" hidden="1">{#N/A,#N/A,FALSE,"Plan1";#N/A,#N/A,FALSE,"Plan2"}</definedName>
    <definedName name="KLHSKLRHWE" localSheetId="11" hidden="1">{#N/A,#N/A,FALSE,"Plan1";#N/A,#N/A,FALSE,"Plan2"}</definedName>
    <definedName name="KLHSKLRHWE" hidden="1">{#N/A,#N/A,FALSE,"Plan1";#N/A,#N/A,FALSE,"Plan2"}</definedName>
    <definedName name="KLJASKJD" localSheetId="24" hidden="1">{#N/A,#N/A,FALSE,"Plan1";#N/A,#N/A,FALSE,"Plan2"}</definedName>
    <definedName name="KLJASKJD" localSheetId="7" hidden="1">{#N/A,#N/A,FALSE,"Plan1";#N/A,#N/A,FALSE,"Plan2"}</definedName>
    <definedName name="KLJASKJD" localSheetId="9" hidden="1">{#N/A,#N/A,FALSE,"Plan1";#N/A,#N/A,FALSE,"Plan2"}</definedName>
    <definedName name="KLJASKJD" localSheetId="3" hidden="1">{#N/A,#N/A,FALSE,"Plan1";#N/A,#N/A,FALSE,"Plan2"}</definedName>
    <definedName name="KLJASKJD" localSheetId="2" hidden="1">{#N/A,#N/A,FALSE,"Plan1";#N/A,#N/A,FALSE,"Plan2"}</definedName>
    <definedName name="KLJASKJD" localSheetId="16" hidden="1">{#N/A,#N/A,FALSE,"Plan1";#N/A,#N/A,FALSE,"Plan2"}</definedName>
    <definedName name="KLJASKJD" localSheetId="0" hidden="1">{#N/A,#N/A,FALSE,"Plan1";#N/A,#N/A,FALSE,"Plan2"}</definedName>
    <definedName name="KLJASKJD" localSheetId="26" hidden="1">{#N/A,#N/A,FALSE,"Plan1";#N/A,#N/A,FALSE,"Plan2"}</definedName>
    <definedName name="KLJASKJD" localSheetId="11" hidden="1">{#N/A,#N/A,FALSE,"Plan1";#N/A,#N/A,FALSE,"Plan2"}</definedName>
    <definedName name="KLJASKJD" hidden="1">{#N/A,#N/A,FALSE,"Plan1";#N/A,#N/A,FALSE,"Plan2"}</definedName>
    <definedName name="KLJDXLG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localSheetId="24" hidden="1">{#N/A,#N/A,FALSE,"Plan1";#N/A,#N/A,FALSE,"Plan2"}</definedName>
    <definedName name="kljeflwr" localSheetId="7" hidden="1">{#N/A,#N/A,FALSE,"Plan1";#N/A,#N/A,FALSE,"Plan2"}</definedName>
    <definedName name="kljeflwr" localSheetId="9" hidden="1">{#N/A,#N/A,FALSE,"Plan1";#N/A,#N/A,FALSE,"Plan2"}</definedName>
    <definedName name="kljeflwr" localSheetId="3" hidden="1">{#N/A,#N/A,FALSE,"Plan1";#N/A,#N/A,FALSE,"Plan2"}</definedName>
    <definedName name="kljeflwr" localSheetId="2" hidden="1">{#N/A,#N/A,FALSE,"Plan1";#N/A,#N/A,FALSE,"Plan2"}</definedName>
    <definedName name="kljeflwr" localSheetId="16" hidden="1">{#N/A,#N/A,FALSE,"Plan1";#N/A,#N/A,FALSE,"Plan2"}</definedName>
    <definedName name="kljeflwr" localSheetId="0" hidden="1">{#N/A,#N/A,FALSE,"Plan1";#N/A,#N/A,FALSE,"Plan2"}</definedName>
    <definedName name="kljeflwr" localSheetId="26" hidden="1">{#N/A,#N/A,FALSE,"Plan1";#N/A,#N/A,FALSE,"Plan2"}</definedName>
    <definedName name="kljeflwr" localSheetId="11" hidden="1">{#N/A,#N/A,FALSE,"Plan1";#N/A,#N/A,FALSE,"Plan2"}</definedName>
    <definedName name="kljeflwr" hidden="1">{#N/A,#N/A,FALSE,"Plan1";#N/A,#N/A,FALSE,"Plan2"}</definedName>
    <definedName name="kljflgjrf" localSheetId="24" hidden="1">{#N/A,#N/A,FALSE,"Plan1";#N/A,#N/A,FALSE,"Plan2"}</definedName>
    <definedName name="kljflgjrf" localSheetId="7" hidden="1">{#N/A,#N/A,FALSE,"Plan1";#N/A,#N/A,FALSE,"Plan2"}</definedName>
    <definedName name="kljflgjrf" localSheetId="9" hidden="1">{#N/A,#N/A,FALSE,"Plan1";#N/A,#N/A,FALSE,"Plan2"}</definedName>
    <definedName name="kljflgjrf" localSheetId="3" hidden="1">{#N/A,#N/A,FALSE,"Plan1";#N/A,#N/A,FALSE,"Plan2"}</definedName>
    <definedName name="kljflgjrf" localSheetId="2" hidden="1">{#N/A,#N/A,FALSE,"Plan1";#N/A,#N/A,FALSE,"Plan2"}</definedName>
    <definedName name="kljflgjrf" localSheetId="16" hidden="1">{#N/A,#N/A,FALSE,"Plan1";#N/A,#N/A,FALSE,"Plan2"}</definedName>
    <definedName name="kljflgjrf" localSheetId="0" hidden="1">{#N/A,#N/A,FALSE,"Plan1";#N/A,#N/A,FALSE,"Plan2"}</definedName>
    <definedName name="kljflgjrf" localSheetId="26" hidden="1">{#N/A,#N/A,FALSE,"Plan1";#N/A,#N/A,FALSE,"Plan2"}</definedName>
    <definedName name="kljflgjrf" localSheetId="11" hidden="1">{#N/A,#N/A,FALSE,"Plan1";#N/A,#N/A,FALSE,"Plan2"}</definedName>
    <definedName name="kljflgjrf" hidden="1">{#N/A,#N/A,FALSE,"Plan1";#N/A,#N/A,FALSE,"Plan2"}</definedName>
    <definedName name="kljgfdfr" localSheetId="24" hidden="1">{#N/A,#N/A,FALSE,"Plan1";#N/A,#N/A,FALSE,"Plan2"}</definedName>
    <definedName name="kljgfdfr" localSheetId="7" hidden="1">{#N/A,#N/A,FALSE,"Plan1";#N/A,#N/A,FALSE,"Plan2"}</definedName>
    <definedName name="kljgfdfr" localSheetId="9" hidden="1">{#N/A,#N/A,FALSE,"Plan1";#N/A,#N/A,FALSE,"Plan2"}</definedName>
    <definedName name="kljgfdfr" localSheetId="3" hidden="1">{#N/A,#N/A,FALSE,"Plan1";#N/A,#N/A,FALSE,"Plan2"}</definedName>
    <definedName name="kljgfdfr" localSheetId="2" hidden="1">{#N/A,#N/A,FALSE,"Plan1";#N/A,#N/A,FALSE,"Plan2"}</definedName>
    <definedName name="kljgfdfr" localSheetId="16" hidden="1">{#N/A,#N/A,FALSE,"Plan1";#N/A,#N/A,FALSE,"Plan2"}</definedName>
    <definedName name="kljgfdfr" localSheetId="0" hidden="1">{#N/A,#N/A,FALSE,"Plan1";#N/A,#N/A,FALSE,"Plan2"}</definedName>
    <definedName name="kljgfdfr" localSheetId="26" hidden="1">{#N/A,#N/A,FALSE,"Plan1";#N/A,#N/A,FALSE,"Plan2"}</definedName>
    <definedName name="kljgfdfr" localSheetId="11" hidden="1">{#N/A,#N/A,FALSE,"Plan1";#N/A,#N/A,FALSE,"Plan2"}</definedName>
    <definedName name="kljgfdfr" hidden="1">{#N/A,#N/A,FALSE,"Plan1";#N/A,#N/A,FALSE,"Plan2"}</definedName>
    <definedName name="kljgfjrt" localSheetId="24" hidden="1">{#N/A,#N/A,FALSE,"Plan1";#N/A,#N/A,FALSE,"Plan2"}</definedName>
    <definedName name="kljgfjrt" localSheetId="7" hidden="1">{#N/A,#N/A,FALSE,"Plan1";#N/A,#N/A,FALSE,"Plan2"}</definedName>
    <definedName name="kljgfjrt" localSheetId="9" hidden="1">{#N/A,#N/A,FALSE,"Plan1";#N/A,#N/A,FALSE,"Plan2"}</definedName>
    <definedName name="kljgfjrt" localSheetId="3" hidden="1">{#N/A,#N/A,FALSE,"Plan1";#N/A,#N/A,FALSE,"Plan2"}</definedName>
    <definedName name="kljgfjrt" localSheetId="2" hidden="1">{#N/A,#N/A,FALSE,"Plan1";#N/A,#N/A,FALSE,"Plan2"}</definedName>
    <definedName name="kljgfjrt" localSheetId="16" hidden="1">{#N/A,#N/A,FALSE,"Plan1";#N/A,#N/A,FALSE,"Plan2"}</definedName>
    <definedName name="kljgfjrt" localSheetId="0" hidden="1">{#N/A,#N/A,FALSE,"Plan1";#N/A,#N/A,FALSE,"Plan2"}</definedName>
    <definedName name="kljgfjrt" localSheetId="26" hidden="1">{#N/A,#N/A,FALSE,"Plan1";#N/A,#N/A,FALSE,"Plan2"}</definedName>
    <definedName name="kljgfjrt" localSheetId="11" hidden="1">{#N/A,#N/A,FALSE,"Plan1";#N/A,#N/A,FALSE,"Plan2"}</definedName>
    <definedName name="kljgfjrt" hidden="1">{#N/A,#N/A,FALSE,"Plan1";#N/A,#N/A,FALSE,"Plan2"}</definedName>
    <definedName name="kljlkdfj" localSheetId="24" hidden="1">{#N/A,#N/A,FALSE,"Plan1";#N/A,#N/A,FALSE,"Plan2"}</definedName>
    <definedName name="kljlkdfj" localSheetId="7" hidden="1">{#N/A,#N/A,FALSE,"Plan1";#N/A,#N/A,FALSE,"Plan2"}</definedName>
    <definedName name="kljlkdfj" localSheetId="9" hidden="1">{#N/A,#N/A,FALSE,"Plan1";#N/A,#N/A,FALSE,"Plan2"}</definedName>
    <definedName name="kljlkdfj" localSheetId="3" hidden="1">{#N/A,#N/A,FALSE,"Plan1";#N/A,#N/A,FALSE,"Plan2"}</definedName>
    <definedName name="kljlkdfj" localSheetId="2" hidden="1">{#N/A,#N/A,FALSE,"Plan1";#N/A,#N/A,FALSE,"Plan2"}</definedName>
    <definedName name="kljlkdfj" localSheetId="16" hidden="1">{#N/A,#N/A,FALSE,"Plan1";#N/A,#N/A,FALSE,"Plan2"}</definedName>
    <definedName name="kljlkdfj" localSheetId="0" hidden="1">{#N/A,#N/A,FALSE,"Plan1";#N/A,#N/A,FALSE,"Plan2"}</definedName>
    <definedName name="kljlkdfj" localSheetId="26" hidden="1">{#N/A,#N/A,FALSE,"Plan1";#N/A,#N/A,FALSE,"Plan2"}</definedName>
    <definedName name="kljlkdfj" localSheetId="11" hidden="1">{#N/A,#N/A,FALSE,"Plan1";#N/A,#N/A,FALSE,"Plan2"}</definedName>
    <definedName name="kljlkdfj" hidden="1">{#N/A,#N/A,FALSE,"Plan1";#N/A,#N/A,FALSE,"Plan2"}</definedName>
    <definedName name="kljsakjfr" localSheetId="24" hidden="1">{#N/A,#N/A,FALSE,"Plan1";#N/A,#N/A,FALSE,"Plan2"}</definedName>
    <definedName name="kljsakjfr" localSheetId="7" hidden="1">{#N/A,#N/A,FALSE,"Plan1";#N/A,#N/A,FALSE,"Plan2"}</definedName>
    <definedName name="kljsakjfr" localSheetId="9" hidden="1">{#N/A,#N/A,FALSE,"Plan1";#N/A,#N/A,FALSE,"Plan2"}</definedName>
    <definedName name="kljsakjfr" localSheetId="3" hidden="1">{#N/A,#N/A,FALSE,"Plan1";#N/A,#N/A,FALSE,"Plan2"}</definedName>
    <definedName name="kljsakjfr" localSheetId="2" hidden="1">{#N/A,#N/A,FALSE,"Plan1";#N/A,#N/A,FALSE,"Plan2"}</definedName>
    <definedName name="kljsakjfr" localSheetId="16" hidden="1">{#N/A,#N/A,FALSE,"Plan1";#N/A,#N/A,FALSE,"Plan2"}</definedName>
    <definedName name="kljsakjfr" localSheetId="0" hidden="1">{#N/A,#N/A,FALSE,"Plan1";#N/A,#N/A,FALSE,"Plan2"}</definedName>
    <definedName name="kljsakjfr" localSheetId="26" hidden="1">{#N/A,#N/A,FALSE,"Plan1";#N/A,#N/A,FALSE,"Plan2"}</definedName>
    <definedName name="kljsakjfr" localSheetId="11" hidden="1">{#N/A,#N/A,FALSE,"Plan1";#N/A,#N/A,FALSE,"Plan2"}</definedName>
    <definedName name="kljsakjfr" hidden="1">{#N/A,#N/A,FALSE,"Plan1";#N/A,#N/A,FALSE,"Plan2"}</definedName>
    <definedName name="kljsdje" localSheetId="24" hidden="1">{#N/A,#N/A,FALSE,"Plan1";#N/A,#N/A,FALSE,"Plan2"}</definedName>
    <definedName name="kljsdje" localSheetId="7" hidden="1">{#N/A,#N/A,FALSE,"Plan1";#N/A,#N/A,FALSE,"Plan2"}</definedName>
    <definedName name="kljsdje" localSheetId="9" hidden="1">{#N/A,#N/A,FALSE,"Plan1";#N/A,#N/A,FALSE,"Plan2"}</definedName>
    <definedName name="kljsdje" localSheetId="3" hidden="1">{#N/A,#N/A,FALSE,"Plan1";#N/A,#N/A,FALSE,"Plan2"}</definedName>
    <definedName name="kljsdje" localSheetId="2" hidden="1">{#N/A,#N/A,FALSE,"Plan1";#N/A,#N/A,FALSE,"Plan2"}</definedName>
    <definedName name="kljsdje" localSheetId="16" hidden="1">{#N/A,#N/A,FALSE,"Plan1";#N/A,#N/A,FALSE,"Plan2"}</definedName>
    <definedName name="kljsdje" localSheetId="0" hidden="1">{#N/A,#N/A,FALSE,"Plan1";#N/A,#N/A,FALSE,"Plan2"}</definedName>
    <definedName name="kljsdje" localSheetId="26" hidden="1">{#N/A,#N/A,FALSE,"Plan1";#N/A,#N/A,FALSE,"Plan2"}</definedName>
    <definedName name="kljsdje" localSheetId="11" hidden="1">{#N/A,#N/A,FALSE,"Plan1";#N/A,#N/A,FALSE,"Plan2"}</definedName>
    <definedName name="kljsdje" hidden="1">{#N/A,#N/A,FALSE,"Plan1";#N/A,#N/A,FALSE,"Plan2"}</definedName>
    <definedName name="kljsfwe" localSheetId="24" hidden="1">{#N/A,#N/A,FALSE,"Plan1";#N/A,#N/A,FALSE,"Plan2"}</definedName>
    <definedName name="kljsfwe" localSheetId="7" hidden="1">{#N/A,#N/A,FALSE,"Plan1";#N/A,#N/A,FALSE,"Plan2"}</definedName>
    <definedName name="kljsfwe" localSheetId="9" hidden="1">{#N/A,#N/A,FALSE,"Plan1";#N/A,#N/A,FALSE,"Plan2"}</definedName>
    <definedName name="kljsfwe" localSheetId="3" hidden="1">{#N/A,#N/A,FALSE,"Plan1";#N/A,#N/A,FALSE,"Plan2"}</definedName>
    <definedName name="kljsfwe" localSheetId="2" hidden="1">{#N/A,#N/A,FALSE,"Plan1";#N/A,#N/A,FALSE,"Plan2"}</definedName>
    <definedName name="kljsfwe" localSheetId="16" hidden="1">{#N/A,#N/A,FALSE,"Plan1";#N/A,#N/A,FALSE,"Plan2"}</definedName>
    <definedName name="kljsfwe" localSheetId="0" hidden="1">{#N/A,#N/A,FALSE,"Plan1";#N/A,#N/A,FALSE,"Plan2"}</definedName>
    <definedName name="kljsfwe" localSheetId="26" hidden="1">{#N/A,#N/A,FALSE,"Plan1";#N/A,#N/A,FALSE,"Plan2"}</definedName>
    <definedName name="kljsfwe" localSheetId="11" hidden="1">{#N/A,#N/A,FALSE,"Plan1";#N/A,#N/A,FALSE,"Plan2"}</definedName>
    <definedName name="kljsfwe" hidden="1">{#N/A,#N/A,FALSE,"Plan1";#N/A,#N/A,FALSE,"Plan2"}</definedName>
    <definedName name="klk" localSheetId="24" hidden="1">{#N/A,#N/A,FALSE,"Plan1";#N/A,#N/A,FALSE,"Plan2"}</definedName>
    <definedName name="klk" localSheetId="7" hidden="1">{#N/A,#N/A,FALSE,"Plan1";#N/A,#N/A,FALSE,"Plan2"}</definedName>
    <definedName name="klk" localSheetId="9" hidden="1">{#N/A,#N/A,FALSE,"Plan1";#N/A,#N/A,FALSE,"Plan2"}</definedName>
    <definedName name="klk" localSheetId="3" hidden="1">{#N/A,#N/A,FALSE,"Plan1";#N/A,#N/A,FALSE,"Plan2"}</definedName>
    <definedName name="klk" localSheetId="2" hidden="1">{#N/A,#N/A,FALSE,"Plan1";#N/A,#N/A,FALSE,"Plan2"}</definedName>
    <definedName name="klk" localSheetId="16" hidden="1">{#N/A,#N/A,FALSE,"Plan1";#N/A,#N/A,FALSE,"Plan2"}</definedName>
    <definedName name="klk" localSheetId="0" hidden="1">{#N/A,#N/A,FALSE,"Plan1";#N/A,#N/A,FALSE,"Plan2"}</definedName>
    <definedName name="klk" localSheetId="26" hidden="1">{#N/A,#N/A,FALSE,"Plan1";#N/A,#N/A,FALSE,"Plan2"}</definedName>
    <definedName name="klk" localSheetId="11" hidden="1">{#N/A,#N/A,FALSE,"Plan1";#N/A,#N/A,FALSE,"Plan2"}</definedName>
    <definedName name="klk" hidden="1">{#N/A,#N/A,FALSE,"Plan1";#N/A,#N/A,FALSE,"Plan2"}</definedName>
    <definedName name="KLKKLKÇJÇ" localSheetId="24" hidden="1">{#N/A,#N/A,FALSE,"Plan1";#N/A,#N/A,FALSE,"Plan2"}</definedName>
    <definedName name="KLKKLKÇJÇ" localSheetId="7" hidden="1">{#N/A,#N/A,FALSE,"Plan1";#N/A,#N/A,FALSE,"Plan2"}</definedName>
    <definedName name="KLKKLKÇJÇ" localSheetId="9" hidden="1">{#N/A,#N/A,FALSE,"Plan1";#N/A,#N/A,FALSE,"Plan2"}</definedName>
    <definedName name="KLKKLKÇJÇ" localSheetId="3" hidden="1">{#N/A,#N/A,FALSE,"Plan1";#N/A,#N/A,FALSE,"Plan2"}</definedName>
    <definedName name="KLKKLKÇJÇ" localSheetId="2" hidden="1">{#N/A,#N/A,FALSE,"Plan1";#N/A,#N/A,FALSE,"Plan2"}</definedName>
    <definedName name="KLKKLKÇJÇ" localSheetId="16" hidden="1">{#N/A,#N/A,FALSE,"Plan1";#N/A,#N/A,FALSE,"Plan2"}</definedName>
    <definedName name="KLKKLKÇJÇ" localSheetId="0" hidden="1">{#N/A,#N/A,FALSE,"Plan1";#N/A,#N/A,FALSE,"Plan2"}</definedName>
    <definedName name="KLKKLKÇJÇ" localSheetId="26" hidden="1">{#N/A,#N/A,FALSE,"Plan1";#N/A,#N/A,FALSE,"Plan2"}</definedName>
    <definedName name="KLKKLKÇJÇ" localSheetId="11" hidden="1">{#N/A,#N/A,FALSE,"Plan1";#N/A,#N/A,FALSE,"Plan2"}</definedName>
    <definedName name="KLKKLKÇJÇ" hidden="1">{#N/A,#N/A,FALSE,"Plan1";#N/A,#N/A,FALSE,"Plan2"}</definedName>
    <definedName name="KLSDFT" localSheetId="24" hidden="1">{#N/A,#N/A,FALSE,"Plan1";#N/A,#N/A,FALSE,"Plan2"}</definedName>
    <definedName name="KLSDFT" localSheetId="7" hidden="1">{#N/A,#N/A,FALSE,"Plan1";#N/A,#N/A,FALSE,"Plan2"}</definedName>
    <definedName name="KLSDFT" localSheetId="9" hidden="1">{#N/A,#N/A,FALSE,"Plan1";#N/A,#N/A,FALSE,"Plan2"}</definedName>
    <definedName name="KLSDFT" localSheetId="3" hidden="1">{#N/A,#N/A,FALSE,"Plan1";#N/A,#N/A,FALSE,"Plan2"}</definedName>
    <definedName name="KLSDFT" localSheetId="2" hidden="1">{#N/A,#N/A,FALSE,"Plan1";#N/A,#N/A,FALSE,"Plan2"}</definedName>
    <definedName name="KLSDFT" localSheetId="16" hidden="1">{#N/A,#N/A,FALSE,"Plan1";#N/A,#N/A,FALSE,"Plan2"}</definedName>
    <definedName name="KLSDFT" localSheetId="0" hidden="1">{#N/A,#N/A,FALSE,"Plan1";#N/A,#N/A,FALSE,"Plan2"}</definedName>
    <definedName name="KLSDFT" localSheetId="26" hidden="1">{#N/A,#N/A,FALSE,"Plan1";#N/A,#N/A,FALSE,"Plan2"}</definedName>
    <definedName name="KLSDFT" localSheetId="11" hidden="1">{#N/A,#N/A,FALSE,"Plan1";#N/A,#N/A,FALSE,"Plan2"}</definedName>
    <definedName name="KLSDFT" hidden="1">{#N/A,#N/A,FALSE,"Plan1";#N/A,#N/A,FALSE,"Plan2"}</definedName>
    <definedName name="KLSDHSJKHF" localSheetId="24" hidden="1">{#N/A,#N/A,FALSE,"Plan1";#N/A,#N/A,FALSE,"Plan2"}</definedName>
    <definedName name="KLSDHSJKHF" localSheetId="7" hidden="1">{#N/A,#N/A,FALSE,"Plan1";#N/A,#N/A,FALSE,"Plan2"}</definedName>
    <definedName name="KLSDHSJKHF" localSheetId="9" hidden="1">{#N/A,#N/A,FALSE,"Plan1";#N/A,#N/A,FALSE,"Plan2"}</definedName>
    <definedName name="KLSDHSJKHF" localSheetId="3" hidden="1">{#N/A,#N/A,FALSE,"Plan1";#N/A,#N/A,FALSE,"Plan2"}</definedName>
    <definedName name="KLSDHSJKHF" localSheetId="2" hidden="1">{#N/A,#N/A,FALSE,"Plan1";#N/A,#N/A,FALSE,"Plan2"}</definedName>
    <definedName name="KLSDHSJKHF" localSheetId="16" hidden="1">{#N/A,#N/A,FALSE,"Plan1";#N/A,#N/A,FALSE,"Plan2"}</definedName>
    <definedName name="KLSDHSJKHF" localSheetId="0" hidden="1">{#N/A,#N/A,FALSE,"Plan1";#N/A,#N/A,FALSE,"Plan2"}</definedName>
    <definedName name="KLSDHSJKHF" localSheetId="26" hidden="1">{#N/A,#N/A,FALSE,"Plan1";#N/A,#N/A,FALSE,"Plan2"}</definedName>
    <definedName name="KLSDHSJKHF" localSheetId="11" hidden="1">{#N/A,#N/A,FALSE,"Plan1";#N/A,#N/A,FALSE,"Plan2"}</definedName>
    <definedName name="KLSDHSJKHF" hidden="1">{#N/A,#N/A,FALSE,"Plan1";#N/A,#N/A,FALSE,"Plan2"}</definedName>
    <definedName name="klsdkre" localSheetId="24" hidden="1">{#N/A,#N/A,FALSE,"Plan1";#N/A,#N/A,FALSE,"Plan2"}</definedName>
    <definedName name="klsdkre" localSheetId="7" hidden="1">{#N/A,#N/A,FALSE,"Plan1";#N/A,#N/A,FALSE,"Plan2"}</definedName>
    <definedName name="klsdkre" localSheetId="9" hidden="1">{#N/A,#N/A,FALSE,"Plan1";#N/A,#N/A,FALSE,"Plan2"}</definedName>
    <definedName name="klsdkre" localSheetId="3" hidden="1">{#N/A,#N/A,FALSE,"Plan1";#N/A,#N/A,FALSE,"Plan2"}</definedName>
    <definedName name="klsdkre" localSheetId="2" hidden="1">{#N/A,#N/A,FALSE,"Plan1";#N/A,#N/A,FALSE,"Plan2"}</definedName>
    <definedName name="klsdkre" localSheetId="16" hidden="1">{#N/A,#N/A,FALSE,"Plan1";#N/A,#N/A,FALSE,"Plan2"}</definedName>
    <definedName name="klsdkre" localSheetId="0" hidden="1">{#N/A,#N/A,FALSE,"Plan1";#N/A,#N/A,FALSE,"Plan2"}</definedName>
    <definedName name="klsdkre" localSheetId="26" hidden="1">{#N/A,#N/A,FALSE,"Plan1";#N/A,#N/A,FALSE,"Plan2"}</definedName>
    <definedName name="klsdkre" localSheetId="11" hidden="1">{#N/A,#N/A,FALSE,"Plan1";#N/A,#N/A,FALSE,"Plan2"}</definedName>
    <definedName name="klsdkre" hidden="1">{#N/A,#N/A,FALSE,"Plan1";#N/A,#N/A,FALSE,"Plan2"}</definedName>
    <definedName name="KLSIDJE" localSheetId="24" hidden="1">{#N/A,#N/A,FALSE,"Plan1";#N/A,#N/A,FALSE,"Plan2"}</definedName>
    <definedName name="KLSIDJE" localSheetId="7" hidden="1">{#N/A,#N/A,FALSE,"Plan1";#N/A,#N/A,FALSE,"Plan2"}</definedName>
    <definedName name="KLSIDJE" localSheetId="9" hidden="1">{#N/A,#N/A,FALSE,"Plan1";#N/A,#N/A,FALSE,"Plan2"}</definedName>
    <definedName name="KLSIDJE" localSheetId="3" hidden="1">{#N/A,#N/A,FALSE,"Plan1";#N/A,#N/A,FALSE,"Plan2"}</definedName>
    <definedName name="KLSIDJE" localSheetId="2" hidden="1">{#N/A,#N/A,FALSE,"Plan1";#N/A,#N/A,FALSE,"Plan2"}</definedName>
    <definedName name="KLSIDJE" localSheetId="16" hidden="1">{#N/A,#N/A,FALSE,"Plan1";#N/A,#N/A,FALSE,"Plan2"}</definedName>
    <definedName name="KLSIDJE" localSheetId="0" hidden="1">{#N/A,#N/A,FALSE,"Plan1";#N/A,#N/A,FALSE,"Plan2"}</definedName>
    <definedName name="KLSIDJE" localSheetId="26" hidden="1">{#N/A,#N/A,FALSE,"Plan1";#N/A,#N/A,FALSE,"Plan2"}</definedName>
    <definedName name="KLSIDJE" localSheetId="11" hidden="1">{#N/A,#N/A,FALSE,"Plan1";#N/A,#N/A,FALSE,"Plan2"}</definedName>
    <definedName name="KLSIDJE" hidden="1">{#N/A,#N/A,FALSE,"Plan1";#N/A,#N/A,FALSE,"Plan2"}</definedName>
    <definedName name="klsjarsf" localSheetId="24" hidden="1">{#N/A,#N/A,FALSE,"Plan1";#N/A,#N/A,FALSE,"Plan2"}</definedName>
    <definedName name="klsjarsf" localSheetId="7" hidden="1">{#N/A,#N/A,FALSE,"Plan1";#N/A,#N/A,FALSE,"Plan2"}</definedName>
    <definedName name="klsjarsf" localSheetId="9" hidden="1">{#N/A,#N/A,FALSE,"Plan1";#N/A,#N/A,FALSE,"Plan2"}</definedName>
    <definedName name="klsjarsf" localSheetId="3" hidden="1">{#N/A,#N/A,FALSE,"Plan1";#N/A,#N/A,FALSE,"Plan2"}</definedName>
    <definedName name="klsjarsf" localSheetId="2" hidden="1">{#N/A,#N/A,FALSE,"Plan1";#N/A,#N/A,FALSE,"Plan2"}</definedName>
    <definedName name="klsjarsf" localSheetId="16" hidden="1">{#N/A,#N/A,FALSE,"Plan1";#N/A,#N/A,FALSE,"Plan2"}</definedName>
    <definedName name="klsjarsf" localSheetId="0" hidden="1">{#N/A,#N/A,FALSE,"Plan1";#N/A,#N/A,FALSE,"Plan2"}</definedName>
    <definedName name="klsjarsf" localSheetId="26" hidden="1">{#N/A,#N/A,FALSE,"Plan1";#N/A,#N/A,FALSE,"Plan2"}</definedName>
    <definedName name="klsjarsf" localSheetId="11" hidden="1">{#N/A,#N/A,FALSE,"Plan1";#N/A,#N/A,FALSE,"Plan2"}</definedName>
    <definedName name="klsjarsf" hidden="1">{#N/A,#N/A,FALSE,"Plan1";#N/A,#N/A,FALSE,"Plan2"}</definedName>
    <definedName name="klsjdwe" localSheetId="7" hidden="1">#REF!</definedName>
    <definedName name="klsjdwe" localSheetId="3" hidden="1">#REF!</definedName>
    <definedName name="klsjdwe" localSheetId="0" hidden="1">#REF!</definedName>
    <definedName name="klsjdwe" hidden="1">#REF!</definedName>
    <definedName name="klxhjfdkhser" localSheetId="24" hidden="1">{#N/A,#N/A,FALSE,"Plan1";#N/A,#N/A,FALSE,"Plan2"}</definedName>
    <definedName name="klxhjfdkhser" localSheetId="7" hidden="1">{#N/A,#N/A,FALSE,"Plan1";#N/A,#N/A,FALSE,"Plan2"}</definedName>
    <definedName name="klxhjfdkhser" localSheetId="9" hidden="1">{#N/A,#N/A,FALSE,"Plan1";#N/A,#N/A,FALSE,"Plan2"}</definedName>
    <definedName name="klxhjfdkhser" localSheetId="3" hidden="1">{#N/A,#N/A,FALSE,"Plan1";#N/A,#N/A,FALSE,"Plan2"}</definedName>
    <definedName name="klxhjfdkhser" localSheetId="2" hidden="1">{#N/A,#N/A,FALSE,"Plan1";#N/A,#N/A,FALSE,"Plan2"}</definedName>
    <definedName name="klxhjfdkhser" localSheetId="16" hidden="1">{#N/A,#N/A,FALSE,"Plan1";#N/A,#N/A,FALSE,"Plan2"}</definedName>
    <definedName name="klxhjfdkhser" localSheetId="0" hidden="1">{#N/A,#N/A,FALSE,"Plan1";#N/A,#N/A,FALSE,"Plan2"}</definedName>
    <definedName name="klxhjfdkhser" localSheetId="26" hidden="1">{#N/A,#N/A,FALSE,"Plan1";#N/A,#N/A,FALSE,"Plan2"}</definedName>
    <definedName name="klxhjfdkhser" localSheetId="11" hidden="1">{#N/A,#N/A,FALSE,"Plan1";#N/A,#N/A,FALSE,"Plan2"}</definedName>
    <definedName name="klxhjfdkhser" hidden="1">{#N/A,#N/A,FALSE,"Plan1";#N/A,#N/A,FALSE,"Plan2"}</definedName>
    <definedName name="kopipnsdfne" localSheetId="24" hidden="1">{#N/A,#N/A,FALSE,"Plan1";#N/A,#N/A,FALSE,"Plan2"}</definedName>
    <definedName name="kopipnsdfne" localSheetId="7" hidden="1">{#N/A,#N/A,FALSE,"Plan1";#N/A,#N/A,FALSE,"Plan2"}</definedName>
    <definedName name="kopipnsdfne" localSheetId="9" hidden="1">{#N/A,#N/A,FALSE,"Plan1";#N/A,#N/A,FALSE,"Plan2"}</definedName>
    <definedName name="kopipnsdfne" localSheetId="3" hidden="1">{#N/A,#N/A,FALSE,"Plan1";#N/A,#N/A,FALSE,"Plan2"}</definedName>
    <definedName name="kopipnsdfne" localSheetId="2" hidden="1">{#N/A,#N/A,FALSE,"Plan1";#N/A,#N/A,FALSE,"Plan2"}</definedName>
    <definedName name="kopipnsdfne" localSheetId="16" hidden="1">{#N/A,#N/A,FALSE,"Plan1";#N/A,#N/A,FALSE,"Plan2"}</definedName>
    <definedName name="kopipnsdfne" localSheetId="0" hidden="1">{#N/A,#N/A,FALSE,"Plan1";#N/A,#N/A,FALSE,"Plan2"}</definedName>
    <definedName name="kopipnsdfne" localSheetId="26" hidden="1">{#N/A,#N/A,FALSE,"Plan1";#N/A,#N/A,FALSE,"Plan2"}</definedName>
    <definedName name="kopipnsdfne" localSheetId="11" hidden="1">{#N/A,#N/A,FALSE,"Plan1";#N/A,#N/A,FALSE,"Plan2"}</definedName>
    <definedName name="kopipnsdfne" hidden="1">{#N/A,#N/A,FALSE,"Plan1";#N/A,#N/A,FALSE,"Plan2"}</definedName>
    <definedName name="kp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localSheetId="24" hidden="1">{#N/A,#N/A,FALSE,"Plan1";#N/A,#N/A,FALSE,"Plan2"}</definedName>
    <definedName name="KSDLDF" localSheetId="7" hidden="1">{#N/A,#N/A,FALSE,"Plan1";#N/A,#N/A,FALSE,"Plan2"}</definedName>
    <definedName name="KSDLDF" localSheetId="9" hidden="1">{#N/A,#N/A,FALSE,"Plan1";#N/A,#N/A,FALSE,"Plan2"}</definedName>
    <definedName name="KSDLDF" localSheetId="3" hidden="1">{#N/A,#N/A,FALSE,"Plan1";#N/A,#N/A,FALSE,"Plan2"}</definedName>
    <definedName name="KSDLDF" localSheetId="2" hidden="1">{#N/A,#N/A,FALSE,"Plan1";#N/A,#N/A,FALSE,"Plan2"}</definedName>
    <definedName name="KSDLDF" localSheetId="16" hidden="1">{#N/A,#N/A,FALSE,"Plan1";#N/A,#N/A,FALSE,"Plan2"}</definedName>
    <definedName name="KSDLDF" localSheetId="0" hidden="1">{#N/A,#N/A,FALSE,"Plan1";#N/A,#N/A,FALSE,"Plan2"}</definedName>
    <definedName name="KSDLDF" localSheetId="26" hidden="1">{#N/A,#N/A,FALSE,"Plan1";#N/A,#N/A,FALSE,"Plan2"}</definedName>
    <definedName name="KSDLDF" localSheetId="11" hidden="1">{#N/A,#N/A,FALSE,"Plan1";#N/A,#N/A,FALSE,"Plan2"}</definedName>
    <definedName name="KSDLDF" hidden="1">{#N/A,#N/A,FALSE,"Plan1";#N/A,#N/A,FALSE,"Plan2"}</definedName>
    <definedName name="ksdlkfsçzd" localSheetId="24" hidden="1">{#N/A,#N/A,FALSE,"Plan1";#N/A,#N/A,FALSE,"Plan2"}</definedName>
    <definedName name="ksdlkfsçzd" localSheetId="7" hidden="1">{#N/A,#N/A,FALSE,"Plan1";#N/A,#N/A,FALSE,"Plan2"}</definedName>
    <definedName name="ksdlkfsçzd" localSheetId="9" hidden="1">{#N/A,#N/A,FALSE,"Plan1";#N/A,#N/A,FALSE,"Plan2"}</definedName>
    <definedName name="ksdlkfsçzd" localSheetId="3" hidden="1">{#N/A,#N/A,FALSE,"Plan1";#N/A,#N/A,FALSE,"Plan2"}</definedName>
    <definedName name="ksdlkfsçzd" localSheetId="2" hidden="1">{#N/A,#N/A,FALSE,"Plan1";#N/A,#N/A,FALSE,"Plan2"}</definedName>
    <definedName name="ksdlkfsçzd" localSheetId="16" hidden="1">{#N/A,#N/A,FALSE,"Plan1";#N/A,#N/A,FALSE,"Plan2"}</definedName>
    <definedName name="ksdlkfsçzd" localSheetId="0" hidden="1">{#N/A,#N/A,FALSE,"Plan1";#N/A,#N/A,FALSE,"Plan2"}</definedName>
    <definedName name="ksdlkfsçzd" localSheetId="26" hidden="1">{#N/A,#N/A,FALSE,"Plan1";#N/A,#N/A,FALSE,"Plan2"}</definedName>
    <definedName name="ksdlkfsçzd" localSheetId="11" hidden="1">{#N/A,#N/A,FALSE,"Plan1";#N/A,#N/A,FALSE,"Plan2"}</definedName>
    <definedName name="ksdlkfsçzd" hidden="1">{#N/A,#N/A,FALSE,"Plan1";#N/A,#N/A,FALSE,"Plan2"}</definedName>
    <definedName name="KSDNFK" localSheetId="24">#REF!</definedName>
    <definedName name="KSDNFK" localSheetId="7">#REF!</definedName>
    <definedName name="KSDNFK" localSheetId="3">#REF!</definedName>
    <definedName name="KSDNFK" localSheetId="26">#REF!</definedName>
    <definedName name="KSDNFK">#REF!</definedName>
    <definedName name="ksdoçierfe" localSheetId="24" hidden="1">{#N/A,#N/A,FALSE,"Plan1";#N/A,#N/A,FALSE,"Plan2"}</definedName>
    <definedName name="ksdoçierfe" localSheetId="7" hidden="1">{#N/A,#N/A,FALSE,"Plan1";#N/A,#N/A,FALSE,"Plan2"}</definedName>
    <definedName name="ksdoçierfe" localSheetId="9" hidden="1">{#N/A,#N/A,FALSE,"Plan1";#N/A,#N/A,FALSE,"Plan2"}</definedName>
    <definedName name="ksdoçierfe" localSheetId="3" hidden="1">{#N/A,#N/A,FALSE,"Plan1";#N/A,#N/A,FALSE,"Plan2"}</definedName>
    <definedName name="ksdoçierfe" localSheetId="2" hidden="1">{#N/A,#N/A,FALSE,"Plan1";#N/A,#N/A,FALSE,"Plan2"}</definedName>
    <definedName name="ksdoçierfe" localSheetId="16" hidden="1">{#N/A,#N/A,FALSE,"Plan1";#N/A,#N/A,FALSE,"Plan2"}</definedName>
    <definedName name="ksdoçierfe" localSheetId="0" hidden="1">{#N/A,#N/A,FALSE,"Plan1";#N/A,#N/A,FALSE,"Plan2"}</definedName>
    <definedName name="ksdoçierfe" localSheetId="26" hidden="1">{#N/A,#N/A,FALSE,"Plan1";#N/A,#N/A,FALSE,"Plan2"}</definedName>
    <definedName name="ksdoçierfe" localSheetId="11" hidden="1">{#N/A,#N/A,FALSE,"Plan1";#N/A,#N/A,FALSE,"Plan2"}</definedName>
    <definedName name="ksdoçierfe" hidden="1">{#N/A,#N/A,FALSE,"Plan1";#N/A,#N/A,FALSE,"Plan2"}</definedName>
    <definedName name="ksdtrdrkf" localSheetId="24" hidden="1">{#N/A,#N/A,FALSE,"Plan1";#N/A,#N/A,FALSE,"Plan2"}</definedName>
    <definedName name="ksdtrdrkf" localSheetId="7" hidden="1">{#N/A,#N/A,FALSE,"Plan1";#N/A,#N/A,FALSE,"Plan2"}</definedName>
    <definedName name="ksdtrdrkf" localSheetId="9" hidden="1">{#N/A,#N/A,FALSE,"Plan1";#N/A,#N/A,FALSE,"Plan2"}</definedName>
    <definedName name="ksdtrdrkf" localSheetId="3" hidden="1">{#N/A,#N/A,FALSE,"Plan1";#N/A,#N/A,FALSE,"Plan2"}</definedName>
    <definedName name="ksdtrdrkf" localSheetId="2" hidden="1">{#N/A,#N/A,FALSE,"Plan1";#N/A,#N/A,FALSE,"Plan2"}</definedName>
    <definedName name="ksdtrdrkf" localSheetId="16" hidden="1">{#N/A,#N/A,FALSE,"Plan1";#N/A,#N/A,FALSE,"Plan2"}</definedName>
    <definedName name="ksdtrdrkf" localSheetId="0" hidden="1">{#N/A,#N/A,FALSE,"Plan1";#N/A,#N/A,FALSE,"Plan2"}</definedName>
    <definedName name="ksdtrdrkf" localSheetId="26" hidden="1">{#N/A,#N/A,FALSE,"Plan1";#N/A,#N/A,FALSE,"Plan2"}</definedName>
    <definedName name="ksdtrdrkf" localSheetId="11" hidden="1">{#N/A,#N/A,FALSE,"Plan1";#N/A,#N/A,FALSE,"Plan2"}</definedName>
    <definedName name="ksdtrdrkf" hidden="1">{#N/A,#N/A,FALSE,"Plan1";#N/A,#N/A,FALSE,"Plan2"}</definedName>
    <definedName name="KSFÇJDFJL" localSheetId="24" hidden="1">{#N/A,#N/A,FALSE,"Plan1";#N/A,#N/A,FALSE,"Plan2"}</definedName>
    <definedName name="KSFÇJDFJL" localSheetId="7" hidden="1">{#N/A,#N/A,FALSE,"Plan1";#N/A,#N/A,FALSE,"Plan2"}</definedName>
    <definedName name="KSFÇJDFJL" localSheetId="9" hidden="1">{#N/A,#N/A,FALSE,"Plan1";#N/A,#N/A,FALSE,"Plan2"}</definedName>
    <definedName name="KSFÇJDFJL" localSheetId="3" hidden="1">{#N/A,#N/A,FALSE,"Plan1";#N/A,#N/A,FALSE,"Plan2"}</definedName>
    <definedName name="KSFÇJDFJL" localSheetId="2" hidden="1">{#N/A,#N/A,FALSE,"Plan1";#N/A,#N/A,FALSE,"Plan2"}</definedName>
    <definedName name="KSFÇJDFJL" localSheetId="16" hidden="1">{#N/A,#N/A,FALSE,"Plan1";#N/A,#N/A,FALSE,"Plan2"}</definedName>
    <definedName name="KSFÇJDFJL" localSheetId="0" hidden="1">{#N/A,#N/A,FALSE,"Plan1";#N/A,#N/A,FALSE,"Plan2"}</definedName>
    <definedName name="KSFÇJDFJL" localSheetId="26" hidden="1">{#N/A,#N/A,FALSE,"Plan1";#N/A,#N/A,FALSE,"Plan2"}</definedName>
    <definedName name="KSFÇJDFJL" localSheetId="11" hidden="1">{#N/A,#N/A,FALSE,"Plan1";#N/A,#N/A,FALSE,"Plan2"}</definedName>
    <definedName name="KSFÇJDFJL" hidden="1">{#N/A,#N/A,FALSE,"Plan1";#N/A,#N/A,FALSE,"Plan2"}</definedName>
    <definedName name="ksfhse" localSheetId="24" hidden="1">{#N/A,#N/A,FALSE,"Plan1";#N/A,#N/A,FALSE,"Plan2"}</definedName>
    <definedName name="ksfhse" localSheetId="7" hidden="1">{#N/A,#N/A,FALSE,"Plan1";#N/A,#N/A,FALSE,"Plan2"}</definedName>
    <definedName name="ksfhse" localSheetId="9" hidden="1">{#N/A,#N/A,FALSE,"Plan1";#N/A,#N/A,FALSE,"Plan2"}</definedName>
    <definedName name="ksfhse" localSheetId="3" hidden="1">{#N/A,#N/A,FALSE,"Plan1";#N/A,#N/A,FALSE,"Plan2"}</definedName>
    <definedName name="ksfhse" localSheetId="2" hidden="1">{#N/A,#N/A,FALSE,"Plan1";#N/A,#N/A,FALSE,"Plan2"}</definedName>
    <definedName name="ksfhse" localSheetId="16" hidden="1">{#N/A,#N/A,FALSE,"Plan1";#N/A,#N/A,FALSE,"Plan2"}</definedName>
    <definedName name="ksfhse" localSheetId="0" hidden="1">{#N/A,#N/A,FALSE,"Plan1";#N/A,#N/A,FALSE,"Plan2"}</definedName>
    <definedName name="ksfhse" localSheetId="26" hidden="1">{#N/A,#N/A,FALSE,"Plan1";#N/A,#N/A,FALSE,"Plan2"}</definedName>
    <definedName name="ksfhse" localSheetId="11" hidden="1">{#N/A,#N/A,FALSE,"Plan1";#N/A,#N/A,FALSE,"Plan2"}</definedName>
    <definedName name="ksfhse" hidden="1">{#N/A,#N/A,FALSE,"Plan1";#N/A,#N/A,FALSE,"Plan2"}</definedName>
    <definedName name="KSRKOE" localSheetId="24" hidden="1">{#N/A,#N/A,FALSE,"Plan1";#N/A,#N/A,FALSE,"Plan2"}</definedName>
    <definedName name="KSRKOE" localSheetId="7" hidden="1">{#N/A,#N/A,FALSE,"Plan1";#N/A,#N/A,FALSE,"Plan2"}</definedName>
    <definedName name="KSRKOE" localSheetId="9" hidden="1">{#N/A,#N/A,FALSE,"Plan1";#N/A,#N/A,FALSE,"Plan2"}</definedName>
    <definedName name="KSRKOE" localSheetId="3" hidden="1">{#N/A,#N/A,FALSE,"Plan1";#N/A,#N/A,FALSE,"Plan2"}</definedName>
    <definedName name="KSRKOE" localSheetId="2" hidden="1">{#N/A,#N/A,FALSE,"Plan1";#N/A,#N/A,FALSE,"Plan2"}</definedName>
    <definedName name="KSRKOE" localSheetId="16" hidden="1">{#N/A,#N/A,FALSE,"Plan1";#N/A,#N/A,FALSE,"Plan2"}</definedName>
    <definedName name="KSRKOE" localSheetId="0" hidden="1">{#N/A,#N/A,FALSE,"Plan1";#N/A,#N/A,FALSE,"Plan2"}</definedName>
    <definedName name="KSRKOE" localSheetId="26" hidden="1">{#N/A,#N/A,FALSE,"Plan1";#N/A,#N/A,FALSE,"Plan2"}</definedName>
    <definedName name="KSRKOE" localSheetId="11" hidden="1">{#N/A,#N/A,FALSE,"Plan1";#N/A,#N/A,FALSE,"Plan2"}</definedName>
    <definedName name="KSRKOE" hidden="1">{#N/A,#N/A,FALSE,"Plan1";#N/A,#N/A,FALSE,"Plan2"}</definedName>
    <definedName name="KSWKE" localSheetId="24" hidden="1">{#N/A,#N/A,FALSE,"Plan1";#N/A,#N/A,FALSE,"Plan2"}</definedName>
    <definedName name="KSWKE" localSheetId="7" hidden="1">{#N/A,#N/A,FALSE,"Plan1";#N/A,#N/A,FALSE,"Plan2"}</definedName>
    <definedName name="KSWKE" localSheetId="9" hidden="1">{#N/A,#N/A,FALSE,"Plan1";#N/A,#N/A,FALSE,"Plan2"}</definedName>
    <definedName name="KSWKE" localSheetId="3" hidden="1">{#N/A,#N/A,FALSE,"Plan1";#N/A,#N/A,FALSE,"Plan2"}</definedName>
    <definedName name="KSWKE" localSheetId="2" hidden="1">{#N/A,#N/A,FALSE,"Plan1";#N/A,#N/A,FALSE,"Plan2"}</definedName>
    <definedName name="KSWKE" localSheetId="16" hidden="1">{#N/A,#N/A,FALSE,"Plan1";#N/A,#N/A,FALSE,"Plan2"}</definedName>
    <definedName name="KSWKE" localSheetId="0" hidden="1">{#N/A,#N/A,FALSE,"Plan1";#N/A,#N/A,FALSE,"Plan2"}</definedName>
    <definedName name="KSWKE" localSheetId="26" hidden="1">{#N/A,#N/A,FALSE,"Plan1";#N/A,#N/A,FALSE,"Plan2"}</definedName>
    <definedName name="KSWKE" localSheetId="11" hidden="1">{#N/A,#N/A,FALSE,"Plan1";#N/A,#N/A,FALSE,"Plan2"}</definedName>
    <definedName name="KSWKE" hidden="1">{#N/A,#N/A,FALSE,"Plan1";#N/A,#N/A,FALSE,"Plan2"}</definedName>
    <definedName name="kubus" localSheetId="7">#REF!</definedName>
    <definedName name="kubus" localSheetId="9">#REF!</definedName>
    <definedName name="kubus" localSheetId="3">#REF!</definedName>
    <definedName name="kubus">#REF!</definedName>
    <definedName name="kubus1" localSheetId="7">#REF!</definedName>
    <definedName name="kubus1" localSheetId="3">#REF!</definedName>
    <definedName name="kubus1">#REF!</definedName>
    <definedName name="kysdusf" localSheetId="24" hidden="1">{#N/A,#N/A,FALSE,"Plan1";#N/A,#N/A,FALSE,"Plan2"}</definedName>
    <definedName name="kysdusf" localSheetId="7" hidden="1">{#N/A,#N/A,FALSE,"Plan1";#N/A,#N/A,FALSE,"Plan2"}</definedName>
    <definedName name="kysdusf" localSheetId="9" hidden="1">{#N/A,#N/A,FALSE,"Plan1";#N/A,#N/A,FALSE,"Plan2"}</definedName>
    <definedName name="kysdusf" localSheetId="3" hidden="1">{#N/A,#N/A,FALSE,"Plan1";#N/A,#N/A,FALSE,"Plan2"}</definedName>
    <definedName name="kysdusf" localSheetId="2" hidden="1">{#N/A,#N/A,FALSE,"Plan1";#N/A,#N/A,FALSE,"Plan2"}</definedName>
    <definedName name="kysdusf" localSheetId="16" hidden="1">{#N/A,#N/A,FALSE,"Plan1";#N/A,#N/A,FALSE,"Plan2"}</definedName>
    <definedName name="kysdusf" localSheetId="0" hidden="1">{#N/A,#N/A,FALSE,"Plan1";#N/A,#N/A,FALSE,"Plan2"}</definedName>
    <definedName name="kysdusf" localSheetId="26" hidden="1">{#N/A,#N/A,FALSE,"Plan1";#N/A,#N/A,FALSE,"Plan2"}</definedName>
    <definedName name="kysdusf" localSheetId="11" hidden="1">{#N/A,#N/A,FALSE,"Plan1";#N/A,#N/A,FALSE,"Plan2"}</definedName>
    <definedName name="kysdusf" hidden="1">{#N/A,#N/A,FALSE,"Plan1";#N/A,#N/A,FALSE,"Plan2"}</definedName>
    <definedName name="kzslçdkçle" localSheetId="24" hidden="1">{#N/A,#N/A,FALSE,"Plan1";#N/A,#N/A,FALSE,"Plan2"}</definedName>
    <definedName name="kzslçdkçle" localSheetId="7" hidden="1">{#N/A,#N/A,FALSE,"Plan1";#N/A,#N/A,FALSE,"Plan2"}</definedName>
    <definedName name="kzslçdkçle" localSheetId="9" hidden="1">{#N/A,#N/A,FALSE,"Plan1";#N/A,#N/A,FALSE,"Plan2"}</definedName>
    <definedName name="kzslçdkçle" localSheetId="3" hidden="1">{#N/A,#N/A,FALSE,"Plan1";#N/A,#N/A,FALSE,"Plan2"}</definedName>
    <definedName name="kzslçdkçle" localSheetId="2" hidden="1">{#N/A,#N/A,FALSE,"Plan1";#N/A,#N/A,FALSE,"Plan2"}</definedName>
    <definedName name="kzslçdkçle" localSheetId="16" hidden="1">{#N/A,#N/A,FALSE,"Plan1";#N/A,#N/A,FALSE,"Plan2"}</definedName>
    <definedName name="kzslçdkçle" localSheetId="0" hidden="1">{#N/A,#N/A,FALSE,"Plan1";#N/A,#N/A,FALSE,"Plan2"}</definedName>
    <definedName name="kzslçdkçle" localSheetId="26" hidden="1">{#N/A,#N/A,FALSE,"Plan1";#N/A,#N/A,FALSE,"Plan2"}</definedName>
    <definedName name="kzslçdkçle" localSheetId="11" hidden="1">{#N/A,#N/A,FALSE,"Plan1";#N/A,#N/A,FALSE,"Plan2"}</definedName>
    <definedName name="kzslçdkçle" hidden="1">{#N/A,#N/A,FALSE,"Plan1";#N/A,#N/A,FALSE,"Plan2"}</definedName>
    <definedName name="L_" localSheetId="7">#REF!</definedName>
    <definedName name="L_" localSheetId="9">#REF!</definedName>
    <definedName name="L_" localSheetId="3">#REF!</definedName>
    <definedName name="L_">#REF!</definedName>
    <definedName name="LAEKWRK" localSheetId="24" hidden="1">{#N/A,#N/A,FALSE,"Plan1";#N/A,#N/A,FALSE,"Plan2"}</definedName>
    <definedName name="LAEKWRK" localSheetId="7" hidden="1">{#N/A,#N/A,FALSE,"Plan1";#N/A,#N/A,FALSE,"Plan2"}</definedName>
    <definedName name="LAEKWRK" localSheetId="9" hidden="1">{#N/A,#N/A,FALSE,"Plan1";#N/A,#N/A,FALSE,"Plan2"}</definedName>
    <definedName name="LAEKWRK" localSheetId="3" hidden="1">{#N/A,#N/A,FALSE,"Plan1";#N/A,#N/A,FALSE,"Plan2"}</definedName>
    <definedName name="LAEKWRK" localSheetId="2" hidden="1">{#N/A,#N/A,FALSE,"Plan1";#N/A,#N/A,FALSE,"Plan2"}</definedName>
    <definedName name="LAEKWRK" localSheetId="16" hidden="1">{#N/A,#N/A,FALSE,"Plan1";#N/A,#N/A,FALSE,"Plan2"}</definedName>
    <definedName name="LAEKWRK" localSheetId="0" hidden="1">{#N/A,#N/A,FALSE,"Plan1";#N/A,#N/A,FALSE,"Plan2"}</definedName>
    <definedName name="LAEKWRK" localSheetId="26" hidden="1">{#N/A,#N/A,FALSE,"Plan1";#N/A,#N/A,FALSE,"Plan2"}</definedName>
    <definedName name="LAEKWRK" localSheetId="11" hidden="1">{#N/A,#N/A,FALSE,"Plan1";#N/A,#N/A,FALSE,"Plan2"}</definedName>
    <definedName name="LAEKWRK" hidden="1">{#N/A,#N/A,FALSE,"Plan1";#N/A,#N/A,FALSE,"Plan2"}</definedName>
    <definedName name="laeqwep" localSheetId="7" hidden="1">#REF!</definedName>
    <definedName name="laeqwep" localSheetId="3" hidden="1">#REF!</definedName>
    <definedName name="laeqwep" localSheetId="0" hidden="1">#REF!</definedName>
    <definedName name="laeqwep" hidden="1">#REF!</definedName>
    <definedName name="LAKDEWRF" localSheetId="24" hidden="1">{#N/A,#N/A,FALSE,"Plan1";#N/A,#N/A,FALSE,"Plan2"}</definedName>
    <definedName name="LAKDEWRF" localSheetId="7" hidden="1">{#N/A,#N/A,FALSE,"Plan1";#N/A,#N/A,FALSE,"Plan2"}</definedName>
    <definedName name="LAKDEWRF" localSheetId="9" hidden="1">{#N/A,#N/A,FALSE,"Plan1";#N/A,#N/A,FALSE,"Plan2"}</definedName>
    <definedName name="LAKDEWRF" localSheetId="3" hidden="1">{#N/A,#N/A,FALSE,"Plan1";#N/A,#N/A,FALSE,"Plan2"}</definedName>
    <definedName name="LAKDEWRF" localSheetId="2" hidden="1">{#N/A,#N/A,FALSE,"Plan1";#N/A,#N/A,FALSE,"Plan2"}</definedName>
    <definedName name="LAKDEWRF" localSheetId="16" hidden="1">{#N/A,#N/A,FALSE,"Plan1";#N/A,#N/A,FALSE,"Plan2"}</definedName>
    <definedName name="LAKDEWRF" localSheetId="0" hidden="1">{#N/A,#N/A,FALSE,"Plan1";#N/A,#N/A,FALSE,"Plan2"}</definedName>
    <definedName name="LAKDEWRF" localSheetId="26" hidden="1">{#N/A,#N/A,FALSE,"Plan1";#N/A,#N/A,FALSE,"Plan2"}</definedName>
    <definedName name="LAKDEWRF" localSheetId="11" hidden="1">{#N/A,#N/A,FALSE,"Plan1";#N/A,#N/A,FALSE,"Plan2"}</definedName>
    <definedName name="LAKDEWRF" hidden="1">{#N/A,#N/A,FALSE,"Plan1";#N/A,#N/A,FALSE,"Plan2"}</definedName>
    <definedName name="Lancamentos" localSheetId="24">#REF!</definedName>
    <definedName name="Lancamentos" localSheetId="7">#REF!</definedName>
    <definedName name="Lancamentos" localSheetId="3">#REF!</definedName>
    <definedName name="Lancamentos" localSheetId="26">#REF!</definedName>
    <definedName name="Lancamentos">#REF!</definedName>
    <definedName name="LARGURA" localSheetId="7">#REF!</definedName>
    <definedName name="LARGURA" localSheetId="3">#REF!</definedName>
    <definedName name="LARGURA">#REF!</definedName>
    <definedName name="LASÇDSRLF" localSheetId="24" hidden="1">{#N/A,#N/A,FALSE,"Plan1";#N/A,#N/A,FALSE,"Plan2"}</definedName>
    <definedName name="LASÇDSRLF" localSheetId="7" hidden="1">{#N/A,#N/A,FALSE,"Plan1";#N/A,#N/A,FALSE,"Plan2"}</definedName>
    <definedName name="LASÇDSRLF" localSheetId="9" hidden="1">{#N/A,#N/A,FALSE,"Plan1";#N/A,#N/A,FALSE,"Plan2"}</definedName>
    <definedName name="LASÇDSRLF" localSheetId="3" hidden="1">{#N/A,#N/A,FALSE,"Plan1";#N/A,#N/A,FALSE,"Plan2"}</definedName>
    <definedName name="LASÇDSRLF" localSheetId="2" hidden="1">{#N/A,#N/A,FALSE,"Plan1";#N/A,#N/A,FALSE,"Plan2"}</definedName>
    <definedName name="LASÇDSRLF" localSheetId="16" hidden="1">{#N/A,#N/A,FALSE,"Plan1";#N/A,#N/A,FALSE,"Plan2"}</definedName>
    <definedName name="LASÇDSRLF" localSheetId="0" hidden="1">{#N/A,#N/A,FALSE,"Plan1";#N/A,#N/A,FALSE,"Plan2"}</definedName>
    <definedName name="LASÇDSRLF" localSheetId="26" hidden="1">{#N/A,#N/A,FALSE,"Plan1";#N/A,#N/A,FALSE,"Plan2"}</definedName>
    <definedName name="LASÇDSRLF" localSheetId="11" hidden="1">{#N/A,#N/A,FALSE,"Plan1";#N/A,#N/A,FALSE,"Plan2"}</definedName>
    <definedName name="LASÇDSRLF" hidden="1">{#N/A,#N/A,FALSE,"Plan1";#N/A,#N/A,FALSE,"Plan2"}</definedName>
    <definedName name="LASDAKWE" hidden="1">25</definedName>
    <definedName name="lasrlswer" localSheetId="24" hidden="1">{#N/A,#N/A,FALSE,"Plan1";#N/A,#N/A,FALSE,"Plan2"}</definedName>
    <definedName name="lasrlswer" localSheetId="7" hidden="1">{#N/A,#N/A,FALSE,"Plan1";#N/A,#N/A,FALSE,"Plan2"}</definedName>
    <definedName name="lasrlswer" localSheetId="9" hidden="1">{#N/A,#N/A,FALSE,"Plan1";#N/A,#N/A,FALSE,"Plan2"}</definedName>
    <definedName name="lasrlswer" localSheetId="3" hidden="1">{#N/A,#N/A,FALSE,"Plan1";#N/A,#N/A,FALSE,"Plan2"}</definedName>
    <definedName name="lasrlswer" localSheetId="2" hidden="1">{#N/A,#N/A,FALSE,"Plan1";#N/A,#N/A,FALSE,"Plan2"}</definedName>
    <definedName name="lasrlswer" localSheetId="16" hidden="1">{#N/A,#N/A,FALSE,"Plan1";#N/A,#N/A,FALSE,"Plan2"}</definedName>
    <definedName name="lasrlswer" localSheetId="0" hidden="1">{#N/A,#N/A,FALSE,"Plan1";#N/A,#N/A,FALSE,"Plan2"}</definedName>
    <definedName name="lasrlswer" localSheetId="26" hidden="1">{#N/A,#N/A,FALSE,"Plan1";#N/A,#N/A,FALSE,"Plan2"}</definedName>
    <definedName name="lasrlswer" localSheetId="11" hidden="1">{#N/A,#N/A,FALSE,"Plan1";#N/A,#N/A,FALSE,"Plan2"}</definedName>
    <definedName name="lasrlswer" hidden="1">{#N/A,#N/A,FALSE,"Plan1";#N/A,#N/A,FALSE,"Plan2"}</definedName>
    <definedName name="LAZER" localSheetId="24">#REF!</definedName>
    <definedName name="LAZER" localSheetId="7">#REF!</definedName>
    <definedName name="LAZER" localSheetId="3">#REF!</definedName>
    <definedName name="LAZER" localSheetId="26">#REF!</definedName>
    <definedName name="LAZER">#REF!</definedName>
    <definedName name="lbla1" localSheetId="7" hidden="1">#REF!</definedName>
    <definedName name="lbla1" localSheetId="3" hidden="1">#REF!</definedName>
    <definedName name="lbla1" hidden="1">#REF!</definedName>
    <definedName name="lbla10" localSheetId="7" hidden="1">#REF!</definedName>
    <definedName name="lbla10" localSheetId="3" hidden="1">#REF!</definedName>
    <definedName name="lbla10" hidden="1">#REF!</definedName>
    <definedName name="lbla11" localSheetId="7" hidden="1">#REF!</definedName>
    <definedName name="lbla11" localSheetId="3" hidden="1">#REF!</definedName>
    <definedName name="lbla11" hidden="1">#REF!</definedName>
    <definedName name="lbla12" hidden="1">#REF!</definedName>
    <definedName name="lbla13" hidden="1">#REF!</definedName>
    <definedName name="lbla14" hidden="1">#REF!</definedName>
    <definedName name="lbla15" hidden="1">#REF!</definedName>
    <definedName name="lbla16" hidden="1">#REF!</definedName>
    <definedName name="lbla17" hidden="1">#REF!</definedName>
    <definedName name="lbla18" hidden="1">#REF!</definedName>
    <definedName name="lbla19" hidden="1">#REF!</definedName>
    <definedName name="lbla2" hidden="1">#REF!</definedName>
    <definedName name="lbla20" hidden="1">#REF!</definedName>
    <definedName name="lbla21" hidden="1">#REF!</definedName>
    <definedName name="lbla22" hidden="1">#REF!</definedName>
    <definedName name="lbla23" hidden="1">#REF!</definedName>
    <definedName name="lbla24" hidden="1">#REF!</definedName>
    <definedName name="lbla25" hidden="1">#REF!</definedName>
    <definedName name="lbla27" hidden="1">#REF!</definedName>
    <definedName name="lbla28" hidden="1">#REF!</definedName>
    <definedName name="lçadple4r" localSheetId="24" hidden="1">{#N/A,#N/A,FALSE,"Plan1";#N/A,#N/A,FALSE,"Plan2"}</definedName>
    <definedName name="lçadple4r" localSheetId="7" hidden="1">{#N/A,#N/A,FALSE,"Plan1";#N/A,#N/A,FALSE,"Plan2"}</definedName>
    <definedName name="lçadple4r" localSheetId="9" hidden="1">{#N/A,#N/A,FALSE,"Plan1";#N/A,#N/A,FALSE,"Plan2"}</definedName>
    <definedName name="lçadple4r" localSheetId="3" hidden="1">{#N/A,#N/A,FALSE,"Plan1";#N/A,#N/A,FALSE,"Plan2"}</definedName>
    <definedName name="lçadple4r" localSheetId="2" hidden="1">{#N/A,#N/A,FALSE,"Plan1";#N/A,#N/A,FALSE,"Plan2"}</definedName>
    <definedName name="lçadple4r" localSheetId="16" hidden="1">{#N/A,#N/A,FALSE,"Plan1";#N/A,#N/A,FALSE,"Plan2"}</definedName>
    <definedName name="lçadple4r" localSheetId="0" hidden="1">{#N/A,#N/A,FALSE,"Plan1";#N/A,#N/A,FALSE,"Plan2"}</definedName>
    <definedName name="lçadple4r" localSheetId="26" hidden="1">{#N/A,#N/A,FALSE,"Plan1";#N/A,#N/A,FALSE,"Plan2"}</definedName>
    <definedName name="lçadple4r" localSheetId="11" hidden="1">{#N/A,#N/A,FALSE,"Plan1";#N/A,#N/A,FALSE,"Plan2"}</definedName>
    <definedName name="lçadple4r" hidden="1">{#N/A,#N/A,FALSE,"Plan1";#N/A,#N/A,FALSE,"Plan2"}</definedName>
    <definedName name="lçasser" localSheetId="24" hidden="1">{#N/A,#N/A,FALSE,"Plan1";#N/A,#N/A,FALSE,"Plan2"}</definedName>
    <definedName name="lçasser" localSheetId="7" hidden="1">{#N/A,#N/A,FALSE,"Plan1";#N/A,#N/A,FALSE,"Plan2"}</definedName>
    <definedName name="lçasser" localSheetId="9" hidden="1">{#N/A,#N/A,FALSE,"Plan1";#N/A,#N/A,FALSE,"Plan2"}</definedName>
    <definedName name="lçasser" localSheetId="3" hidden="1">{#N/A,#N/A,FALSE,"Plan1";#N/A,#N/A,FALSE,"Plan2"}</definedName>
    <definedName name="lçasser" localSheetId="2" hidden="1">{#N/A,#N/A,FALSE,"Plan1";#N/A,#N/A,FALSE,"Plan2"}</definedName>
    <definedName name="lçasser" localSheetId="16" hidden="1">{#N/A,#N/A,FALSE,"Plan1";#N/A,#N/A,FALSE,"Plan2"}</definedName>
    <definedName name="lçasser" localSheetId="0" hidden="1">{#N/A,#N/A,FALSE,"Plan1";#N/A,#N/A,FALSE,"Plan2"}</definedName>
    <definedName name="lçasser" localSheetId="26" hidden="1">{#N/A,#N/A,FALSE,"Plan1";#N/A,#N/A,FALSE,"Plan2"}</definedName>
    <definedName name="lçasser" localSheetId="11" hidden="1">{#N/A,#N/A,FALSE,"Plan1";#N/A,#N/A,FALSE,"Plan2"}</definedName>
    <definedName name="lçasser" hidden="1">{#N/A,#N/A,FALSE,"Plan1";#N/A,#N/A,FALSE,"Plan2"}</definedName>
    <definedName name="lcdgjtklfrn" localSheetId="24" hidden="1">{#N/A,#N/A,FALSE,"Plan1";#N/A,#N/A,FALSE,"Plan2"}</definedName>
    <definedName name="lcdgjtklfrn" localSheetId="7" hidden="1">{#N/A,#N/A,FALSE,"Plan1";#N/A,#N/A,FALSE,"Plan2"}</definedName>
    <definedName name="lcdgjtklfrn" localSheetId="9" hidden="1">{#N/A,#N/A,FALSE,"Plan1";#N/A,#N/A,FALSE,"Plan2"}</definedName>
    <definedName name="lcdgjtklfrn" localSheetId="3" hidden="1">{#N/A,#N/A,FALSE,"Plan1";#N/A,#N/A,FALSE,"Plan2"}</definedName>
    <definedName name="lcdgjtklfrn" localSheetId="2" hidden="1">{#N/A,#N/A,FALSE,"Plan1";#N/A,#N/A,FALSE,"Plan2"}</definedName>
    <definedName name="lcdgjtklfrn" localSheetId="16" hidden="1">{#N/A,#N/A,FALSE,"Plan1";#N/A,#N/A,FALSE,"Plan2"}</definedName>
    <definedName name="lcdgjtklfrn" localSheetId="0" hidden="1">{#N/A,#N/A,FALSE,"Plan1";#N/A,#N/A,FALSE,"Plan2"}</definedName>
    <definedName name="lcdgjtklfrn" localSheetId="26" hidden="1">{#N/A,#N/A,FALSE,"Plan1";#N/A,#N/A,FALSE,"Plan2"}</definedName>
    <definedName name="lcdgjtklfrn" localSheetId="11" hidden="1">{#N/A,#N/A,FALSE,"Plan1";#N/A,#N/A,FALSE,"Plan2"}</definedName>
    <definedName name="lcdgjtklfrn" hidden="1">{#N/A,#N/A,FALSE,"Plan1";#N/A,#N/A,FALSE,"Plan2"}</definedName>
    <definedName name="lçfklsdkçaer" localSheetId="24" hidden="1">{#N/A,#N/A,FALSE,"Plan1";#N/A,#N/A,FALSE,"Plan2"}</definedName>
    <definedName name="lçfklsdkçaer" localSheetId="7" hidden="1">{#N/A,#N/A,FALSE,"Plan1";#N/A,#N/A,FALSE,"Plan2"}</definedName>
    <definedName name="lçfklsdkçaer" localSheetId="9" hidden="1">{#N/A,#N/A,FALSE,"Plan1";#N/A,#N/A,FALSE,"Plan2"}</definedName>
    <definedName name="lçfklsdkçaer" localSheetId="3" hidden="1">{#N/A,#N/A,FALSE,"Plan1";#N/A,#N/A,FALSE,"Plan2"}</definedName>
    <definedName name="lçfklsdkçaer" localSheetId="2" hidden="1">{#N/A,#N/A,FALSE,"Plan1";#N/A,#N/A,FALSE,"Plan2"}</definedName>
    <definedName name="lçfklsdkçaer" localSheetId="16" hidden="1">{#N/A,#N/A,FALSE,"Plan1";#N/A,#N/A,FALSE,"Plan2"}</definedName>
    <definedName name="lçfklsdkçaer" localSheetId="0" hidden="1">{#N/A,#N/A,FALSE,"Plan1";#N/A,#N/A,FALSE,"Plan2"}</definedName>
    <definedName name="lçfklsdkçaer" localSheetId="26" hidden="1">{#N/A,#N/A,FALSE,"Plan1";#N/A,#N/A,FALSE,"Plan2"}</definedName>
    <definedName name="lçfklsdkçaer" localSheetId="11" hidden="1">{#N/A,#N/A,FALSE,"Plan1";#N/A,#N/A,FALSE,"Plan2"}</definedName>
    <definedName name="lçfklsdkçaer" hidden="1">{#N/A,#N/A,FALSE,"Plan1";#N/A,#N/A,FALSE,"Plan2"}</definedName>
    <definedName name="lçjkgf" localSheetId="24" hidden="1">{#N/A,#N/A,FALSE,"Plan1";#N/A,#N/A,FALSE,"Plan2"}</definedName>
    <definedName name="lçjkgf" localSheetId="7" hidden="1">{#N/A,#N/A,FALSE,"Plan1";#N/A,#N/A,FALSE,"Plan2"}</definedName>
    <definedName name="lçjkgf" localSheetId="9" hidden="1">{#N/A,#N/A,FALSE,"Plan1";#N/A,#N/A,FALSE,"Plan2"}</definedName>
    <definedName name="lçjkgf" localSheetId="3" hidden="1">{#N/A,#N/A,FALSE,"Plan1";#N/A,#N/A,FALSE,"Plan2"}</definedName>
    <definedName name="lçjkgf" localSheetId="2" hidden="1">{#N/A,#N/A,FALSE,"Plan1";#N/A,#N/A,FALSE,"Plan2"}</definedName>
    <definedName name="lçjkgf" localSheetId="16" hidden="1">{#N/A,#N/A,FALSE,"Plan1";#N/A,#N/A,FALSE,"Plan2"}</definedName>
    <definedName name="lçjkgf" localSheetId="0" hidden="1">{#N/A,#N/A,FALSE,"Plan1";#N/A,#N/A,FALSE,"Plan2"}</definedName>
    <definedName name="lçjkgf" localSheetId="26" hidden="1">{#N/A,#N/A,FALSE,"Plan1";#N/A,#N/A,FALSE,"Plan2"}</definedName>
    <definedName name="lçjkgf" localSheetId="11" hidden="1">{#N/A,#N/A,FALSE,"Plan1";#N/A,#N/A,FALSE,"Plan2"}</definedName>
    <definedName name="lçjkgf" hidden="1">{#N/A,#N/A,FALSE,"Plan1";#N/A,#N/A,FALSE,"Plan2"}</definedName>
    <definedName name="LÇJSLDFJ" localSheetId="24" hidden="1">{#N/A,#N/A,FALSE,"Plan1";#N/A,#N/A,FALSE,"Plan2"}</definedName>
    <definedName name="LÇJSLDFJ" localSheetId="7" hidden="1">{#N/A,#N/A,FALSE,"Plan1";#N/A,#N/A,FALSE,"Plan2"}</definedName>
    <definedName name="LÇJSLDFJ" localSheetId="9" hidden="1">{#N/A,#N/A,FALSE,"Plan1";#N/A,#N/A,FALSE,"Plan2"}</definedName>
    <definedName name="LÇJSLDFJ" localSheetId="3" hidden="1">{#N/A,#N/A,FALSE,"Plan1";#N/A,#N/A,FALSE,"Plan2"}</definedName>
    <definedName name="LÇJSLDFJ" localSheetId="2" hidden="1">{#N/A,#N/A,FALSE,"Plan1";#N/A,#N/A,FALSE,"Plan2"}</definedName>
    <definedName name="LÇJSLDFJ" localSheetId="16" hidden="1">{#N/A,#N/A,FALSE,"Plan1";#N/A,#N/A,FALSE,"Plan2"}</definedName>
    <definedName name="LÇJSLDFJ" localSheetId="0" hidden="1">{#N/A,#N/A,FALSE,"Plan1";#N/A,#N/A,FALSE,"Plan2"}</definedName>
    <definedName name="LÇJSLDFJ" localSheetId="26" hidden="1">{#N/A,#N/A,FALSE,"Plan1";#N/A,#N/A,FALSE,"Plan2"}</definedName>
    <definedName name="LÇJSLDFJ" localSheetId="11" hidden="1">{#N/A,#N/A,FALSE,"Plan1";#N/A,#N/A,FALSE,"Plan2"}</definedName>
    <definedName name="LÇJSLDFJ" hidden="1">{#N/A,#N/A,FALSE,"Plan1";#N/A,#N/A,FALSE,"Plan2"}</definedName>
    <definedName name="LÇKÇSDRLK" localSheetId="24" hidden="1">{#N/A,#N/A,FALSE,"Plan1";#N/A,#N/A,FALSE,"Plan2"}</definedName>
    <definedName name="LÇKÇSDRLK" localSheetId="7" hidden="1">{#N/A,#N/A,FALSE,"Plan1";#N/A,#N/A,FALSE,"Plan2"}</definedName>
    <definedName name="LÇKÇSDRLK" localSheetId="9" hidden="1">{#N/A,#N/A,FALSE,"Plan1";#N/A,#N/A,FALSE,"Plan2"}</definedName>
    <definedName name="LÇKÇSDRLK" localSheetId="3" hidden="1">{#N/A,#N/A,FALSE,"Plan1";#N/A,#N/A,FALSE,"Plan2"}</definedName>
    <definedName name="LÇKÇSDRLK" localSheetId="2" hidden="1">{#N/A,#N/A,FALSE,"Plan1";#N/A,#N/A,FALSE,"Plan2"}</definedName>
    <definedName name="LÇKÇSDRLK" localSheetId="16" hidden="1">{#N/A,#N/A,FALSE,"Plan1";#N/A,#N/A,FALSE,"Plan2"}</definedName>
    <definedName name="LÇKÇSDRLK" localSheetId="0" hidden="1">{#N/A,#N/A,FALSE,"Plan1";#N/A,#N/A,FALSE,"Plan2"}</definedName>
    <definedName name="LÇKÇSDRLK" localSheetId="26" hidden="1">{#N/A,#N/A,FALSE,"Plan1";#N/A,#N/A,FALSE,"Plan2"}</definedName>
    <definedName name="LÇKÇSDRLK" localSheetId="11" hidden="1">{#N/A,#N/A,FALSE,"Plan1";#N/A,#N/A,FALSE,"Plan2"}</definedName>
    <definedName name="LÇKÇSDRLK" hidden="1">{#N/A,#N/A,FALSE,"Plan1";#N/A,#N/A,FALSE,"Plan2"}</definedName>
    <definedName name="lçkdfkdstkre" hidden="1">25</definedName>
    <definedName name="lçkl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localSheetId="24" hidden="1">{#N/A,#N/A,FALSE,"Plan1";#N/A,#N/A,FALSE,"Plan2"}</definedName>
    <definedName name="lçlfklçdglfdgt" localSheetId="7" hidden="1">{#N/A,#N/A,FALSE,"Plan1";#N/A,#N/A,FALSE,"Plan2"}</definedName>
    <definedName name="lçlfklçdglfdgt" localSheetId="9" hidden="1">{#N/A,#N/A,FALSE,"Plan1";#N/A,#N/A,FALSE,"Plan2"}</definedName>
    <definedName name="lçlfklçdglfdgt" localSheetId="3" hidden="1">{#N/A,#N/A,FALSE,"Plan1";#N/A,#N/A,FALSE,"Plan2"}</definedName>
    <definedName name="lçlfklçdglfdgt" localSheetId="2" hidden="1">{#N/A,#N/A,FALSE,"Plan1";#N/A,#N/A,FALSE,"Plan2"}</definedName>
    <definedName name="lçlfklçdglfdgt" localSheetId="16" hidden="1">{#N/A,#N/A,FALSE,"Plan1";#N/A,#N/A,FALSE,"Plan2"}</definedName>
    <definedName name="lçlfklçdglfdgt" localSheetId="0" hidden="1">{#N/A,#N/A,FALSE,"Plan1";#N/A,#N/A,FALSE,"Plan2"}</definedName>
    <definedName name="lçlfklçdglfdgt" localSheetId="26" hidden="1">{#N/A,#N/A,FALSE,"Plan1";#N/A,#N/A,FALSE,"Plan2"}</definedName>
    <definedName name="lçlfklçdglfdgt" localSheetId="11" hidden="1">{#N/A,#N/A,FALSE,"Plan1";#N/A,#N/A,FALSE,"Plan2"}</definedName>
    <definedName name="lçlfklçdglfdgt" hidden="1">{#N/A,#N/A,FALSE,"Plan1";#N/A,#N/A,FALSE,"Plan2"}</definedName>
    <definedName name="lçslrr4r" localSheetId="24" hidden="1">{#N/A,#N/A,FALSE,"Plan1";#N/A,#N/A,FALSE,"Plan2"}</definedName>
    <definedName name="lçslrr4r" localSheetId="7" hidden="1">{#N/A,#N/A,FALSE,"Plan1";#N/A,#N/A,FALSE,"Plan2"}</definedName>
    <definedName name="lçslrr4r" localSheetId="9" hidden="1">{#N/A,#N/A,FALSE,"Plan1";#N/A,#N/A,FALSE,"Plan2"}</definedName>
    <definedName name="lçslrr4r" localSheetId="3" hidden="1">{#N/A,#N/A,FALSE,"Plan1";#N/A,#N/A,FALSE,"Plan2"}</definedName>
    <definedName name="lçslrr4r" localSheetId="2" hidden="1">{#N/A,#N/A,FALSE,"Plan1";#N/A,#N/A,FALSE,"Plan2"}</definedName>
    <definedName name="lçslrr4r" localSheetId="16" hidden="1">{#N/A,#N/A,FALSE,"Plan1";#N/A,#N/A,FALSE,"Plan2"}</definedName>
    <definedName name="lçslrr4r" localSheetId="0" hidden="1">{#N/A,#N/A,FALSE,"Plan1";#N/A,#N/A,FALSE,"Plan2"}</definedName>
    <definedName name="lçslrr4r" localSheetId="26" hidden="1">{#N/A,#N/A,FALSE,"Plan1";#N/A,#N/A,FALSE,"Plan2"}</definedName>
    <definedName name="lçslrr4r" localSheetId="11" hidden="1">{#N/A,#N/A,FALSE,"Plan1";#N/A,#N/A,FALSE,"Plan2"}</definedName>
    <definedName name="lçslrr4r" hidden="1">{#N/A,#N/A,FALSE,"Plan1";#N/A,#N/A,FALSE,"Plan2"}</definedName>
    <definedName name="ldfjgry" localSheetId="24" hidden="1">{#N/A,#N/A,FALSE,"Plan1";#N/A,#N/A,FALSE,"Plan2"}</definedName>
    <definedName name="ldfjgry" localSheetId="7" hidden="1">{#N/A,#N/A,FALSE,"Plan1";#N/A,#N/A,FALSE,"Plan2"}</definedName>
    <definedName name="ldfjgry" localSheetId="9" hidden="1">{#N/A,#N/A,FALSE,"Plan1";#N/A,#N/A,FALSE,"Plan2"}</definedName>
    <definedName name="ldfjgry" localSheetId="3" hidden="1">{#N/A,#N/A,FALSE,"Plan1";#N/A,#N/A,FALSE,"Plan2"}</definedName>
    <definedName name="ldfjgry" localSheetId="2" hidden="1">{#N/A,#N/A,FALSE,"Plan1";#N/A,#N/A,FALSE,"Plan2"}</definedName>
    <definedName name="ldfjgry" localSheetId="16" hidden="1">{#N/A,#N/A,FALSE,"Plan1";#N/A,#N/A,FALSE,"Plan2"}</definedName>
    <definedName name="ldfjgry" localSheetId="0" hidden="1">{#N/A,#N/A,FALSE,"Plan1";#N/A,#N/A,FALSE,"Plan2"}</definedName>
    <definedName name="ldfjgry" localSheetId="26" hidden="1">{#N/A,#N/A,FALSE,"Plan1";#N/A,#N/A,FALSE,"Plan2"}</definedName>
    <definedName name="ldfjgry" localSheetId="11" hidden="1">{#N/A,#N/A,FALSE,"Plan1";#N/A,#N/A,FALSE,"Plan2"}</definedName>
    <definedName name="ldfjgry" hidden="1">{#N/A,#N/A,FALSE,"Plan1";#N/A,#N/A,FALSE,"Plan2"}</definedName>
    <definedName name="ldfjgtilrf" localSheetId="24" hidden="1">{#N/A,#N/A,FALSE,"Plan1";#N/A,#N/A,FALSE,"Plan2"}</definedName>
    <definedName name="ldfjgtilrf" localSheetId="7" hidden="1">{#N/A,#N/A,FALSE,"Plan1";#N/A,#N/A,FALSE,"Plan2"}</definedName>
    <definedName name="ldfjgtilrf" localSheetId="9" hidden="1">{#N/A,#N/A,FALSE,"Plan1";#N/A,#N/A,FALSE,"Plan2"}</definedName>
    <definedName name="ldfjgtilrf" localSheetId="3" hidden="1">{#N/A,#N/A,FALSE,"Plan1";#N/A,#N/A,FALSE,"Plan2"}</definedName>
    <definedName name="ldfjgtilrf" localSheetId="2" hidden="1">{#N/A,#N/A,FALSE,"Plan1";#N/A,#N/A,FALSE,"Plan2"}</definedName>
    <definedName name="ldfjgtilrf" localSheetId="16" hidden="1">{#N/A,#N/A,FALSE,"Plan1";#N/A,#N/A,FALSE,"Plan2"}</definedName>
    <definedName name="ldfjgtilrf" localSheetId="0" hidden="1">{#N/A,#N/A,FALSE,"Plan1";#N/A,#N/A,FALSE,"Plan2"}</definedName>
    <definedName name="ldfjgtilrf" localSheetId="26" hidden="1">{#N/A,#N/A,FALSE,"Plan1";#N/A,#N/A,FALSE,"Plan2"}</definedName>
    <definedName name="ldfjgtilrf" localSheetId="11" hidden="1">{#N/A,#N/A,FALSE,"Plan1";#N/A,#N/A,FALSE,"Plan2"}</definedName>
    <definedName name="ldfjgtilrf" hidden="1">{#N/A,#N/A,FALSE,"Plan1";#N/A,#N/A,FALSE,"Plan2"}</definedName>
    <definedName name="ldk" localSheetId="24" hidden="1">{#N/A,#N/A,FALSE,"Plan1";#N/A,#N/A,FALSE,"Plan2"}</definedName>
    <definedName name="ldk" localSheetId="7" hidden="1">{#N/A,#N/A,FALSE,"Plan1";#N/A,#N/A,FALSE,"Plan2"}</definedName>
    <definedName name="ldk" localSheetId="9" hidden="1">{#N/A,#N/A,FALSE,"Plan1";#N/A,#N/A,FALSE,"Plan2"}</definedName>
    <definedName name="ldk" localSheetId="3" hidden="1">{#N/A,#N/A,FALSE,"Plan1";#N/A,#N/A,FALSE,"Plan2"}</definedName>
    <definedName name="ldk" localSheetId="2" hidden="1">{#N/A,#N/A,FALSE,"Plan1";#N/A,#N/A,FALSE,"Plan2"}</definedName>
    <definedName name="ldk" localSheetId="16" hidden="1">{#N/A,#N/A,FALSE,"Plan1";#N/A,#N/A,FALSE,"Plan2"}</definedName>
    <definedName name="ldk" localSheetId="0" hidden="1">{#N/A,#N/A,FALSE,"Plan1";#N/A,#N/A,FALSE,"Plan2"}</definedName>
    <definedName name="ldk" localSheetId="26" hidden="1">{#N/A,#N/A,FALSE,"Plan1";#N/A,#N/A,FALSE,"Plan2"}</definedName>
    <definedName name="ldk" localSheetId="11" hidden="1">{#N/A,#N/A,FALSE,"Plan1";#N/A,#N/A,FALSE,"Plan2"}</definedName>
    <definedName name="ldk" hidden="1">{#N/A,#N/A,FALSE,"Plan1";#N/A,#N/A,FALSE,"Plan2"}</definedName>
    <definedName name="ldkgkdfjgkh" localSheetId="24" hidden="1">{#N/A,#N/A,FALSE,"Plan1";#N/A,#N/A,FALSE,"Plan2"}</definedName>
    <definedName name="ldkgkdfjgkh" localSheetId="7" hidden="1">{#N/A,#N/A,FALSE,"Plan1";#N/A,#N/A,FALSE,"Plan2"}</definedName>
    <definedName name="ldkgkdfjgkh" localSheetId="9" hidden="1">{#N/A,#N/A,FALSE,"Plan1";#N/A,#N/A,FALSE,"Plan2"}</definedName>
    <definedName name="ldkgkdfjgkh" localSheetId="3" hidden="1">{#N/A,#N/A,FALSE,"Plan1";#N/A,#N/A,FALSE,"Plan2"}</definedName>
    <definedName name="ldkgkdfjgkh" localSheetId="2" hidden="1">{#N/A,#N/A,FALSE,"Plan1";#N/A,#N/A,FALSE,"Plan2"}</definedName>
    <definedName name="ldkgkdfjgkh" localSheetId="16" hidden="1">{#N/A,#N/A,FALSE,"Plan1";#N/A,#N/A,FALSE,"Plan2"}</definedName>
    <definedName name="ldkgkdfjgkh" localSheetId="0" hidden="1">{#N/A,#N/A,FALSE,"Plan1";#N/A,#N/A,FALSE,"Plan2"}</definedName>
    <definedName name="ldkgkdfjgkh" localSheetId="26" hidden="1">{#N/A,#N/A,FALSE,"Plan1";#N/A,#N/A,FALSE,"Plan2"}</definedName>
    <definedName name="ldkgkdfjgkh" localSheetId="11" hidden="1">{#N/A,#N/A,FALSE,"Plan1";#N/A,#N/A,FALSE,"Plan2"}</definedName>
    <definedName name="ldkgkdfjgkh" hidden="1">{#N/A,#N/A,FALSE,"Plan1";#N/A,#N/A,FALSE,"Plan2"}</definedName>
    <definedName name="LDTJGR" localSheetId="24" hidden="1">{#N/A,#N/A,FALSE,"Plan1";#N/A,#N/A,FALSE,"Plan2"}</definedName>
    <definedName name="LDTJGR" localSheetId="7" hidden="1">{#N/A,#N/A,FALSE,"Plan1";#N/A,#N/A,FALSE,"Plan2"}</definedName>
    <definedName name="LDTJGR" localSheetId="9" hidden="1">{#N/A,#N/A,FALSE,"Plan1";#N/A,#N/A,FALSE,"Plan2"}</definedName>
    <definedName name="LDTJGR" localSheetId="3" hidden="1">{#N/A,#N/A,FALSE,"Plan1";#N/A,#N/A,FALSE,"Plan2"}</definedName>
    <definedName name="LDTJGR" localSheetId="2" hidden="1">{#N/A,#N/A,FALSE,"Plan1";#N/A,#N/A,FALSE,"Plan2"}</definedName>
    <definedName name="LDTJGR" localSheetId="16" hidden="1">{#N/A,#N/A,FALSE,"Plan1";#N/A,#N/A,FALSE,"Plan2"}</definedName>
    <definedName name="LDTJGR" localSheetId="0" hidden="1">{#N/A,#N/A,FALSE,"Plan1";#N/A,#N/A,FALSE,"Plan2"}</definedName>
    <definedName name="LDTJGR" localSheetId="26" hidden="1">{#N/A,#N/A,FALSE,"Plan1";#N/A,#N/A,FALSE,"Plan2"}</definedName>
    <definedName name="LDTJGR" localSheetId="11" hidden="1">{#N/A,#N/A,FALSE,"Plan1";#N/A,#N/A,FALSE,"Plan2"}</definedName>
    <definedName name="LDTJGR" hidden="1">{#N/A,#N/A,FALSE,"Plan1";#N/A,#N/A,FALSE,"Plan2"}</definedName>
    <definedName name="Leg" localSheetId="7" hidden="1">#REF!</definedName>
    <definedName name="Leg" localSheetId="3" hidden="1">#REF!</definedName>
    <definedName name="Leg" localSheetId="0" hidden="1">#REF!</definedName>
    <definedName name="Leg" hidden="1">#REF!</definedName>
    <definedName name="legr_cdi" localSheetId="7">#REF!</definedName>
    <definedName name="legr_cdi" localSheetId="3">#REF!</definedName>
    <definedName name="legr_cdi">#REF!</definedName>
    <definedName name="legr_hist" localSheetId="7">#REF!</definedName>
    <definedName name="legr_hist" localSheetId="3">#REF!</definedName>
    <definedName name="legr_hist">#REF!</definedName>
    <definedName name="legr_uss" localSheetId="7">#REF!</definedName>
    <definedName name="legr_uss" localSheetId="3">#REF!</definedName>
    <definedName name="legr_uss">#REF!</definedName>
    <definedName name="LEKGF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 localSheetId="24">#REF!</definedName>
    <definedName name="LEVANTAMENTO" localSheetId="7">#REF!</definedName>
    <definedName name="LEVANTAMENTO" localSheetId="3">#REF!</definedName>
    <definedName name="LEVANTAMENTO" localSheetId="26">#REF!</definedName>
    <definedName name="LEVANTAMENTO">#REF!</definedName>
    <definedName name="lfjdjrt" localSheetId="24" hidden="1">{#N/A,#N/A,FALSE,"Plan1";#N/A,#N/A,FALSE,"Plan2"}</definedName>
    <definedName name="lfjdjrt" localSheetId="7" hidden="1">{#N/A,#N/A,FALSE,"Plan1";#N/A,#N/A,FALSE,"Plan2"}</definedName>
    <definedName name="lfjdjrt" localSheetId="9" hidden="1">{#N/A,#N/A,FALSE,"Plan1";#N/A,#N/A,FALSE,"Plan2"}</definedName>
    <definedName name="lfjdjrt" localSheetId="3" hidden="1">{#N/A,#N/A,FALSE,"Plan1";#N/A,#N/A,FALSE,"Plan2"}</definedName>
    <definedName name="lfjdjrt" localSheetId="2" hidden="1">{#N/A,#N/A,FALSE,"Plan1";#N/A,#N/A,FALSE,"Plan2"}</definedName>
    <definedName name="lfjdjrt" localSheetId="16" hidden="1">{#N/A,#N/A,FALSE,"Plan1";#N/A,#N/A,FALSE,"Plan2"}</definedName>
    <definedName name="lfjdjrt" localSheetId="0" hidden="1">{#N/A,#N/A,FALSE,"Plan1";#N/A,#N/A,FALSE,"Plan2"}</definedName>
    <definedName name="lfjdjrt" localSheetId="26" hidden="1">{#N/A,#N/A,FALSE,"Plan1";#N/A,#N/A,FALSE,"Plan2"}</definedName>
    <definedName name="lfjdjrt" localSheetId="11" hidden="1">{#N/A,#N/A,FALSE,"Plan1";#N/A,#N/A,FALSE,"Plan2"}</definedName>
    <definedName name="lfjdjrt" hidden="1">{#N/A,#N/A,FALSE,"Plan1";#N/A,#N/A,FALSE,"Plan2"}</definedName>
    <definedName name="LI" localSheetId="7">#REF!</definedName>
    <definedName name="LI" localSheetId="9">#REF!</definedName>
    <definedName name="LI" localSheetId="3">#REF!</definedName>
    <definedName name="LI">#REF!</definedName>
    <definedName name="LIDER_OPER" localSheetId="7">#REF!</definedName>
    <definedName name="LIDER_OPER" localSheetId="3">#REF!</definedName>
    <definedName name="LIDER_OPER">#REF!</definedName>
    <definedName name="lidfjgklruf" localSheetId="24" hidden="1">{#N/A,#N/A,FALSE,"Plan1";#N/A,#N/A,FALSE,"Plan2"}</definedName>
    <definedName name="lidfjgklruf" localSheetId="7" hidden="1">{#N/A,#N/A,FALSE,"Plan1";#N/A,#N/A,FALSE,"Plan2"}</definedName>
    <definedName name="lidfjgklruf" localSheetId="9" hidden="1">{#N/A,#N/A,FALSE,"Plan1";#N/A,#N/A,FALSE,"Plan2"}</definedName>
    <definedName name="lidfjgklruf" localSheetId="3" hidden="1">{#N/A,#N/A,FALSE,"Plan1";#N/A,#N/A,FALSE,"Plan2"}</definedName>
    <definedName name="lidfjgklruf" localSheetId="2" hidden="1">{#N/A,#N/A,FALSE,"Plan1";#N/A,#N/A,FALSE,"Plan2"}</definedName>
    <definedName name="lidfjgklruf" localSheetId="16" hidden="1">{#N/A,#N/A,FALSE,"Plan1";#N/A,#N/A,FALSE,"Plan2"}</definedName>
    <definedName name="lidfjgklruf" localSheetId="0" hidden="1">{#N/A,#N/A,FALSE,"Plan1";#N/A,#N/A,FALSE,"Plan2"}</definedName>
    <definedName name="lidfjgklruf" localSheetId="26" hidden="1">{#N/A,#N/A,FALSE,"Plan1";#N/A,#N/A,FALSE,"Plan2"}</definedName>
    <definedName name="lidfjgklruf" localSheetId="11" hidden="1">{#N/A,#N/A,FALSE,"Plan1";#N/A,#N/A,FALSE,"Plan2"}</definedName>
    <definedName name="lidfjgklruf" hidden="1">{#N/A,#N/A,FALSE,"Plan1";#N/A,#N/A,FALSE,"Plan2"}</definedName>
    <definedName name="LII" localSheetId="7">#REF!</definedName>
    <definedName name="LII" localSheetId="9">#REF!</definedName>
    <definedName name="LII" localSheetId="3">#REF!</definedName>
    <definedName name="LII">#REF!</definedName>
    <definedName name="LIII" localSheetId="7">#REF!</definedName>
    <definedName name="LIII" localSheetId="3">#REF!</definedName>
    <definedName name="LIII">#REF!</definedName>
    <definedName name="LIMBO" localSheetId="7">#REF!</definedName>
    <definedName name="LIMBO" localSheetId="3">#REF!</definedName>
    <definedName name="LIMBO">#REF!</definedName>
    <definedName name="limcount" hidden="1">3</definedName>
    <definedName name="LIN" localSheetId="24">#REF!</definedName>
    <definedName name="LIN" localSheetId="7">#REF!</definedName>
    <definedName name="LIN" localSheetId="3">#REF!</definedName>
    <definedName name="LIN" localSheetId="26">#REF!</definedName>
    <definedName name="LIN">#REF!</definedName>
    <definedName name="list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 localSheetId="24">#REF!</definedName>
    <definedName name="LISTA" localSheetId="7">#REF!</definedName>
    <definedName name="LISTA" localSheetId="3">#REF!</definedName>
    <definedName name="LISTA" localSheetId="26">#REF!</definedName>
    <definedName name="LISTA">#REF!</definedName>
    <definedName name="LISTA_CONTAS" localSheetId="7">#REF!</definedName>
    <definedName name="LISTA_CONTAS" localSheetId="3">#REF!</definedName>
    <definedName name="LISTA_CONTAS">#REF!</definedName>
    <definedName name="lista_empresa" localSheetId="7">OFFSET(INDEX(#REF!,MATCH(#REF!,#REF!,0)),1,0,COUNTA(#REF!)-1)</definedName>
    <definedName name="lista_empresa" localSheetId="3">OFFSET(INDEX(#REF!,MATCH(#REF!,#REF!,0)),1,0,COUNTA(#REF!)-1)</definedName>
    <definedName name="lista_empresa">OFFSET(INDEX(#REF!,MATCH(#REF!,#REF!,0)),1,0,COUNTA(#REF!)-1)</definedName>
    <definedName name="LISTA_FORNECEDORES" localSheetId="24">#REF!</definedName>
    <definedName name="LISTA_FORNECEDORES" localSheetId="7">#REF!</definedName>
    <definedName name="LISTA_FORNECEDORES" localSheetId="3">#REF!</definedName>
    <definedName name="LISTA_FORNECEDORES" localSheetId="26">#REF!</definedName>
    <definedName name="LISTA_FORNECEDORES">#REF!</definedName>
    <definedName name="LISTSEL" localSheetId="7">#REF!</definedName>
    <definedName name="LISTSEL" localSheetId="3">#REF!</definedName>
    <definedName name="LISTSEL">#REF!</definedName>
    <definedName name="listt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 localSheetId="7">#REF!</definedName>
    <definedName name="LIV" localSheetId="9">#REF!</definedName>
    <definedName name="LIV" localSheetId="3">#REF!</definedName>
    <definedName name="LIV">#REF!</definedName>
    <definedName name="LIX" localSheetId="7">#REF!</definedName>
    <definedName name="LIX" localSheetId="3">#REF!</definedName>
    <definedName name="LIX">#REF!</definedName>
    <definedName name="ljdfkgyt" localSheetId="24" hidden="1">{#N/A,#N/A,FALSE,"Plan1";#N/A,#N/A,FALSE,"Plan2"}</definedName>
    <definedName name="ljdfkgyt" localSheetId="7" hidden="1">{#N/A,#N/A,FALSE,"Plan1";#N/A,#N/A,FALSE,"Plan2"}</definedName>
    <definedName name="ljdfkgyt" localSheetId="9" hidden="1">{#N/A,#N/A,FALSE,"Plan1";#N/A,#N/A,FALSE,"Plan2"}</definedName>
    <definedName name="ljdfkgyt" localSheetId="3" hidden="1">{#N/A,#N/A,FALSE,"Plan1";#N/A,#N/A,FALSE,"Plan2"}</definedName>
    <definedName name="ljdfkgyt" localSheetId="2" hidden="1">{#N/A,#N/A,FALSE,"Plan1";#N/A,#N/A,FALSE,"Plan2"}</definedName>
    <definedName name="ljdfkgyt" localSheetId="16" hidden="1">{#N/A,#N/A,FALSE,"Plan1";#N/A,#N/A,FALSE,"Plan2"}</definedName>
    <definedName name="ljdfkgyt" localSheetId="0" hidden="1">{#N/A,#N/A,FALSE,"Plan1";#N/A,#N/A,FALSE,"Plan2"}</definedName>
    <definedName name="ljdfkgyt" localSheetId="26" hidden="1">{#N/A,#N/A,FALSE,"Plan1";#N/A,#N/A,FALSE,"Plan2"}</definedName>
    <definedName name="ljdfkgyt" localSheetId="11" hidden="1">{#N/A,#N/A,FALSE,"Plan1";#N/A,#N/A,FALSE,"Plan2"}</definedName>
    <definedName name="ljdfkgyt" hidden="1">{#N/A,#N/A,FALSE,"Plan1";#N/A,#N/A,FALSE,"Plan2"}</definedName>
    <definedName name="LJDFLJRL" localSheetId="24" hidden="1">{#N/A,#N/A,FALSE,"Plan1";#N/A,#N/A,FALSE,"Plan2"}</definedName>
    <definedName name="LJDFLJRL" localSheetId="7" hidden="1">{#N/A,#N/A,FALSE,"Plan1";#N/A,#N/A,FALSE,"Plan2"}</definedName>
    <definedName name="LJDFLJRL" localSheetId="9" hidden="1">{#N/A,#N/A,FALSE,"Plan1";#N/A,#N/A,FALSE,"Plan2"}</definedName>
    <definedName name="LJDFLJRL" localSheetId="3" hidden="1">{#N/A,#N/A,FALSE,"Plan1";#N/A,#N/A,FALSE,"Plan2"}</definedName>
    <definedName name="LJDFLJRL" localSheetId="2" hidden="1">{#N/A,#N/A,FALSE,"Plan1";#N/A,#N/A,FALSE,"Plan2"}</definedName>
    <definedName name="LJDFLJRL" localSheetId="16" hidden="1">{#N/A,#N/A,FALSE,"Plan1";#N/A,#N/A,FALSE,"Plan2"}</definedName>
    <definedName name="LJDFLJRL" localSheetId="0" hidden="1">{#N/A,#N/A,FALSE,"Plan1";#N/A,#N/A,FALSE,"Plan2"}</definedName>
    <definedName name="LJDFLJRL" localSheetId="26" hidden="1">{#N/A,#N/A,FALSE,"Plan1";#N/A,#N/A,FALSE,"Plan2"}</definedName>
    <definedName name="LJDFLJRL" localSheetId="11" hidden="1">{#N/A,#N/A,FALSE,"Plan1";#N/A,#N/A,FALSE,"Plan2"}</definedName>
    <definedName name="LJDFLJRL" hidden="1">{#N/A,#N/A,FALSE,"Plan1";#N/A,#N/A,FALSE,"Plan2"}</definedName>
    <definedName name="ljsdfrd" localSheetId="24" hidden="1">{#N/A,#N/A,FALSE,"Plan1";#N/A,#N/A,FALSE,"Plan2"}</definedName>
    <definedName name="ljsdfrd" localSheetId="7" hidden="1">{#N/A,#N/A,FALSE,"Plan1";#N/A,#N/A,FALSE,"Plan2"}</definedName>
    <definedName name="ljsdfrd" localSheetId="9" hidden="1">{#N/A,#N/A,FALSE,"Plan1";#N/A,#N/A,FALSE,"Plan2"}</definedName>
    <definedName name="ljsdfrd" localSheetId="3" hidden="1">{#N/A,#N/A,FALSE,"Plan1";#N/A,#N/A,FALSE,"Plan2"}</definedName>
    <definedName name="ljsdfrd" localSheetId="2" hidden="1">{#N/A,#N/A,FALSE,"Plan1";#N/A,#N/A,FALSE,"Plan2"}</definedName>
    <definedName name="ljsdfrd" localSheetId="16" hidden="1">{#N/A,#N/A,FALSE,"Plan1";#N/A,#N/A,FALSE,"Plan2"}</definedName>
    <definedName name="ljsdfrd" localSheetId="0" hidden="1">{#N/A,#N/A,FALSE,"Plan1";#N/A,#N/A,FALSE,"Plan2"}</definedName>
    <definedName name="ljsdfrd" localSheetId="26" hidden="1">{#N/A,#N/A,FALSE,"Plan1";#N/A,#N/A,FALSE,"Plan2"}</definedName>
    <definedName name="ljsdfrd" localSheetId="11" hidden="1">{#N/A,#N/A,FALSE,"Plan1";#N/A,#N/A,FALSE,"Plan2"}</definedName>
    <definedName name="ljsdfrd" hidden="1">{#N/A,#N/A,FALSE,"Plan1";#N/A,#N/A,FALSE,"Plan2"}</definedName>
    <definedName name="LJSFLDJDLKFJG" localSheetId="7" hidden="1">#REF!</definedName>
    <definedName name="LJSFLDJDLKFJG" localSheetId="3" hidden="1">#REF!</definedName>
    <definedName name="LJSFLDJDLKFJG" localSheetId="0" hidden="1">#REF!</definedName>
    <definedName name="LJSFLDJDLKFJG" hidden="1">#REF!</definedName>
    <definedName name="LK" localSheetId="24" hidden="1">{#N/A,#N/A,TRUE,"Quinzena 01 à 15-04-98 "}</definedName>
    <definedName name="LK" localSheetId="7" hidden="1">{#N/A,#N/A,TRUE,"Quinzena 01 à 15-04-98 "}</definedName>
    <definedName name="LK" localSheetId="9" hidden="1">{#N/A,#N/A,TRUE,"Quinzena 01 à 15-04-98 "}</definedName>
    <definedName name="LK" localSheetId="3" hidden="1">{#N/A,#N/A,TRUE,"Quinzena 01 à 15-04-98 "}</definedName>
    <definedName name="LK" localSheetId="2" hidden="1">{#N/A,#N/A,TRUE,"Quinzena 01 à 15-04-98 "}</definedName>
    <definedName name="LK" localSheetId="16" hidden="1">{#N/A,#N/A,TRUE,"Quinzena 01 à 15-04-98 "}</definedName>
    <definedName name="LK" localSheetId="0" hidden="1">{#N/A,#N/A,TRUE,"Quinzena 01 à 15-04-98 "}</definedName>
    <definedName name="LK" localSheetId="26" hidden="1">{#N/A,#N/A,TRUE,"Quinzena 01 à 15-04-98 "}</definedName>
    <definedName name="LK" localSheetId="11" hidden="1">{#N/A,#N/A,TRUE,"Quinzena 01 à 15-04-98 "}</definedName>
    <definedName name="LK" hidden="1">{#N/A,#N/A,TRUE,"Quinzena 01 à 15-04-98 "}</definedName>
    <definedName name="lkasdkeo" localSheetId="24" hidden="1">{#N/A,#N/A,FALSE,"Plan1";#N/A,#N/A,FALSE,"Plan2"}</definedName>
    <definedName name="lkasdkeo" localSheetId="7" hidden="1">{#N/A,#N/A,FALSE,"Plan1";#N/A,#N/A,FALSE,"Plan2"}</definedName>
    <definedName name="lkasdkeo" localSheetId="9" hidden="1">{#N/A,#N/A,FALSE,"Plan1";#N/A,#N/A,FALSE,"Plan2"}</definedName>
    <definedName name="lkasdkeo" localSheetId="3" hidden="1">{#N/A,#N/A,FALSE,"Plan1";#N/A,#N/A,FALSE,"Plan2"}</definedName>
    <definedName name="lkasdkeo" localSheetId="2" hidden="1">{#N/A,#N/A,FALSE,"Plan1";#N/A,#N/A,FALSE,"Plan2"}</definedName>
    <definedName name="lkasdkeo" localSheetId="16" hidden="1">{#N/A,#N/A,FALSE,"Plan1";#N/A,#N/A,FALSE,"Plan2"}</definedName>
    <definedName name="lkasdkeo" localSheetId="0" hidden="1">{#N/A,#N/A,FALSE,"Plan1";#N/A,#N/A,FALSE,"Plan2"}</definedName>
    <definedName name="lkasdkeo" localSheetId="26" hidden="1">{#N/A,#N/A,FALSE,"Plan1";#N/A,#N/A,FALSE,"Plan2"}</definedName>
    <definedName name="lkasdkeo" localSheetId="11" hidden="1">{#N/A,#N/A,FALSE,"Plan1";#N/A,#N/A,FALSE,"Plan2"}</definedName>
    <definedName name="lkasdkeo" hidden="1">{#N/A,#N/A,FALSE,"Plan1";#N/A,#N/A,FALSE,"Plan2"}</definedName>
    <definedName name="lkdeas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localSheetId="24" hidden="1">{#N/A,#N/A,FALSE,"Plan1";#N/A,#N/A,FALSE,"Plan2"}</definedName>
    <definedName name="lkdzxfsdrf" localSheetId="7" hidden="1">{#N/A,#N/A,FALSE,"Plan1";#N/A,#N/A,FALSE,"Plan2"}</definedName>
    <definedName name="lkdzxfsdrf" localSheetId="9" hidden="1">{#N/A,#N/A,FALSE,"Plan1";#N/A,#N/A,FALSE,"Plan2"}</definedName>
    <definedName name="lkdzxfsdrf" localSheetId="3" hidden="1">{#N/A,#N/A,FALSE,"Plan1";#N/A,#N/A,FALSE,"Plan2"}</definedName>
    <definedName name="lkdzxfsdrf" localSheetId="2" hidden="1">{#N/A,#N/A,FALSE,"Plan1";#N/A,#N/A,FALSE,"Plan2"}</definedName>
    <definedName name="lkdzxfsdrf" localSheetId="16" hidden="1">{#N/A,#N/A,FALSE,"Plan1";#N/A,#N/A,FALSE,"Plan2"}</definedName>
    <definedName name="lkdzxfsdrf" localSheetId="0" hidden="1">{#N/A,#N/A,FALSE,"Plan1";#N/A,#N/A,FALSE,"Plan2"}</definedName>
    <definedName name="lkdzxfsdrf" localSheetId="26" hidden="1">{#N/A,#N/A,FALSE,"Plan1";#N/A,#N/A,FALSE,"Plan2"}</definedName>
    <definedName name="lkdzxfsdrf" localSheetId="11" hidden="1">{#N/A,#N/A,FALSE,"Plan1";#N/A,#N/A,FALSE,"Plan2"}</definedName>
    <definedName name="lkdzxfsdrf" hidden="1">{#N/A,#N/A,FALSE,"Plan1";#N/A,#N/A,FALSE,"Plan2"}</definedName>
    <definedName name="lkfdkçtktr" localSheetId="24" hidden="1">{#N/A,#N/A,FALSE,"Plan1";#N/A,#N/A,FALSE,"Plan2"}</definedName>
    <definedName name="lkfdkçtktr" localSheetId="7" hidden="1">{#N/A,#N/A,FALSE,"Plan1";#N/A,#N/A,FALSE,"Plan2"}</definedName>
    <definedName name="lkfdkçtktr" localSheetId="9" hidden="1">{#N/A,#N/A,FALSE,"Plan1";#N/A,#N/A,FALSE,"Plan2"}</definedName>
    <definedName name="lkfdkçtktr" localSheetId="3" hidden="1">{#N/A,#N/A,FALSE,"Plan1";#N/A,#N/A,FALSE,"Plan2"}</definedName>
    <definedName name="lkfdkçtktr" localSheetId="2" hidden="1">{#N/A,#N/A,FALSE,"Plan1";#N/A,#N/A,FALSE,"Plan2"}</definedName>
    <definedName name="lkfdkçtktr" localSheetId="16" hidden="1">{#N/A,#N/A,FALSE,"Plan1";#N/A,#N/A,FALSE,"Plan2"}</definedName>
    <definedName name="lkfdkçtktr" localSheetId="0" hidden="1">{#N/A,#N/A,FALSE,"Plan1";#N/A,#N/A,FALSE,"Plan2"}</definedName>
    <definedName name="lkfdkçtktr" localSheetId="26" hidden="1">{#N/A,#N/A,FALSE,"Plan1";#N/A,#N/A,FALSE,"Plan2"}</definedName>
    <definedName name="lkfdkçtktr" localSheetId="11" hidden="1">{#N/A,#N/A,FALSE,"Plan1";#N/A,#N/A,FALSE,"Plan2"}</definedName>
    <definedName name="lkfdkçtktr" hidden="1">{#N/A,#N/A,FALSE,"Plan1";#N/A,#N/A,FALSE,"Plan2"}</definedName>
    <definedName name="lkjr4" hidden="1">17</definedName>
    <definedName name="LKSSDKÇ\E" localSheetId="24" hidden="1">{#N/A,#N/A,FALSE,"Plan1";#N/A,#N/A,FALSE,"Plan2"}</definedName>
    <definedName name="LKSSDKÇ\E" localSheetId="7" hidden="1">{#N/A,#N/A,FALSE,"Plan1";#N/A,#N/A,FALSE,"Plan2"}</definedName>
    <definedName name="LKSSDKÇ\E" localSheetId="9" hidden="1">{#N/A,#N/A,FALSE,"Plan1";#N/A,#N/A,FALSE,"Plan2"}</definedName>
    <definedName name="LKSSDKÇ\E" localSheetId="3" hidden="1">{#N/A,#N/A,FALSE,"Plan1";#N/A,#N/A,FALSE,"Plan2"}</definedName>
    <definedName name="LKSSDKÇ\E" localSheetId="2" hidden="1">{#N/A,#N/A,FALSE,"Plan1";#N/A,#N/A,FALSE,"Plan2"}</definedName>
    <definedName name="LKSSDKÇ\E" localSheetId="16" hidden="1">{#N/A,#N/A,FALSE,"Plan1";#N/A,#N/A,FALSE,"Plan2"}</definedName>
    <definedName name="LKSSDKÇ\E" localSheetId="0" hidden="1">{#N/A,#N/A,FALSE,"Plan1";#N/A,#N/A,FALSE,"Plan2"}</definedName>
    <definedName name="LKSSDKÇ\E" localSheetId="26" hidden="1">{#N/A,#N/A,FALSE,"Plan1";#N/A,#N/A,FALSE,"Plan2"}</definedName>
    <definedName name="LKSSDKÇ\E" localSheetId="11" hidden="1">{#N/A,#N/A,FALSE,"Plan1";#N/A,#N/A,FALSE,"Plan2"}</definedName>
    <definedName name="LKSSDKÇ\E" hidden="1">{#N/A,#N/A,FALSE,"Plan1";#N/A,#N/A,FALSE,"Plan2"}</definedName>
    <definedName name="lkt" localSheetId="24" hidden="1">{#N/A,#N/A,FALSE,"Plan1";#N/A,#N/A,FALSE,"Plan2"}</definedName>
    <definedName name="lkt" localSheetId="7" hidden="1">{#N/A,#N/A,FALSE,"Plan1";#N/A,#N/A,FALSE,"Plan2"}</definedName>
    <definedName name="lkt" localSheetId="9" hidden="1">{#N/A,#N/A,FALSE,"Plan1";#N/A,#N/A,FALSE,"Plan2"}</definedName>
    <definedName name="lkt" localSheetId="3" hidden="1">{#N/A,#N/A,FALSE,"Plan1";#N/A,#N/A,FALSE,"Plan2"}</definedName>
    <definedName name="lkt" localSheetId="2" hidden="1">{#N/A,#N/A,FALSE,"Plan1";#N/A,#N/A,FALSE,"Plan2"}</definedName>
    <definedName name="lkt" localSheetId="16" hidden="1">{#N/A,#N/A,FALSE,"Plan1";#N/A,#N/A,FALSE,"Plan2"}</definedName>
    <definedName name="lkt" localSheetId="0" hidden="1">{#N/A,#N/A,FALSE,"Plan1";#N/A,#N/A,FALSE,"Plan2"}</definedName>
    <definedName name="lkt" localSheetId="26" hidden="1">{#N/A,#N/A,FALSE,"Plan1";#N/A,#N/A,FALSE,"Plan2"}</definedName>
    <definedName name="lkt" localSheetId="11" hidden="1">{#N/A,#N/A,FALSE,"Plan1";#N/A,#N/A,FALSE,"Plan2"}</definedName>
    <definedName name="lkt" hidden="1">{#N/A,#N/A,FALSE,"Plan1";#N/A,#N/A,FALSE,"Plan2"}</definedName>
    <definedName name="lktlyklt" localSheetId="24" hidden="1">{#N/A,#N/A,FALSE,"Plan1";#N/A,#N/A,FALSE,"Plan2"}</definedName>
    <definedName name="lktlyklt" localSheetId="7" hidden="1">{#N/A,#N/A,FALSE,"Plan1";#N/A,#N/A,FALSE,"Plan2"}</definedName>
    <definedName name="lktlyklt" localSheetId="9" hidden="1">{#N/A,#N/A,FALSE,"Plan1";#N/A,#N/A,FALSE,"Plan2"}</definedName>
    <definedName name="lktlyklt" localSheetId="3" hidden="1">{#N/A,#N/A,FALSE,"Plan1";#N/A,#N/A,FALSE,"Plan2"}</definedName>
    <definedName name="lktlyklt" localSheetId="2" hidden="1">{#N/A,#N/A,FALSE,"Plan1";#N/A,#N/A,FALSE,"Plan2"}</definedName>
    <definedName name="lktlyklt" localSheetId="16" hidden="1">{#N/A,#N/A,FALSE,"Plan1";#N/A,#N/A,FALSE,"Plan2"}</definedName>
    <definedName name="lktlyklt" localSheetId="0" hidden="1">{#N/A,#N/A,FALSE,"Plan1";#N/A,#N/A,FALSE,"Plan2"}</definedName>
    <definedName name="lktlyklt" localSheetId="26" hidden="1">{#N/A,#N/A,FALSE,"Plan1";#N/A,#N/A,FALSE,"Plan2"}</definedName>
    <definedName name="lktlyklt" localSheetId="11" hidden="1">{#N/A,#N/A,FALSE,"Plan1";#N/A,#N/A,FALSE,"Plan2"}</definedName>
    <definedName name="lktlyklt" hidden="1">{#N/A,#N/A,FALSE,"Plan1";#N/A,#N/A,FALSE,"Plan2"}</definedName>
    <definedName name="LKTTYT" localSheetId="24" hidden="1">{#N/A,#N/A,FALSE,"Plan1";#N/A,#N/A,FALSE,"Plan2"}</definedName>
    <definedName name="LKTTYT" localSheetId="7" hidden="1">{#N/A,#N/A,FALSE,"Plan1";#N/A,#N/A,FALSE,"Plan2"}</definedName>
    <definedName name="LKTTYT" localSheetId="9" hidden="1">{#N/A,#N/A,FALSE,"Plan1";#N/A,#N/A,FALSE,"Plan2"}</definedName>
    <definedName name="LKTTYT" localSheetId="3" hidden="1">{#N/A,#N/A,FALSE,"Plan1";#N/A,#N/A,FALSE,"Plan2"}</definedName>
    <definedName name="LKTTYT" localSheetId="2" hidden="1">{#N/A,#N/A,FALSE,"Plan1";#N/A,#N/A,FALSE,"Plan2"}</definedName>
    <definedName name="LKTTYT" localSheetId="16" hidden="1">{#N/A,#N/A,FALSE,"Plan1";#N/A,#N/A,FALSE,"Plan2"}</definedName>
    <definedName name="LKTTYT" localSheetId="0" hidden="1">{#N/A,#N/A,FALSE,"Plan1";#N/A,#N/A,FALSE,"Plan2"}</definedName>
    <definedName name="LKTTYT" localSheetId="26" hidden="1">{#N/A,#N/A,FALSE,"Plan1";#N/A,#N/A,FALSE,"Plan2"}</definedName>
    <definedName name="LKTTYT" localSheetId="11" hidden="1">{#N/A,#N/A,FALSE,"Plan1";#N/A,#N/A,FALSE,"Plan2"}</definedName>
    <definedName name="LKTTYT" hidden="1">{#N/A,#N/A,FALSE,"Plan1";#N/A,#N/A,FALSE,"Plan2"}</definedName>
    <definedName name="llgg" localSheetId="24" hidden="1">{#N/A,#N/A,FALSE,"Plan1";#N/A,#N/A,FALSE,"Plan2"}</definedName>
    <definedName name="llgg" localSheetId="7" hidden="1">{#N/A,#N/A,FALSE,"Plan1";#N/A,#N/A,FALSE,"Plan2"}</definedName>
    <definedName name="llgg" localSheetId="9" hidden="1">{#N/A,#N/A,FALSE,"Plan1";#N/A,#N/A,FALSE,"Plan2"}</definedName>
    <definedName name="llgg" localSheetId="3" hidden="1">{#N/A,#N/A,FALSE,"Plan1";#N/A,#N/A,FALSE,"Plan2"}</definedName>
    <definedName name="llgg" localSheetId="2" hidden="1">{#N/A,#N/A,FALSE,"Plan1";#N/A,#N/A,FALSE,"Plan2"}</definedName>
    <definedName name="llgg" localSheetId="16" hidden="1">{#N/A,#N/A,FALSE,"Plan1";#N/A,#N/A,FALSE,"Plan2"}</definedName>
    <definedName name="llgg" localSheetId="0" hidden="1">{#N/A,#N/A,FALSE,"Plan1";#N/A,#N/A,FALSE,"Plan2"}</definedName>
    <definedName name="llgg" localSheetId="26" hidden="1">{#N/A,#N/A,FALSE,"Plan1";#N/A,#N/A,FALSE,"Plan2"}</definedName>
    <definedName name="llgg" localSheetId="11" hidden="1">{#N/A,#N/A,FALSE,"Plan1";#N/A,#N/A,FALSE,"Plan2"}</definedName>
    <definedName name="llgg" hidden="1">{#N/A,#N/A,FALSE,"Plan1";#N/A,#N/A,FALSE,"Plan2"}</definedName>
    <definedName name="LLL" localSheetId="24" hidden="1">{#N/A,#N/A,FALSE,"Plan1";#N/A,#N/A,FALSE,"Plan2"}</definedName>
    <definedName name="LLL" localSheetId="7" hidden="1">{#N/A,#N/A,FALSE,"Plan1";#N/A,#N/A,FALSE,"Plan2"}</definedName>
    <definedName name="LLL" localSheetId="9" hidden="1">{#N/A,#N/A,FALSE,"Plan1";#N/A,#N/A,FALSE,"Plan2"}</definedName>
    <definedName name="LLL" localSheetId="3" hidden="1">{#N/A,#N/A,FALSE,"Plan1";#N/A,#N/A,FALSE,"Plan2"}</definedName>
    <definedName name="LLL" localSheetId="2" hidden="1">{#N/A,#N/A,FALSE,"Plan1";#N/A,#N/A,FALSE,"Plan2"}</definedName>
    <definedName name="LLL" localSheetId="16" hidden="1">{#N/A,#N/A,FALSE,"Plan1";#N/A,#N/A,FALSE,"Plan2"}</definedName>
    <definedName name="LLL" localSheetId="0" hidden="1">{#N/A,#N/A,FALSE,"Plan1";#N/A,#N/A,FALSE,"Plan2"}</definedName>
    <definedName name="LLL" localSheetId="26" hidden="1">{#N/A,#N/A,FALSE,"Plan1";#N/A,#N/A,FALSE,"Plan2"}</definedName>
    <definedName name="LLL" localSheetId="11" hidden="1">{#N/A,#N/A,FALSE,"Plan1";#N/A,#N/A,FALSE,"Plan2"}</definedName>
    <definedName name="LLL" hidden="1">{#N/A,#N/A,FALSE,"Plan1";#N/A,#N/A,FALSE,"Plan2"}</definedName>
    <definedName name="LM_AR" localSheetId="24" hidden="1">{#N/A,#N/A,FALSE,"F-01"}</definedName>
    <definedName name="LM_AR" localSheetId="7" hidden="1">{#N/A,#N/A,FALSE,"F-01"}</definedName>
    <definedName name="LM_AR" localSheetId="9" hidden="1">{#N/A,#N/A,FALSE,"F-01"}</definedName>
    <definedName name="LM_AR" localSheetId="3" hidden="1">{#N/A,#N/A,FALSE,"F-01"}</definedName>
    <definedName name="LM_AR" localSheetId="2" hidden="1">{#N/A,#N/A,FALSE,"F-01"}</definedName>
    <definedName name="LM_AR" localSheetId="16" hidden="1">{#N/A,#N/A,FALSE,"F-01"}</definedName>
    <definedName name="LM_AR" localSheetId="0" hidden="1">{#N/A,#N/A,FALSE,"F-01"}</definedName>
    <definedName name="LM_AR" localSheetId="26" hidden="1">{#N/A,#N/A,FALSE,"F-01"}</definedName>
    <definedName name="LM_AR" localSheetId="11" hidden="1">{#N/A,#N/A,FALSE,"F-01"}</definedName>
    <definedName name="LM_AR" hidden="1">{#N/A,#N/A,FALSE,"F-01"}</definedName>
    <definedName name="LM_AT" localSheetId="24" hidden="1">{#N/A,#N/A,FALSE,"F-01"}</definedName>
    <definedName name="LM_AT" localSheetId="7" hidden="1">{#N/A,#N/A,FALSE,"F-01"}</definedName>
    <definedName name="LM_AT" localSheetId="9" hidden="1">{#N/A,#N/A,FALSE,"F-01"}</definedName>
    <definedName name="LM_AT" localSheetId="3" hidden="1">{#N/A,#N/A,FALSE,"F-01"}</definedName>
    <definedName name="LM_AT" localSheetId="2" hidden="1">{#N/A,#N/A,FALSE,"F-01"}</definedName>
    <definedName name="LM_AT" localSheetId="16" hidden="1">{#N/A,#N/A,FALSE,"F-01"}</definedName>
    <definedName name="LM_AT" localSheetId="0" hidden="1">{#N/A,#N/A,FALSE,"F-01"}</definedName>
    <definedName name="LM_AT" localSheetId="26" hidden="1">{#N/A,#N/A,FALSE,"F-01"}</definedName>
    <definedName name="LM_AT" localSheetId="11" hidden="1">{#N/A,#N/A,FALSE,"F-01"}</definedName>
    <definedName name="LM_AT" hidden="1">{#N/A,#N/A,FALSE,"F-01"}</definedName>
    <definedName name="LM_INC" localSheetId="24" hidden="1">{#N/A,#N/A,FALSE,"F-01"}</definedName>
    <definedName name="LM_INC" localSheetId="7" hidden="1">{#N/A,#N/A,FALSE,"F-01"}</definedName>
    <definedName name="LM_INC" localSheetId="9" hidden="1">{#N/A,#N/A,FALSE,"F-01"}</definedName>
    <definedName name="LM_INC" localSheetId="3" hidden="1">{#N/A,#N/A,FALSE,"F-01"}</definedName>
    <definedName name="LM_INC" localSheetId="2" hidden="1">{#N/A,#N/A,FALSE,"F-01"}</definedName>
    <definedName name="LM_INC" localSheetId="16" hidden="1">{#N/A,#N/A,FALSE,"F-01"}</definedName>
    <definedName name="LM_INC" localSheetId="0" hidden="1">{#N/A,#N/A,FALSE,"F-01"}</definedName>
    <definedName name="LM_INC" localSheetId="26" hidden="1">{#N/A,#N/A,FALSE,"F-01"}</definedName>
    <definedName name="LM_INC" localSheetId="11" hidden="1">{#N/A,#N/A,FALSE,"F-01"}</definedName>
    <definedName name="LM_INC" hidden="1">{#N/A,#N/A,FALSE,"F-01"}</definedName>
    <definedName name="LMPASD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 localSheetId="7">#REF!</definedName>
    <definedName name="LOCALMENU" localSheetId="9">#REF!</definedName>
    <definedName name="LOCALMENU" localSheetId="3">#REF!</definedName>
    <definedName name="LOCALMENU">#REF!</definedName>
    <definedName name="LOCALOBRA" localSheetId="7">#REF!</definedName>
    <definedName name="LOCALOBRA" localSheetId="3">#REF!</definedName>
    <definedName name="LOCALOBRA">#REF!</definedName>
    <definedName name="LS" localSheetId="24">#REF!</definedName>
    <definedName name="LS" localSheetId="7">#REF!</definedName>
    <definedName name="LS" localSheetId="5">#REF!</definedName>
    <definedName name="LS" localSheetId="9">#REF!</definedName>
    <definedName name="LS" localSheetId="3">#REF!</definedName>
    <definedName name="LS" localSheetId="2">#REF!</definedName>
    <definedName name="LS" localSheetId="0">#REF!</definedName>
    <definedName name="LS" localSheetId="26">#REF!</definedName>
    <definedName name="LS">#REF!</definedName>
    <definedName name="LSDFKLDKFTR" localSheetId="24" hidden="1">{#N/A,#N/A,FALSE,"Plan1";#N/A,#N/A,FALSE,"Plan2"}</definedName>
    <definedName name="LSDFKLDKFTR" localSheetId="7" hidden="1">{#N/A,#N/A,FALSE,"Plan1";#N/A,#N/A,FALSE,"Plan2"}</definedName>
    <definedName name="LSDFKLDKFTR" localSheetId="9" hidden="1">{#N/A,#N/A,FALSE,"Plan1";#N/A,#N/A,FALSE,"Plan2"}</definedName>
    <definedName name="LSDFKLDKFTR" localSheetId="3" hidden="1">{#N/A,#N/A,FALSE,"Plan1";#N/A,#N/A,FALSE,"Plan2"}</definedName>
    <definedName name="LSDFKLDKFTR" localSheetId="2" hidden="1">{#N/A,#N/A,FALSE,"Plan1";#N/A,#N/A,FALSE,"Plan2"}</definedName>
    <definedName name="LSDFKLDKFTR" localSheetId="16" hidden="1">{#N/A,#N/A,FALSE,"Plan1";#N/A,#N/A,FALSE,"Plan2"}</definedName>
    <definedName name="LSDFKLDKFTR" localSheetId="0" hidden="1">{#N/A,#N/A,FALSE,"Plan1";#N/A,#N/A,FALSE,"Plan2"}</definedName>
    <definedName name="LSDFKLDKFTR" localSheetId="26" hidden="1">{#N/A,#N/A,FALSE,"Plan1";#N/A,#N/A,FALSE,"Plan2"}</definedName>
    <definedName name="LSDFKLDKFTR" localSheetId="11" hidden="1">{#N/A,#N/A,FALSE,"Plan1";#N/A,#N/A,FALSE,"Plan2"}</definedName>
    <definedName name="LSDFKLDKFTR" hidden="1">{#N/A,#N/A,FALSE,"Plan1";#N/A,#N/A,FALSE,"Plan2"}</definedName>
    <definedName name="lsdjse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localSheetId="24" hidden="1">{#N/A,#N/A,FALSE,"Plan1";#N/A,#N/A,FALSE,"Plan2"}</definedName>
    <definedName name="lsdkljfkg" localSheetId="7" hidden="1">{#N/A,#N/A,FALSE,"Plan1";#N/A,#N/A,FALSE,"Plan2"}</definedName>
    <definedName name="lsdkljfkg" localSheetId="9" hidden="1">{#N/A,#N/A,FALSE,"Plan1";#N/A,#N/A,FALSE,"Plan2"}</definedName>
    <definedName name="lsdkljfkg" localSheetId="3" hidden="1">{#N/A,#N/A,FALSE,"Plan1";#N/A,#N/A,FALSE,"Plan2"}</definedName>
    <definedName name="lsdkljfkg" localSheetId="2" hidden="1">{#N/A,#N/A,FALSE,"Plan1";#N/A,#N/A,FALSE,"Plan2"}</definedName>
    <definedName name="lsdkljfkg" localSheetId="16" hidden="1">{#N/A,#N/A,FALSE,"Plan1";#N/A,#N/A,FALSE,"Plan2"}</definedName>
    <definedName name="lsdkljfkg" localSheetId="0" hidden="1">{#N/A,#N/A,FALSE,"Plan1";#N/A,#N/A,FALSE,"Plan2"}</definedName>
    <definedName name="lsdkljfkg" localSheetId="26" hidden="1">{#N/A,#N/A,FALSE,"Plan1";#N/A,#N/A,FALSE,"Plan2"}</definedName>
    <definedName name="lsdkljfkg" localSheetId="11" hidden="1">{#N/A,#N/A,FALSE,"Plan1";#N/A,#N/A,FALSE,"Plan2"}</definedName>
    <definedName name="lsdkljfkg" hidden="1">{#N/A,#N/A,FALSE,"Plan1";#N/A,#N/A,FALSE,"Plan2"}</definedName>
    <definedName name="lsdsder" localSheetId="24" hidden="1">{#N/A,#N/A,FALSE,"Plan1";#N/A,#N/A,FALSE,"Plan2"}</definedName>
    <definedName name="lsdsder" localSheetId="7" hidden="1">{#N/A,#N/A,FALSE,"Plan1";#N/A,#N/A,FALSE,"Plan2"}</definedName>
    <definedName name="lsdsder" localSheetId="9" hidden="1">{#N/A,#N/A,FALSE,"Plan1";#N/A,#N/A,FALSE,"Plan2"}</definedName>
    <definedName name="lsdsder" localSheetId="3" hidden="1">{#N/A,#N/A,FALSE,"Plan1";#N/A,#N/A,FALSE,"Plan2"}</definedName>
    <definedName name="lsdsder" localSheetId="2" hidden="1">{#N/A,#N/A,FALSE,"Plan1";#N/A,#N/A,FALSE,"Plan2"}</definedName>
    <definedName name="lsdsder" localSheetId="16" hidden="1">{#N/A,#N/A,FALSE,"Plan1";#N/A,#N/A,FALSE,"Plan2"}</definedName>
    <definedName name="lsdsder" localSheetId="0" hidden="1">{#N/A,#N/A,FALSE,"Plan1";#N/A,#N/A,FALSE,"Plan2"}</definedName>
    <definedName name="lsdsder" localSheetId="26" hidden="1">{#N/A,#N/A,FALSE,"Plan1";#N/A,#N/A,FALSE,"Plan2"}</definedName>
    <definedName name="lsdsder" localSheetId="11" hidden="1">{#N/A,#N/A,FALSE,"Plan1";#N/A,#N/A,FALSE,"Plan2"}</definedName>
    <definedName name="lsdsder" hidden="1">{#N/A,#N/A,FALSE,"Plan1";#N/A,#N/A,FALSE,"Plan2"}</definedName>
    <definedName name="ltj6ljyhdjhngças" localSheetId="24" hidden="1">{#N/A,#N/A,FALSE,"Plan1";#N/A,#N/A,FALSE,"Plan2"}</definedName>
    <definedName name="ltj6ljyhdjhngças" localSheetId="7" hidden="1">{#N/A,#N/A,FALSE,"Plan1";#N/A,#N/A,FALSE,"Plan2"}</definedName>
    <definedName name="ltj6ljyhdjhngças" localSheetId="9" hidden="1">{#N/A,#N/A,FALSE,"Plan1";#N/A,#N/A,FALSE,"Plan2"}</definedName>
    <definedName name="ltj6ljyhdjhngças" localSheetId="3" hidden="1">{#N/A,#N/A,FALSE,"Plan1";#N/A,#N/A,FALSE,"Plan2"}</definedName>
    <definedName name="ltj6ljyhdjhngças" localSheetId="2" hidden="1">{#N/A,#N/A,FALSE,"Plan1";#N/A,#N/A,FALSE,"Plan2"}</definedName>
    <definedName name="ltj6ljyhdjhngças" localSheetId="16" hidden="1">{#N/A,#N/A,FALSE,"Plan1";#N/A,#N/A,FALSE,"Plan2"}</definedName>
    <definedName name="ltj6ljyhdjhngças" localSheetId="0" hidden="1">{#N/A,#N/A,FALSE,"Plan1";#N/A,#N/A,FALSE,"Plan2"}</definedName>
    <definedName name="ltj6ljyhdjhngças" localSheetId="26" hidden="1">{#N/A,#N/A,FALSE,"Plan1";#N/A,#N/A,FALSE,"Plan2"}</definedName>
    <definedName name="ltj6ljyhdjhngças" localSheetId="11" hidden="1">{#N/A,#N/A,FALSE,"Plan1";#N/A,#N/A,FALSE,"Plan2"}</definedName>
    <definedName name="ltj6ljyhdjhngças" hidden="1">{#N/A,#N/A,FALSE,"Plan1";#N/A,#N/A,FALSE,"Plan2"}</definedName>
    <definedName name="LUCRO" localSheetId="24">#REF!</definedName>
    <definedName name="LUCRO" localSheetId="7">#REF!</definedName>
    <definedName name="LUCRO" localSheetId="3">#REF!</definedName>
    <definedName name="LUCRO" localSheetId="26">#REF!</definedName>
    <definedName name="LUCRO">#REF!</definedName>
    <definedName name="luis_cdi" localSheetId="7">#REF!</definedName>
    <definedName name="luis_cdi" localSheetId="3">#REF!</definedName>
    <definedName name="luis_cdi">#REF!</definedName>
    <definedName name="luis_hist" localSheetId="7">#REF!</definedName>
    <definedName name="luis_hist" localSheetId="3">#REF!</definedName>
    <definedName name="luis_hist">#REF!</definedName>
    <definedName name="luis_uss" localSheetId="7">#REF!</definedName>
    <definedName name="luis_uss" localSheetId="3">#REF!</definedName>
    <definedName name="luis_uss">#REF!</definedName>
    <definedName name="LV" localSheetId="7">#REF!</definedName>
    <definedName name="LV" localSheetId="3">#REF!</definedName>
    <definedName name="LV">#REF!</definedName>
    <definedName name="LVI" localSheetId="7">#REF!</definedName>
    <definedName name="LVI" localSheetId="3">#REF!</definedName>
    <definedName name="LVI">#REF!</definedName>
    <definedName name="LVII" localSheetId="7">#REF!</definedName>
    <definedName name="LVII" localSheetId="3">#REF!</definedName>
    <definedName name="LVII">#REF!</definedName>
    <definedName name="LVIII" localSheetId="7">#REF!</definedName>
    <definedName name="LVIII" localSheetId="3">#REF!</definedName>
    <definedName name="LVIII">#REF!</definedName>
    <definedName name="lwaeddew" localSheetId="7" hidden="1">#REF!</definedName>
    <definedName name="lwaeddew" localSheetId="0" hidden="1">#REF!</definedName>
    <definedName name="lwaeddew" hidden="1">#REF!</definedName>
    <definedName name="LXX" localSheetId="7">#REF!</definedName>
    <definedName name="LXX" localSheetId="3">#REF!</definedName>
    <definedName name="LXX">#REF!</definedName>
    <definedName name="LXXI" localSheetId="7">#REF!</definedName>
    <definedName name="LXXI" localSheetId="3">#REF!</definedName>
    <definedName name="LXXI">#REF!</definedName>
    <definedName name="LXXII" localSheetId="7">#REF!</definedName>
    <definedName name="LXXII" localSheetId="3">#REF!</definedName>
    <definedName name="LXXII">#REF!</definedName>
    <definedName name="LXXIII" localSheetId="7">#REF!</definedName>
    <definedName name="LXXIII" localSheetId="3">#REF!</definedName>
    <definedName name="LXXIII">#REF!</definedName>
    <definedName name="LXXIV" localSheetId="7">#REF!</definedName>
    <definedName name="LXXIV" localSheetId="3">#REF!</definedName>
    <definedName name="LXXIV">#REF!</definedName>
    <definedName name="LXXIX" localSheetId="7">#REF!</definedName>
    <definedName name="LXXIX" localSheetId="3">#REF!</definedName>
    <definedName name="LXXIX">#REF!</definedName>
    <definedName name="LXXV" localSheetId="7">#REF!</definedName>
    <definedName name="LXXV" localSheetId="3">#REF!</definedName>
    <definedName name="LXXV">#REF!</definedName>
    <definedName name="LXXVI" localSheetId="7">#REF!</definedName>
    <definedName name="LXXVI" localSheetId="3">#REF!</definedName>
    <definedName name="LXXVI">#REF!</definedName>
    <definedName name="LXXVII" localSheetId="7">#REF!</definedName>
    <definedName name="LXXVII" localSheetId="3">#REF!</definedName>
    <definedName name="LXXVII">#REF!</definedName>
    <definedName name="LXXVIII" localSheetId="7">#REF!</definedName>
    <definedName name="LXXVIII" localSheetId="3">#REF!</definedName>
    <definedName name="LXXVIII">#REF!</definedName>
    <definedName name="LXXX" localSheetId="7">#REF!</definedName>
    <definedName name="LXXX" localSheetId="3">#REF!</definedName>
    <definedName name="LXXX">#REF!</definedName>
    <definedName name="LXXXI" localSheetId="7">#REF!</definedName>
    <definedName name="LXXXI" localSheetId="3">#REF!</definedName>
    <definedName name="LXXXI">#REF!</definedName>
    <definedName name="LXXXII" localSheetId="7">#REF!</definedName>
    <definedName name="LXXXII" localSheetId="3">#REF!</definedName>
    <definedName name="LXXXII">#REF!</definedName>
    <definedName name="LXXXIII" localSheetId="7">#REF!</definedName>
    <definedName name="LXXXIII" localSheetId="3">#REF!</definedName>
    <definedName name="LXXXIII">#REF!</definedName>
    <definedName name="LXXXIV" localSheetId="7">#REF!</definedName>
    <definedName name="LXXXIV" localSheetId="3">#REF!</definedName>
    <definedName name="LXXXIV">#REF!</definedName>
    <definedName name="LXXXV" localSheetId="7">#REF!</definedName>
    <definedName name="LXXXV" localSheetId="3">#REF!</definedName>
    <definedName name="LXXXV">#REF!</definedName>
    <definedName name="m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 localSheetId="24">#REF!</definedName>
    <definedName name="MADRI" localSheetId="7">#REF!</definedName>
    <definedName name="MADRI" localSheetId="3">#REF!</definedName>
    <definedName name="MADRI" localSheetId="26">#REF!</definedName>
    <definedName name="MADRI">#REF!</definedName>
    <definedName name="mai17RJ" localSheetId="7">#REF!</definedName>
    <definedName name="mai17RJ" localSheetId="3">#REF!</definedName>
    <definedName name="mai17RJ">#REF!</definedName>
    <definedName name="MAIO" localSheetId="7">#REF!</definedName>
    <definedName name="MAIO" localSheetId="3">#REF!</definedName>
    <definedName name="MAIO">#REF!</definedName>
    <definedName name="MAIO2001" localSheetId="7">#REF!</definedName>
    <definedName name="MAIO2001" localSheetId="3">#REF!</definedName>
    <definedName name="MAIO2001">#REF!</definedName>
    <definedName name="MAISAP" localSheetId="24" hidden="1">{#N/A,#N/A,FALSE,"Plan1";#N/A,#N/A,FALSE,"Plan2"}</definedName>
    <definedName name="MAISAP" localSheetId="7" hidden="1">{#N/A,#N/A,FALSE,"Plan1";#N/A,#N/A,FALSE,"Plan2"}</definedName>
    <definedName name="MAISAP" localSheetId="9" hidden="1">{#N/A,#N/A,FALSE,"Plan1";#N/A,#N/A,FALSE,"Plan2"}</definedName>
    <definedName name="MAISAP" localSheetId="3" hidden="1">{#N/A,#N/A,FALSE,"Plan1";#N/A,#N/A,FALSE,"Plan2"}</definedName>
    <definedName name="MAISAP" localSheetId="2" hidden="1">{#N/A,#N/A,FALSE,"Plan1";#N/A,#N/A,FALSE,"Plan2"}</definedName>
    <definedName name="MAISAP" localSheetId="16" hidden="1">{#N/A,#N/A,FALSE,"Plan1";#N/A,#N/A,FALSE,"Plan2"}</definedName>
    <definedName name="MAISAP" localSheetId="0" hidden="1">{#N/A,#N/A,FALSE,"Plan1";#N/A,#N/A,FALSE,"Plan2"}</definedName>
    <definedName name="MAISAP" localSheetId="26" hidden="1">{#N/A,#N/A,FALSE,"Plan1";#N/A,#N/A,FALSE,"Plan2"}</definedName>
    <definedName name="MAISAP" localSheetId="11" hidden="1">{#N/A,#N/A,FALSE,"Plan1";#N/A,#N/A,FALSE,"Plan2"}</definedName>
    <definedName name="MAISAP" hidden="1">{#N/A,#N/A,FALSE,"Plan1";#N/A,#N/A,FALSE,"Plan2"}</definedName>
    <definedName name="MANTO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 localSheetId="24">#REF!</definedName>
    <definedName name="MAO_DE_OBRA" localSheetId="7">#REF!</definedName>
    <definedName name="MAO_DE_OBRA" localSheetId="3">#REF!</definedName>
    <definedName name="MAO_DE_OBRA" localSheetId="26">#REF!</definedName>
    <definedName name="MAO_DE_OBRA">#REF!</definedName>
    <definedName name="mar17RJ" localSheetId="7">#REF!</definedName>
    <definedName name="mar17RJ" localSheetId="3">#REF!</definedName>
    <definedName name="mar17RJ">#REF!</definedName>
    <definedName name="MARCAX" localSheetId="7">#REF!</definedName>
    <definedName name="MARCAX" localSheetId="3">#REF!</definedName>
    <definedName name="MARCAX">#REF!</definedName>
    <definedName name="MARÇO" localSheetId="7">#REF!</definedName>
    <definedName name="MARÇO" localSheetId="3">#REF!</definedName>
    <definedName name="MARÇO">#REF!</definedName>
    <definedName name="MARÇO2001" localSheetId="7">#REF!</definedName>
    <definedName name="MARÇO2001" localSheetId="3">#REF!</definedName>
    <definedName name="MARÇO2001">#REF!</definedName>
    <definedName name="martha" localSheetId="7">#REF!</definedName>
    <definedName name="martha" localSheetId="3">#REF!</definedName>
    <definedName name="martha">#REF!</definedName>
    <definedName name="MASTER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 localSheetId="24">#REF!</definedName>
    <definedName name="MATERIAL" localSheetId="7">#REF!</definedName>
    <definedName name="MATERIAL" localSheetId="3">#REF!</definedName>
    <definedName name="MATERIAL" localSheetId="26">#REF!</definedName>
    <definedName name="MATERIAL">#REF!</definedName>
    <definedName name="mattubcust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localSheetId="24" hidden="1">{#N/A,#N/A,FALSE,"Plan1";#N/A,#N/A,FALSE,"Plan2"}</definedName>
    <definedName name="MAURILIO" localSheetId="7" hidden="1">{#N/A,#N/A,FALSE,"Plan1";#N/A,#N/A,FALSE,"Plan2"}</definedName>
    <definedName name="MAURILIO" localSheetId="9" hidden="1">{#N/A,#N/A,FALSE,"Plan1";#N/A,#N/A,FALSE,"Plan2"}</definedName>
    <definedName name="MAURILIO" localSheetId="3" hidden="1">{#N/A,#N/A,FALSE,"Plan1";#N/A,#N/A,FALSE,"Plan2"}</definedName>
    <definedName name="MAURILIO" localSheetId="2" hidden="1">{#N/A,#N/A,FALSE,"Plan1";#N/A,#N/A,FALSE,"Plan2"}</definedName>
    <definedName name="MAURILIO" localSheetId="16" hidden="1">{#N/A,#N/A,FALSE,"Plan1";#N/A,#N/A,FALSE,"Plan2"}</definedName>
    <definedName name="MAURILIO" localSheetId="0" hidden="1">{#N/A,#N/A,FALSE,"Plan1";#N/A,#N/A,FALSE,"Plan2"}</definedName>
    <definedName name="MAURILIO" localSheetId="26" hidden="1">{#N/A,#N/A,FALSE,"Plan1";#N/A,#N/A,FALSE,"Plan2"}</definedName>
    <definedName name="MAURILIO" localSheetId="11" hidden="1">{#N/A,#N/A,FALSE,"Plan1";#N/A,#N/A,FALSE,"Plan2"}</definedName>
    <definedName name="MAURILIO" hidden="1">{#N/A,#N/A,FALSE,"Plan1";#N/A,#N/A,FALSE,"Plan2"}</definedName>
    <definedName name="MC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 localSheetId="24">#REF!</definedName>
    <definedName name="MCMV" localSheetId="7">#REF!</definedName>
    <definedName name="MCMV" localSheetId="3">#REF!</definedName>
    <definedName name="MCMV" localSheetId="26">#REF!</definedName>
    <definedName name="MCMV">#REF!</definedName>
    <definedName name="mdfgtr" localSheetId="24" hidden="1">{#N/A,#N/A,FALSE,"Plan1";#N/A,#N/A,FALSE,"Plan2"}</definedName>
    <definedName name="mdfgtr" localSheetId="7" hidden="1">{#N/A,#N/A,FALSE,"Plan1";#N/A,#N/A,FALSE,"Plan2"}</definedName>
    <definedName name="mdfgtr" localSheetId="9" hidden="1">{#N/A,#N/A,FALSE,"Plan1";#N/A,#N/A,FALSE,"Plan2"}</definedName>
    <definedName name="mdfgtr" localSheetId="3" hidden="1">{#N/A,#N/A,FALSE,"Plan1";#N/A,#N/A,FALSE,"Plan2"}</definedName>
    <definedName name="mdfgtr" localSheetId="2" hidden="1">{#N/A,#N/A,FALSE,"Plan1";#N/A,#N/A,FALSE,"Plan2"}</definedName>
    <definedName name="mdfgtr" localSheetId="16" hidden="1">{#N/A,#N/A,FALSE,"Plan1";#N/A,#N/A,FALSE,"Plan2"}</definedName>
    <definedName name="mdfgtr" localSheetId="0" hidden="1">{#N/A,#N/A,FALSE,"Plan1";#N/A,#N/A,FALSE,"Plan2"}</definedName>
    <definedName name="mdfgtr" localSheetId="26" hidden="1">{#N/A,#N/A,FALSE,"Plan1";#N/A,#N/A,FALSE,"Plan2"}</definedName>
    <definedName name="mdfgtr" localSheetId="11" hidden="1">{#N/A,#N/A,FALSE,"Plan1";#N/A,#N/A,FALSE,"Plan2"}</definedName>
    <definedName name="mdfgtr" hidden="1">{#N/A,#N/A,FALSE,"Plan1";#N/A,#N/A,FALSE,"Plan2"}</definedName>
    <definedName name="MDSÇLFJKJSD" localSheetId="24" hidden="1">{#N/A,#N/A,FALSE,"Plan1";#N/A,#N/A,FALSE,"Plan2"}</definedName>
    <definedName name="MDSÇLFJKJSD" localSheetId="7" hidden="1">{#N/A,#N/A,FALSE,"Plan1";#N/A,#N/A,FALSE,"Plan2"}</definedName>
    <definedName name="MDSÇLFJKJSD" localSheetId="9" hidden="1">{#N/A,#N/A,FALSE,"Plan1";#N/A,#N/A,FALSE,"Plan2"}</definedName>
    <definedName name="MDSÇLFJKJSD" localSheetId="3" hidden="1">{#N/A,#N/A,FALSE,"Plan1";#N/A,#N/A,FALSE,"Plan2"}</definedName>
    <definedName name="MDSÇLFJKJSD" localSheetId="2" hidden="1">{#N/A,#N/A,FALSE,"Plan1";#N/A,#N/A,FALSE,"Plan2"}</definedName>
    <definedName name="MDSÇLFJKJSD" localSheetId="16" hidden="1">{#N/A,#N/A,FALSE,"Plan1";#N/A,#N/A,FALSE,"Plan2"}</definedName>
    <definedName name="MDSÇLFJKJSD" localSheetId="0" hidden="1">{#N/A,#N/A,FALSE,"Plan1";#N/A,#N/A,FALSE,"Plan2"}</definedName>
    <definedName name="MDSÇLFJKJSD" localSheetId="26" hidden="1">{#N/A,#N/A,FALSE,"Plan1";#N/A,#N/A,FALSE,"Plan2"}</definedName>
    <definedName name="MDSÇLFJKJSD" localSheetId="11" hidden="1">{#N/A,#N/A,FALSE,"Plan1";#N/A,#N/A,FALSE,"Plan2"}</definedName>
    <definedName name="MDSÇLFJKJSD" hidden="1">{#N/A,#N/A,FALSE,"Plan1";#N/A,#N/A,FALSE,"Plan2"}</definedName>
    <definedName name="ME" localSheetId="24" hidden="1">{"HW",#N/A,FALSE,"1998"}</definedName>
    <definedName name="ME" localSheetId="7" hidden="1">{"HW",#N/A,FALSE,"1998"}</definedName>
    <definedName name="ME" localSheetId="9" hidden="1">{"HW",#N/A,FALSE,"1998"}</definedName>
    <definedName name="ME" localSheetId="3" hidden="1">{"HW",#N/A,FALSE,"1998"}</definedName>
    <definedName name="ME" localSheetId="2" hidden="1">{"HW",#N/A,FALSE,"1998"}</definedName>
    <definedName name="ME" localSheetId="16" hidden="1">{"HW",#N/A,FALSE,"1998"}</definedName>
    <definedName name="ME" localSheetId="0" hidden="1">{"HW",#N/A,FALSE,"1998"}</definedName>
    <definedName name="ME" localSheetId="26" hidden="1">{"HW",#N/A,FALSE,"1998"}</definedName>
    <definedName name="ME" localSheetId="11" hidden="1">{"HW",#N/A,FALSE,"1998"}</definedName>
    <definedName name="ME" hidden="1">{"HW",#N/A,FALSE,"1998"}</definedName>
    <definedName name="Medido_Fin_Medições" localSheetId="24">#REF!</definedName>
    <definedName name="Medido_Fin_Medições" localSheetId="7">#REF!</definedName>
    <definedName name="Medido_Fin_Medições" localSheetId="3">#REF!</definedName>
    <definedName name="Medido_Fin_Medições" localSheetId="26">#REF!</definedName>
    <definedName name="Medido_Fin_Medições">#REF!</definedName>
    <definedName name="melo_cdi" localSheetId="7">#REF!</definedName>
    <definedName name="melo_cdi" localSheetId="3">#REF!</definedName>
    <definedName name="melo_cdi">#REF!</definedName>
    <definedName name="melo_hist" localSheetId="7">#REF!</definedName>
    <definedName name="melo_hist" localSheetId="3">#REF!</definedName>
    <definedName name="melo_hist">#REF!</definedName>
    <definedName name="melo_uss" localSheetId="7">#REF!</definedName>
    <definedName name="melo_uss" localSheetId="3">#REF!</definedName>
    <definedName name="melo_uss">#REF!</definedName>
    <definedName name="MEMÓRIA" localSheetId="7">#REF!</definedName>
    <definedName name="MEMÓRIA" localSheetId="3">#REF!</definedName>
    <definedName name="MEMÓRIA">#REF!</definedName>
    <definedName name="memória2" localSheetId="7">#REF!</definedName>
    <definedName name="memória2" localSheetId="3">#REF!</definedName>
    <definedName name="memória2">#REF!</definedName>
    <definedName name="mensal" localSheetId="7">#REF!</definedName>
    <definedName name="mensal" localSheetId="3">#REF!</definedName>
    <definedName name="mensal">#REF!</definedName>
    <definedName name="MENU" localSheetId="6">#REF!</definedName>
    <definedName name="MENU" localSheetId="24">#REF!</definedName>
    <definedName name="MENU" localSheetId="7">#REF!</definedName>
    <definedName name="MENU" localSheetId="5">#REF!</definedName>
    <definedName name="MENU" localSheetId="3">#REF!</definedName>
    <definedName name="MENU" localSheetId="0">#REF!</definedName>
    <definedName name="MENU">#REF!</definedName>
    <definedName name="MENU1" localSheetId="24">#REF!</definedName>
    <definedName name="MENU1" localSheetId="7">#REF!</definedName>
    <definedName name="MENU1" localSheetId="5">#REF!</definedName>
    <definedName name="MENU1" localSheetId="3">#REF!</definedName>
    <definedName name="MENU1" localSheetId="0">#REF!</definedName>
    <definedName name="MENU1">#REF!</definedName>
    <definedName name="MENU2" localSheetId="24">#REF!</definedName>
    <definedName name="MENU2" localSheetId="7">#REF!</definedName>
    <definedName name="MENU2" localSheetId="5">#REF!</definedName>
    <definedName name="MENU2" localSheetId="3">#REF!</definedName>
    <definedName name="MENU2" localSheetId="0">#REF!</definedName>
    <definedName name="MENU2">#REF!</definedName>
    <definedName name="MENU3" localSheetId="24">#REF!</definedName>
    <definedName name="MENU3" localSheetId="7">#REF!</definedName>
    <definedName name="MENU3" localSheetId="5">#REF!</definedName>
    <definedName name="MENU3" localSheetId="3">#REF!</definedName>
    <definedName name="MENU3" localSheetId="0">#REF!</definedName>
    <definedName name="MENU3">#REF!</definedName>
    <definedName name="MENU4" localSheetId="24">#REF!</definedName>
    <definedName name="MENU4" localSheetId="7">#REF!</definedName>
    <definedName name="MENU4" localSheetId="5">#REF!</definedName>
    <definedName name="MENU4" localSheetId="3">#REF!</definedName>
    <definedName name="MENU4" localSheetId="0">#REF!</definedName>
    <definedName name="MENU4">#REF!</definedName>
    <definedName name="MENU5" localSheetId="24">#REF!</definedName>
    <definedName name="MENU5" localSheetId="7">#REF!</definedName>
    <definedName name="MENU5" localSheetId="5">#REF!</definedName>
    <definedName name="MENU5" localSheetId="3">#REF!</definedName>
    <definedName name="MENU5" localSheetId="0">#REF!</definedName>
    <definedName name="MENU5">#REF!</definedName>
    <definedName name="MENU6" localSheetId="24">#REF!</definedName>
    <definedName name="MENU6" localSheetId="7">#REF!</definedName>
    <definedName name="MENU6" localSheetId="5">#REF!</definedName>
    <definedName name="MENU6" localSheetId="3">#REF!</definedName>
    <definedName name="MENU6" localSheetId="0">#REF!</definedName>
    <definedName name="MENU6">#REF!</definedName>
    <definedName name="MENUBOM" localSheetId="7">#REF!</definedName>
    <definedName name="MENUBOM" localSheetId="3">#REF!</definedName>
    <definedName name="MENUBOM">#REF!</definedName>
    <definedName name="MENUEQP" localSheetId="7">#REF!</definedName>
    <definedName name="MENUEQP" localSheetId="3">#REF!</definedName>
    <definedName name="MENUEQP">#REF!</definedName>
    <definedName name="MENUFIM" localSheetId="7">#REF!</definedName>
    <definedName name="MENUFIM" localSheetId="3">#REF!</definedName>
    <definedName name="MENUFIM">#REF!</definedName>
    <definedName name="MENUMED" localSheetId="7">#REF!</definedName>
    <definedName name="MENUMED" localSheetId="3">#REF!</definedName>
    <definedName name="MENUMED">#REF!</definedName>
    <definedName name="MENUOBRA" localSheetId="7">#REF!</definedName>
    <definedName name="MENUOBRA" localSheetId="3">#REF!</definedName>
    <definedName name="MENUOBRA">#REF!</definedName>
    <definedName name="MENUOUT" localSheetId="7">#REF!</definedName>
    <definedName name="MENUOUT" localSheetId="3">#REF!</definedName>
    <definedName name="MENUOUT">#REF!</definedName>
    <definedName name="MENUOUTRO" localSheetId="7">#REF!</definedName>
    <definedName name="MENUOUTRO" localSheetId="3">#REF!</definedName>
    <definedName name="MENUOUTRO">#REF!</definedName>
    <definedName name="menures" localSheetId="7">#REF!</definedName>
    <definedName name="menures" localSheetId="3">#REF!</definedName>
    <definedName name="menures">#REF!</definedName>
    <definedName name="Mês_data_base" localSheetId="7">#REF!</definedName>
    <definedName name="Mês_data_base" localSheetId="3">#REF!</definedName>
    <definedName name="Mês_data_base">#REF!</definedName>
    <definedName name="Mês_Medição_Fin_Medições" localSheetId="7">#REF!</definedName>
    <definedName name="Mês_Medição_Fin_Medições" localSheetId="3">#REF!</definedName>
    <definedName name="Mês_Medição_Fin_Medições">#REF!</definedName>
    <definedName name="mes_relatorio" localSheetId="7">#REF!</definedName>
    <definedName name="mes_relatorio" localSheetId="3">#REF!</definedName>
    <definedName name="mes_relatorio">#REF!</definedName>
    <definedName name="Meses" localSheetId="7">#REF!</definedName>
    <definedName name="Meses" localSheetId="3">#REF!</definedName>
    <definedName name="Meses">#REF!</definedName>
    <definedName name="MESTRE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 localSheetId="24">#REF!</definedName>
    <definedName name="meta_venda" localSheetId="7">#REF!</definedName>
    <definedName name="meta_venda" localSheetId="3">#REF!</definedName>
    <definedName name="meta_venda" localSheetId="26">#REF!</definedName>
    <definedName name="meta_venda">#REF!</definedName>
    <definedName name="MetaBP" localSheetId="7">#REF!</definedName>
    <definedName name="MetaBP" localSheetId="3">#REF!</definedName>
    <definedName name="MetaBP">#REF!</definedName>
    <definedName name="MILENA" localSheetId="7" hidden="1">#REF!</definedName>
    <definedName name="MILENA" localSheetId="0" hidden="1">#REF!</definedName>
    <definedName name="MILENA" hidden="1">#REF!</definedName>
    <definedName name="Minha_Casa_Minha_Vida" localSheetId="7">#REF!</definedName>
    <definedName name="Minha_Casa_Minha_Vida" localSheetId="3">#REF!</definedName>
    <definedName name="Minha_Casa_Minha_Vida">#REF!</definedName>
    <definedName name="MLMÇLKJKI" localSheetId="24" hidden="1">{#N/A,#N/A,FALSE,"Plan1";#N/A,#N/A,FALSE,"Plan2"}</definedName>
    <definedName name="MLMÇLKJKI" localSheetId="7" hidden="1">{#N/A,#N/A,FALSE,"Plan1";#N/A,#N/A,FALSE,"Plan2"}</definedName>
    <definedName name="MLMÇLKJKI" localSheetId="9" hidden="1">{#N/A,#N/A,FALSE,"Plan1";#N/A,#N/A,FALSE,"Plan2"}</definedName>
    <definedName name="MLMÇLKJKI" localSheetId="3" hidden="1">{#N/A,#N/A,FALSE,"Plan1";#N/A,#N/A,FALSE,"Plan2"}</definedName>
    <definedName name="MLMÇLKJKI" localSheetId="2" hidden="1">{#N/A,#N/A,FALSE,"Plan1";#N/A,#N/A,FALSE,"Plan2"}</definedName>
    <definedName name="MLMÇLKJKI" localSheetId="16" hidden="1">{#N/A,#N/A,FALSE,"Plan1";#N/A,#N/A,FALSE,"Plan2"}</definedName>
    <definedName name="MLMÇLKJKI" localSheetId="0" hidden="1">{#N/A,#N/A,FALSE,"Plan1";#N/A,#N/A,FALSE,"Plan2"}</definedName>
    <definedName name="MLMÇLKJKI" localSheetId="26" hidden="1">{#N/A,#N/A,FALSE,"Plan1";#N/A,#N/A,FALSE,"Plan2"}</definedName>
    <definedName name="MLMÇLKJKI" localSheetId="11" hidden="1">{#N/A,#N/A,FALSE,"Plan1";#N/A,#N/A,FALSE,"Plan2"}</definedName>
    <definedName name="MLMÇLKJKI" hidden="1">{#N/A,#N/A,FALSE,"Plan1";#N/A,#N/A,FALSE,"Plan2"}</definedName>
    <definedName name="MM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localSheetId="24" hidden="1">{"tabela",#N/A,FALSE,"Tabela";"decoração",#N/A,FALSE,"Decor.";"Informações",#N/A,FALSE,"Inform."}</definedName>
    <definedName name="mmmmm" localSheetId="7" hidden="1">{"tabela",#N/A,FALSE,"Tabela";"decoração",#N/A,FALSE,"Decor.";"Informações",#N/A,FALSE,"Inform."}</definedName>
    <definedName name="mmmmm" localSheetId="9" hidden="1">{"tabela",#N/A,FALSE,"Tabela";"decoração",#N/A,FALSE,"Decor.";"Informações",#N/A,FALSE,"Inform."}</definedName>
    <definedName name="mmmmm" localSheetId="3" hidden="1">{"tabela",#N/A,FALSE,"Tabela";"decoração",#N/A,FALSE,"Decor.";"Informações",#N/A,FALSE,"Inform."}</definedName>
    <definedName name="mmmmm" localSheetId="2" hidden="1">{"tabela",#N/A,FALSE,"Tabela";"decoração",#N/A,FALSE,"Decor.";"Informações",#N/A,FALSE,"Inform."}</definedName>
    <definedName name="mmmmm" localSheetId="16" hidden="1">{"tabela",#N/A,FALSE,"Tabela";"decoração",#N/A,FALSE,"Decor.";"Informações",#N/A,FALSE,"Inform."}</definedName>
    <definedName name="mmmmm" localSheetId="0" hidden="1">{"tabela",#N/A,FALSE,"Tabela";"decoração",#N/A,FALSE,"Decor.";"Informações",#N/A,FALSE,"Inform."}</definedName>
    <definedName name="mmmmm" localSheetId="26" hidden="1">{"tabela",#N/A,FALSE,"Tabela";"decoração",#N/A,FALSE,"Decor.";"Informações",#N/A,FALSE,"Inform."}</definedName>
    <definedName name="mmmmm" localSheetId="11" hidden="1">{"tabela",#N/A,FALSE,"Tabela";"decoração",#N/A,FALSE,"Decor.";"Informações",#N/A,FALSE,"Inform."}</definedName>
    <definedName name="mmmmm" hidden="1">{"tabela",#N/A,FALSE,"Tabela";"decoração",#N/A,FALSE,"Decor.";"Informações",#N/A,FALSE,"Inform."}</definedName>
    <definedName name="mmmmmmm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9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mmmmmmm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localSheetId="24" hidden="1">{#N/A,#N/A,FALSE,"Plan1";#N/A,#N/A,FALSE,"Plan2"}</definedName>
    <definedName name="MNBXFKGS" localSheetId="7" hidden="1">{#N/A,#N/A,FALSE,"Plan1";#N/A,#N/A,FALSE,"Plan2"}</definedName>
    <definedName name="MNBXFKGS" localSheetId="9" hidden="1">{#N/A,#N/A,FALSE,"Plan1";#N/A,#N/A,FALSE,"Plan2"}</definedName>
    <definedName name="MNBXFKGS" localSheetId="3" hidden="1">{#N/A,#N/A,FALSE,"Plan1";#N/A,#N/A,FALSE,"Plan2"}</definedName>
    <definedName name="MNBXFKGS" localSheetId="2" hidden="1">{#N/A,#N/A,FALSE,"Plan1";#N/A,#N/A,FALSE,"Plan2"}</definedName>
    <definedName name="MNBXFKGS" localSheetId="16" hidden="1">{#N/A,#N/A,FALSE,"Plan1";#N/A,#N/A,FALSE,"Plan2"}</definedName>
    <definedName name="MNBXFKGS" localSheetId="0" hidden="1">{#N/A,#N/A,FALSE,"Plan1";#N/A,#N/A,FALSE,"Plan2"}</definedName>
    <definedName name="MNBXFKGS" localSheetId="26" hidden="1">{#N/A,#N/A,FALSE,"Plan1";#N/A,#N/A,FALSE,"Plan2"}</definedName>
    <definedName name="MNBXFKGS" localSheetId="11" hidden="1">{#N/A,#N/A,FALSE,"Plan1";#N/A,#N/A,FALSE,"Plan2"}</definedName>
    <definedName name="MNBXFKGS" hidden="1">{#N/A,#N/A,FALSE,"Plan1";#N/A,#N/A,FALSE,"Plan2"}</definedName>
    <definedName name="mncvbgcvmc" localSheetId="24" hidden="1">{#N/A,#N/A,FALSE,"Plan1";#N/A,#N/A,FALSE,"Plan2"}</definedName>
    <definedName name="mncvbgcvmc" localSheetId="7" hidden="1">{#N/A,#N/A,FALSE,"Plan1";#N/A,#N/A,FALSE,"Plan2"}</definedName>
    <definedName name="mncvbgcvmc" localSheetId="9" hidden="1">{#N/A,#N/A,FALSE,"Plan1";#N/A,#N/A,FALSE,"Plan2"}</definedName>
    <definedName name="mncvbgcvmc" localSheetId="3" hidden="1">{#N/A,#N/A,FALSE,"Plan1";#N/A,#N/A,FALSE,"Plan2"}</definedName>
    <definedName name="mncvbgcvmc" localSheetId="2" hidden="1">{#N/A,#N/A,FALSE,"Plan1";#N/A,#N/A,FALSE,"Plan2"}</definedName>
    <definedName name="mncvbgcvmc" localSheetId="16" hidden="1">{#N/A,#N/A,FALSE,"Plan1";#N/A,#N/A,FALSE,"Plan2"}</definedName>
    <definedName name="mncvbgcvmc" localSheetId="0" hidden="1">{#N/A,#N/A,FALSE,"Plan1";#N/A,#N/A,FALSE,"Plan2"}</definedName>
    <definedName name="mncvbgcvmc" localSheetId="26" hidden="1">{#N/A,#N/A,FALSE,"Plan1";#N/A,#N/A,FALSE,"Plan2"}</definedName>
    <definedName name="mncvbgcvmc" localSheetId="11" hidden="1">{#N/A,#N/A,FALSE,"Plan1";#N/A,#N/A,FALSE,"Plan2"}</definedName>
    <definedName name="mncvbgcvmc" hidden="1">{#N/A,#N/A,FALSE,"Plan1";#N/A,#N/A,FALSE,"Plan2"}</definedName>
    <definedName name="MNDKZSFNCEA" localSheetId="24" hidden="1">{#N/A,#N/A,FALSE,"Plan1";#N/A,#N/A,FALSE,"Plan2"}</definedName>
    <definedName name="MNDKZSFNCEA" localSheetId="7" hidden="1">{#N/A,#N/A,FALSE,"Plan1";#N/A,#N/A,FALSE,"Plan2"}</definedName>
    <definedName name="MNDKZSFNCEA" localSheetId="9" hidden="1">{#N/A,#N/A,FALSE,"Plan1";#N/A,#N/A,FALSE,"Plan2"}</definedName>
    <definedName name="MNDKZSFNCEA" localSheetId="3" hidden="1">{#N/A,#N/A,FALSE,"Plan1";#N/A,#N/A,FALSE,"Plan2"}</definedName>
    <definedName name="MNDKZSFNCEA" localSheetId="2" hidden="1">{#N/A,#N/A,FALSE,"Plan1";#N/A,#N/A,FALSE,"Plan2"}</definedName>
    <definedName name="MNDKZSFNCEA" localSheetId="16" hidden="1">{#N/A,#N/A,FALSE,"Plan1";#N/A,#N/A,FALSE,"Plan2"}</definedName>
    <definedName name="MNDKZSFNCEA" localSheetId="0" hidden="1">{#N/A,#N/A,FALSE,"Plan1";#N/A,#N/A,FALSE,"Plan2"}</definedName>
    <definedName name="MNDKZSFNCEA" localSheetId="26" hidden="1">{#N/A,#N/A,FALSE,"Plan1";#N/A,#N/A,FALSE,"Plan2"}</definedName>
    <definedName name="MNDKZSFNCEA" localSheetId="11" hidden="1">{#N/A,#N/A,FALSE,"Plan1";#N/A,#N/A,FALSE,"Plan2"}</definedName>
    <definedName name="MNDKZSFNCEA" hidden="1">{#N/A,#N/A,FALSE,"Plan1";#N/A,#N/A,FALSE,"Plan2"}</definedName>
    <definedName name="mnhdshfgfhd" localSheetId="24" hidden="1">{#N/A,#N/A,FALSE,"Plan1";#N/A,#N/A,FALSE,"Plan2"}</definedName>
    <definedName name="mnhdshfgfhd" localSheetId="7" hidden="1">{#N/A,#N/A,FALSE,"Plan1";#N/A,#N/A,FALSE,"Plan2"}</definedName>
    <definedName name="mnhdshfgfhd" localSheetId="9" hidden="1">{#N/A,#N/A,FALSE,"Plan1";#N/A,#N/A,FALSE,"Plan2"}</definedName>
    <definedName name="mnhdshfgfhd" localSheetId="3" hidden="1">{#N/A,#N/A,FALSE,"Plan1";#N/A,#N/A,FALSE,"Plan2"}</definedName>
    <definedName name="mnhdshfgfhd" localSheetId="2" hidden="1">{#N/A,#N/A,FALSE,"Plan1";#N/A,#N/A,FALSE,"Plan2"}</definedName>
    <definedName name="mnhdshfgfhd" localSheetId="16" hidden="1">{#N/A,#N/A,FALSE,"Plan1";#N/A,#N/A,FALSE,"Plan2"}</definedName>
    <definedName name="mnhdshfgfhd" localSheetId="0" hidden="1">{#N/A,#N/A,FALSE,"Plan1";#N/A,#N/A,FALSE,"Plan2"}</definedName>
    <definedName name="mnhdshfgfhd" localSheetId="26" hidden="1">{#N/A,#N/A,FALSE,"Plan1";#N/A,#N/A,FALSE,"Plan2"}</definedName>
    <definedName name="mnhdshfgfhd" localSheetId="11" hidden="1">{#N/A,#N/A,FALSE,"Plan1";#N/A,#N/A,FALSE,"Plan2"}</definedName>
    <definedName name="mnhdshfgfhd" hidden="1">{#N/A,#N/A,FALSE,"Plan1";#N/A,#N/A,FALSE,"Plan2"}</definedName>
    <definedName name="mo" localSheetId="24">#REF!</definedName>
    <definedName name="mo" localSheetId="7">#REF!</definedName>
    <definedName name="mo" localSheetId="5">#REF!</definedName>
    <definedName name="mo" localSheetId="3">#REF!</definedName>
    <definedName name="mo" localSheetId="0">#REF!</definedName>
    <definedName name="mo">#REF!</definedName>
    <definedName name="mobra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localSheetId="24" hidden="1">{#N/A,#N/A,FALSE,"cdi";#N/A,#N/A,FALSE,"debent";#N/A,#N/A,FALSE,"fdos";#N/A,#N/A,FALSE,"resumo"}</definedName>
    <definedName name="Modelo1" localSheetId="7" hidden="1">{#N/A,#N/A,FALSE,"cdi";#N/A,#N/A,FALSE,"debent";#N/A,#N/A,FALSE,"fdos";#N/A,#N/A,FALSE,"resumo"}</definedName>
    <definedName name="Modelo1" localSheetId="9" hidden="1">{#N/A,#N/A,FALSE,"cdi";#N/A,#N/A,FALSE,"debent";#N/A,#N/A,FALSE,"fdos";#N/A,#N/A,FALSE,"resumo"}</definedName>
    <definedName name="Modelo1" localSheetId="3" hidden="1">{#N/A,#N/A,FALSE,"cdi";#N/A,#N/A,FALSE,"debent";#N/A,#N/A,FALSE,"fdos";#N/A,#N/A,FALSE,"resumo"}</definedName>
    <definedName name="Modelo1" localSheetId="2" hidden="1">{#N/A,#N/A,FALSE,"cdi";#N/A,#N/A,FALSE,"debent";#N/A,#N/A,FALSE,"fdos";#N/A,#N/A,FALSE,"resumo"}</definedName>
    <definedName name="Modelo1" localSheetId="16" hidden="1">{#N/A,#N/A,FALSE,"cdi";#N/A,#N/A,FALSE,"debent";#N/A,#N/A,FALSE,"fdos";#N/A,#N/A,FALSE,"resumo"}</definedName>
    <definedName name="Modelo1" localSheetId="0" hidden="1">{#N/A,#N/A,FALSE,"cdi";#N/A,#N/A,FALSE,"debent";#N/A,#N/A,FALSE,"fdos";#N/A,#N/A,FALSE,"resumo"}</definedName>
    <definedName name="Modelo1" localSheetId="26" hidden="1">{#N/A,#N/A,FALSE,"cdi";#N/A,#N/A,FALSE,"debent";#N/A,#N/A,FALSE,"fdos";#N/A,#N/A,FALSE,"resumo"}</definedName>
    <definedName name="Modelo1" localSheetId="11" hidden="1">{#N/A,#N/A,FALSE,"cdi";#N/A,#N/A,FALSE,"debent";#N/A,#N/A,FALSE,"fdos";#N/A,#N/A,FALSE,"resumo"}</definedName>
    <definedName name="Modelo1" hidden="1">{#N/A,#N/A,FALSE,"cdi";#N/A,#N/A,FALSE,"debent";#N/A,#N/A,FALSE,"fdos";#N/A,#N/A,FALSE,"resumo"}</definedName>
    <definedName name="Modelo1a" localSheetId="24" hidden="1">{#N/A,#N/A,FALSE,"cdi";#N/A,#N/A,FALSE,"debent";#N/A,#N/A,FALSE,"fdos";#N/A,#N/A,FALSE,"resumo"}</definedName>
    <definedName name="Modelo1a" localSheetId="7" hidden="1">{#N/A,#N/A,FALSE,"cdi";#N/A,#N/A,FALSE,"debent";#N/A,#N/A,FALSE,"fdos";#N/A,#N/A,FALSE,"resumo"}</definedName>
    <definedName name="Modelo1a" localSheetId="9" hidden="1">{#N/A,#N/A,FALSE,"cdi";#N/A,#N/A,FALSE,"debent";#N/A,#N/A,FALSE,"fdos";#N/A,#N/A,FALSE,"resumo"}</definedName>
    <definedName name="Modelo1a" localSheetId="3" hidden="1">{#N/A,#N/A,FALSE,"cdi";#N/A,#N/A,FALSE,"debent";#N/A,#N/A,FALSE,"fdos";#N/A,#N/A,FALSE,"resumo"}</definedName>
    <definedName name="Modelo1a" localSheetId="2" hidden="1">{#N/A,#N/A,FALSE,"cdi";#N/A,#N/A,FALSE,"debent";#N/A,#N/A,FALSE,"fdos";#N/A,#N/A,FALSE,"resumo"}</definedName>
    <definedName name="Modelo1a" localSheetId="16" hidden="1">{#N/A,#N/A,FALSE,"cdi";#N/A,#N/A,FALSE,"debent";#N/A,#N/A,FALSE,"fdos";#N/A,#N/A,FALSE,"resumo"}</definedName>
    <definedName name="Modelo1a" localSheetId="0" hidden="1">{#N/A,#N/A,FALSE,"cdi";#N/A,#N/A,FALSE,"debent";#N/A,#N/A,FALSE,"fdos";#N/A,#N/A,FALSE,"resumo"}</definedName>
    <definedName name="Modelo1a" localSheetId="26" hidden="1">{#N/A,#N/A,FALSE,"cdi";#N/A,#N/A,FALSE,"debent";#N/A,#N/A,FALSE,"fdos";#N/A,#N/A,FALSE,"resumo"}</definedName>
    <definedName name="Modelo1a" localSheetId="11" hidden="1">{#N/A,#N/A,FALSE,"cdi";#N/A,#N/A,FALSE,"debent";#N/A,#N/A,FALSE,"fdos";#N/A,#N/A,FALSE,"resumo"}</definedName>
    <definedName name="Modelo1a" hidden="1">{#N/A,#N/A,FALSE,"cdi";#N/A,#N/A,FALSE,"debent";#N/A,#N/A,FALSE,"fdos";#N/A,#N/A,FALSE,"resumo"}</definedName>
    <definedName name="Modelo2" localSheetId="24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7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9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3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16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26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1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 localSheetId="24">#REF!</definedName>
    <definedName name="módulo" localSheetId="7">#REF!</definedName>
    <definedName name="módulo" localSheetId="3">#REF!</definedName>
    <definedName name="módulo" localSheetId="26">#REF!</definedName>
    <definedName name="módulo">#REF!</definedName>
    <definedName name="mond_cdi" localSheetId="7">#REF!</definedName>
    <definedName name="mond_cdi" localSheetId="3">#REF!</definedName>
    <definedName name="mond_cdi">#REF!</definedName>
    <definedName name="mond_hist" localSheetId="7">#REF!</definedName>
    <definedName name="mond_hist" localSheetId="3">#REF!</definedName>
    <definedName name="mond_hist">#REF!</definedName>
    <definedName name="mond_uss" localSheetId="7">#REF!</definedName>
    <definedName name="mond_uss" localSheetId="3">#REF!</definedName>
    <definedName name="mond_uss">#REF!</definedName>
    <definedName name="MP" localSheetId="24" hidden="1">{#N/A,#N/A,FALSE,"CCTV"}</definedName>
    <definedName name="MP" localSheetId="7" hidden="1">{#N/A,#N/A,FALSE,"CCTV"}</definedName>
    <definedName name="MP" localSheetId="9" hidden="1">{#N/A,#N/A,FALSE,"CCTV"}</definedName>
    <definedName name="MP" localSheetId="3" hidden="1">{#N/A,#N/A,FALSE,"CCTV"}</definedName>
    <definedName name="MP" localSheetId="2" hidden="1">{#N/A,#N/A,FALSE,"CCTV"}</definedName>
    <definedName name="MP" localSheetId="16" hidden="1">{#N/A,#N/A,FALSE,"CCTV"}</definedName>
    <definedName name="MP" localSheetId="0" hidden="1">{#N/A,#N/A,FALSE,"CCTV"}</definedName>
    <definedName name="MP" localSheetId="26" hidden="1">{#N/A,#N/A,FALSE,"CCTV"}</definedName>
    <definedName name="MP" localSheetId="11" hidden="1">{#N/A,#N/A,FALSE,"CCTV"}</definedName>
    <definedName name="MP" hidden="1">{#N/A,#N/A,FALSE,"CCTV"}</definedName>
    <definedName name="MSDFJKDT" hidden="1">25</definedName>
    <definedName name="MSDRFSWER" localSheetId="24" hidden="1">{"Econ Consolidado",#N/A,FALSE,"Econ Consol";"Fluxo de Caixa",#N/A,FALSE,"Fluxo Caixa";"Investimentos",#N/A,FALSE,"Investimentos"}</definedName>
    <definedName name="MSDRFSWER" localSheetId="7" hidden="1">{"Econ Consolidado",#N/A,FALSE,"Econ Consol";"Fluxo de Caixa",#N/A,FALSE,"Fluxo Caixa";"Investimentos",#N/A,FALSE,"Investimentos"}</definedName>
    <definedName name="MSDRFSWER" localSheetId="9" hidden="1">{"Econ Consolidado",#N/A,FALSE,"Econ Consol";"Fluxo de Caixa",#N/A,FALSE,"Fluxo Caixa";"Investimentos",#N/A,FALSE,"Investimentos"}</definedName>
    <definedName name="MSDRFSWER" localSheetId="3" hidden="1">{"Econ Consolidado",#N/A,FALSE,"Econ Consol";"Fluxo de Caixa",#N/A,FALSE,"Fluxo Caixa";"Investimentos",#N/A,FALSE,"Investimentos"}</definedName>
    <definedName name="MSDRFSWER" localSheetId="2" hidden="1">{"Econ Consolidado",#N/A,FALSE,"Econ Consol";"Fluxo de Caixa",#N/A,FALSE,"Fluxo Caixa";"Investimentos",#N/A,FALSE,"Investimentos"}</definedName>
    <definedName name="MSDRFSWER" localSheetId="16" hidden="1">{"Econ Consolidado",#N/A,FALSE,"Econ Consol";"Fluxo de Caixa",#N/A,FALSE,"Fluxo Caixa";"Investimentos",#N/A,FALSE,"Investimentos"}</definedName>
    <definedName name="MSDRFSWER" localSheetId="0" hidden="1">{"Econ Consolidado",#N/A,FALSE,"Econ Consol";"Fluxo de Caixa",#N/A,FALSE,"Fluxo Caixa";"Investimentos",#N/A,FALSE,"Investimentos"}</definedName>
    <definedName name="MSDRFSWER" localSheetId="26" hidden="1">{"Econ Consolidado",#N/A,FALSE,"Econ Consol";"Fluxo de Caixa",#N/A,FALSE,"Fluxo Caixa";"Investimentos",#N/A,FALSE,"Investimentos"}</definedName>
    <definedName name="MSDRFSWER" localSheetId="11" hidden="1">{"Econ Consolidado",#N/A,FALSE,"Econ Consol";"Fluxo de Caixa",#N/A,FALSE,"Fluxo Caixa";"Investimentos",#N/A,FALSE,"Investimentos"}</definedName>
    <definedName name="MSDRFSWER" hidden="1">{"Econ Consolidado",#N/A,FALSE,"Econ Consol";"Fluxo de Caixa",#N/A,FALSE,"Fluxo Caixa";"Investimentos",#N/A,FALSE,"Investimentos"}</definedName>
    <definedName name="MURBOMB" localSheetId="24">#REF!</definedName>
    <definedName name="MURBOMB" localSheetId="7">#REF!</definedName>
    <definedName name="MURBOMB" localSheetId="3">#REF!</definedName>
    <definedName name="MURBOMB" localSheetId="26">#REF!</definedName>
    <definedName name="MURBOMB">#REF!</definedName>
    <definedName name="mzshdjshjs" localSheetId="24" hidden="1">{#N/A,#N/A,FALSE,"Plan1";#N/A,#N/A,FALSE,"Plan2"}</definedName>
    <definedName name="mzshdjshjs" localSheetId="7" hidden="1">{#N/A,#N/A,FALSE,"Plan1";#N/A,#N/A,FALSE,"Plan2"}</definedName>
    <definedName name="mzshdjshjs" localSheetId="9" hidden="1">{#N/A,#N/A,FALSE,"Plan1";#N/A,#N/A,FALSE,"Plan2"}</definedName>
    <definedName name="mzshdjshjs" localSheetId="3" hidden="1">{#N/A,#N/A,FALSE,"Plan1";#N/A,#N/A,FALSE,"Plan2"}</definedName>
    <definedName name="mzshdjshjs" localSheetId="2" hidden="1">{#N/A,#N/A,FALSE,"Plan1";#N/A,#N/A,FALSE,"Plan2"}</definedName>
    <definedName name="mzshdjshjs" localSheetId="16" hidden="1">{#N/A,#N/A,FALSE,"Plan1";#N/A,#N/A,FALSE,"Plan2"}</definedName>
    <definedName name="mzshdjshjs" localSheetId="0" hidden="1">{#N/A,#N/A,FALSE,"Plan1";#N/A,#N/A,FALSE,"Plan2"}</definedName>
    <definedName name="mzshdjshjs" localSheetId="26" hidden="1">{#N/A,#N/A,FALSE,"Plan1";#N/A,#N/A,FALSE,"Plan2"}</definedName>
    <definedName name="mzshdjshjs" localSheetId="11" hidden="1">{#N/A,#N/A,FALSE,"Plan1";#N/A,#N/A,FALSE,"Plan2"}</definedName>
    <definedName name="mzshdjshjs" hidden="1">{#N/A,#N/A,FALSE,"Plan1";#N/A,#N/A,FALSE,"Plan2"}</definedName>
    <definedName name="na" localSheetId="24" hidden="1">{#N/A,#N/A,FALSE,"$170M Cash";#N/A,#N/A,FALSE,"$250M Cash";#N/A,#N/A,FALSE,"$325M Cash"}</definedName>
    <definedName name="na" localSheetId="7" hidden="1">{#N/A,#N/A,FALSE,"$170M Cash";#N/A,#N/A,FALSE,"$250M Cash";#N/A,#N/A,FALSE,"$325M Cash"}</definedName>
    <definedName name="na" localSheetId="9" hidden="1">{#N/A,#N/A,FALSE,"$170M Cash";#N/A,#N/A,FALSE,"$250M Cash";#N/A,#N/A,FALSE,"$325M Cash"}</definedName>
    <definedName name="na" localSheetId="3" hidden="1">{#N/A,#N/A,FALSE,"$170M Cash";#N/A,#N/A,FALSE,"$250M Cash";#N/A,#N/A,FALSE,"$325M Cash"}</definedName>
    <definedName name="na" localSheetId="2" hidden="1">{#N/A,#N/A,FALSE,"$170M Cash";#N/A,#N/A,FALSE,"$250M Cash";#N/A,#N/A,FALSE,"$325M Cash"}</definedName>
    <definedName name="na" localSheetId="16" hidden="1">{#N/A,#N/A,FALSE,"$170M Cash";#N/A,#N/A,FALSE,"$250M Cash";#N/A,#N/A,FALSE,"$325M Cash"}</definedName>
    <definedName name="na" localSheetId="0" hidden="1">{#N/A,#N/A,FALSE,"$170M Cash";#N/A,#N/A,FALSE,"$250M Cash";#N/A,#N/A,FALSE,"$325M Cash"}</definedName>
    <definedName name="na" localSheetId="26" hidden="1">{#N/A,#N/A,FALSE,"$170M Cash";#N/A,#N/A,FALSE,"$250M Cash";#N/A,#N/A,FALSE,"$325M Cash"}</definedName>
    <definedName name="na" localSheetId="11" hidden="1">{#N/A,#N/A,FALSE,"$170M Cash";#N/A,#N/A,FALSE,"$250M Cash";#N/A,#N/A,FALSE,"$325M Cash"}</definedName>
    <definedName name="na" hidden="1">{#N/A,#N/A,FALSE,"$170M Cash";#N/A,#N/A,FALSE,"$250M Cash";#N/A,#N/A,FALSE,"$325M Cash"}</definedName>
    <definedName name="ncdgrdhrtg" localSheetId="24" hidden="1">{#N/A,#N/A,FALSE,"Plan1";#N/A,#N/A,FALSE,"Plan2"}</definedName>
    <definedName name="ncdgrdhrtg" localSheetId="7" hidden="1">{#N/A,#N/A,FALSE,"Plan1";#N/A,#N/A,FALSE,"Plan2"}</definedName>
    <definedName name="ncdgrdhrtg" localSheetId="9" hidden="1">{#N/A,#N/A,FALSE,"Plan1";#N/A,#N/A,FALSE,"Plan2"}</definedName>
    <definedName name="ncdgrdhrtg" localSheetId="3" hidden="1">{#N/A,#N/A,FALSE,"Plan1";#N/A,#N/A,FALSE,"Plan2"}</definedName>
    <definedName name="ncdgrdhrtg" localSheetId="2" hidden="1">{#N/A,#N/A,FALSE,"Plan1";#N/A,#N/A,FALSE,"Plan2"}</definedName>
    <definedName name="ncdgrdhrtg" localSheetId="16" hidden="1">{#N/A,#N/A,FALSE,"Plan1";#N/A,#N/A,FALSE,"Plan2"}</definedName>
    <definedName name="ncdgrdhrtg" localSheetId="0" hidden="1">{#N/A,#N/A,FALSE,"Plan1";#N/A,#N/A,FALSE,"Plan2"}</definedName>
    <definedName name="ncdgrdhrtg" localSheetId="26" hidden="1">{#N/A,#N/A,FALSE,"Plan1";#N/A,#N/A,FALSE,"Plan2"}</definedName>
    <definedName name="ncdgrdhrtg" localSheetId="11" hidden="1">{#N/A,#N/A,FALSE,"Plan1";#N/A,#N/A,FALSE,"Plan2"}</definedName>
    <definedName name="ncdgrdhrtg" hidden="1">{#N/A,#N/A,FALSE,"Plan1";#N/A,#N/A,FALSE,"Plan2"}</definedName>
    <definedName name="nchngdfhgdh" localSheetId="24" hidden="1">{#N/A,#N/A,FALSE,"Plan1";#N/A,#N/A,FALSE,"Plan2"}</definedName>
    <definedName name="nchngdfhgdh" localSheetId="7" hidden="1">{#N/A,#N/A,FALSE,"Plan1";#N/A,#N/A,FALSE,"Plan2"}</definedName>
    <definedName name="nchngdfhgdh" localSheetId="9" hidden="1">{#N/A,#N/A,FALSE,"Plan1";#N/A,#N/A,FALSE,"Plan2"}</definedName>
    <definedName name="nchngdfhgdh" localSheetId="3" hidden="1">{#N/A,#N/A,FALSE,"Plan1";#N/A,#N/A,FALSE,"Plan2"}</definedName>
    <definedName name="nchngdfhgdh" localSheetId="2" hidden="1">{#N/A,#N/A,FALSE,"Plan1";#N/A,#N/A,FALSE,"Plan2"}</definedName>
    <definedName name="nchngdfhgdh" localSheetId="16" hidden="1">{#N/A,#N/A,FALSE,"Plan1";#N/A,#N/A,FALSE,"Plan2"}</definedName>
    <definedName name="nchngdfhgdh" localSheetId="0" hidden="1">{#N/A,#N/A,FALSE,"Plan1";#N/A,#N/A,FALSE,"Plan2"}</definedName>
    <definedName name="nchngdfhgdh" localSheetId="26" hidden="1">{#N/A,#N/A,FALSE,"Plan1";#N/A,#N/A,FALSE,"Plan2"}</definedName>
    <definedName name="nchngdfhgdh" localSheetId="11" hidden="1">{#N/A,#N/A,FALSE,"Plan1";#N/A,#N/A,FALSE,"Plan2"}</definedName>
    <definedName name="nchngdfhgdh" hidden="1">{#N/A,#N/A,FALSE,"Plan1";#N/A,#N/A,FALSE,"Plan2"}</definedName>
    <definedName name="NCJFKNGJHF" localSheetId="24" hidden="1">{#N/A,#N/A,FALSE,"Plan1";#N/A,#N/A,FALSE,"Plan2"}</definedName>
    <definedName name="NCJFKNGJHF" localSheetId="7" hidden="1">{#N/A,#N/A,FALSE,"Plan1";#N/A,#N/A,FALSE,"Plan2"}</definedName>
    <definedName name="NCJFKNGJHF" localSheetId="9" hidden="1">{#N/A,#N/A,FALSE,"Plan1";#N/A,#N/A,FALSE,"Plan2"}</definedName>
    <definedName name="NCJFKNGJHF" localSheetId="3" hidden="1">{#N/A,#N/A,FALSE,"Plan1";#N/A,#N/A,FALSE,"Plan2"}</definedName>
    <definedName name="NCJFKNGJHF" localSheetId="2" hidden="1">{#N/A,#N/A,FALSE,"Plan1";#N/A,#N/A,FALSE,"Plan2"}</definedName>
    <definedName name="NCJFKNGJHF" localSheetId="16" hidden="1">{#N/A,#N/A,FALSE,"Plan1";#N/A,#N/A,FALSE,"Plan2"}</definedName>
    <definedName name="NCJFKNGJHF" localSheetId="0" hidden="1">{#N/A,#N/A,FALSE,"Plan1";#N/A,#N/A,FALSE,"Plan2"}</definedName>
    <definedName name="NCJFKNGJHF" localSheetId="26" hidden="1">{#N/A,#N/A,FALSE,"Plan1";#N/A,#N/A,FALSE,"Plan2"}</definedName>
    <definedName name="NCJFKNGJHF" localSheetId="11" hidden="1">{#N/A,#N/A,FALSE,"Plan1";#N/A,#N/A,FALSE,"Plan2"}</definedName>
    <definedName name="NCJFKNGJHF" hidden="1">{#N/A,#N/A,FALSE,"Plan1";#N/A,#N/A,FALSE,"Plan2"}</definedName>
    <definedName name="NDATA" localSheetId="24">#REF!</definedName>
    <definedName name="NDATA" localSheetId="7">#REF!</definedName>
    <definedName name="NDATA" localSheetId="3">#REF!</definedName>
    <definedName name="NDATA" localSheetId="26">#REF!</definedName>
    <definedName name="NDATA">#REF!</definedName>
    <definedName name="ndcxhgdhf" localSheetId="24" hidden="1">{#N/A,#N/A,FALSE,"Plan1";#N/A,#N/A,FALSE,"Plan2"}</definedName>
    <definedName name="ndcxhgdhf" localSheetId="7" hidden="1">{#N/A,#N/A,FALSE,"Plan1";#N/A,#N/A,FALSE,"Plan2"}</definedName>
    <definedName name="ndcxhgdhf" localSheetId="9" hidden="1">{#N/A,#N/A,FALSE,"Plan1";#N/A,#N/A,FALSE,"Plan2"}</definedName>
    <definedName name="ndcxhgdhf" localSheetId="3" hidden="1">{#N/A,#N/A,FALSE,"Plan1";#N/A,#N/A,FALSE,"Plan2"}</definedName>
    <definedName name="ndcxhgdhf" localSheetId="2" hidden="1">{#N/A,#N/A,FALSE,"Plan1";#N/A,#N/A,FALSE,"Plan2"}</definedName>
    <definedName name="ndcxhgdhf" localSheetId="16" hidden="1">{#N/A,#N/A,FALSE,"Plan1";#N/A,#N/A,FALSE,"Plan2"}</definedName>
    <definedName name="ndcxhgdhf" localSheetId="0" hidden="1">{#N/A,#N/A,FALSE,"Plan1";#N/A,#N/A,FALSE,"Plan2"}</definedName>
    <definedName name="ndcxhgdhf" localSheetId="26" hidden="1">{#N/A,#N/A,FALSE,"Plan1";#N/A,#N/A,FALSE,"Plan2"}</definedName>
    <definedName name="ndcxhgdhf" localSheetId="11" hidden="1">{#N/A,#N/A,FALSE,"Plan1";#N/A,#N/A,FALSE,"Plan2"}</definedName>
    <definedName name="ndcxhgdhf" hidden="1">{#N/A,#N/A,FALSE,"Plan1";#N/A,#N/A,FALSE,"Plan2"}</definedName>
    <definedName name="ndfjnjkrhdgt" localSheetId="24" hidden="1">{#N/A,#N/A,FALSE,"Plan1";#N/A,#N/A,FALSE,"Plan2"}</definedName>
    <definedName name="ndfjnjkrhdgt" localSheetId="7" hidden="1">{#N/A,#N/A,FALSE,"Plan1";#N/A,#N/A,FALSE,"Plan2"}</definedName>
    <definedName name="ndfjnjkrhdgt" localSheetId="9" hidden="1">{#N/A,#N/A,FALSE,"Plan1";#N/A,#N/A,FALSE,"Plan2"}</definedName>
    <definedName name="ndfjnjkrhdgt" localSheetId="3" hidden="1">{#N/A,#N/A,FALSE,"Plan1";#N/A,#N/A,FALSE,"Plan2"}</definedName>
    <definedName name="ndfjnjkrhdgt" localSheetId="2" hidden="1">{#N/A,#N/A,FALSE,"Plan1";#N/A,#N/A,FALSE,"Plan2"}</definedName>
    <definedName name="ndfjnjkrhdgt" localSheetId="16" hidden="1">{#N/A,#N/A,FALSE,"Plan1";#N/A,#N/A,FALSE,"Plan2"}</definedName>
    <definedName name="ndfjnjkrhdgt" localSheetId="0" hidden="1">{#N/A,#N/A,FALSE,"Plan1";#N/A,#N/A,FALSE,"Plan2"}</definedName>
    <definedName name="ndfjnjkrhdgt" localSheetId="26" hidden="1">{#N/A,#N/A,FALSE,"Plan1";#N/A,#N/A,FALSE,"Plan2"}</definedName>
    <definedName name="ndfjnjkrhdgt" localSheetId="11" hidden="1">{#N/A,#N/A,FALSE,"Plan1";#N/A,#N/A,FALSE,"Plan2"}</definedName>
    <definedName name="ndfjnjkrhdgt" hidden="1">{#N/A,#N/A,FALSE,"Plan1";#N/A,#N/A,FALSE,"Plan2"}</definedName>
    <definedName name="ndfkghkjthfyst" localSheetId="24" hidden="1">{#N/A,#N/A,FALSE,"Plan1";#N/A,#N/A,FALSE,"Plan2"}</definedName>
    <definedName name="ndfkghkjthfyst" localSheetId="7" hidden="1">{#N/A,#N/A,FALSE,"Plan1";#N/A,#N/A,FALSE,"Plan2"}</definedName>
    <definedName name="ndfkghkjthfyst" localSheetId="9" hidden="1">{#N/A,#N/A,FALSE,"Plan1";#N/A,#N/A,FALSE,"Plan2"}</definedName>
    <definedName name="ndfkghkjthfyst" localSheetId="3" hidden="1">{#N/A,#N/A,FALSE,"Plan1";#N/A,#N/A,FALSE,"Plan2"}</definedName>
    <definedName name="ndfkghkjthfyst" localSheetId="2" hidden="1">{#N/A,#N/A,FALSE,"Plan1";#N/A,#N/A,FALSE,"Plan2"}</definedName>
    <definedName name="ndfkghkjthfyst" localSheetId="16" hidden="1">{#N/A,#N/A,FALSE,"Plan1";#N/A,#N/A,FALSE,"Plan2"}</definedName>
    <definedName name="ndfkghkjthfyst" localSheetId="0" hidden="1">{#N/A,#N/A,FALSE,"Plan1";#N/A,#N/A,FALSE,"Plan2"}</definedName>
    <definedName name="ndfkghkjthfyst" localSheetId="26" hidden="1">{#N/A,#N/A,FALSE,"Plan1";#N/A,#N/A,FALSE,"Plan2"}</definedName>
    <definedName name="ndfkghkjthfyst" localSheetId="11" hidden="1">{#N/A,#N/A,FALSE,"Plan1";#N/A,#N/A,FALSE,"Plan2"}</definedName>
    <definedName name="ndfkghkjthfyst" hidden="1">{#N/A,#N/A,FALSE,"Plan1";#N/A,#N/A,FALSE,"Plan2"}</definedName>
    <definedName name="ndfldslvjnvberugberqubquierbv" localSheetId="24">#REF!</definedName>
    <definedName name="ndfldslvjnvberugberqubquierbv" localSheetId="7">#REF!</definedName>
    <definedName name="ndfldslvjnvberugberqubquierbv" localSheetId="3">#REF!</definedName>
    <definedName name="ndfldslvjnvberugberqubquierbv" localSheetId="26">#REF!</definedName>
    <definedName name="ndfldslvjnvberugberqubquierbv">#REF!</definedName>
    <definedName name="NDJGKFKGHUFG" localSheetId="24" hidden="1">{#N/A,#N/A,FALSE,"Plan1";#N/A,#N/A,FALSE,"Plan2"}</definedName>
    <definedName name="NDJGKFKGHUFG" localSheetId="7" hidden="1">{#N/A,#N/A,FALSE,"Plan1";#N/A,#N/A,FALSE,"Plan2"}</definedName>
    <definedName name="NDJGKFKGHUFG" localSheetId="9" hidden="1">{#N/A,#N/A,FALSE,"Plan1";#N/A,#N/A,FALSE,"Plan2"}</definedName>
    <definedName name="NDJGKFKGHUFG" localSheetId="3" hidden="1">{#N/A,#N/A,FALSE,"Plan1";#N/A,#N/A,FALSE,"Plan2"}</definedName>
    <definedName name="NDJGKFKGHUFG" localSheetId="2" hidden="1">{#N/A,#N/A,FALSE,"Plan1";#N/A,#N/A,FALSE,"Plan2"}</definedName>
    <definedName name="NDJGKFKGHUFG" localSheetId="16" hidden="1">{#N/A,#N/A,FALSE,"Plan1";#N/A,#N/A,FALSE,"Plan2"}</definedName>
    <definedName name="NDJGKFKGHUFG" localSheetId="0" hidden="1">{#N/A,#N/A,FALSE,"Plan1";#N/A,#N/A,FALSE,"Plan2"}</definedName>
    <definedName name="NDJGKFKGHUFG" localSheetId="26" hidden="1">{#N/A,#N/A,FALSE,"Plan1";#N/A,#N/A,FALSE,"Plan2"}</definedName>
    <definedName name="NDJGKFKGHUFG" localSheetId="11" hidden="1">{#N/A,#N/A,FALSE,"Plan1";#N/A,#N/A,FALSE,"Plan2"}</definedName>
    <definedName name="NDJGKFKGHUFG" hidden="1">{#N/A,#N/A,FALSE,"Plan1";#N/A,#N/A,FALSE,"Plan2"}</definedName>
    <definedName name="ndrjkt" localSheetId="24" hidden="1">{#N/A,#N/A,FALSE,"Plan1";#N/A,#N/A,FALSE,"Plan2"}</definedName>
    <definedName name="ndrjkt" localSheetId="7" hidden="1">{#N/A,#N/A,FALSE,"Plan1";#N/A,#N/A,FALSE,"Plan2"}</definedName>
    <definedName name="ndrjkt" localSheetId="9" hidden="1">{#N/A,#N/A,FALSE,"Plan1";#N/A,#N/A,FALSE,"Plan2"}</definedName>
    <definedName name="ndrjkt" localSheetId="3" hidden="1">{#N/A,#N/A,FALSE,"Plan1";#N/A,#N/A,FALSE,"Plan2"}</definedName>
    <definedName name="ndrjkt" localSheetId="2" hidden="1">{#N/A,#N/A,FALSE,"Plan1";#N/A,#N/A,FALSE,"Plan2"}</definedName>
    <definedName name="ndrjkt" localSheetId="16" hidden="1">{#N/A,#N/A,FALSE,"Plan1";#N/A,#N/A,FALSE,"Plan2"}</definedName>
    <definedName name="ndrjkt" localSheetId="0" hidden="1">{#N/A,#N/A,FALSE,"Plan1";#N/A,#N/A,FALSE,"Plan2"}</definedName>
    <definedName name="ndrjkt" localSheetId="26" hidden="1">{#N/A,#N/A,FALSE,"Plan1";#N/A,#N/A,FALSE,"Plan2"}</definedName>
    <definedName name="ndrjkt" localSheetId="11" hidden="1">{#N/A,#N/A,FALSE,"Plan1";#N/A,#N/A,FALSE,"Plan2"}</definedName>
    <definedName name="ndrjkt" hidden="1">{#N/A,#N/A,FALSE,"Plan1";#N/A,#N/A,FALSE,"Plan2"}</definedName>
    <definedName name="new" localSheetId="24" hidden="1">{#N/A,#N/A,FALSE,"Global by BU";#N/A,#N/A,FALSE,"U.S. by BU";#N/A,#N/A,FALSE,"Canada by BU";#N/A,#N/A,FALSE,"Europe by BU";#N/A,#N/A,FALSE,"Asia by BU";#N/A,#N/A,FALSE,"Cala by BU"}</definedName>
    <definedName name="new" localSheetId="7" hidden="1">{#N/A,#N/A,FALSE,"Global by BU";#N/A,#N/A,FALSE,"U.S. by BU";#N/A,#N/A,FALSE,"Canada by BU";#N/A,#N/A,FALSE,"Europe by BU";#N/A,#N/A,FALSE,"Asia by BU";#N/A,#N/A,FALSE,"Cala by BU"}</definedName>
    <definedName name="new" localSheetId="9" hidden="1">{#N/A,#N/A,FALSE,"Global by BU";#N/A,#N/A,FALSE,"U.S. by BU";#N/A,#N/A,FALSE,"Canada by BU";#N/A,#N/A,FALSE,"Europe by BU";#N/A,#N/A,FALSE,"Asia by BU";#N/A,#N/A,FALSE,"Cala by BU"}</definedName>
    <definedName name="new" localSheetId="3" hidden="1">{#N/A,#N/A,FALSE,"Global by BU";#N/A,#N/A,FALSE,"U.S. by BU";#N/A,#N/A,FALSE,"Canada by BU";#N/A,#N/A,FALSE,"Europe by BU";#N/A,#N/A,FALSE,"Asia by BU";#N/A,#N/A,FALSE,"Cala by BU"}</definedName>
    <definedName name="new" localSheetId="2" hidden="1">{#N/A,#N/A,FALSE,"Global by BU";#N/A,#N/A,FALSE,"U.S. by BU";#N/A,#N/A,FALSE,"Canada by BU";#N/A,#N/A,FALSE,"Europe by BU";#N/A,#N/A,FALSE,"Asia by BU";#N/A,#N/A,FALSE,"Cala by BU"}</definedName>
    <definedName name="new" localSheetId="16" hidden="1">{#N/A,#N/A,FALSE,"Global by BU";#N/A,#N/A,FALSE,"U.S. by BU";#N/A,#N/A,FALSE,"Canada by BU";#N/A,#N/A,FALSE,"Europe by BU";#N/A,#N/A,FALSE,"Asia by BU";#N/A,#N/A,FALSE,"Cala by BU"}</definedName>
    <definedName name="new" localSheetId="0" hidden="1">{#N/A,#N/A,FALSE,"Global by BU";#N/A,#N/A,FALSE,"U.S. by BU";#N/A,#N/A,FALSE,"Canada by BU";#N/A,#N/A,FALSE,"Europe by BU";#N/A,#N/A,FALSE,"Asia by BU";#N/A,#N/A,FALSE,"Cala by BU"}</definedName>
    <definedName name="new" localSheetId="26" hidden="1">{#N/A,#N/A,FALSE,"Global by BU";#N/A,#N/A,FALSE,"U.S. by BU";#N/A,#N/A,FALSE,"Canada by BU";#N/A,#N/A,FALSE,"Europe by BU";#N/A,#N/A,FALSE,"Asia by BU";#N/A,#N/A,FALSE,"Cala by BU"}</definedName>
    <definedName name="new" localSheetId="11" hidden="1">{#N/A,#N/A,FALSE,"Global by BU";#N/A,#N/A,FALSE,"U.S. by BU";#N/A,#N/A,FALSE,"Canada by BU";#N/A,#N/A,FALSE,"Europe by BU";#N/A,#N/A,FALSE,"Asia by BU";#N/A,#N/A,FALSE,"Cala by BU"}</definedName>
    <definedName name="new" hidden="1">{#N/A,#N/A,FALSE,"Global by BU";#N/A,#N/A,FALSE,"U.S. by BU";#N/A,#N/A,FALSE,"Canada by BU";#N/A,#N/A,FALSE,"Europe by BU";#N/A,#N/A,FALSE,"Asia by BU";#N/A,#N/A,FALSE,"Cala by BU"}</definedName>
    <definedName name="NEWNAME" localSheetId="24" hidden="1">{#N/A,#N/A,FALSE,"CCTV"}</definedName>
    <definedName name="NEWNAME" localSheetId="7" hidden="1">{#N/A,#N/A,FALSE,"CCTV"}</definedName>
    <definedName name="NEWNAME" localSheetId="9" hidden="1">{#N/A,#N/A,FALSE,"CCTV"}</definedName>
    <definedName name="NEWNAME" localSheetId="3" hidden="1">{#N/A,#N/A,FALSE,"CCTV"}</definedName>
    <definedName name="NEWNAME" localSheetId="2" hidden="1">{#N/A,#N/A,FALSE,"CCTV"}</definedName>
    <definedName name="NEWNAME" localSheetId="16" hidden="1">{#N/A,#N/A,FALSE,"CCTV"}</definedName>
    <definedName name="NEWNAME" localSheetId="0" hidden="1">{#N/A,#N/A,FALSE,"CCTV"}</definedName>
    <definedName name="NEWNAME" localSheetId="26" hidden="1">{#N/A,#N/A,FALSE,"CCTV"}</definedName>
    <definedName name="NEWNAME" localSheetId="11" hidden="1">{#N/A,#N/A,FALSE,"CCTV"}</definedName>
    <definedName name="NEWNAME" hidden="1">{#N/A,#N/A,FALSE,"CCTV"}</definedName>
    <definedName name="nfgjkhvhfghnf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localSheetId="24" hidden="1">{#N/A,#N/A,FALSE,"Plan1";#N/A,#N/A,FALSE,"Plan2"}</definedName>
    <definedName name="nfkhdjkthde" localSheetId="7" hidden="1">{#N/A,#N/A,FALSE,"Plan1";#N/A,#N/A,FALSE,"Plan2"}</definedName>
    <definedName name="nfkhdjkthde" localSheetId="9" hidden="1">{#N/A,#N/A,FALSE,"Plan1";#N/A,#N/A,FALSE,"Plan2"}</definedName>
    <definedName name="nfkhdjkthde" localSheetId="3" hidden="1">{#N/A,#N/A,FALSE,"Plan1";#N/A,#N/A,FALSE,"Plan2"}</definedName>
    <definedName name="nfkhdjkthde" localSheetId="2" hidden="1">{#N/A,#N/A,FALSE,"Plan1";#N/A,#N/A,FALSE,"Plan2"}</definedName>
    <definedName name="nfkhdjkthde" localSheetId="16" hidden="1">{#N/A,#N/A,FALSE,"Plan1";#N/A,#N/A,FALSE,"Plan2"}</definedName>
    <definedName name="nfkhdjkthde" localSheetId="0" hidden="1">{#N/A,#N/A,FALSE,"Plan1";#N/A,#N/A,FALSE,"Plan2"}</definedName>
    <definedName name="nfkhdjkthde" localSheetId="26" hidden="1">{#N/A,#N/A,FALSE,"Plan1";#N/A,#N/A,FALSE,"Plan2"}</definedName>
    <definedName name="nfkhdjkthde" localSheetId="11" hidden="1">{#N/A,#N/A,FALSE,"Plan1";#N/A,#N/A,FALSE,"Plan2"}</definedName>
    <definedName name="nfkhdjkthde" hidden="1">{#N/A,#N/A,FALSE,"Plan1";#N/A,#N/A,FALSE,"Plan2"}</definedName>
    <definedName name="nhj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localSheetId="24" hidden="1">{#N/A,#N/A,FALSE,"Plan1";#N/A,#N/A,FALSE,"Plan2"}</definedName>
    <definedName name="NHJHFDSHF" localSheetId="7" hidden="1">{#N/A,#N/A,FALSE,"Plan1";#N/A,#N/A,FALSE,"Plan2"}</definedName>
    <definedName name="NHJHFDSHF" localSheetId="9" hidden="1">{#N/A,#N/A,FALSE,"Plan1";#N/A,#N/A,FALSE,"Plan2"}</definedName>
    <definedName name="NHJHFDSHF" localSheetId="3" hidden="1">{#N/A,#N/A,FALSE,"Plan1";#N/A,#N/A,FALSE,"Plan2"}</definedName>
    <definedName name="NHJHFDSHF" localSheetId="2" hidden="1">{#N/A,#N/A,FALSE,"Plan1";#N/A,#N/A,FALSE,"Plan2"}</definedName>
    <definedName name="NHJHFDSHF" localSheetId="16" hidden="1">{#N/A,#N/A,FALSE,"Plan1";#N/A,#N/A,FALSE,"Plan2"}</definedName>
    <definedName name="NHJHFDSHF" localSheetId="0" hidden="1">{#N/A,#N/A,FALSE,"Plan1";#N/A,#N/A,FALSE,"Plan2"}</definedName>
    <definedName name="NHJHFDSHF" localSheetId="26" hidden="1">{#N/A,#N/A,FALSE,"Plan1";#N/A,#N/A,FALSE,"Plan2"}</definedName>
    <definedName name="NHJHFDSHF" localSheetId="11" hidden="1">{#N/A,#N/A,FALSE,"Plan1";#N/A,#N/A,FALSE,"Plan2"}</definedName>
    <definedName name="NHJHFDSHF" hidden="1">{#N/A,#N/A,FALSE,"Plan1";#N/A,#N/A,FALSE,"Plan2"}</definedName>
    <definedName name="NJSDFHERTG" localSheetId="24" hidden="1">{#N/A,#N/A,FALSE,"Plan1";#N/A,#N/A,FALSE,"Plan2"}</definedName>
    <definedName name="NJSDFHERTG" localSheetId="7" hidden="1">{#N/A,#N/A,FALSE,"Plan1";#N/A,#N/A,FALSE,"Plan2"}</definedName>
    <definedName name="NJSDFHERTG" localSheetId="9" hidden="1">{#N/A,#N/A,FALSE,"Plan1";#N/A,#N/A,FALSE,"Plan2"}</definedName>
    <definedName name="NJSDFHERTG" localSheetId="3" hidden="1">{#N/A,#N/A,FALSE,"Plan1";#N/A,#N/A,FALSE,"Plan2"}</definedName>
    <definedName name="NJSDFHERTG" localSheetId="2" hidden="1">{#N/A,#N/A,FALSE,"Plan1";#N/A,#N/A,FALSE,"Plan2"}</definedName>
    <definedName name="NJSDFHERTG" localSheetId="16" hidden="1">{#N/A,#N/A,FALSE,"Plan1";#N/A,#N/A,FALSE,"Plan2"}</definedName>
    <definedName name="NJSDFHERTG" localSheetId="0" hidden="1">{#N/A,#N/A,FALSE,"Plan1";#N/A,#N/A,FALSE,"Plan2"}</definedName>
    <definedName name="NJSDFHERTG" localSheetId="26" hidden="1">{#N/A,#N/A,FALSE,"Plan1";#N/A,#N/A,FALSE,"Plan2"}</definedName>
    <definedName name="NJSDFHERTG" localSheetId="11" hidden="1">{#N/A,#N/A,FALSE,"Plan1";#N/A,#N/A,FALSE,"Plan2"}</definedName>
    <definedName name="NJSDFHERTG" hidden="1">{#N/A,#N/A,FALSE,"Plan1";#N/A,#N/A,FALSE,"Plan2"}</definedName>
    <definedName name="nkfnsskdn" localSheetId="24" hidden="1">{#N/A,#N/A,FALSE,"Plan1";#N/A,#N/A,FALSE,"Plan2"}</definedName>
    <definedName name="nkfnsskdn" localSheetId="7" hidden="1">{#N/A,#N/A,FALSE,"Plan1";#N/A,#N/A,FALSE,"Plan2"}</definedName>
    <definedName name="nkfnsskdn" localSheetId="9" hidden="1">{#N/A,#N/A,FALSE,"Plan1";#N/A,#N/A,FALSE,"Plan2"}</definedName>
    <definedName name="nkfnsskdn" localSheetId="3" hidden="1">{#N/A,#N/A,FALSE,"Plan1";#N/A,#N/A,FALSE,"Plan2"}</definedName>
    <definedName name="nkfnsskdn" localSheetId="2" hidden="1">{#N/A,#N/A,FALSE,"Plan1";#N/A,#N/A,FALSE,"Plan2"}</definedName>
    <definedName name="nkfnsskdn" localSheetId="16" hidden="1">{#N/A,#N/A,FALSE,"Plan1";#N/A,#N/A,FALSE,"Plan2"}</definedName>
    <definedName name="nkfnsskdn" localSheetId="0" hidden="1">{#N/A,#N/A,FALSE,"Plan1";#N/A,#N/A,FALSE,"Plan2"}</definedName>
    <definedName name="nkfnsskdn" localSheetId="26" hidden="1">{#N/A,#N/A,FALSE,"Plan1";#N/A,#N/A,FALSE,"Plan2"}</definedName>
    <definedName name="nkfnsskdn" localSheetId="11" hidden="1">{#N/A,#N/A,FALSE,"Plan1";#N/A,#N/A,FALSE,"Plan2"}</definedName>
    <definedName name="nkfnsskdn" hidden="1">{#N/A,#N/A,FALSE,"Plan1";#N/A,#N/A,FALSE,"Plan2"}</definedName>
    <definedName name="NKJL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 localSheetId="24">#REF!</definedName>
    <definedName name="nl" localSheetId="7">#REF!</definedName>
    <definedName name="nl" localSheetId="3">#REF!</definedName>
    <definedName name="nl" localSheetId="26">#REF!</definedName>
    <definedName name="nl">#REF!</definedName>
    <definedName name="nlaksjdwe" localSheetId="24" hidden="1">{#N/A,#N/A,FALSE,"Plan1";#N/A,#N/A,FALSE,"Plan2"}</definedName>
    <definedName name="nlaksjdwe" localSheetId="7" hidden="1">{#N/A,#N/A,FALSE,"Plan1";#N/A,#N/A,FALSE,"Plan2"}</definedName>
    <definedName name="nlaksjdwe" localSheetId="9" hidden="1">{#N/A,#N/A,FALSE,"Plan1";#N/A,#N/A,FALSE,"Plan2"}</definedName>
    <definedName name="nlaksjdwe" localSheetId="3" hidden="1">{#N/A,#N/A,FALSE,"Plan1";#N/A,#N/A,FALSE,"Plan2"}</definedName>
    <definedName name="nlaksjdwe" localSheetId="2" hidden="1">{#N/A,#N/A,FALSE,"Plan1";#N/A,#N/A,FALSE,"Plan2"}</definedName>
    <definedName name="nlaksjdwe" localSheetId="16" hidden="1">{#N/A,#N/A,FALSE,"Plan1";#N/A,#N/A,FALSE,"Plan2"}</definedName>
    <definedName name="nlaksjdwe" localSheetId="0" hidden="1">{#N/A,#N/A,FALSE,"Plan1";#N/A,#N/A,FALSE,"Plan2"}</definedName>
    <definedName name="nlaksjdwe" localSheetId="26" hidden="1">{#N/A,#N/A,FALSE,"Plan1";#N/A,#N/A,FALSE,"Plan2"}</definedName>
    <definedName name="nlaksjdwe" localSheetId="11" hidden="1">{#N/A,#N/A,FALSE,"Plan1";#N/A,#N/A,FALSE,"Plan2"}</definedName>
    <definedName name="nlaksjdwe" hidden="1">{#N/A,#N/A,FALSE,"Plan1";#N/A,#N/A,FALSE,"Plan2"}</definedName>
    <definedName name="nljsdfljfdsfr" localSheetId="24" hidden="1">{#N/A,#N/A,FALSE,"Plan1";#N/A,#N/A,FALSE,"Plan2"}</definedName>
    <definedName name="nljsdfljfdsfr" localSheetId="7" hidden="1">{#N/A,#N/A,FALSE,"Plan1";#N/A,#N/A,FALSE,"Plan2"}</definedName>
    <definedName name="nljsdfljfdsfr" localSheetId="9" hidden="1">{#N/A,#N/A,FALSE,"Plan1";#N/A,#N/A,FALSE,"Plan2"}</definedName>
    <definedName name="nljsdfljfdsfr" localSheetId="3" hidden="1">{#N/A,#N/A,FALSE,"Plan1";#N/A,#N/A,FALSE,"Plan2"}</definedName>
    <definedName name="nljsdfljfdsfr" localSheetId="2" hidden="1">{#N/A,#N/A,FALSE,"Plan1";#N/A,#N/A,FALSE,"Plan2"}</definedName>
    <definedName name="nljsdfljfdsfr" localSheetId="16" hidden="1">{#N/A,#N/A,FALSE,"Plan1";#N/A,#N/A,FALSE,"Plan2"}</definedName>
    <definedName name="nljsdfljfdsfr" localSheetId="0" hidden="1">{#N/A,#N/A,FALSE,"Plan1";#N/A,#N/A,FALSE,"Plan2"}</definedName>
    <definedName name="nljsdfljfdsfr" localSheetId="26" hidden="1">{#N/A,#N/A,FALSE,"Plan1";#N/A,#N/A,FALSE,"Plan2"}</definedName>
    <definedName name="nljsdfljfdsfr" localSheetId="11" hidden="1">{#N/A,#N/A,FALSE,"Plan1";#N/A,#N/A,FALSE,"Plan2"}</definedName>
    <definedName name="nljsdfljfdsfr" hidden="1">{#N/A,#N/A,FALSE,"Plan1";#N/A,#N/A,FALSE,"Plan2"}</definedName>
    <definedName name="nm_k1" localSheetId="24">#REF!</definedName>
    <definedName name="nm_k1" localSheetId="7">#REF!</definedName>
    <definedName name="nm_k1" localSheetId="3">#REF!</definedName>
    <definedName name="nm_k1" localSheetId="26">#REF!</definedName>
    <definedName name="nm_k1">#REF!</definedName>
    <definedName name="nm_k2" localSheetId="7">#REF!</definedName>
    <definedName name="nm_k2" localSheetId="3">#REF!</definedName>
    <definedName name="nm_k2">#REF!</definedName>
    <definedName name="nm_k3" localSheetId="7">#REF!</definedName>
    <definedName name="nm_k3" localSheetId="3">#REF!</definedName>
    <definedName name="nm_k3">#REF!</definedName>
    <definedName name="nmjdfhxj" localSheetId="24" hidden="1">{#N/A,#N/A,FALSE,"Plan1";#N/A,#N/A,FALSE,"Plan2"}</definedName>
    <definedName name="nmjdfhxj" localSheetId="7" hidden="1">{#N/A,#N/A,FALSE,"Plan1";#N/A,#N/A,FALSE,"Plan2"}</definedName>
    <definedName name="nmjdfhxj" localSheetId="9" hidden="1">{#N/A,#N/A,FALSE,"Plan1";#N/A,#N/A,FALSE,"Plan2"}</definedName>
    <definedName name="nmjdfhxj" localSheetId="3" hidden="1">{#N/A,#N/A,FALSE,"Plan1";#N/A,#N/A,FALSE,"Plan2"}</definedName>
    <definedName name="nmjdfhxj" localSheetId="2" hidden="1">{#N/A,#N/A,FALSE,"Plan1";#N/A,#N/A,FALSE,"Plan2"}</definedName>
    <definedName name="nmjdfhxj" localSheetId="16" hidden="1">{#N/A,#N/A,FALSE,"Plan1";#N/A,#N/A,FALSE,"Plan2"}</definedName>
    <definedName name="nmjdfhxj" localSheetId="0" hidden="1">{#N/A,#N/A,FALSE,"Plan1";#N/A,#N/A,FALSE,"Plan2"}</definedName>
    <definedName name="nmjdfhxj" localSheetId="26" hidden="1">{#N/A,#N/A,FALSE,"Plan1";#N/A,#N/A,FALSE,"Plan2"}</definedName>
    <definedName name="nmjdfhxj" localSheetId="11" hidden="1">{#N/A,#N/A,FALSE,"Plan1";#N/A,#N/A,FALSE,"Plan2"}</definedName>
    <definedName name="nmjdfhxj" hidden="1">{#N/A,#N/A,FALSE,"Plan1";#N/A,#N/A,FALSE,"Plan2"}</definedName>
    <definedName name="nnmn" localSheetId="24" hidden="1">{#N/A,#N/A,FALSE,"Plan1";#N/A,#N/A,FALSE,"Plan2"}</definedName>
    <definedName name="nnmn" localSheetId="7" hidden="1">{#N/A,#N/A,FALSE,"Plan1";#N/A,#N/A,FALSE,"Plan2"}</definedName>
    <definedName name="nnmn" localSheetId="9" hidden="1">{#N/A,#N/A,FALSE,"Plan1";#N/A,#N/A,FALSE,"Plan2"}</definedName>
    <definedName name="nnmn" localSheetId="3" hidden="1">{#N/A,#N/A,FALSE,"Plan1";#N/A,#N/A,FALSE,"Plan2"}</definedName>
    <definedName name="nnmn" localSheetId="2" hidden="1">{#N/A,#N/A,FALSE,"Plan1";#N/A,#N/A,FALSE,"Plan2"}</definedName>
    <definedName name="nnmn" localSheetId="16" hidden="1">{#N/A,#N/A,FALSE,"Plan1";#N/A,#N/A,FALSE,"Plan2"}</definedName>
    <definedName name="nnmn" localSheetId="0" hidden="1">{#N/A,#N/A,FALSE,"Plan1";#N/A,#N/A,FALSE,"Plan2"}</definedName>
    <definedName name="nnmn" localSheetId="26" hidden="1">{#N/A,#N/A,FALSE,"Plan1";#N/A,#N/A,FALSE,"Plan2"}</definedName>
    <definedName name="nnmn" localSheetId="11" hidden="1">{#N/A,#N/A,FALSE,"Plan1";#N/A,#N/A,FALSE,"Plan2"}</definedName>
    <definedName name="nnmn" hidden="1">{#N/A,#N/A,FALSE,"Plan1";#N/A,#N/A,FALSE,"Plan2"}</definedName>
    <definedName name="nnn" localSheetId="24" hidden="1">{#N/A,#N/A,FALSE,"Plan1";#N/A,#N/A,FALSE,"Plan2"}</definedName>
    <definedName name="nnn" localSheetId="7" hidden="1">{#N/A,#N/A,FALSE,"Plan1";#N/A,#N/A,FALSE,"Plan2"}</definedName>
    <definedName name="nnn" localSheetId="9" hidden="1">{#N/A,#N/A,FALSE,"$170M Cash";#N/A,#N/A,FALSE,"$250M Cash";#N/A,#N/A,FALSE,"$325M Cash"}</definedName>
    <definedName name="nnn" localSheetId="3" hidden="1">{#N/A,#N/A,FALSE,"Plan1";#N/A,#N/A,FALSE,"Plan2"}</definedName>
    <definedName name="nnn" localSheetId="2" hidden="1">{#N/A,#N/A,FALSE,"Plan1";#N/A,#N/A,FALSE,"Plan2"}</definedName>
    <definedName name="nnn" localSheetId="16" hidden="1">{#N/A,#N/A,FALSE,"Plan1";#N/A,#N/A,FALSE,"Plan2"}</definedName>
    <definedName name="nnn" localSheetId="0" hidden="1">{#N/A,#N/A,FALSE,"Plan1";#N/A,#N/A,FALSE,"Plan2"}</definedName>
    <definedName name="nnn" localSheetId="26" hidden="1">{#N/A,#N/A,FALSE,"Plan1";#N/A,#N/A,FALSE,"Plan2"}</definedName>
    <definedName name="nnn" localSheetId="11" hidden="1">{#N/A,#N/A,FALSE,"Plan1";#N/A,#N/A,FALSE,"Plan2"}</definedName>
    <definedName name="nnn" hidden="1">{#N/A,#N/A,FALSE,"Plan1";#N/A,#N/A,FALSE,"Plan2"}</definedName>
    <definedName name="nnnnnnnnnnn" localSheetId="24" hidden="1">{"HW",#N/A,FALSE,"1998"}</definedName>
    <definedName name="nnnnnnnnnnn" localSheetId="7" hidden="1">{"HW",#N/A,FALSE,"1998"}</definedName>
    <definedName name="nnnnnnnnnnn" localSheetId="9" hidden="1">{"HW",#N/A,FALSE,"1998"}</definedName>
    <definedName name="nnnnnnnnnnn" localSheetId="3" hidden="1">{"HW",#N/A,FALSE,"1998"}</definedName>
    <definedName name="nnnnnnnnnnn" localSheetId="2" hidden="1">{"HW",#N/A,FALSE,"1998"}</definedName>
    <definedName name="nnnnnnnnnnn" localSheetId="16" hidden="1">{"HW",#N/A,FALSE,"1998"}</definedName>
    <definedName name="nnnnnnnnnnn" localSheetId="0" hidden="1">{"HW",#N/A,FALSE,"1998"}</definedName>
    <definedName name="nnnnnnnnnnn" localSheetId="26" hidden="1">{"HW",#N/A,FALSE,"1998"}</definedName>
    <definedName name="nnnnnnnnnnn" localSheetId="11" hidden="1">{"HW",#N/A,FALSE,"1998"}</definedName>
    <definedName name="nnnnnnnnnnn" hidden="1">{"HW",#N/A,FALSE,"1998"}</definedName>
    <definedName name="NNNNNNNNNNNNNNN" localSheetId="24" hidden="1">{#N/A,#N/A,FALSE,"Plan1";#N/A,#N/A,FALSE,"Plan2"}</definedName>
    <definedName name="NNNNNNNNNNNNNNN" localSheetId="7" hidden="1">{#N/A,#N/A,FALSE,"Plan1";#N/A,#N/A,FALSE,"Plan2"}</definedName>
    <definedName name="NNNNNNNNNNNNNNN" localSheetId="9" hidden="1">{#N/A,#N/A,FALSE,"Plan1";#N/A,#N/A,FALSE,"Plan2"}</definedName>
    <definedName name="NNNNNNNNNNNNNNN" localSheetId="3" hidden="1">{#N/A,#N/A,FALSE,"Plan1";#N/A,#N/A,FALSE,"Plan2"}</definedName>
    <definedName name="NNNNNNNNNNNNNNN" localSheetId="2" hidden="1">{#N/A,#N/A,FALSE,"Plan1";#N/A,#N/A,FALSE,"Plan2"}</definedName>
    <definedName name="NNNNNNNNNNNNNNN" localSheetId="16" hidden="1">{#N/A,#N/A,FALSE,"Plan1";#N/A,#N/A,FALSE,"Plan2"}</definedName>
    <definedName name="NNNNNNNNNNNNNNN" localSheetId="0" hidden="1">{#N/A,#N/A,FALSE,"Plan1";#N/A,#N/A,FALSE,"Plan2"}</definedName>
    <definedName name="NNNNNNNNNNNNNNN" localSheetId="26" hidden="1">{#N/A,#N/A,FALSE,"Plan1";#N/A,#N/A,FALSE,"Plan2"}</definedName>
    <definedName name="NNNNNNNNNNNNNNN" localSheetId="11" hidden="1">{#N/A,#N/A,FALSE,"Plan1";#N/A,#N/A,FALSE,"Plan2"}</definedName>
    <definedName name="NNNNNNNNNNNNNNN" hidden="1">{#N/A,#N/A,FALSE,"Plan1";#N/A,#N/A,FALSE,"Plan2"}</definedName>
    <definedName name="nnnnnnnnnnnnnnnnnnnn" localSheetId="24" hidden="1">{#N/A,#N/A,FALSE,"Plan1";#N/A,#N/A,FALSE,"Plan2"}</definedName>
    <definedName name="nnnnnnnnnnnnnnnnnnnn" localSheetId="7" hidden="1">{#N/A,#N/A,FALSE,"Plan1";#N/A,#N/A,FALSE,"Plan2"}</definedName>
    <definedName name="nnnnnnnnnnnnnnnnnnnn" localSheetId="9" hidden="1">{#N/A,#N/A,FALSE,"Plan1";#N/A,#N/A,FALSE,"Plan2"}</definedName>
    <definedName name="nnnnnnnnnnnnnnnnnnnn" localSheetId="3" hidden="1">{#N/A,#N/A,FALSE,"Plan1";#N/A,#N/A,FALSE,"Plan2"}</definedName>
    <definedName name="nnnnnnnnnnnnnnnnnnnn" localSheetId="2" hidden="1">{#N/A,#N/A,FALSE,"Plan1";#N/A,#N/A,FALSE,"Plan2"}</definedName>
    <definedName name="nnnnnnnnnnnnnnnnnnnn" localSheetId="16" hidden="1">{#N/A,#N/A,FALSE,"Plan1";#N/A,#N/A,FALSE,"Plan2"}</definedName>
    <definedName name="nnnnnnnnnnnnnnnnnnnn" localSheetId="0" hidden="1">{#N/A,#N/A,FALSE,"Plan1";#N/A,#N/A,FALSE,"Plan2"}</definedName>
    <definedName name="nnnnnnnnnnnnnnnnnnnn" localSheetId="26" hidden="1">{#N/A,#N/A,FALSE,"Plan1";#N/A,#N/A,FALSE,"Plan2"}</definedName>
    <definedName name="nnnnnnnnnnnnnnnnnnnn" localSheetId="11" hidden="1">{#N/A,#N/A,FALSE,"Plan1";#N/A,#N/A,FALSE,"Plan2"}</definedName>
    <definedName name="nnnnnnnnnnnnnnnnnnnn" hidden="1">{#N/A,#N/A,FALSE,"Plan1";#N/A,#N/A,FALSE,"Plan2"}</definedName>
    <definedName name="NNXFT" localSheetId="24" hidden="1">{#N/A,#N/A,FALSE,"Plan1";#N/A,#N/A,FALSE,"Plan2"}</definedName>
    <definedName name="NNXFT" localSheetId="7" hidden="1">{#N/A,#N/A,FALSE,"Plan1";#N/A,#N/A,FALSE,"Plan2"}</definedName>
    <definedName name="NNXFT" localSheetId="9" hidden="1">{#N/A,#N/A,FALSE,"Plan1";#N/A,#N/A,FALSE,"Plan2"}</definedName>
    <definedName name="NNXFT" localSheetId="3" hidden="1">{#N/A,#N/A,FALSE,"Plan1";#N/A,#N/A,FALSE,"Plan2"}</definedName>
    <definedName name="NNXFT" localSheetId="2" hidden="1">{#N/A,#N/A,FALSE,"Plan1";#N/A,#N/A,FALSE,"Plan2"}</definedName>
    <definedName name="NNXFT" localSheetId="16" hidden="1">{#N/A,#N/A,FALSE,"Plan1";#N/A,#N/A,FALSE,"Plan2"}</definedName>
    <definedName name="NNXFT" localSheetId="0" hidden="1">{#N/A,#N/A,FALSE,"Plan1";#N/A,#N/A,FALSE,"Plan2"}</definedName>
    <definedName name="NNXFT" localSheetId="26" hidden="1">{#N/A,#N/A,FALSE,"Plan1";#N/A,#N/A,FALSE,"Plan2"}</definedName>
    <definedName name="NNXFT" localSheetId="11" hidden="1">{#N/A,#N/A,FALSE,"Plan1";#N/A,#N/A,FALSE,"Plan2"}</definedName>
    <definedName name="NNXFT" hidden="1">{#N/A,#N/A,FALSE,"Plan1";#N/A,#N/A,FALSE,"Plan2"}</definedName>
    <definedName name="no" localSheetId="7">#REF!</definedName>
    <definedName name="no" localSheetId="9">#REF!</definedName>
    <definedName name="no" localSheetId="3">#REF!</definedName>
    <definedName name="no">#REF!</definedName>
    <definedName name="NOME" localSheetId="7">#REF!</definedName>
    <definedName name="NOME" localSheetId="3">#REF!</definedName>
    <definedName name="NOME">#REF!</definedName>
    <definedName name="nome2" localSheetId="7">#REF!</definedName>
    <definedName name="nome2" localSheetId="3">#REF!</definedName>
    <definedName name="nome2">#REF!</definedName>
    <definedName name="NOMEITEM" localSheetId="7">#REF!</definedName>
    <definedName name="NOMEITEM" localSheetId="3">#REF!</definedName>
    <definedName name="NOMEITEM">#REF!</definedName>
    <definedName name="NOMEOBRA" localSheetId="7">#REF!</definedName>
    <definedName name="NOMEOBRA" localSheetId="3">#REF!</definedName>
    <definedName name="NOMEOBRA">#REF!</definedName>
    <definedName name="nov17RJ" localSheetId="7">#REF!</definedName>
    <definedName name="nov17RJ" localSheetId="3">#REF!</definedName>
    <definedName name="nov17RJ">#REF!</definedName>
    <definedName name="NOVE" localSheetId="7">#REF!</definedName>
    <definedName name="NOVE" localSheetId="3">#REF!</definedName>
    <definedName name="NOVE">#REF!</definedName>
    <definedName name="NOVEMBRO" localSheetId="7">#REF!</definedName>
    <definedName name="NOVEMBRO" localSheetId="3">#REF!</definedName>
    <definedName name="NOVEMBRO">#REF!</definedName>
    <definedName name="nsdkfndgfdnatf" localSheetId="24" hidden="1">{#N/A,#N/A,FALSE,"Plan1";#N/A,#N/A,FALSE,"Plan2"}</definedName>
    <definedName name="nsdkfndgfdnatf" localSheetId="7" hidden="1">{#N/A,#N/A,FALSE,"Plan1";#N/A,#N/A,FALSE,"Plan2"}</definedName>
    <definedName name="nsdkfndgfdnatf" localSheetId="9" hidden="1">{#N/A,#N/A,FALSE,"Plan1";#N/A,#N/A,FALSE,"Plan2"}</definedName>
    <definedName name="nsdkfndgfdnatf" localSheetId="3" hidden="1">{#N/A,#N/A,FALSE,"Plan1";#N/A,#N/A,FALSE,"Plan2"}</definedName>
    <definedName name="nsdkfndgfdnatf" localSheetId="2" hidden="1">{#N/A,#N/A,FALSE,"Plan1";#N/A,#N/A,FALSE,"Plan2"}</definedName>
    <definedName name="nsdkfndgfdnatf" localSheetId="16" hidden="1">{#N/A,#N/A,FALSE,"Plan1";#N/A,#N/A,FALSE,"Plan2"}</definedName>
    <definedName name="nsdkfndgfdnatf" localSheetId="0" hidden="1">{#N/A,#N/A,FALSE,"Plan1";#N/A,#N/A,FALSE,"Plan2"}</definedName>
    <definedName name="nsdkfndgfdnatf" localSheetId="26" hidden="1">{#N/A,#N/A,FALSE,"Plan1";#N/A,#N/A,FALSE,"Plan2"}</definedName>
    <definedName name="nsdkfndgfdnatf" localSheetId="11" hidden="1">{#N/A,#N/A,FALSE,"Plan1";#N/A,#N/A,FALSE,"Plan2"}</definedName>
    <definedName name="nsdkfndgfdnatf" hidden="1">{#N/A,#N/A,FALSE,"Plan1";#N/A,#N/A,FALSE,"Plan2"}</definedName>
    <definedName name="nsfljdiljrf" localSheetId="24" hidden="1">{#N/A,#N/A,FALSE,"Plan1";#N/A,#N/A,FALSE,"Plan2"}</definedName>
    <definedName name="nsfljdiljrf" localSheetId="7" hidden="1">{#N/A,#N/A,FALSE,"Plan1";#N/A,#N/A,FALSE,"Plan2"}</definedName>
    <definedName name="nsfljdiljrf" localSheetId="9" hidden="1">{#N/A,#N/A,FALSE,"Plan1";#N/A,#N/A,FALSE,"Plan2"}</definedName>
    <definedName name="nsfljdiljrf" localSheetId="3" hidden="1">{#N/A,#N/A,FALSE,"Plan1";#N/A,#N/A,FALSE,"Plan2"}</definedName>
    <definedName name="nsfljdiljrf" localSheetId="2" hidden="1">{#N/A,#N/A,FALSE,"Plan1";#N/A,#N/A,FALSE,"Plan2"}</definedName>
    <definedName name="nsfljdiljrf" localSheetId="16" hidden="1">{#N/A,#N/A,FALSE,"Plan1";#N/A,#N/A,FALSE,"Plan2"}</definedName>
    <definedName name="nsfljdiljrf" localSheetId="0" hidden="1">{#N/A,#N/A,FALSE,"Plan1";#N/A,#N/A,FALSE,"Plan2"}</definedName>
    <definedName name="nsfljdiljrf" localSheetId="26" hidden="1">{#N/A,#N/A,FALSE,"Plan1";#N/A,#N/A,FALSE,"Plan2"}</definedName>
    <definedName name="nsfljdiljrf" localSheetId="11" hidden="1">{#N/A,#N/A,FALSE,"Plan1";#N/A,#N/A,FALSE,"Plan2"}</definedName>
    <definedName name="nsfljdiljrf" hidden="1">{#N/A,#N/A,FALSE,"Plan1";#N/A,#N/A,FALSE,"Plan2"}</definedName>
    <definedName name="NUCOPIAS" localSheetId="24">#REF!</definedName>
    <definedName name="NUCOPIAS" localSheetId="7">#REF!</definedName>
    <definedName name="NUCOPIAS" localSheetId="3">#REF!</definedName>
    <definedName name="NUCOPIAS" localSheetId="26">#REF!</definedName>
    <definedName name="NUCOPIAS">#REF!</definedName>
    <definedName name="NUMOBRA" localSheetId="7">#REF!</definedName>
    <definedName name="NUMOBRA" localSheetId="3">#REF!</definedName>
    <definedName name="NUMOBRA">#REF!</definedName>
    <definedName name="NutN" localSheetId="7">#REF!</definedName>
    <definedName name="NutN" localSheetId="3">#REF!</definedName>
    <definedName name="NutN">#REF!</definedName>
    <definedName name="nzxcnnjkd" localSheetId="24" hidden="1">{#N/A,#N/A,FALSE,"Plan1";#N/A,#N/A,FALSE,"Plan2"}</definedName>
    <definedName name="nzxcnnjkd" localSheetId="7" hidden="1">{#N/A,#N/A,FALSE,"Plan1";#N/A,#N/A,FALSE,"Plan2"}</definedName>
    <definedName name="nzxcnnjkd" localSheetId="9" hidden="1">{#N/A,#N/A,FALSE,"Plan1";#N/A,#N/A,FALSE,"Plan2"}</definedName>
    <definedName name="nzxcnnjkd" localSheetId="3" hidden="1">{#N/A,#N/A,FALSE,"Plan1";#N/A,#N/A,FALSE,"Plan2"}</definedName>
    <definedName name="nzxcnnjkd" localSheetId="2" hidden="1">{#N/A,#N/A,FALSE,"Plan1";#N/A,#N/A,FALSE,"Plan2"}</definedName>
    <definedName name="nzxcnnjkd" localSheetId="16" hidden="1">{#N/A,#N/A,FALSE,"Plan1";#N/A,#N/A,FALSE,"Plan2"}</definedName>
    <definedName name="nzxcnnjkd" localSheetId="0" hidden="1">{#N/A,#N/A,FALSE,"Plan1";#N/A,#N/A,FALSE,"Plan2"}</definedName>
    <definedName name="nzxcnnjkd" localSheetId="26" hidden="1">{#N/A,#N/A,FALSE,"Plan1";#N/A,#N/A,FALSE,"Plan2"}</definedName>
    <definedName name="nzxcnnjkd" localSheetId="11" hidden="1">{#N/A,#N/A,FALSE,"Plan1";#N/A,#N/A,FALSE,"Plan2"}</definedName>
    <definedName name="nzxcnnjkd" hidden="1">{#N/A,#N/A,FALSE,"Plan1";#N/A,#N/A,FALSE,"Plan2"}</definedName>
    <definedName name="OAE" localSheetId="24">#REF!</definedName>
    <definedName name="OAE" localSheetId="7">#REF!</definedName>
    <definedName name="OAE" localSheetId="5">#REF!</definedName>
    <definedName name="OAE" localSheetId="3">#REF!</definedName>
    <definedName name="OAE" localSheetId="0">#REF!</definedName>
    <definedName name="OAE">#REF!</definedName>
    <definedName name="OBRA" localSheetId="7">#REF!</definedName>
    <definedName name="OBRA" localSheetId="3">#REF!</definedName>
    <definedName name="OBRA">#REF!</definedName>
    <definedName name="Obra_Fin_Medição" localSheetId="7">#REF!</definedName>
    <definedName name="Obra_Fin_Medição" localSheetId="3">#REF!</definedName>
    <definedName name="Obra_Fin_Medição">#REF!</definedName>
    <definedName name="OBRA_PROJETADO" localSheetId="7">#REF!</definedName>
    <definedName name="OBRA_PROJETADO" localSheetId="3">#REF!</definedName>
    <definedName name="OBRA_PROJETADO">#REF!</definedName>
    <definedName name="Obra_Rel_Controladoria" localSheetId="7">#REF!</definedName>
    <definedName name="Obra_Rel_Controladoria" localSheetId="3">#REF!</definedName>
    <definedName name="Obra_Rel_Controladoria">#REF!</definedName>
    <definedName name="Obra_Sienge" localSheetId="7">#REF!</definedName>
    <definedName name="Obra_Sienge" localSheetId="3">#REF!</definedName>
    <definedName name="Obra_Sienge">#REF!</definedName>
    <definedName name="Obra2_Fin_Medição" localSheetId="7">#REF!</definedName>
    <definedName name="Obra2_Fin_Medição" localSheetId="3">#REF!</definedName>
    <definedName name="Obra2_Fin_Medição">#REF!</definedName>
    <definedName name="OBRALOC" localSheetId="7">#REF!</definedName>
    <definedName name="OBRALOC" localSheetId="3">#REF!</definedName>
    <definedName name="OBRALOC">#REF!</definedName>
    <definedName name="OBRAS" localSheetId="7">#REF!</definedName>
    <definedName name="OBRAS" localSheetId="3">#REF!</definedName>
    <definedName name="OBRAS">#REF!</definedName>
    <definedName name="Obras_Apoio_Rel_Controladoria" localSheetId="7">#REF!</definedName>
    <definedName name="Obras_Apoio_Rel_Controladoria" localSheetId="3">#REF!</definedName>
    <definedName name="Obras_Apoio_Rel_Controladoria">#REF!</definedName>
    <definedName name="OBRAS_REALIZADO" localSheetId="7">#REF!</definedName>
    <definedName name="OBRAS_REALIZADO" localSheetId="3">#REF!</definedName>
    <definedName name="OBRAS_REALIZADO">#REF!</definedName>
    <definedName name="OBRASEL" localSheetId="7">#REF!</definedName>
    <definedName name="OBRASEL" localSheetId="3">#REF!</definedName>
    <definedName name="OBRASEL">#REF!</definedName>
    <definedName name="odflgj" hidden="1">25</definedName>
    <definedName name="odfuudor" localSheetId="24" hidden="1">{#N/A,#N/A,FALSE,"Plan1";#N/A,#N/A,FALSE,"Plan2"}</definedName>
    <definedName name="odfuudor" localSheetId="7" hidden="1">{#N/A,#N/A,FALSE,"Plan1";#N/A,#N/A,FALSE,"Plan2"}</definedName>
    <definedName name="odfuudor" localSheetId="9" hidden="1">{#N/A,#N/A,FALSE,"Plan1";#N/A,#N/A,FALSE,"Plan2"}</definedName>
    <definedName name="odfuudor" localSheetId="3" hidden="1">{#N/A,#N/A,FALSE,"Plan1";#N/A,#N/A,FALSE,"Plan2"}</definedName>
    <definedName name="odfuudor" localSheetId="2" hidden="1">{#N/A,#N/A,FALSE,"Plan1";#N/A,#N/A,FALSE,"Plan2"}</definedName>
    <definedName name="odfuudor" localSheetId="16" hidden="1">{#N/A,#N/A,FALSE,"Plan1";#N/A,#N/A,FALSE,"Plan2"}</definedName>
    <definedName name="odfuudor" localSheetId="0" hidden="1">{#N/A,#N/A,FALSE,"Plan1";#N/A,#N/A,FALSE,"Plan2"}</definedName>
    <definedName name="odfuudor" localSheetId="26" hidden="1">{#N/A,#N/A,FALSE,"Plan1";#N/A,#N/A,FALSE,"Plan2"}</definedName>
    <definedName name="odfuudor" localSheetId="11" hidden="1">{#N/A,#N/A,FALSE,"Plan1";#N/A,#N/A,FALSE,"Plan2"}</definedName>
    <definedName name="odfuudor" hidden="1">{#N/A,#N/A,FALSE,"Plan1";#N/A,#N/A,FALSE,"Plan2"}</definedName>
    <definedName name="ODH" localSheetId="7" hidden="1">#REF!</definedName>
    <definedName name="ODH" localSheetId="3" hidden="1">#REF!</definedName>
    <definedName name="ODH" localSheetId="0" hidden="1">#REF!</definedName>
    <definedName name="ODH" hidden="1">#REF!</definedName>
    <definedName name="oficial_mes" localSheetId="7">#REF!</definedName>
    <definedName name="oficial_mes" localSheetId="3">#REF!</definedName>
    <definedName name="oficial_mes">#REF!</definedName>
    <definedName name="oficial2_mes" localSheetId="7">#REF!</definedName>
    <definedName name="oficial2_mes" localSheetId="3">#REF!</definedName>
    <definedName name="oficial2_mes">#REF!</definedName>
    <definedName name="oiditrot" localSheetId="24" hidden="1">{#N/A,#N/A,FALSE,"Plan1";#N/A,#N/A,FALSE,"Plan2"}</definedName>
    <definedName name="oiditrot" localSheetId="7" hidden="1">{#N/A,#N/A,FALSE,"Plan1";#N/A,#N/A,FALSE,"Plan2"}</definedName>
    <definedName name="oiditrot" localSheetId="9" hidden="1">{#N/A,#N/A,FALSE,"Plan1";#N/A,#N/A,FALSE,"Plan2"}</definedName>
    <definedName name="oiditrot" localSheetId="3" hidden="1">{#N/A,#N/A,FALSE,"Plan1";#N/A,#N/A,FALSE,"Plan2"}</definedName>
    <definedName name="oiditrot" localSheetId="2" hidden="1">{#N/A,#N/A,FALSE,"Plan1";#N/A,#N/A,FALSE,"Plan2"}</definedName>
    <definedName name="oiditrot" localSheetId="16" hidden="1">{#N/A,#N/A,FALSE,"Plan1";#N/A,#N/A,FALSE,"Plan2"}</definedName>
    <definedName name="oiditrot" localSheetId="0" hidden="1">{#N/A,#N/A,FALSE,"Plan1";#N/A,#N/A,FALSE,"Plan2"}</definedName>
    <definedName name="oiditrot" localSheetId="26" hidden="1">{#N/A,#N/A,FALSE,"Plan1";#N/A,#N/A,FALSE,"Plan2"}</definedName>
    <definedName name="oiditrot" localSheetId="11" hidden="1">{#N/A,#N/A,FALSE,"Plan1";#N/A,#N/A,FALSE,"Plan2"}</definedName>
    <definedName name="oiditrot" hidden="1">{#N/A,#N/A,FALSE,"Plan1";#N/A,#N/A,FALSE,"Plan2"}</definedName>
    <definedName name="oio" localSheetId="24" hidden="1">{#N/A,#N/A,FALSE,"Plan1";#N/A,#N/A,FALSE,"Plan2"}</definedName>
    <definedName name="oio" localSheetId="7" hidden="1">{#N/A,#N/A,FALSE,"Plan1";#N/A,#N/A,FALSE,"Plan2"}</definedName>
    <definedName name="oio" localSheetId="9" hidden="1">{#N/A,#N/A,FALSE,"Plan1";#N/A,#N/A,FALSE,"Plan2"}</definedName>
    <definedName name="oio" localSheetId="3" hidden="1">{#N/A,#N/A,FALSE,"Plan1";#N/A,#N/A,FALSE,"Plan2"}</definedName>
    <definedName name="oio" localSheetId="2" hidden="1">{#N/A,#N/A,FALSE,"Plan1";#N/A,#N/A,FALSE,"Plan2"}</definedName>
    <definedName name="oio" localSheetId="16" hidden="1">{#N/A,#N/A,FALSE,"Plan1";#N/A,#N/A,FALSE,"Plan2"}</definedName>
    <definedName name="oio" localSheetId="0" hidden="1">{#N/A,#N/A,FALSE,"Plan1";#N/A,#N/A,FALSE,"Plan2"}</definedName>
    <definedName name="oio" localSheetId="26" hidden="1">{#N/A,#N/A,FALSE,"Plan1";#N/A,#N/A,FALSE,"Plan2"}</definedName>
    <definedName name="oio" localSheetId="11" hidden="1">{#N/A,#N/A,FALSE,"Plan1";#N/A,#N/A,FALSE,"Plan2"}</definedName>
    <definedName name="oio" hidden="1">{#N/A,#N/A,FALSE,"Plan1";#N/A,#N/A,FALSE,"Plan2"}</definedName>
    <definedName name="OITO" localSheetId="7">#REF!</definedName>
    <definedName name="OITO" localSheetId="9">#REF!</definedName>
    <definedName name="OITO" localSheetId="3">#REF!</definedName>
    <definedName name="OITO">#REF!</definedName>
    <definedName name="oiufioorif" localSheetId="7" hidden="1">#REF!</definedName>
    <definedName name="oiufioorif" localSheetId="0" hidden="1">#REF!</definedName>
    <definedName name="oiufioorif" hidden="1">#REF!</definedName>
    <definedName name="OJÇLJ" localSheetId="24" hidden="1">{#N/A,#N/A,FALSE,"Plan1";#N/A,#N/A,FALSE,"Plan2"}</definedName>
    <definedName name="OJÇLJ" localSheetId="7" hidden="1">{#N/A,#N/A,FALSE,"Plan1";#N/A,#N/A,FALSE,"Plan2"}</definedName>
    <definedName name="OJÇLJ" localSheetId="9" hidden="1">{#N/A,#N/A,FALSE,"Plan1";#N/A,#N/A,FALSE,"Plan2"}</definedName>
    <definedName name="OJÇLJ" localSheetId="3" hidden="1">{#N/A,#N/A,FALSE,"Plan1";#N/A,#N/A,FALSE,"Plan2"}</definedName>
    <definedName name="OJÇLJ" localSheetId="2" hidden="1">{#N/A,#N/A,FALSE,"Plan1";#N/A,#N/A,FALSE,"Plan2"}</definedName>
    <definedName name="OJÇLJ" localSheetId="16" hidden="1">{#N/A,#N/A,FALSE,"Plan1";#N/A,#N/A,FALSE,"Plan2"}</definedName>
    <definedName name="OJÇLJ" localSheetId="0" hidden="1">{#N/A,#N/A,FALSE,"Plan1";#N/A,#N/A,FALSE,"Plan2"}</definedName>
    <definedName name="OJÇLJ" localSheetId="26" hidden="1">{#N/A,#N/A,FALSE,"Plan1";#N/A,#N/A,FALSE,"Plan2"}</definedName>
    <definedName name="OJÇLJ" localSheetId="11" hidden="1">{#N/A,#N/A,FALSE,"Plan1";#N/A,#N/A,FALSE,"Plan2"}</definedName>
    <definedName name="OJÇLJ" hidden="1">{#N/A,#N/A,FALSE,"Plan1";#N/A,#N/A,FALSE,"Plan2"}</definedName>
    <definedName name="ojkdfit" localSheetId="24" hidden="1">{#N/A,#N/A,FALSE,"Plan1";#N/A,#N/A,FALSE,"Plan2"}</definedName>
    <definedName name="ojkdfit" localSheetId="7" hidden="1">{#N/A,#N/A,FALSE,"Plan1";#N/A,#N/A,FALSE,"Plan2"}</definedName>
    <definedName name="ojkdfit" localSheetId="9" hidden="1">{#N/A,#N/A,FALSE,"Plan1";#N/A,#N/A,FALSE,"Plan2"}</definedName>
    <definedName name="ojkdfit" localSheetId="3" hidden="1">{#N/A,#N/A,FALSE,"Plan1";#N/A,#N/A,FALSE,"Plan2"}</definedName>
    <definedName name="ojkdfit" localSheetId="2" hidden="1">{#N/A,#N/A,FALSE,"Plan1";#N/A,#N/A,FALSE,"Plan2"}</definedName>
    <definedName name="ojkdfit" localSheetId="16" hidden="1">{#N/A,#N/A,FALSE,"Plan1";#N/A,#N/A,FALSE,"Plan2"}</definedName>
    <definedName name="ojkdfit" localSheetId="0" hidden="1">{#N/A,#N/A,FALSE,"Plan1";#N/A,#N/A,FALSE,"Plan2"}</definedName>
    <definedName name="ojkdfit" localSheetId="26" hidden="1">{#N/A,#N/A,FALSE,"Plan1";#N/A,#N/A,FALSE,"Plan2"}</definedName>
    <definedName name="ojkdfit" localSheetId="11" hidden="1">{#N/A,#N/A,FALSE,"Plan1";#N/A,#N/A,FALSE,"Plan2"}</definedName>
    <definedName name="ojkdfit" hidden="1">{#N/A,#N/A,FALSE,"Plan1";#N/A,#N/A,FALSE,"Plan2"}</definedName>
    <definedName name="oMISSOS" localSheetId="24" hidden="1">#REF!</definedName>
    <definedName name="oMISSOS" localSheetId="7" hidden="1">#REF!</definedName>
    <definedName name="oMISSOS" localSheetId="0" hidden="1">#REF!</definedName>
    <definedName name="oMISSOS" localSheetId="26" hidden="1">#REF!</definedName>
    <definedName name="oMISSOS" hidden="1">#REF!</definedName>
    <definedName name="ONZE" localSheetId="7">#REF!</definedName>
    <definedName name="ONZE" localSheetId="3">#REF!</definedName>
    <definedName name="ONZE">#REF!</definedName>
    <definedName name="ooo" localSheetId="24" hidden="1">{#N/A,#N/A,FALSE,"Plan1";#N/A,#N/A,FALSE,"Plan2"}</definedName>
    <definedName name="ooo" localSheetId="7" hidden="1">{#N/A,#N/A,FALSE,"Plan1";#N/A,#N/A,FALSE,"Plan2"}</definedName>
    <definedName name="ooo" localSheetId="9" hidden="1">{#N/A,#N/A,FALSE,"Plan1";#N/A,#N/A,FALSE,"Plan2"}</definedName>
    <definedName name="ooo" localSheetId="3" hidden="1">{#N/A,#N/A,FALSE,"Plan1";#N/A,#N/A,FALSE,"Plan2"}</definedName>
    <definedName name="ooo" localSheetId="2" hidden="1">{#N/A,#N/A,FALSE,"Plan1";#N/A,#N/A,FALSE,"Plan2"}</definedName>
    <definedName name="ooo" localSheetId="16" hidden="1">{#N/A,#N/A,FALSE,"Plan1";#N/A,#N/A,FALSE,"Plan2"}</definedName>
    <definedName name="ooo" localSheetId="0" hidden="1">{#N/A,#N/A,FALSE,"Plan1";#N/A,#N/A,FALSE,"Plan2"}</definedName>
    <definedName name="ooo" localSheetId="26" hidden="1">{#N/A,#N/A,FALSE,"Plan1";#N/A,#N/A,FALSE,"Plan2"}</definedName>
    <definedName name="ooo" localSheetId="11" hidden="1">{#N/A,#N/A,FALSE,"Plan1";#N/A,#N/A,FALSE,"Plan2"}</definedName>
    <definedName name="ooo" hidden="1">{#N/A,#N/A,FALSE,"Plan1";#N/A,#N/A,FALSE,"Plan2"}</definedName>
    <definedName name="OPASEDWED" localSheetId="24" hidden="1">{"Econ Consolidado",#N/A,FALSE,"Econ Consol";"Fluxo de Caixa",#N/A,FALSE,"Fluxo Caixa";"Investimentos",#N/A,FALSE,"Investimentos"}</definedName>
    <definedName name="OPASEDWED" localSheetId="7" hidden="1">{"Econ Consolidado",#N/A,FALSE,"Econ Consol";"Fluxo de Caixa",#N/A,FALSE,"Fluxo Caixa";"Investimentos",#N/A,FALSE,"Investimentos"}</definedName>
    <definedName name="OPASEDWED" localSheetId="9" hidden="1">{"Econ Consolidado",#N/A,FALSE,"Econ Consol";"Fluxo de Caixa",#N/A,FALSE,"Fluxo Caixa";"Investimentos",#N/A,FALSE,"Investimentos"}</definedName>
    <definedName name="OPASEDWED" localSheetId="3" hidden="1">{"Econ Consolidado",#N/A,FALSE,"Econ Consol";"Fluxo de Caixa",#N/A,FALSE,"Fluxo Caixa";"Investimentos",#N/A,FALSE,"Investimentos"}</definedName>
    <definedName name="OPASEDWED" localSheetId="2" hidden="1">{"Econ Consolidado",#N/A,FALSE,"Econ Consol";"Fluxo de Caixa",#N/A,FALSE,"Fluxo Caixa";"Investimentos",#N/A,FALSE,"Investimentos"}</definedName>
    <definedName name="OPASEDWED" localSheetId="16" hidden="1">{"Econ Consolidado",#N/A,FALSE,"Econ Consol";"Fluxo de Caixa",#N/A,FALSE,"Fluxo Caixa";"Investimentos",#N/A,FALSE,"Investimentos"}</definedName>
    <definedName name="OPASEDWED" localSheetId="0" hidden="1">{"Econ Consolidado",#N/A,FALSE,"Econ Consol";"Fluxo de Caixa",#N/A,FALSE,"Fluxo Caixa";"Investimentos",#N/A,FALSE,"Investimentos"}</definedName>
    <definedName name="OPASEDWED" localSheetId="26" hidden="1">{"Econ Consolidado",#N/A,FALSE,"Econ Consol";"Fluxo de Caixa",#N/A,FALSE,"Fluxo Caixa";"Investimentos",#N/A,FALSE,"Investimentos"}</definedName>
    <definedName name="OPASEDWED" localSheetId="11" hidden="1">{"Econ Consolidado",#N/A,FALSE,"Econ Consol";"Fluxo de Caixa",#N/A,FALSE,"Fluxo Caixa";"Investimentos",#N/A,FALSE,"Investimentos"}</definedName>
    <definedName name="OPASEDWED" hidden="1">{"Econ Consolidado",#N/A,FALSE,"Econ Consol";"Fluxo de Caixa",#N/A,FALSE,"Fluxo Caixa";"Investimentos",#N/A,FALSE,"Investimentos"}</definedName>
    <definedName name="opcao_taxa_desconto" localSheetId="24">#REF!</definedName>
    <definedName name="opcao_taxa_desconto" localSheetId="7">#REF!</definedName>
    <definedName name="opcao_taxa_desconto" localSheetId="3">#REF!</definedName>
    <definedName name="opcao_taxa_desconto" localSheetId="26">#REF!</definedName>
    <definedName name="opcao_taxa_desconto">#REF!</definedName>
    <definedName name="opções" localSheetId="7">#REF!</definedName>
    <definedName name="opções" localSheetId="3">#REF!</definedName>
    <definedName name="opções">#REF!</definedName>
    <definedName name="opiwre" localSheetId="24" hidden="1">{#N/A,#N/A,FALSE,"Plan1";#N/A,#N/A,FALSE,"Plan2"}</definedName>
    <definedName name="opiwre" localSheetId="7" hidden="1">{#N/A,#N/A,FALSE,"Plan1";#N/A,#N/A,FALSE,"Plan2"}</definedName>
    <definedName name="opiwre" localSheetId="9" hidden="1">{#N/A,#N/A,FALSE,"Plan1";#N/A,#N/A,FALSE,"Plan2"}</definedName>
    <definedName name="opiwre" localSheetId="3" hidden="1">{#N/A,#N/A,FALSE,"Plan1";#N/A,#N/A,FALSE,"Plan2"}</definedName>
    <definedName name="opiwre" localSheetId="2" hidden="1">{#N/A,#N/A,FALSE,"Plan1";#N/A,#N/A,FALSE,"Plan2"}</definedName>
    <definedName name="opiwre" localSheetId="16" hidden="1">{#N/A,#N/A,FALSE,"Plan1";#N/A,#N/A,FALSE,"Plan2"}</definedName>
    <definedName name="opiwre" localSheetId="0" hidden="1">{#N/A,#N/A,FALSE,"Plan1";#N/A,#N/A,FALSE,"Plan2"}</definedName>
    <definedName name="opiwre" localSheetId="26" hidden="1">{#N/A,#N/A,FALSE,"Plan1";#N/A,#N/A,FALSE,"Plan2"}</definedName>
    <definedName name="opiwre" localSheetId="11" hidden="1">{#N/A,#N/A,FALSE,"Plan1";#N/A,#N/A,FALSE,"Plan2"}</definedName>
    <definedName name="opiwre" hidden="1">{#N/A,#N/A,FALSE,"Plan1";#N/A,#N/A,FALSE,"Plan2"}</definedName>
    <definedName name="ORCAMEN" localSheetId="24">#REF!</definedName>
    <definedName name="ORCAMEN" localSheetId="7">#REF!</definedName>
    <definedName name="ORCAMEN" localSheetId="3">#REF!</definedName>
    <definedName name="ORCAMEN" localSheetId="26">#REF!</definedName>
    <definedName name="ORCAMEN">#REF!</definedName>
    <definedName name="Orcamentistas" localSheetId="7">#REF!</definedName>
    <definedName name="Orcamentistas" localSheetId="3">#REF!</definedName>
    <definedName name="Orcamentistas">#REF!</definedName>
    <definedName name="origem_recebiveis" localSheetId="7">#REF!</definedName>
    <definedName name="origem_recebiveis" localSheetId="3">#REF!</definedName>
    <definedName name="origem_recebiveis">#REF!</definedName>
    <definedName name="origem_unidades" localSheetId="7">#REF!</definedName>
    <definedName name="origem_unidades" localSheetId="3">#REF!</definedName>
    <definedName name="origem_unidades">#REF!</definedName>
    <definedName name="Origem2_Recebimento_Fin_Medições" localSheetId="7">#REF!</definedName>
    <definedName name="Origem2_Recebimento_Fin_Medições" localSheetId="3">#REF!</definedName>
    <definedName name="Origem2_Recebimento_Fin_Medições">#REF!</definedName>
    <definedName name="os" localSheetId="24" hidden="1">{#N/A,#N/A,FALSE,"TABLE"}</definedName>
    <definedName name="os" localSheetId="7" hidden="1">{#N/A,#N/A,FALSE,"TABLE"}</definedName>
    <definedName name="os" localSheetId="9" hidden="1">{#N/A,#N/A,FALSE,"TABLE"}</definedName>
    <definedName name="os" localSheetId="3" hidden="1">{#N/A,#N/A,FALSE,"TABLE"}</definedName>
    <definedName name="os" localSheetId="2" hidden="1">{#N/A,#N/A,FALSE,"TABLE"}</definedName>
    <definedName name="os" localSheetId="16" hidden="1">{#N/A,#N/A,FALSE,"TABLE"}</definedName>
    <definedName name="os" localSheetId="0" hidden="1">{#N/A,#N/A,FALSE,"TABLE"}</definedName>
    <definedName name="os" localSheetId="26" hidden="1">{#N/A,#N/A,FALSE,"TABLE"}</definedName>
    <definedName name="os" localSheetId="11" hidden="1">{#N/A,#N/A,FALSE,"TABLE"}</definedName>
    <definedName name="os" hidden="1">{#N/A,#N/A,FALSE,"TABLE"}</definedName>
    <definedName name="osca_cdi" localSheetId="24">#REF!</definedName>
    <definedName name="osca_cdi" localSheetId="7">#REF!</definedName>
    <definedName name="osca_cdi" localSheetId="3">#REF!</definedName>
    <definedName name="osca_cdi" localSheetId="26">#REF!</definedName>
    <definedName name="osca_cdi">#REF!</definedName>
    <definedName name="osca_hist" localSheetId="7">#REF!</definedName>
    <definedName name="osca_hist" localSheetId="3">#REF!</definedName>
    <definedName name="osca_hist">#REF!</definedName>
    <definedName name="osca_uss" localSheetId="7">#REF!</definedName>
    <definedName name="osca_uss" localSheetId="3">#REF!</definedName>
    <definedName name="osca_uss">#REF!</definedName>
    <definedName name="otodgkrjglsrd" localSheetId="24" hidden="1">{#N/A,#N/A,FALSE,"Plan1";#N/A,#N/A,FALSE,"Plan2"}</definedName>
    <definedName name="otodgkrjglsrd" localSheetId="7" hidden="1">{#N/A,#N/A,FALSE,"Plan1";#N/A,#N/A,FALSE,"Plan2"}</definedName>
    <definedName name="otodgkrjglsrd" localSheetId="9" hidden="1">{#N/A,#N/A,FALSE,"Plan1";#N/A,#N/A,FALSE,"Plan2"}</definedName>
    <definedName name="otodgkrjglsrd" localSheetId="3" hidden="1">{#N/A,#N/A,FALSE,"Plan1";#N/A,#N/A,FALSE,"Plan2"}</definedName>
    <definedName name="otodgkrjglsrd" localSheetId="2" hidden="1">{#N/A,#N/A,FALSE,"Plan1";#N/A,#N/A,FALSE,"Plan2"}</definedName>
    <definedName name="otodgkrjglsrd" localSheetId="16" hidden="1">{#N/A,#N/A,FALSE,"Plan1";#N/A,#N/A,FALSE,"Plan2"}</definedName>
    <definedName name="otodgkrjglsrd" localSheetId="0" hidden="1">{#N/A,#N/A,FALSE,"Plan1";#N/A,#N/A,FALSE,"Plan2"}</definedName>
    <definedName name="otodgkrjglsrd" localSheetId="26" hidden="1">{#N/A,#N/A,FALSE,"Plan1";#N/A,#N/A,FALSE,"Plan2"}</definedName>
    <definedName name="otodgkrjglsrd" localSheetId="11" hidden="1">{#N/A,#N/A,FALSE,"Plan1";#N/A,#N/A,FALSE,"Plan2"}</definedName>
    <definedName name="otodgkrjglsrd" hidden="1">{#N/A,#N/A,FALSE,"Plan1";#N/A,#N/A,FALSE,"Plan2"}</definedName>
    <definedName name="OUERWRSR" localSheetId="24" hidden="1">{#N/A,#N/A,FALSE,"Plan1";#N/A,#N/A,FALSE,"Plan2"}</definedName>
    <definedName name="OUERWRSR" localSheetId="7" hidden="1">{#N/A,#N/A,FALSE,"Plan1";#N/A,#N/A,FALSE,"Plan2"}</definedName>
    <definedName name="OUERWRSR" localSheetId="9" hidden="1">{#N/A,#N/A,FALSE,"Plan1";#N/A,#N/A,FALSE,"Plan2"}</definedName>
    <definedName name="OUERWRSR" localSheetId="3" hidden="1">{#N/A,#N/A,FALSE,"Plan1";#N/A,#N/A,FALSE,"Plan2"}</definedName>
    <definedName name="OUERWRSR" localSheetId="2" hidden="1">{#N/A,#N/A,FALSE,"Plan1";#N/A,#N/A,FALSE,"Plan2"}</definedName>
    <definedName name="OUERWRSR" localSheetId="16" hidden="1">{#N/A,#N/A,FALSE,"Plan1";#N/A,#N/A,FALSE,"Plan2"}</definedName>
    <definedName name="OUERWRSR" localSheetId="0" hidden="1">{#N/A,#N/A,FALSE,"Plan1";#N/A,#N/A,FALSE,"Plan2"}</definedName>
    <definedName name="OUERWRSR" localSheetId="26" hidden="1">{#N/A,#N/A,FALSE,"Plan1";#N/A,#N/A,FALSE,"Plan2"}</definedName>
    <definedName name="OUERWRSR" localSheetId="11" hidden="1">{#N/A,#N/A,FALSE,"Plan1";#N/A,#N/A,FALSE,"Plan2"}</definedName>
    <definedName name="OUERWRSR" hidden="1">{#N/A,#N/A,FALSE,"Plan1";#N/A,#N/A,FALSE,"Plan2"}</definedName>
    <definedName name="out17RJ" localSheetId="24">#REF!</definedName>
    <definedName name="out17RJ" localSheetId="7">#REF!</definedName>
    <definedName name="out17RJ" localSheetId="3">#REF!</definedName>
    <definedName name="out17RJ" localSheetId="26">#REF!</definedName>
    <definedName name="out17RJ">#REF!</definedName>
    <definedName name="outro" localSheetId="7" hidden="1">#REF!</definedName>
    <definedName name="outro" localSheetId="3" hidden="1">#REF!</definedName>
    <definedName name="outro" localSheetId="0" hidden="1">#REF!</definedName>
    <definedName name="outro" hidden="1">#REF!</definedName>
    <definedName name="OUTROS" localSheetId="7">#REF!</definedName>
    <definedName name="OUTROS" localSheetId="3">#REF!</definedName>
    <definedName name="OUTROS">#REF!</definedName>
    <definedName name="OUTROS_CCUSTO" localSheetId="7">#REF!</definedName>
    <definedName name="OUTROS_CCUSTO" localSheetId="3">#REF!</definedName>
    <definedName name="OUTROS_CCUSTO">#REF!</definedName>
    <definedName name="Outros_Pisos" localSheetId="7">#REF!</definedName>
    <definedName name="Outros_Pisos" localSheetId="3">#REF!</definedName>
    <definedName name="Outros_Pisos">#REF!</definedName>
    <definedName name="Outros1" localSheetId="7">#REF!</definedName>
    <definedName name="Outros1" localSheetId="3">#REF!</definedName>
    <definedName name="Outros1">#REF!</definedName>
    <definedName name="OUTUBRO" localSheetId="7">#REF!</definedName>
    <definedName name="OUTUBRO" localSheetId="3">#REF!</definedName>
    <definedName name="OUTUBRO">#REF!</definedName>
    <definedName name="overhaul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 localSheetId="24">#REF!</definedName>
    <definedName name="oxfo_cdi" localSheetId="7">#REF!</definedName>
    <definedName name="oxfo_cdi" localSheetId="3">#REF!</definedName>
    <definedName name="oxfo_cdi" localSheetId="26">#REF!</definedName>
    <definedName name="oxfo_cdi">#REF!</definedName>
    <definedName name="oxfo_hist" localSheetId="7">#REF!</definedName>
    <definedName name="oxfo_hist" localSheetId="3">#REF!</definedName>
    <definedName name="oxfo_hist">#REF!</definedName>
    <definedName name="oxfo_uss" localSheetId="7">#REF!</definedName>
    <definedName name="oxfo_uss" localSheetId="3">#REF!</definedName>
    <definedName name="oxfo_uss">#REF!</definedName>
    <definedName name="P" localSheetId="7">#REF!</definedName>
    <definedName name="P" localSheetId="3">#REF!</definedName>
    <definedName name="P">#REF!</definedName>
    <definedName name="PA" localSheetId="7">#REF!</definedName>
    <definedName name="PA" localSheetId="3">#REF!</definedName>
    <definedName name="PA">#REF!</definedName>
    <definedName name="Padrao_A" localSheetId="7">#REF!</definedName>
    <definedName name="Padrao_A" localSheetId="3">#REF!</definedName>
    <definedName name="Padrao_A">#REF!</definedName>
    <definedName name="Padrao_B" localSheetId="7">#REF!</definedName>
    <definedName name="Padrao_B" localSheetId="3">#REF!</definedName>
    <definedName name="Padrao_B">#REF!</definedName>
    <definedName name="Padrao_C" localSheetId="7">#REF!</definedName>
    <definedName name="Padrao_C" localSheetId="3">#REF!</definedName>
    <definedName name="Padrao_C">#REF!</definedName>
    <definedName name="Padrao_D" localSheetId="7">#REF!</definedName>
    <definedName name="Padrao_D" localSheetId="3">#REF!</definedName>
    <definedName name="Padrao_D">#REF!</definedName>
    <definedName name="Padrao_E" localSheetId="7">#REF!</definedName>
    <definedName name="Padrao_E" localSheetId="3">#REF!</definedName>
    <definedName name="Padrao_E">#REF!</definedName>
    <definedName name="Padrao_F" localSheetId="7">#REF!</definedName>
    <definedName name="Padrao_F" localSheetId="3">#REF!</definedName>
    <definedName name="Padrao_F">#REF!</definedName>
    <definedName name="Pagamento_Num" localSheetId="24">ROW()-Linha_Cabeçalho</definedName>
    <definedName name="Pagamento_Num" localSheetId="7">ROW()-Linha_Cabeçalho</definedName>
    <definedName name="Pagamento_Num" localSheetId="9">ROW()-Linha_Cabeçalho</definedName>
    <definedName name="Pagamento_Num" localSheetId="3">ROW()-Linha_Cabeçalho</definedName>
    <definedName name="Pagamento_Num" localSheetId="2">ROW()-Linha_Cabeçalho</definedName>
    <definedName name="Pagamento_Num" localSheetId="17">ROW()-Linha_Cabeçalho</definedName>
    <definedName name="Pagamento_Num" localSheetId="16">ROW()-Linha_Cabeçalho</definedName>
    <definedName name="Pagamento_Num" localSheetId="0">ROW()-Linha_Cabeçalho</definedName>
    <definedName name="Pagamento_Num" localSheetId="26">ROW()-Linha_Cabeçalho</definedName>
    <definedName name="Pagamento_Num">ROW()-Linha_Cabeçalho</definedName>
    <definedName name="Pago_Até_2015_Controladoria" localSheetId="7">#REF!</definedName>
    <definedName name="Pago_Até_2015_Controladoria" localSheetId="9">#REF!</definedName>
    <definedName name="Pago_Até_2015_Controladoria" localSheetId="3">#REF!</definedName>
    <definedName name="Pago_Até_2015_Controladoria">#REF!</definedName>
    <definedName name="Pal_Workbook_GUID" hidden="1">"3HURD34M2XKWJ5V6M4BWCR5Q"</definedName>
    <definedName name="PAP" localSheetId="24">#REF!</definedName>
    <definedName name="PAP" localSheetId="7">#REF!</definedName>
    <definedName name="PAP" localSheetId="3">#REF!</definedName>
    <definedName name="PAP" localSheetId="26">#REF!</definedName>
    <definedName name="PAP">#REF!</definedName>
    <definedName name="PARAM_FIS_1" localSheetId="7">#REF!</definedName>
    <definedName name="PARAM_FIS_1" localSheetId="3">#REF!</definedName>
    <definedName name="PARAM_FIS_1">#REF!</definedName>
    <definedName name="PARAM_FIS_2" localSheetId="7">#REF!</definedName>
    <definedName name="PARAM_FIS_2" localSheetId="3">#REF!</definedName>
    <definedName name="PARAM_FIS_2">#REF!</definedName>
    <definedName name="ParamValues1" localSheetId="24">#REF!</definedName>
    <definedName name="ParamValues1" localSheetId="7">#REF!</definedName>
    <definedName name="ParamValues1" localSheetId="9">#REF!</definedName>
    <definedName name="ParamValues1" localSheetId="3">#REF!</definedName>
    <definedName name="ParamValues1" localSheetId="0">#REF!</definedName>
    <definedName name="ParamValues1" localSheetId="26">#REF!</definedName>
    <definedName name="ParamValues1">#REF!</definedName>
    <definedName name="ParamValues2" localSheetId="7">#REF!</definedName>
    <definedName name="ParamValues2" localSheetId="3">#REF!</definedName>
    <definedName name="ParamValues2">#REF!</definedName>
    <definedName name="Parao_E" localSheetId="7">#REF!</definedName>
    <definedName name="Parao_E" localSheetId="3">#REF!</definedName>
    <definedName name="Parao_E">#REF!</definedName>
    <definedName name="Parede1" localSheetId="7">#REF!</definedName>
    <definedName name="Parede1" localSheetId="3">#REF!</definedName>
    <definedName name="Parede1">#REF!</definedName>
    <definedName name="Parede2" localSheetId="7">#REF!</definedName>
    <definedName name="Parede2" localSheetId="3">#REF!</definedName>
    <definedName name="Parede2">#REF!</definedName>
    <definedName name="PAREDES" localSheetId="7">#REF!</definedName>
    <definedName name="PAREDES" localSheetId="3">#REF!</definedName>
    <definedName name="PAREDES">#REF!</definedName>
    <definedName name="PAV" localSheetId="24">#REF!</definedName>
    <definedName name="PAV" localSheetId="7">#REF!</definedName>
    <definedName name="PAV" localSheetId="5">#REF!</definedName>
    <definedName name="PAV" localSheetId="3">#REF!</definedName>
    <definedName name="PAV" localSheetId="0">#REF!</definedName>
    <definedName name="PAV">#REF!</definedName>
    <definedName name="PAVILHAO" localSheetId="7">#REF!</definedName>
    <definedName name="PAVILHAO" localSheetId="3">#REF!</definedName>
    <definedName name="PAVILHAO">#REF!</definedName>
    <definedName name="PAVT" localSheetId="7">#REF!</definedName>
    <definedName name="PAVT" localSheetId="3">#REF!</definedName>
    <definedName name="PAVT">#REF!</definedName>
    <definedName name="pçgktr" hidden="1">#REF!</definedName>
    <definedName name="PDER" localSheetId="7">#REF!</definedName>
    <definedName name="PDER" localSheetId="3">#REF!</definedName>
    <definedName name="PDER">#REF!</definedName>
    <definedName name="PDIVERS" localSheetId="7">#REF!</definedName>
    <definedName name="PDIVERS" localSheetId="3">#REF!</definedName>
    <definedName name="PDIVERS">#REF!</definedName>
    <definedName name="PE" localSheetId="7">#REF!</definedName>
    <definedName name="PE" localSheetId="3">#REF!</definedName>
    <definedName name="PE">#REF!</definedName>
    <definedName name="PEMD" localSheetId="7">#REF!</definedName>
    <definedName name="PEMD" localSheetId="3">#REF!</definedName>
    <definedName name="PEMD">#REF!</definedName>
    <definedName name="Pendencias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 localSheetId="24">#REF!</definedName>
    <definedName name="perfura" localSheetId="7">#REF!</definedName>
    <definedName name="perfura" localSheetId="3">#REF!</definedName>
    <definedName name="perfura" localSheetId="26">#REF!</definedName>
    <definedName name="perfura">#REF!</definedName>
    <definedName name="Perímetro_lajão" localSheetId="7">#REF!</definedName>
    <definedName name="Perímetro_lajão" localSheetId="3">#REF!</definedName>
    <definedName name="Perímetro_lajão" localSheetId="0">#REF!</definedName>
    <definedName name="Perímetro_lajão">#REF!</definedName>
    <definedName name="Perímetro_Terreno" localSheetId="7">#REF!</definedName>
    <definedName name="Perímetro_Terreno" localSheetId="3">#REF!</definedName>
    <definedName name="Perímetro_Terreno" localSheetId="0">#REF!</definedName>
    <definedName name="Perímetro_Terreno">#REF!</definedName>
    <definedName name="Perímetro_torre" localSheetId="7">#REF!</definedName>
    <definedName name="Perímetro_torre" localSheetId="3">#REF!</definedName>
    <definedName name="Perímetro_torre" localSheetId="0">#REF!</definedName>
    <definedName name="Perímetro_torre">#REF!</definedName>
    <definedName name="pessoal" localSheetId="7">#REF!</definedName>
    <definedName name="pessoal" localSheetId="3">#REF!</definedName>
    <definedName name="pessoal">#REF!</definedName>
    <definedName name="petro2" hidden="1">#REF!</definedName>
    <definedName name="PhyG" localSheetId="7">#REF!</definedName>
    <definedName name="PhyG" localSheetId="3">#REF!</definedName>
    <definedName name="PhyG">#REF!</definedName>
    <definedName name="PhyGS" localSheetId="7">#REF!</definedName>
    <definedName name="PhyGS" localSheetId="3">#REF!</definedName>
    <definedName name="PhyGS">#REF!</definedName>
    <definedName name="PI" localSheetId="7">#REF!</definedName>
    <definedName name="PI" localSheetId="3">#REF!</definedName>
    <definedName name="PI">#REF!</definedName>
    <definedName name="piaz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 localSheetId="24">#REF!</definedName>
    <definedName name="PIEQUIP" localSheetId="7">#REF!</definedName>
    <definedName name="PIEQUIP" localSheetId="3">#REF!</definedName>
    <definedName name="PIEQUIP" localSheetId="26">#REF!</definedName>
    <definedName name="PIEQUIP">#REF!</definedName>
    <definedName name="Pintura" localSheetId="24">#REF!</definedName>
    <definedName name="Pintura" localSheetId="9">#REF!</definedName>
    <definedName name="Pintura" localSheetId="3">#REF!</definedName>
    <definedName name="Pintura" localSheetId="2">#REF!</definedName>
    <definedName name="Pintura" localSheetId="26">#REF!</definedName>
    <definedName name="Pintura">#REF!</definedName>
    <definedName name="PIS_COFINS" localSheetId="7">#REF!</definedName>
    <definedName name="PIS_COFINS" localSheetId="9">#REF!</definedName>
    <definedName name="PIS_COFINS" localSheetId="3">#REF!</definedName>
    <definedName name="PIS_COFINS">#REF!</definedName>
    <definedName name="PisCofins" localSheetId="7">#REF!</definedName>
    <definedName name="PisCofins" localSheetId="3">#REF!</definedName>
    <definedName name="PisCofins">#REF!</definedName>
    <definedName name="Piso1" localSheetId="7">#REF!</definedName>
    <definedName name="Piso1" localSheetId="3">#REF!</definedName>
    <definedName name="Piso1">#REF!</definedName>
    <definedName name="Piso2" localSheetId="7">#REF!</definedName>
    <definedName name="Piso2" localSheetId="3">#REF!</definedName>
    <definedName name="Piso2">#REF!</definedName>
    <definedName name="PISOS" localSheetId="7">#REF!</definedName>
    <definedName name="PISOS" localSheetId="3">#REF!</definedName>
    <definedName name="PISOS">#REF!</definedName>
    <definedName name="PL" localSheetId="7">#REF!</definedName>
    <definedName name="PL" localSheetId="3">#REF!</definedName>
    <definedName name="PL">#REF!</definedName>
    <definedName name="PLACAS" localSheetId="24" hidden="1">{#N/A,#N/A,TRUE,"Quinzena 01 à 15-04-98 "}</definedName>
    <definedName name="PLACAS" localSheetId="7" hidden="1">{#N/A,#N/A,TRUE,"Quinzena 01 à 15-04-98 "}</definedName>
    <definedName name="PLACAS" localSheetId="9" hidden="1">{#N/A,#N/A,TRUE,"Quinzena 01 à 15-04-98 "}</definedName>
    <definedName name="PLACAS" localSheetId="3" hidden="1">{#N/A,#N/A,TRUE,"Quinzena 01 à 15-04-98 "}</definedName>
    <definedName name="PLACAS" localSheetId="2" hidden="1">{#N/A,#N/A,TRUE,"Quinzena 01 à 15-04-98 "}</definedName>
    <definedName name="PLACAS" localSheetId="16" hidden="1">{#N/A,#N/A,TRUE,"Quinzena 01 à 15-04-98 "}</definedName>
    <definedName name="PLACAS" localSheetId="0" hidden="1">{#N/A,#N/A,TRUE,"Quinzena 01 à 15-04-98 "}</definedName>
    <definedName name="PLACAS" localSheetId="26" hidden="1">{#N/A,#N/A,TRUE,"Quinzena 01 à 15-04-98 "}</definedName>
    <definedName name="PLACAS" localSheetId="11" hidden="1">{#N/A,#N/A,TRUE,"Quinzena 01 à 15-04-98 "}</definedName>
    <definedName name="PLACAS" hidden="1">{#N/A,#N/A,TRUE,"Quinzena 01 à 15-04-98 "}</definedName>
    <definedName name="Placas_Areas" localSheetId="24" hidden="1">{#N/A,#N/A,TRUE,"Quinzena 01 à 15-04-98 "}</definedName>
    <definedName name="Placas_Areas" localSheetId="7" hidden="1">{#N/A,#N/A,TRUE,"Quinzena 01 à 15-04-98 "}</definedName>
    <definedName name="Placas_Areas" localSheetId="9" hidden="1">{#N/A,#N/A,TRUE,"Quinzena 01 à 15-04-98 "}</definedName>
    <definedName name="Placas_Areas" localSheetId="3" hidden="1">{#N/A,#N/A,TRUE,"Quinzena 01 à 15-04-98 "}</definedName>
    <definedName name="Placas_Areas" localSheetId="2" hidden="1">{#N/A,#N/A,TRUE,"Quinzena 01 à 15-04-98 "}</definedName>
    <definedName name="Placas_Areas" localSheetId="16" hidden="1">{#N/A,#N/A,TRUE,"Quinzena 01 à 15-04-98 "}</definedName>
    <definedName name="Placas_Areas" localSheetId="0" hidden="1">{#N/A,#N/A,TRUE,"Quinzena 01 à 15-04-98 "}</definedName>
    <definedName name="Placas_Areas" localSheetId="26" hidden="1">{#N/A,#N/A,TRUE,"Quinzena 01 à 15-04-98 "}</definedName>
    <definedName name="Placas_Areas" localSheetId="11" hidden="1">{#N/A,#N/A,TRUE,"Quinzena 01 à 15-04-98 "}</definedName>
    <definedName name="Placas_Areas" hidden="1">{#N/A,#N/A,TRUE,"Quinzena 01 à 15-04-98 "}</definedName>
    <definedName name="plan" localSheetId="7" hidden="1">#REF!</definedName>
    <definedName name="PLAN" localSheetId="3">#REF!</definedName>
    <definedName name="plan" localSheetId="0" hidden="1">#REF!</definedName>
    <definedName name="PLAN">#REF!</definedName>
    <definedName name="plan2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 localSheetId="24">#REF!</definedName>
    <definedName name="PLANILHA" localSheetId="7">#REF!</definedName>
    <definedName name="PLANILHA" localSheetId="3">#REF!</definedName>
    <definedName name="PLANILHA" localSheetId="26">#REF!</definedName>
    <definedName name="PLANILHA">#REF!</definedName>
    <definedName name="Planilha2" localSheetId="7">#REF!</definedName>
    <definedName name="Planilha2" localSheetId="3">#REF!</definedName>
    <definedName name="Planilha2">#REF!</definedName>
    <definedName name="plasçdeaw" localSheetId="24" hidden="1">{#N/A,#N/A,FALSE,"Plan1";#N/A,#N/A,FALSE,"Plan2"}</definedName>
    <definedName name="plasçdeaw" localSheetId="7" hidden="1">{#N/A,#N/A,FALSE,"Plan1";#N/A,#N/A,FALSE,"Plan2"}</definedName>
    <definedName name="plasçdeaw" localSheetId="9" hidden="1">{#N/A,#N/A,FALSE,"Plan1";#N/A,#N/A,FALSE,"Plan2"}</definedName>
    <definedName name="plasçdeaw" localSheetId="3" hidden="1">{#N/A,#N/A,FALSE,"Plan1";#N/A,#N/A,FALSE,"Plan2"}</definedName>
    <definedName name="plasçdeaw" localSheetId="2" hidden="1">{#N/A,#N/A,FALSE,"Plan1";#N/A,#N/A,FALSE,"Plan2"}</definedName>
    <definedName name="plasçdeaw" localSheetId="16" hidden="1">{#N/A,#N/A,FALSE,"Plan1";#N/A,#N/A,FALSE,"Plan2"}</definedName>
    <definedName name="plasçdeaw" localSheetId="0" hidden="1">{#N/A,#N/A,FALSE,"Plan1";#N/A,#N/A,FALSE,"Plan2"}</definedName>
    <definedName name="plasçdeaw" localSheetId="26" hidden="1">{#N/A,#N/A,FALSE,"Plan1";#N/A,#N/A,FALSE,"Plan2"}</definedName>
    <definedName name="plasçdeaw" localSheetId="11" hidden="1">{#N/A,#N/A,FALSE,"Plan1";#N/A,#N/A,FALSE,"Plan2"}</definedName>
    <definedName name="plasçdeaw" hidden="1">{#N/A,#N/A,FALSE,"Plan1";#N/A,#N/A,FALSE,"Plan2"}</definedName>
    <definedName name="plaslrswe" localSheetId="24" hidden="1">{#N/A,#N/A,FALSE,"Plan1";#N/A,#N/A,FALSE,"Plan2"}</definedName>
    <definedName name="plaslrswe" localSheetId="7" hidden="1">{#N/A,#N/A,FALSE,"Plan1";#N/A,#N/A,FALSE,"Plan2"}</definedName>
    <definedName name="plaslrswe" localSheetId="9" hidden="1">{#N/A,#N/A,FALSE,"Plan1";#N/A,#N/A,FALSE,"Plan2"}</definedName>
    <definedName name="plaslrswe" localSheetId="3" hidden="1">{#N/A,#N/A,FALSE,"Plan1";#N/A,#N/A,FALSE,"Plan2"}</definedName>
    <definedName name="plaslrswe" localSheetId="2" hidden="1">{#N/A,#N/A,FALSE,"Plan1";#N/A,#N/A,FALSE,"Plan2"}</definedName>
    <definedName name="plaslrswe" localSheetId="16" hidden="1">{#N/A,#N/A,FALSE,"Plan1";#N/A,#N/A,FALSE,"Plan2"}</definedName>
    <definedName name="plaslrswe" localSheetId="0" hidden="1">{#N/A,#N/A,FALSE,"Plan1";#N/A,#N/A,FALSE,"Plan2"}</definedName>
    <definedName name="plaslrswe" localSheetId="26" hidden="1">{#N/A,#N/A,FALSE,"Plan1";#N/A,#N/A,FALSE,"Plan2"}</definedName>
    <definedName name="plaslrswe" localSheetId="11" hidden="1">{#N/A,#N/A,FALSE,"Plan1";#N/A,#N/A,FALSE,"Plan2"}</definedName>
    <definedName name="plaslrswe" hidden="1">{#N/A,#N/A,FALSE,"Plan1";#N/A,#N/A,FALSE,"Plan2"}</definedName>
    <definedName name="pls" localSheetId="7" hidden="1">#REF!</definedName>
    <definedName name="pls" localSheetId="3" hidden="1">#REF!</definedName>
    <definedName name="pls" localSheetId="0" hidden="1">#REF!</definedName>
    <definedName name="pls" hidden="1">#REF!</definedName>
    <definedName name="plsearpef" localSheetId="24" hidden="1">{#N/A,#N/A,FALSE,"Plan1";#N/A,#N/A,FALSE,"Plan2"}</definedName>
    <definedName name="plsearpef" localSheetId="7" hidden="1">{#N/A,#N/A,FALSE,"Plan1";#N/A,#N/A,FALSE,"Plan2"}</definedName>
    <definedName name="plsearpef" localSheetId="9" hidden="1">{#N/A,#N/A,FALSE,"Plan1";#N/A,#N/A,FALSE,"Plan2"}</definedName>
    <definedName name="plsearpef" localSheetId="3" hidden="1">{#N/A,#N/A,FALSE,"Plan1";#N/A,#N/A,FALSE,"Plan2"}</definedName>
    <definedName name="plsearpef" localSheetId="2" hidden="1">{#N/A,#N/A,FALSE,"Plan1";#N/A,#N/A,FALSE,"Plan2"}</definedName>
    <definedName name="plsearpef" localSheetId="16" hidden="1">{#N/A,#N/A,FALSE,"Plan1";#N/A,#N/A,FALSE,"Plan2"}</definedName>
    <definedName name="plsearpef" localSheetId="0" hidden="1">{#N/A,#N/A,FALSE,"Plan1";#N/A,#N/A,FALSE,"Plan2"}</definedName>
    <definedName name="plsearpef" localSheetId="26" hidden="1">{#N/A,#N/A,FALSE,"Plan1";#N/A,#N/A,FALSE,"Plan2"}</definedName>
    <definedName name="plsearpef" localSheetId="11" hidden="1">{#N/A,#N/A,FALSE,"Plan1";#N/A,#N/A,FALSE,"Plan2"}</definedName>
    <definedName name="plsearpef" hidden="1">{#N/A,#N/A,FALSE,"Plan1";#N/A,#N/A,FALSE,"Plan2"}</definedName>
    <definedName name="plss" localSheetId="24" hidden="1">{#N/A,#N/A,FALSE,"Plan1";#N/A,#N/A,FALSE,"Plan2"}</definedName>
    <definedName name="plss" localSheetId="7" hidden="1">{#N/A,#N/A,FALSE,"Plan1";#N/A,#N/A,FALSE,"Plan2"}</definedName>
    <definedName name="plss" localSheetId="9" hidden="1">{#N/A,#N/A,FALSE,"Plan1";#N/A,#N/A,FALSE,"Plan2"}</definedName>
    <definedName name="plss" localSheetId="3" hidden="1">{#N/A,#N/A,FALSE,"Plan1";#N/A,#N/A,FALSE,"Plan2"}</definedName>
    <definedName name="plss" localSheetId="2" hidden="1">{#N/A,#N/A,FALSE,"Plan1";#N/A,#N/A,FALSE,"Plan2"}</definedName>
    <definedName name="plss" localSheetId="16" hidden="1">{#N/A,#N/A,FALSE,"Plan1";#N/A,#N/A,FALSE,"Plan2"}</definedName>
    <definedName name="plss" localSheetId="0" hidden="1">{#N/A,#N/A,FALSE,"Plan1";#N/A,#N/A,FALSE,"Plan2"}</definedName>
    <definedName name="plss" localSheetId="26" hidden="1">{#N/A,#N/A,FALSE,"Plan1";#N/A,#N/A,FALSE,"Plan2"}</definedName>
    <definedName name="plss" localSheetId="11" hidden="1">{#N/A,#N/A,FALSE,"Plan1";#N/A,#N/A,FALSE,"Plan2"}</definedName>
    <definedName name="plss" hidden="1">{#N/A,#N/A,FALSE,"Plan1";#N/A,#N/A,FALSE,"Plan2"}</definedName>
    <definedName name="PMUR" localSheetId="24">#REF!</definedName>
    <definedName name="PMUR" localSheetId="7">#REF!</definedName>
    <definedName name="PMUR" localSheetId="3">#REF!</definedName>
    <definedName name="PMUR" localSheetId="26">#REF!</definedName>
    <definedName name="PMUR">#REF!</definedName>
    <definedName name="PN2건축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 localSheetId="24">#REF!</definedName>
    <definedName name="Ponderações" localSheetId="7">#REF!</definedName>
    <definedName name="Ponderações" localSheetId="3">#REF!</definedName>
    <definedName name="Ponderações" localSheetId="26">#REF!</definedName>
    <definedName name="Ponderações">#REF!</definedName>
    <definedName name="Pós_Chaves" localSheetId="7">#REF!</definedName>
    <definedName name="Pós_Chaves" localSheetId="3">#REF!</definedName>
    <definedName name="Pós_Chaves">#REF!</definedName>
    <definedName name="pr" localSheetId="24">#REF!</definedName>
    <definedName name="pr" localSheetId="7">#REF!</definedName>
    <definedName name="pr" localSheetId="5">#REF!</definedName>
    <definedName name="pr" localSheetId="3">#REF!</definedName>
    <definedName name="pr" localSheetId="0">#REF!</definedName>
    <definedName name="pr">#REF!</definedName>
    <definedName name="PRAZO" localSheetId="7">#REF!</definedName>
    <definedName name="PRAZO" localSheetId="3">#REF!</definedName>
    <definedName name="PRAZO">#REF!</definedName>
    <definedName name="Prazo_da_Estrutura" localSheetId="7">#REF!</definedName>
    <definedName name="Prazo_da_Estrutura" localSheetId="3">#REF!</definedName>
    <definedName name="Prazo_da_Estrutura" localSheetId="0">#REF!</definedName>
    <definedName name="Prazo_da_Estrutura">#REF!</definedName>
    <definedName name="PRAZO_EDITAL" localSheetId="7">#REF!</definedName>
    <definedName name="PRAZO_EDITAL" localSheetId="3">#REF!</definedName>
    <definedName name="PRAZO_EDITAL">#REF!</definedName>
    <definedName name="Prazo_Obra" localSheetId="7">#REF!</definedName>
    <definedName name="Prazo_Obra" localSheetId="3">#REF!</definedName>
    <definedName name="Prazo_Obra" localSheetId="0">#REF!</definedName>
    <definedName name="Prazo_Obra">#REF!</definedName>
    <definedName name="PRAZO_ORC" localSheetId="7">#REF!</definedName>
    <definedName name="PRAZO_ORC" localSheetId="3">#REF!</definedName>
    <definedName name="PRAZO_ORC">#REF!</definedName>
    <definedName name="prazo2" localSheetId="7">#REF!</definedName>
    <definedName name="prazo2" localSheetId="3">#REF!</definedName>
    <definedName name="prazo2">#REF!</definedName>
    <definedName name="PRE" localSheetId="24">#REF!</definedName>
    <definedName name="PRE" localSheetId="7">#REF!</definedName>
    <definedName name="PRE" localSheetId="5">#REF!</definedName>
    <definedName name="PRE" localSheetId="3">#REF!</definedName>
    <definedName name="PRE" localSheetId="0">#REF!</definedName>
    <definedName name="PRE">#REF!</definedName>
    <definedName name="PREÇ" localSheetId="7">OFFSET(#REF!,0,0,COUNTA(#REF!),1)</definedName>
    <definedName name="PREÇ" localSheetId="3">OFFSET(#REF!,0,0,COUNTA(#REF!),1)</definedName>
    <definedName name="PREÇ">OFFSET(#REF!,0,0,COUNTA(#REF!),1)</definedName>
    <definedName name="Previsão_Inicial_abr_16" localSheetId="24">#REF!</definedName>
    <definedName name="Previsão_Inicial_abr_16" localSheetId="7">#REF!</definedName>
    <definedName name="Previsão_Inicial_abr_16" localSheetId="3">#REF!</definedName>
    <definedName name="Previsão_Inicial_abr_16" localSheetId="26">#REF!</definedName>
    <definedName name="Previsão_Inicial_abr_16">#REF!</definedName>
    <definedName name="Previsão_Inicial_ago_16" localSheetId="7">#REF!</definedName>
    <definedName name="Previsão_Inicial_ago_16" localSheetId="3">#REF!</definedName>
    <definedName name="Previsão_Inicial_ago_16">#REF!</definedName>
    <definedName name="Previsão_Inicial_dez_16" localSheetId="7">#REF!</definedName>
    <definedName name="Previsão_Inicial_dez_16" localSheetId="3">#REF!</definedName>
    <definedName name="Previsão_Inicial_dez_16">#REF!</definedName>
    <definedName name="Previsão_Inicial_fev_16" localSheetId="7">#REF!</definedName>
    <definedName name="Previsão_Inicial_fev_16" localSheetId="3">#REF!</definedName>
    <definedName name="Previsão_Inicial_fev_16">#REF!</definedName>
    <definedName name="Previsão_Inicial_jan_16" localSheetId="7">#REF!</definedName>
    <definedName name="Previsão_Inicial_jan_16" localSheetId="3">#REF!</definedName>
    <definedName name="Previsão_Inicial_jan_16">#REF!</definedName>
    <definedName name="Previsão_Inicial_jul_16" localSheetId="7">#REF!</definedName>
    <definedName name="Previsão_Inicial_jul_16" localSheetId="3">#REF!</definedName>
    <definedName name="Previsão_Inicial_jul_16">#REF!</definedName>
    <definedName name="Previsão_Inicial_jun_16" localSheetId="7">#REF!</definedName>
    <definedName name="Previsão_Inicial_jun_16" localSheetId="3">#REF!</definedName>
    <definedName name="Previsão_Inicial_jun_16">#REF!</definedName>
    <definedName name="Previsão_Inicial_mai_16" localSheetId="7">#REF!</definedName>
    <definedName name="Previsão_Inicial_mai_16" localSheetId="3">#REF!</definedName>
    <definedName name="Previsão_Inicial_mai_16">#REF!</definedName>
    <definedName name="Previsão_Inicial_mar_16" localSheetId="7">#REF!</definedName>
    <definedName name="Previsão_Inicial_mar_16" localSheetId="3">#REF!</definedName>
    <definedName name="Previsão_Inicial_mar_16">#REF!</definedName>
    <definedName name="Previsão_Inicial_nov_16" localSheetId="7">#REF!</definedName>
    <definedName name="Previsão_Inicial_nov_16" localSheetId="3">#REF!</definedName>
    <definedName name="Previsão_Inicial_nov_16">#REF!</definedName>
    <definedName name="Previsão_Inicial_out_16" localSheetId="7">#REF!</definedName>
    <definedName name="Previsão_Inicial_out_16" localSheetId="3">#REF!</definedName>
    <definedName name="Previsão_Inicial_out_16">#REF!</definedName>
    <definedName name="Previsão_Inicial_set_16" localSheetId="7">#REF!</definedName>
    <definedName name="Previsão_Inicial_set_16" localSheetId="3">#REF!</definedName>
    <definedName name="Previsão_Inicial_set_16">#REF!</definedName>
    <definedName name="Previsão_Vento1" localSheetId="7">#REF!</definedName>
    <definedName name="Previsão_Vento1" localSheetId="3">#REF!</definedName>
    <definedName name="Previsão_Vento1">#REF!</definedName>
    <definedName name="Previsto_a_medir_Fin_Medições" localSheetId="7">#REF!</definedName>
    <definedName name="Previsto_a_medir_Fin_Medições" localSheetId="3">#REF!</definedName>
    <definedName name="Previsto_a_medir_Fin_Medições">#REF!</definedName>
    <definedName name="print" localSheetId="24" hidden="1">{#N/A,#N/A,FALSE,"$170M Cash";#N/A,#N/A,FALSE,"$250M Cash";#N/A,#N/A,FALSE,"$325M Cash"}</definedName>
    <definedName name="print" localSheetId="7" hidden="1">{#N/A,#N/A,FALSE,"$170M Cash";#N/A,#N/A,FALSE,"$250M Cash";#N/A,#N/A,FALSE,"$325M Cash"}</definedName>
    <definedName name="print" localSheetId="9" hidden="1">{#N/A,#N/A,FALSE,"$170M Cash";#N/A,#N/A,FALSE,"$250M Cash";#N/A,#N/A,FALSE,"$325M Cash"}</definedName>
    <definedName name="print" localSheetId="3" hidden="1">{#N/A,#N/A,FALSE,"$170M Cash";#N/A,#N/A,FALSE,"$250M Cash";#N/A,#N/A,FALSE,"$325M Cash"}</definedName>
    <definedName name="print" localSheetId="2" hidden="1">{#N/A,#N/A,FALSE,"$170M Cash";#N/A,#N/A,FALSE,"$250M Cash";#N/A,#N/A,FALSE,"$325M Cash"}</definedName>
    <definedName name="print" localSheetId="16" hidden="1">{#N/A,#N/A,FALSE,"$170M Cash";#N/A,#N/A,FALSE,"$250M Cash";#N/A,#N/A,FALSE,"$325M Cash"}</definedName>
    <definedName name="print" localSheetId="0" hidden="1">{#N/A,#N/A,FALSE,"$170M Cash";#N/A,#N/A,FALSE,"$250M Cash";#N/A,#N/A,FALSE,"$325M Cash"}</definedName>
    <definedName name="print" localSheetId="26" hidden="1">{#N/A,#N/A,FALSE,"$170M Cash";#N/A,#N/A,FALSE,"$250M Cash";#N/A,#N/A,FALSE,"$325M Cash"}</definedName>
    <definedName name="print" localSheetId="11" hidden="1">{#N/A,#N/A,FALSE,"$170M Cash";#N/A,#N/A,FALSE,"$250M Cash";#N/A,#N/A,FALSE,"$325M Cash"}</definedName>
    <definedName name="print" hidden="1">{#N/A,#N/A,FALSE,"$170M Cash";#N/A,#N/A,FALSE,"$250M Cash";#N/A,#N/A,FALSE,"$325M Cash"}</definedName>
    <definedName name="Print_Area" localSheetId="24">#REF!</definedName>
    <definedName name="Print_Area" localSheetId="3">#REF!</definedName>
    <definedName name="Print_Area" localSheetId="26">#REF!</definedName>
    <definedName name="Print_Area">#REF!</definedName>
    <definedName name="Print_Area_MI" localSheetId="24">#REF!</definedName>
    <definedName name="Print_Area_MI" localSheetId="7">#REF!</definedName>
    <definedName name="Print_Area_MI" localSheetId="5">#REF!</definedName>
    <definedName name="Print_Area_MI" localSheetId="3">#REF!</definedName>
    <definedName name="Print_Area_MI" localSheetId="0">#REF!</definedName>
    <definedName name="Print_Area_MI">#REF!</definedName>
    <definedName name="Print_Titles" localSheetId="3">#REF!</definedName>
    <definedName name="Print_Titles">#REF!</definedName>
    <definedName name="PRINT_TITLES_MI" localSheetId="7">#REF!</definedName>
    <definedName name="PRINT_TITLES_MI" localSheetId="3">#REF!</definedName>
    <definedName name="PRINT_TITLES_MI">#REF!</definedName>
    <definedName name="programa" localSheetId="7">#REF!</definedName>
    <definedName name="programa" localSheetId="3">#REF!</definedName>
    <definedName name="programa">#REF!</definedName>
    <definedName name="Programaa" localSheetId="7">#REF!</definedName>
    <definedName name="Programaa" localSheetId="3">#REF!</definedName>
    <definedName name="Programaa">#REF!</definedName>
    <definedName name="Projeção_torre" localSheetId="7">#REF!</definedName>
    <definedName name="Projeção_torre" localSheetId="3">#REF!</definedName>
    <definedName name="Projeção_torre" localSheetId="0">#REF!</definedName>
    <definedName name="Projeção_torre">#REF!</definedName>
    <definedName name="projeto_nome_com" localSheetId="24">IF((COUNTA(#REF!)-2)&gt;1,"TERRENO "&amp;VLOOKUP(#REF!,#REF!,8,0),VLOOKUP(#REF!,#REF!,3,0))</definedName>
    <definedName name="projeto_nome_com" localSheetId="7">IF((COUNTA(#REF!)-2)&gt;1,"TERRENO "&amp;VLOOKUP(#REF!,#REF!,8,0),VLOOKUP(#REF!,#REF!,3,0))</definedName>
    <definedName name="projeto_nome_com" localSheetId="3">IF((COUNTA(#REF!)-2)&gt;1,"TERRENO "&amp;VLOOKUP(#REF!,#REF!,8,0),VLOOKUP(#REF!,#REF!,3,0))</definedName>
    <definedName name="projeto_nome_com" localSheetId="26">IF((COUNTA(#REF!)-2)&gt;1,"TERRENO "&amp;VLOOKUP(#REF!,#REF!,8,0),VLOOKUP(#REF!,#REF!,3,0))</definedName>
    <definedName name="projeto_nome_com">IF((COUNTA(#REF!)-2)&gt;1,"TERRENO "&amp;VLOOKUP(#REF!,#REF!,8,0),VLOOKUP(#REF!,#REF!,3,0))</definedName>
    <definedName name="PROPAGANDA" localSheetId="7">#REF!</definedName>
    <definedName name="PROPAGANDA" localSheetId="3">#REF!</definedName>
    <definedName name="PROPAGANDA">#REF!</definedName>
    <definedName name="ptirigyiotut" localSheetId="24" hidden="1">{#N/A,#N/A,FALSE,"Plan1";#N/A,#N/A,FALSE,"Plan2"}</definedName>
    <definedName name="ptirigyiotut" localSheetId="7" hidden="1">{#N/A,#N/A,FALSE,"Plan1";#N/A,#N/A,FALSE,"Plan2"}</definedName>
    <definedName name="ptirigyiotut" localSheetId="9" hidden="1">{#N/A,#N/A,FALSE,"Plan1";#N/A,#N/A,FALSE,"Plan2"}</definedName>
    <definedName name="ptirigyiotut" localSheetId="3" hidden="1">{#N/A,#N/A,FALSE,"Plan1";#N/A,#N/A,FALSE,"Plan2"}</definedName>
    <definedName name="ptirigyiotut" localSheetId="2" hidden="1">{#N/A,#N/A,FALSE,"Plan1";#N/A,#N/A,FALSE,"Plan2"}</definedName>
    <definedName name="ptirigyiotut" localSheetId="16" hidden="1">{#N/A,#N/A,FALSE,"Plan1";#N/A,#N/A,FALSE,"Plan2"}</definedName>
    <definedName name="ptirigyiotut" localSheetId="0" hidden="1">{#N/A,#N/A,FALSE,"Plan1";#N/A,#N/A,FALSE,"Plan2"}</definedName>
    <definedName name="ptirigyiotut" localSheetId="26" hidden="1">{#N/A,#N/A,FALSE,"Plan1";#N/A,#N/A,FALSE,"Plan2"}</definedName>
    <definedName name="ptirigyiotut" localSheetId="11" hidden="1">{#N/A,#N/A,FALSE,"Plan1";#N/A,#N/A,FALSE,"Plan2"}</definedName>
    <definedName name="ptirigyiotut" hidden="1">{#N/A,#N/A,FALSE,"Plan1";#N/A,#N/A,FALSE,"Plan2"}</definedName>
    <definedName name="PWER3" localSheetId="24" hidden="1">{#N/A,#N/A,FALSE,"Plan1";#N/A,#N/A,FALSE,"Plan2"}</definedName>
    <definedName name="PWER3" localSheetId="7" hidden="1">{#N/A,#N/A,FALSE,"Plan1";#N/A,#N/A,FALSE,"Plan2"}</definedName>
    <definedName name="PWER3" localSheetId="9" hidden="1">{#N/A,#N/A,FALSE,"Plan1";#N/A,#N/A,FALSE,"Plan2"}</definedName>
    <definedName name="PWER3" localSheetId="3" hidden="1">{#N/A,#N/A,FALSE,"Plan1";#N/A,#N/A,FALSE,"Plan2"}</definedName>
    <definedName name="PWER3" localSheetId="2" hidden="1">{#N/A,#N/A,FALSE,"Plan1";#N/A,#N/A,FALSE,"Plan2"}</definedName>
    <definedName name="PWER3" localSheetId="16" hidden="1">{#N/A,#N/A,FALSE,"Plan1";#N/A,#N/A,FALSE,"Plan2"}</definedName>
    <definedName name="PWER3" localSheetId="0" hidden="1">{#N/A,#N/A,FALSE,"Plan1";#N/A,#N/A,FALSE,"Plan2"}</definedName>
    <definedName name="PWER3" localSheetId="26" hidden="1">{#N/A,#N/A,FALSE,"Plan1";#N/A,#N/A,FALSE,"Plan2"}</definedName>
    <definedName name="PWER3" localSheetId="11" hidden="1">{#N/A,#N/A,FALSE,"Plan1";#N/A,#N/A,FALSE,"Plan2"}</definedName>
    <definedName name="PWER3" hidden="1">{#N/A,#N/A,FALSE,"Plan1";#N/A,#N/A,FALSE,"Plan2"}</definedName>
    <definedName name="q" localSheetId="7" hidden="1">#REF!</definedName>
    <definedName name="q" localSheetId="3">#REF!</definedName>
    <definedName name="q" localSheetId="0" hidden="1">#REF!</definedName>
    <definedName name="q">#REF!</definedName>
    <definedName name="QCLIENTE_PCLIENTE" localSheetId="7">#REF!</definedName>
    <definedName name="QCLIENTE_PCLIENTE" localSheetId="3">#REF!</definedName>
    <definedName name="QCLIENTE_PCLIENTE">#REF!</definedName>
    <definedName name="QCliente_PCliente1" localSheetId="7">#REF!</definedName>
    <definedName name="QCliente_PCliente1" localSheetId="3">#REF!</definedName>
    <definedName name="QCliente_PCliente1">#REF!</definedName>
    <definedName name="qe" localSheetId="24">#REF!</definedName>
    <definedName name="qe" localSheetId="7">#REF!</definedName>
    <definedName name="qe" localSheetId="5">#REF!</definedName>
    <definedName name="qe" localSheetId="3">#REF!</definedName>
    <definedName name="qe" localSheetId="0">#REF!</definedName>
    <definedName name="qe">#REF!</definedName>
    <definedName name="qee" localSheetId="24">#REF!</definedName>
    <definedName name="qee" localSheetId="7">#REF!</definedName>
    <definedName name="qee" localSheetId="5">#REF!</definedName>
    <definedName name="qee" localSheetId="3">#REF!</definedName>
    <definedName name="qee" localSheetId="0">#REF!</definedName>
    <definedName name="qee">#REF!</definedName>
    <definedName name="qkqh1" localSheetId="24" hidden="1">{#N/A,#N/A,FALSE,"명세표"}</definedName>
    <definedName name="qkqh1" localSheetId="7" hidden="1">{#N/A,#N/A,FALSE,"명세표"}</definedName>
    <definedName name="qkqh1" localSheetId="9" hidden="1">{#N/A,#N/A,FALSE,"명세표"}</definedName>
    <definedName name="qkqh1" localSheetId="3" hidden="1">{#N/A,#N/A,FALSE,"명세표"}</definedName>
    <definedName name="qkqh1" localSheetId="2" hidden="1">{#N/A,#N/A,FALSE,"명세표"}</definedName>
    <definedName name="qkqh1" localSheetId="16" hidden="1">{#N/A,#N/A,FALSE,"명세표"}</definedName>
    <definedName name="qkqh1" localSheetId="0" hidden="1">{#N/A,#N/A,FALSE,"명세표"}</definedName>
    <definedName name="qkqh1" localSheetId="26" hidden="1">{#N/A,#N/A,FALSE,"명세표"}</definedName>
    <definedName name="qkqh1" localSheetId="11" hidden="1">{#N/A,#N/A,FALSE,"명세표"}</definedName>
    <definedName name="qkqh1" hidden="1">{#N/A,#N/A,FALSE,"명세표"}</definedName>
    <definedName name="QOAS_POAS" localSheetId="24">#REF!</definedName>
    <definedName name="QOAS_POAS" localSheetId="7">#REF!</definedName>
    <definedName name="QOAS_POAS" localSheetId="3">#REF!</definedName>
    <definedName name="QOAS_POAS" localSheetId="26">#REF!</definedName>
    <definedName name="QOAS_POAS">#REF!</definedName>
    <definedName name="QQ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 localSheetId="7">#REF!:#REF!</definedName>
    <definedName name="QQQ" localSheetId="9">#REF!:#REF!</definedName>
    <definedName name="QQQ" localSheetId="3">#REF!:#REF!</definedName>
    <definedName name="QQQ">#REF!:#REF!</definedName>
    <definedName name="QQQQQQQQ" localSheetId="7" hidden="1">#REF!</definedName>
    <definedName name="QQQQQQQQ" localSheetId="3" hidden="1">#REF!</definedName>
    <definedName name="QQQQQQQQ" localSheetId="0" hidden="1">#REF!</definedName>
    <definedName name="QQQQQQQQ" hidden="1">#REF!</definedName>
    <definedName name="QREAL_PCLIENTE" localSheetId="7">#REF!</definedName>
    <definedName name="QREAL_PCLIENTE" localSheetId="3">#REF!</definedName>
    <definedName name="QREAL_PCLIENTE">#REF!</definedName>
    <definedName name="QReal_PCliente1" localSheetId="7">#REF!</definedName>
    <definedName name="QReal_PCliente1" localSheetId="3">#REF!</definedName>
    <definedName name="QReal_PCliente1">#REF!</definedName>
    <definedName name="QSQWSE" localSheetId="24" hidden="1">{#N/A,#N/A,FALSE,"Plan1";#N/A,#N/A,FALSE,"Plan2"}</definedName>
    <definedName name="QSQWSE" localSheetId="7" hidden="1">{#N/A,#N/A,FALSE,"Plan1";#N/A,#N/A,FALSE,"Plan2"}</definedName>
    <definedName name="QSQWSE" localSheetId="9" hidden="1">{#N/A,#N/A,FALSE,"Plan1";#N/A,#N/A,FALSE,"Plan2"}</definedName>
    <definedName name="QSQWSE" localSheetId="3" hidden="1">{#N/A,#N/A,FALSE,"Plan1";#N/A,#N/A,FALSE,"Plan2"}</definedName>
    <definedName name="QSQWSE" localSheetId="2" hidden="1">{#N/A,#N/A,FALSE,"Plan1";#N/A,#N/A,FALSE,"Plan2"}</definedName>
    <definedName name="QSQWSE" localSheetId="16" hidden="1">{#N/A,#N/A,FALSE,"Plan1";#N/A,#N/A,FALSE,"Plan2"}</definedName>
    <definedName name="QSQWSE" localSheetId="0" hidden="1">{#N/A,#N/A,FALSE,"Plan1";#N/A,#N/A,FALSE,"Plan2"}</definedName>
    <definedName name="QSQWSE" localSheetId="26" hidden="1">{#N/A,#N/A,FALSE,"Plan1";#N/A,#N/A,FALSE,"Plan2"}</definedName>
    <definedName name="QSQWSE" localSheetId="11" hidden="1">{#N/A,#N/A,FALSE,"Plan1";#N/A,#N/A,FALSE,"Plan2"}</definedName>
    <definedName name="QSQWSE" hidden="1">{#N/A,#N/A,FALSE,"Plan1";#N/A,#N/A,FALSE,"Plan2"}</definedName>
    <definedName name="qtd_mensal" localSheetId="24">#REF!</definedName>
    <definedName name="qtd_mensal" localSheetId="7">#REF!</definedName>
    <definedName name="qtd_mensal" localSheetId="3">#REF!</definedName>
    <definedName name="qtd_mensal" localSheetId="26">#REF!</definedName>
    <definedName name="qtd_mensal">#REF!</definedName>
    <definedName name="qtd3esta" localSheetId="7">#REF!</definedName>
    <definedName name="qtd3esta" localSheetId="3">#REF!</definedName>
    <definedName name="qtd3esta">#REF!</definedName>
    <definedName name="qtdbase" localSheetId="7">#REF!</definedName>
    <definedName name="qtdbase" localSheetId="3">#REF!</definedName>
    <definedName name="qtdbase">#REF!</definedName>
    <definedName name="qtdbltub" localSheetId="7">#REF!</definedName>
    <definedName name="qtdbltub" localSheetId="3">#REF!</definedName>
    <definedName name="qtdbltub">#REF!</definedName>
    <definedName name="qtdestac" localSheetId="7">#REF!</definedName>
    <definedName name="qtdestac" localSheetId="3">#REF!</definedName>
    <definedName name="qtdestac">#REF!</definedName>
    <definedName name="qtdsap" localSheetId="7">#REF!</definedName>
    <definedName name="qtdsap" localSheetId="3">#REF!</definedName>
    <definedName name="qtdsap">#REF!</definedName>
    <definedName name="qtdtub" localSheetId="7">#REF!</definedName>
    <definedName name="qtdtub" localSheetId="3">#REF!</definedName>
    <definedName name="qtdtub">#REF!</definedName>
    <definedName name="QTNULO" localSheetId="7">#REF!</definedName>
    <definedName name="QTNULO" localSheetId="3">#REF!</definedName>
    <definedName name="QTNULO">#REF!</definedName>
    <definedName name="QTPADRAO" localSheetId="7">#REF!</definedName>
    <definedName name="QTPADRAO" localSheetId="3">#REF!</definedName>
    <definedName name="QTPADRAO">#REF!</definedName>
    <definedName name="QTRES" localSheetId="7">#REF!</definedName>
    <definedName name="QTRES" localSheetId="3">#REF!</definedName>
    <definedName name="QTRES">#REF!</definedName>
    <definedName name="QuadraE" localSheetId="7">#REF!</definedName>
    <definedName name="QuadraE" localSheetId="3">#REF!</definedName>
    <definedName name="QuadraE">#REF!</definedName>
    <definedName name="quadrocompar." localSheetId="7">#REF!</definedName>
    <definedName name="quadrocompar." localSheetId="3">#REF!</definedName>
    <definedName name="quadrocompar.">#REF!</definedName>
    <definedName name="QUANT" localSheetId="7">#REF!</definedName>
    <definedName name="QUANT" localSheetId="3">#REF!</definedName>
    <definedName name="QUANT">#REF!</definedName>
    <definedName name="Quant_Aptos" localSheetId="7">#REF!</definedName>
    <definedName name="Quant_Aptos" localSheetId="3">#REF!</definedName>
    <definedName name="Quant_Aptos" localSheetId="0">#REF!</definedName>
    <definedName name="Quant_Aptos">#REF!</definedName>
    <definedName name="Quant_Cremalheira" localSheetId="7">#REF!</definedName>
    <definedName name="Quant_Cremalheira" localSheetId="3">#REF!</definedName>
    <definedName name="Quant_Cremalheira" localSheetId="0">#REF!</definedName>
    <definedName name="Quant_Cremalheira">#REF!</definedName>
    <definedName name="Quant_grua" localSheetId="7">#REF!</definedName>
    <definedName name="Quant_grua" localSheetId="3">#REF!</definedName>
    <definedName name="Quant_grua" localSheetId="0">#REF!</definedName>
    <definedName name="Quant_grua">#REF!</definedName>
    <definedName name="Quant_pav_lajão" localSheetId="7">#REF!</definedName>
    <definedName name="Quant_pav_lajão" localSheetId="3">#REF!</definedName>
    <definedName name="Quant_pav_lajão" localSheetId="0">#REF!</definedName>
    <definedName name="Quant_pav_lajão">#REF!</definedName>
    <definedName name="Quant_tipo" localSheetId="7">#REF!</definedName>
    <definedName name="Quant_tipo" localSheetId="3">#REF!</definedName>
    <definedName name="Quant_tipo" localSheetId="0">#REF!</definedName>
    <definedName name="Quant_tipo">#REF!</definedName>
    <definedName name="Quant_torres" localSheetId="7">#REF!</definedName>
    <definedName name="Quant_torres" localSheetId="3">#REF!</definedName>
    <definedName name="Quant_torres" localSheetId="0">#REF!</definedName>
    <definedName name="Quant_torres">#REF!</definedName>
    <definedName name="Quantidade_Elevadores" localSheetId="7">#REF!</definedName>
    <definedName name="Quantidade_Elevadores" localSheetId="3">#REF!</definedName>
    <definedName name="Quantidade_Elevadores" localSheetId="0">#REF!</definedName>
    <definedName name="Quantidade_Elevadores">#REF!</definedName>
    <definedName name="QUANTP" localSheetId="7">#REF!</definedName>
    <definedName name="QUANTP" localSheetId="3">#REF!</definedName>
    <definedName name="QUANTP">#REF!</definedName>
    <definedName name="QUATRO" localSheetId="7">#REF!</definedName>
    <definedName name="QUATRO" localSheetId="3">#REF!</definedName>
    <definedName name="QUATRO">#REF!</definedName>
    <definedName name="QUINZE" localSheetId="7">#REF!</definedName>
    <definedName name="QUINZE" localSheetId="3">#REF!</definedName>
    <definedName name="QUINZE">#REF!</definedName>
    <definedName name="qwdqw" localSheetId="24" hidden="1">{#N/A,#N/A,FALSE,"Plan1";#N/A,#N/A,FALSE,"Plan2"}</definedName>
    <definedName name="qwdqw" localSheetId="7" hidden="1">{#N/A,#N/A,FALSE,"Plan1";#N/A,#N/A,FALSE,"Plan2"}</definedName>
    <definedName name="qwdqw" localSheetId="9" hidden="1">{#N/A,#N/A,FALSE,"Plan1";#N/A,#N/A,FALSE,"Plan2"}</definedName>
    <definedName name="qwdqw" localSheetId="3" hidden="1">{#N/A,#N/A,FALSE,"Plan1";#N/A,#N/A,FALSE,"Plan2"}</definedName>
    <definedName name="qwdqw" localSheetId="2" hidden="1">{#N/A,#N/A,FALSE,"Plan1";#N/A,#N/A,FALSE,"Plan2"}</definedName>
    <definedName name="qwdqw" localSheetId="16" hidden="1">{#N/A,#N/A,FALSE,"Plan1";#N/A,#N/A,FALSE,"Plan2"}</definedName>
    <definedName name="qwdqw" localSheetId="0" hidden="1">{#N/A,#N/A,FALSE,"Plan1";#N/A,#N/A,FALSE,"Plan2"}</definedName>
    <definedName name="qwdqw" localSheetId="26" hidden="1">{#N/A,#N/A,FALSE,"Plan1";#N/A,#N/A,FALSE,"Plan2"}</definedName>
    <definedName name="qwdqw" localSheetId="11" hidden="1">{#N/A,#N/A,FALSE,"Plan1";#N/A,#N/A,FALSE,"Plan2"}</definedName>
    <definedName name="qwdqw" hidden="1">{#N/A,#N/A,FALSE,"Plan1";#N/A,#N/A,FALSE,"Plan2"}</definedName>
    <definedName name="qweqwe" localSheetId="24" hidden="1">{#N/A,#N/A,FALSE,"Plan1";#N/A,#N/A,FALSE,"Plan2"}</definedName>
    <definedName name="qweqwe" localSheetId="7" hidden="1">{#N/A,#N/A,FALSE,"Plan1";#N/A,#N/A,FALSE,"Plan2"}</definedName>
    <definedName name="qweqwe" localSheetId="9" hidden="1">{#N/A,#N/A,FALSE,"Plan1";#N/A,#N/A,FALSE,"Plan2"}</definedName>
    <definedName name="qweqwe" localSheetId="3" hidden="1">{#N/A,#N/A,FALSE,"Plan1";#N/A,#N/A,FALSE,"Plan2"}</definedName>
    <definedName name="qweqwe" localSheetId="2" hidden="1">{#N/A,#N/A,FALSE,"Plan1";#N/A,#N/A,FALSE,"Plan2"}</definedName>
    <definedName name="qweqwe" localSheetId="16" hidden="1">{#N/A,#N/A,FALSE,"Plan1";#N/A,#N/A,FALSE,"Plan2"}</definedName>
    <definedName name="qweqwe" localSheetId="0" hidden="1">{#N/A,#N/A,FALSE,"Plan1";#N/A,#N/A,FALSE,"Plan2"}</definedName>
    <definedName name="qweqwe" localSheetId="26" hidden="1">{#N/A,#N/A,FALSE,"Plan1";#N/A,#N/A,FALSE,"Plan2"}</definedName>
    <definedName name="qweqwe" localSheetId="11" hidden="1">{#N/A,#N/A,FALSE,"Plan1";#N/A,#N/A,FALSE,"Plan2"}</definedName>
    <definedName name="qweqwe" hidden="1">{#N/A,#N/A,FALSE,"Plan1";#N/A,#N/A,FALSE,"Plan2"}</definedName>
    <definedName name="qweqwe4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 localSheetId="7" hidden="1">#REF!</definedName>
    <definedName name="qwewqe" localSheetId="3" hidden="1">#REF!</definedName>
    <definedName name="qwewqe" localSheetId="0" hidden="1">#REF!</definedName>
    <definedName name="qwewqe" hidden="1">#REF!</definedName>
    <definedName name="qwqw" localSheetId="0" hidden="1">#REF!</definedName>
    <definedName name="qwqw" hidden="1">#REF!</definedName>
    <definedName name="R.imobAtualiz" localSheetId="7">#REF!</definedName>
    <definedName name="R.imobAtualiz" localSheetId="3">#REF!</definedName>
    <definedName name="R.imobAtualiz">#REF!</definedName>
    <definedName name="R_CorretAtualiz" localSheetId="7">#REF!</definedName>
    <definedName name="R_CorretAtualiz" localSheetId="3">#REF!</definedName>
    <definedName name="R_CorretAtualiz">#REF!</definedName>
    <definedName name="R_G.Cobr.Atualiz" localSheetId="7">#REF!</definedName>
    <definedName name="R_G.Cobr.Atualiz" localSheetId="3">#REF!</definedName>
    <definedName name="R_G.Cobr.Atualiz">#REF!</definedName>
    <definedName name="R_PmaisJAtualiz" localSheetId="7">#REF!</definedName>
    <definedName name="R_PmaisJAtualiz" localSheetId="3">#REF!</definedName>
    <definedName name="R_PmaisJAtualiz">#REF!</definedName>
    <definedName name="R_Prev.PerdaAtualiz" localSheetId="7">#REF!</definedName>
    <definedName name="R_Prev.PerdaAtualiz" localSheetId="3">#REF!</definedName>
    <definedName name="R_Prev.PerdaAtualiz">#REF!</definedName>
    <definedName name="RADIO" localSheetId="24" hidden="1">{"HW",#N/A,FALSE,"1998"}</definedName>
    <definedName name="RADIO" localSheetId="7" hidden="1">{"HW",#N/A,FALSE,"1998"}</definedName>
    <definedName name="RADIO" localSheetId="9" hidden="1">{"HW",#N/A,FALSE,"1998"}</definedName>
    <definedName name="RADIO" localSheetId="3" hidden="1">{"HW",#N/A,FALSE,"1998"}</definedName>
    <definedName name="RADIO" localSheetId="2" hidden="1">{"HW",#N/A,FALSE,"1998"}</definedName>
    <definedName name="RADIO" localSheetId="16" hidden="1">{"HW",#N/A,FALSE,"1998"}</definedName>
    <definedName name="RADIO" localSheetId="0" hidden="1">{"HW",#N/A,FALSE,"1998"}</definedName>
    <definedName name="RADIO" localSheetId="26" hidden="1">{"HW",#N/A,FALSE,"1998"}</definedName>
    <definedName name="RADIO" localSheetId="11" hidden="1">{"HW",#N/A,FALSE,"1998"}</definedName>
    <definedName name="RADIO" hidden="1">{"HW",#N/A,FALSE,"1998"}</definedName>
    <definedName name="RANGE" localSheetId="24">#REF!</definedName>
    <definedName name="RANGE" localSheetId="7">#REF!</definedName>
    <definedName name="RANGE" localSheetId="3">#REF!</definedName>
    <definedName name="RANGE" localSheetId="26">#REF!</definedName>
    <definedName name="RANGE">#REF!</definedName>
    <definedName name="RANGE1" localSheetId="7">#REF!</definedName>
    <definedName name="RANGE1" localSheetId="3">#REF!</definedName>
    <definedName name="RANGE1">#REF!</definedName>
    <definedName name="RANGE2" localSheetId="7">#REF!</definedName>
    <definedName name="RANGE2" localSheetId="3">#REF!</definedName>
    <definedName name="RANGE2">#REF!</definedName>
    <definedName name="RARQIMP" localSheetId="7">#REF!</definedName>
    <definedName name="RARQIMP" localSheetId="3">#REF!</definedName>
    <definedName name="RARQIMP">#REF!</definedName>
    <definedName name="RawData" localSheetId="7">#REF!</definedName>
    <definedName name="RawData" localSheetId="3">#REF!</definedName>
    <definedName name="RawData">#REF!</definedName>
    <definedName name="RE" localSheetId="7">#REF!</definedName>
    <definedName name="RE" localSheetId="3">#REF!</definedName>
    <definedName name="RE">#REF!</definedName>
    <definedName name="RECADUC" localSheetId="7">#REF!</definedName>
    <definedName name="RECADUC" localSheetId="3">#REF!</definedName>
    <definedName name="RECADUC">#REF!</definedName>
    <definedName name="Recebido_Acumulado_2015_Controladoria" localSheetId="7">#REF!</definedName>
    <definedName name="Recebido_Acumulado_2015_Controladoria" localSheetId="3">#REF!</definedName>
    <definedName name="Recebido_Acumulado_2015_Controladoria">#REF!</definedName>
    <definedName name="REF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 localSheetId="24">#REF!</definedName>
    <definedName name="reforsu" localSheetId="7">#REF!</definedName>
    <definedName name="reforsu" localSheetId="5">#REF!</definedName>
    <definedName name="reforsu" localSheetId="3">#REF!</definedName>
    <definedName name="reforsu" localSheetId="0">#REF!</definedName>
    <definedName name="reforsu">#REF!</definedName>
    <definedName name="REL_RJ" localSheetId="7">#REF!</definedName>
    <definedName name="REL_RJ" localSheetId="3">#REF!</definedName>
    <definedName name="REL_RJ">#REF!</definedName>
    <definedName name="REL_SP" localSheetId="7">#REF!</definedName>
    <definedName name="REL_SP" localSheetId="3">#REF!</definedName>
    <definedName name="REL_SP">#REF!</definedName>
    <definedName name="relat3" localSheetId="7">#REF!</definedName>
    <definedName name="relat3" localSheetId="3">#REF!</definedName>
    <definedName name="relat3">#REF!</definedName>
    <definedName name="ren" localSheetId="24">#REF!</definedName>
    <definedName name="ren" localSheetId="7">#REF!</definedName>
    <definedName name="ren" localSheetId="5">#REF!</definedName>
    <definedName name="ren" localSheetId="3">#REF!</definedName>
    <definedName name="ren" localSheetId="0">#REF!</definedName>
    <definedName name="ren">#REF!</definedName>
    <definedName name="REPETIÇÃO" localSheetId="7">#REF!</definedName>
    <definedName name="REPETIÇÃO" localSheetId="3">#REF!</definedName>
    <definedName name="REPETIÇÃO">#REF!</definedName>
    <definedName name="ReqC" localSheetId="7">#REF!</definedName>
    <definedName name="ReqC" localSheetId="3">#REF!</definedName>
    <definedName name="ReqC">#REF!</definedName>
    <definedName name="Responsável_Rel_Controladoria" localSheetId="7">#REF!</definedName>
    <definedName name="Responsável_Rel_Controladoria" localSheetId="3">#REF!</definedName>
    <definedName name="Responsável_Rel_Controladoria">#REF!</definedName>
    <definedName name="resum" localSheetId="24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7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9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3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16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26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11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 localSheetId="24">#REF!</definedName>
    <definedName name="RESUMO" localSheetId="7">#REF!</definedName>
    <definedName name="RESUMO" localSheetId="3">#REF!</definedName>
    <definedName name="RESUMO" localSheetId="26">#REF!</definedName>
    <definedName name="RESUMO">#REF!</definedName>
    <definedName name="RESUMO2" localSheetId="24" hidden="1">{#N/A,#N/A,TRUE,"Quinzena 01 à 15-04-98 "}</definedName>
    <definedName name="RESUMO2" localSheetId="7" hidden="1">{#N/A,#N/A,TRUE,"Quinzena 01 à 15-04-98 "}</definedName>
    <definedName name="RESUMO2" localSheetId="9" hidden="1">{#N/A,#N/A,TRUE,"Quinzena 01 à 15-04-98 "}</definedName>
    <definedName name="RESUMO2" localSheetId="3" hidden="1">{#N/A,#N/A,TRUE,"Quinzena 01 à 15-04-98 "}</definedName>
    <definedName name="RESUMO2" localSheetId="2" hidden="1">{#N/A,#N/A,TRUE,"Quinzena 01 à 15-04-98 "}</definedName>
    <definedName name="RESUMO2" localSheetId="16" hidden="1">{#N/A,#N/A,TRUE,"Quinzena 01 à 15-04-98 "}</definedName>
    <definedName name="RESUMO2" localSheetId="0" hidden="1">{#N/A,#N/A,TRUE,"Quinzena 01 à 15-04-98 "}</definedName>
    <definedName name="RESUMO2" localSheetId="26" hidden="1">{#N/A,#N/A,TRUE,"Quinzena 01 à 15-04-98 "}</definedName>
    <definedName name="RESUMO2" localSheetId="11" hidden="1">{#N/A,#N/A,TRUE,"Quinzena 01 à 15-04-98 "}</definedName>
    <definedName name="RESUMO2" hidden="1">{#N/A,#N/A,TRUE,"Quinzena 01 à 15-04-98 "}</definedName>
    <definedName name="REV" localSheetId="24">#REF!</definedName>
    <definedName name="REV" localSheetId="7">#REF!</definedName>
    <definedName name="REV" localSheetId="5">#REF!</definedName>
    <definedName name="REV" localSheetId="3">#REF!</definedName>
    <definedName name="REV" localSheetId="0">#REF!</definedName>
    <definedName name="REV">#REF!</definedName>
    <definedName name="RF" localSheetId="24" hidden="1">{#N/A,#N/A,FALSE,"CCTV"}</definedName>
    <definedName name="RF" localSheetId="7" hidden="1">{#N/A,#N/A,FALSE,"CCTV"}</definedName>
    <definedName name="RF" localSheetId="9" hidden="1">{#N/A,#N/A,FALSE,"CCTV"}</definedName>
    <definedName name="RF" localSheetId="3" hidden="1">{#N/A,#N/A,FALSE,"CCTV"}</definedName>
    <definedName name="RF" localSheetId="2" hidden="1">{#N/A,#N/A,FALSE,"CCTV"}</definedName>
    <definedName name="RF" localSheetId="16" hidden="1">{#N/A,#N/A,FALSE,"CCTV"}</definedName>
    <definedName name="RF" localSheetId="0" hidden="1">{#N/A,#N/A,FALSE,"CCTV"}</definedName>
    <definedName name="RF" localSheetId="26" hidden="1">{#N/A,#N/A,FALSE,"CCTV"}</definedName>
    <definedName name="RF" localSheetId="11" hidden="1">{#N/A,#N/A,FALSE,"CCTV"}</definedName>
    <definedName name="RF" hidden="1">{#N/A,#N/A,FALSE,"CCTV"}</definedName>
    <definedName name="rgedrfrgfdg" localSheetId="24" hidden="1">{#N/A,#N/A,FALSE,"Plan1";#N/A,#N/A,FALSE,"Plan2"}</definedName>
    <definedName name="rgedrfrgfdg" localSheetId="7" hidden="1">{#N/A,#N/A,FALSE,"Plan1";#N/A,#N/A,FALSE,"Plan2"}</definedName>
    <definedName name="rgedrfrgfdg" localSheetId="9" hidden="1">{#N/A,#N/A,FALSE,"Plan1";#N/A,#N/A,FALSE,"Plan2"}</definedName>
    <definedName name="rgedrfrgfdg" localSheetId="3" hidden="1">{#N/A,#N/A,FALSE,"Plan1";#N/A,#N/A,FALSE,"Plan2"}</definedName>
    <definedName name="rgedrfrgfdg" localSheetId="2" hidden="1">{#N/A,#N/A,FALSE,"Plan1";#N/A,#N/A,FALSE,"Plan2"}</definedName>
    <definedName name="rgedrfrgfdg" localSheetId="16" hidden="1">{#N/A,#N/A,FALSE,"Plan1";#N/A,#N/A,FALSE,"Plan2"}</definedName>
    <definedName name="rgedrfrgfdg" localSheetId="0" hidden="1">{#N/A,#N/A,FALSE,"Plan1";#N/A,#N/A,FALSE,"Plan2"}</definedName>
    <definedName name="rgedrfrgfdg" localSheetId="26" hidden="1">{#N/A,#N/A,FALSE,"Plan1";#N/A,#N/A,FALSE,"Plan2"}</definedName>
    <definedName name="rgedrfrgfdg" localSheetId="11" hidden="1">{#N/A,#N/A,FALSE,"Plan1";#N/A,#N/A,FALSE,"Plan2"}</definedName>
    <definedName name="rgedrfrgfdg" hidden="1">{#N/A,#N/A,FALSE,"Plan1";#N/A,#N/A,FALSE,"Plan2"}</definedName>
    <definedName name="rhdrmq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 localSheetId="24">#REF!</definedName>
    <definedName name="RI" localSheetId="7">#REF!</definedName>
    <definedName name="RI" localSheetId="3">#REF!</definedName>
    <definedName name="RI" localSheetId="26">#REF!</definedName>
    <definedName name="RI">#REF!</definedName>
    <definedName name="ridbeb" localSheetId="7">#REF!</definedName>
    <definedName name="ridbeb" localSheetId="3">#REF!</definedName>
    <definedName name="ridbeb">#REF!</definedName>
    <definedName name="RIDCHAF" localSheetId="7">#REF!</definedName>
    <definedName name="RIDCHAF" localSheetId="3">#REF!</definedName>
    <definedName name="RIDCHAF">#REF!</definedName>
    <definedName name="ridres05" localSheetId="7">#REF!</definedName>
    <definedName name="ridres05" localSheetId="3">#REF!</definedName>
    <definedName name="ridres05">#REF!</definedName>
    <definedName name="RIDRES10" localSheetId="7">#REF!</definedName>
    <definedName name="RIDRES10" localSheetId="3">#REF!</definedName>
    <definedName name="RIDRES10">#REF!</definedName>
    <definedName name="RIDRES15" localSheetId="7">#REF!</definedName>
    <definedName name="RIDRES15" localSheetId="3">#REF!</definedName>
    <definedName name="RIDRES15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SwapState" hidden="1">"True"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O" localSheetId="24">#REF!</definedName>
    <definedName name="RO" localSheetId="7">#REF!</definedName>
    <definedName name="RO" localSheetId="3">#REF!</definedName>
    <definedName name="RO" localSheetId="26">#REF!</definedName>
    <definedName name="RO">#REF!</definedName>
    <definedName name="Rodapé" localSheetId="7">#REF!</definedName>
    <definedName name="Rodapé" localSheetId="3">#REF!</definedName>
    <definedName name="Rodapé">#REF!</definedName>
    <definedName name="RODAPÉS" localSheetId="7">#REF!</definedName>
    <definedName name="RODAPÉS" localSheetId="3">#REF!</definedName>
    <definedName name="RODAPÉS">#REF!</definedName>
    <definedName name="ROMANO" localSheetId="7">#REF!</definedName>
    <definedName name="ROMANO" localSheetId="3">#REF!</definedName>
    <definedName name="ROMANO">#REF!</definedName>
    <definedName name="ROTCOMP" localSheetId="7">#REF!</definedName>
    <definedName name="ROTCOMP" localSheetId="3">#REF!</definedName>
    <definedName name="ROTCOMP">#REF!</definedName>
    <definedName name="ROTIMP" localSheetId="7">#REF!</definedName>
    <definedName name="ROTIMP" localSheetId="3">#REF!</definedName>
    <definedName name="ROTIMP">#REF!</definedName>
    <definedName name="ROTRES" localSheetId="7">#REF!</definedName>
    <definedName name="ROTRES" localSheetId="3">#REF!</definedName>
    <definedName name="ROTRES">#REF!</definedName>
    <definedName name="RQTADUC" localSheetId="7">#REF!</definedName>
    <definedName name="RQTADUC" localSheetId="3">#REF!</definedName>
    <definedName name="RQTADUC">#REF!</definedName>
    <definedName name="rqtbeb" localSheetId="7">#REF!</definedName>
    <definedName name="rqtbeb" localSheetId="3">#REF!</definedName>
    <definedName name="rqtbeb">#REF!</definedName>
    <definedName name="RQTCHAF" localSheetId="7">#REF!</definedName>
    <definedName name="RQTCHAF" localSheetId="3">#REF!</definedName>
    <definedName name="RQTCHAF">#REF!</definedName>
    <definedName name="RQTDERV" localSheetId="7">#REF!</definedName>
    <definedName name="RQTDERV" localSheetId="3">#REF!</definedName>
    <definedName name="RQTDERV">#REF!</definedName>
    <definedName name="rres05" localSheetId="7">#REF!</definedName>
    <definedName name="rres05" localSheetId="3">#REF!</definedName>
    <definedName name="rres05">#REF!</definedName>
    <definedName name="RRES10" localSheetId="7">#REF!</definedName>
    <definedName name="RRES10" localSheetId="3">#REF!</definedName>
    <definedName name="RRES10">#REF!</definedName>
    <definedName name="RRES15" localSheetId="7">#REF!</definedName>
    <definedName name="RRES15" localSheetId="3">#REF!</definedName>
    <definedName name="RRES15">#REF!</definedName>
    <definedName name="RRES20" localSheetId="7">#REF!</definedName>
    <definedName name="RRES20" localSheetId="3">#REF!</definedName>
    <definedName name="RRES20">#REF!</definedName>
    <definedName name="RRR" localSheetId="7" hidden="1">#REF!</definedName>
    <definedName name="RRR" localSheetId="0" hidden="1">#REF!</definedName>
    <definedName name="RRR" hidden="1">#REF!</definedName>
    <definedName name="rrrrr" localSheetId="24" hidden="1">{"'장비'!$A$3:$M$12"}</definedName>
    <definedName name="rrrrr" localSheetId="7" hidden="1">{"'장비'!$A$3:$M$12"}</definedName>
    <definedName name="rrrrr" localSheetId="9" hidden="1">{"'장비'!$A$3:$M$12"}</definedName>
    <definedName name="rrrrr" localSheetId="3" hidden="1">{"'장비'!$A$3:$M$12"}</definedName>
    <definedName name="rrrrr" localSheetId="2" hidden="1">{"'장비'!$A$3:$M$12"}</definedName>
    <definedName name="rrrrr" localSheetId="16" hidden="1">{"'장비'!$A$3:$M$12"}</definedName>
    <definedName name="rrrrr" localSheetId="0" hidden="1">{"'장비'!$A$3:$M$12"}</definedName>
    <definedName name="rrrrr" localSheetId="26" hidden="1">{"'장비'!$A$3:$M$12"}</definedName>
    <definedName name="rrrrr" localSheetId="11" hidden="1">{"'장비'!$A$3:$M$12"}</definedName>
    <definedName name="rrrrr" hidden="1">{"'장비'!$A$3:$M$12"}</definedName>
    <definedName name="rrrrrrrr" localSheetId="24" hidden="1">{"'장비'!$A$3:$M$12"}</definedName>
    <definedName name="rrrrrrrr" localSheetId="7" hidden="1">{"'장비'!$A$3:$M$12"}</definedName>
    <definedName name="rrrrrrrr" localSheetId="9" hidden="1">{"'장비'!$A$3:$M$12"}</definedName>
    <definedName name="rrrrrrrr" localSheetId="3" hidden="1">{"'장비'!$A$3:$M$12"}</definedName>
    <definedName name="rrrrrrrr" localSheetId="2" hidden="1">{"'장비'!$A$3:$M$12"}</definedName>
    <definedName name="rrrrrrrr" localSheetId="16" hidden="1">{"'장비'!$A$3:$M$12"}</definedName>
    <definedName name="rrrrrrrr" localSheetId="0" hidden="1">{"'장비'!$A$3:$M$12"}</definedName>
    <definedName name="rrrrrrrr" localSheetId="26" hidden="1">{"'장비'!$A$3:$M$12"}</definedName>
    <definedName name="rrrrrrrr" localSheetId="11" hidden="1">{"'장비'!$A$3:$M$12"}</definedName>
    <definedName name="rrrrrrrr" hidden="1">{"'장비'!$A$3:$M$12"}</definedName>
    <definedName name="rrrrrrrrrrr" localSheetId="24" hidden="1">{#N/A,#N/A,TRUE,"Quinzena 01 à 15-04-98 "}</definedName>
    <definedName name="rrrrrrrrrrr" localSheetId="7" hidden="1">{#N/A,#N/A,TRUE,"Quinzena 01 à 15-04-98 "}</definedName>
    <definedName name="rrrrrrrrrrr" localSheetId="9" hidden="1">{#N/A,#N/A,TRUE,"Quinzena 01 à 15-04-98 "}</definedName>
    <definedName name="rrrrrrrrrrr" localSheetId="3" hidden="1">{#N/A,#N/A,TRUE,"Quinzena 01 à 15-04-98 "}</definedName>
    <definedName name="rrrrrrrrrrr" localSheetId="2" hidden="1">{#N/A,#N/A,TRUE,"Quinzena 01 à 15-04-98 "}</definedName>
    <definedName name="rrrrrrrrrrr" localSheetId="16" hidden="1">{#N/A,#N/A,TRUE,"Quinzena 01 à 15-04-98 "}</definedName>
    <definedName name="rrrrrrrrrrr" localSheetId="0" hidden="1">{#N/A,#N/A,TRUE,"Quinzena 01 à 15-04-98 "}</definedName>
    <definedName name="rrrrrrrrrrr" localSheetId="26" hidden="1">{#N/A,#N/A,TRUE,"Quinzena 01 à 15-04-98 "}</definedName>
    <definedName name="rrrrrrrrrrr" localSheetId="11" hidden="1">{#N/A,#N/A,TRUE,"Quinzena 01 à 15-04-98 "}</definedName>
    <definedName name="rrrrrrrrrrr" hidden="1">{#N/A,#N/A,TRUE,"Quinzena 01 à 15-04-98 "}</definedName>
    <definedName name="RSEQ" localSheetId="24">#REF!</definedName>
    <definedName name="RSEQ" localSheetId="7">#REF!</definedName>
    <definedName name="RSEQ" localSheetId="3">#REF!</definedName>
    <definedName name="RSEQ" localSheetId="26">#REF!</definedName>
    <definedName name="RSEQ">#REF!</definedName>
    <definedName name="RSUBTOT" localSheetId="7">#REF!</definedName>
    <definedName name="RSUBTOT" localSheetId="3">#REF!</definedName>
    <definedName name="RSUBTOT">#REF!</definedName>
    <definedName name="rtitbeb" localSheetId="7">#REF!</definedName>
    <definedName name="rtitbeb" localSheetId="3">#REF!</definedName>
    <definedName name="rtitbeb">#REF!</definedName>
    <definedName name="RTITCHAF" localSheetId="7">#REF!</definedName>
    <definedName name="RTITCHAF" localSheetId="3">#REF!</definedName>
    <definedName name="RTITCHAF">#REF!</definedName>
    <definedName name="rtubos" localSheetId="7">#REF!</definedName>
    <definedName name="rtubos" localSheetId="3">#REF!</definedName>
    <definedName name="rtubos">#REF!</definedName>
    <definedName name="RTYE" localSheetId="24" hidden="1">{"'장비'!$A$3:$M$12"}</definedName>
    <definedName name="RTYE" localSheetId="7" hidden="1">{"'장비'!$A$3:$M$12"}</definedName>
    <definedName name="RTYE" localSheetId="9" hidden="1">{"'장비'!$A$3:$M$12"}</definedName>
    <definedName name="RTYE" localSheetId="3" hidden="1">{"'장비'!$A$3:$M$12"}</definedName>
    <definedName name="RTYE" localSheetId="2" hidden="1">{"'장비'!$A$3:$M$12"}</definedName>
    <definedName name="RTYE" localSheetId="16" hidden="1">{"'장비'!$A$3:$M$12"}</definedName>
    <definedName name="RTYE" localSheetId="0" hidden="1">{"'장비'!$A$3:$M$12"}</definedName>
    <definedName name="RTYE" localSheetId="26" hidden="1">{"'장비'!$A$3:$M$12"}</definedName>
    <definedName name="RTYE" localSheetId="11" hidden="1">{"'장비'!$A$3:$M$12"}</definedName>
    <definedName name="RTYE" hidden="1">{"'장비'!$A$3:$M$12"}</definedName>
    <definedName name="s" localSheetId="7">#REF!</definedName>
    <definedName name="s" localSheetId="3">#REF!</definedName>
    <definedName name="s">#REF!</definedName>
    <definedName name="sa" localSheetId="24">#REF!</definedName>
    <definedName name="sa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5">#REF!</definedName>
    <definedName name="sa" localSheetId="9">#REF!</definedName>
    <definedName name="sa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localSheetId="24" hidden="1">{#N/A,#N/A,FALSE,"Plan1";#N/A,#N/A,FALSE,"Plan2"}</definedName>
    <definedName name="sadasd" localSheetId="7" hidden="1">{#N/A,#N/A,FALSE,"Plan1";#N/A,#N/A,FALSE,"Plan2"}</definedName>
    <definedName name="sadasd" localSheetId="9" hidden="1">{#N/A,#N/A,FALSE,"Plan1";#N/A,#N/A,FALSE,"Plan2"}</definedName>
    <definedName name="sadasd" localSheetId="3" hidden="1">{#N/A,#N/A,FALSE,"Plan1";#N/A,#N/A,FALSE,"Plan2"}</definedName>
    <definedName name="sadasd" localSheetId="2" hidden="1">{#N/A,#N/A,FALSE,"Plan1";#N/A,#N/A,FALSE,"Plan2"}</definedName>
    <definedName name="sadasd" localSheetId="16" hidden="1">{#N/A,#N/A,FALSE,"Plan1";#N/A,#N/A,FALSE,"Plan2"}</definedName>
    <definedName name="sadasd" localSheetId="0" hidden="1">{#N/A,#N/A,FALSE,"Plan1";#N/A,#N/A,FALSE,"Plan2"}</definedName>
    <definedName name="sadasd" localSheetId="26" hidden="1">{#N/A,#N/A,FALSE,"Plan1";#N/A,#N/A,FALSE,"Plan2"}</definedName>
    <definedName name="sadasd" localSheetId="11" hidden="1">{#N/A,#N/A,FALSE,"Plan1";#N/A,#N/A,FALSE,"Plan2"}</definedName>
    <definedName name="sadasd" hidden="1">{#N/A,#N/A,FALSE,"Plan1";#N/A,#N/A,FALSE,"Plan2"}</definedName>
    <definedName name="sadked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localSheetId="24" hidden="1">{#N/A,#N/A,FALSE,"Plan1";#N/A,#N/A,FALSE,"Plan2"}</definedName>
    <definedName name="sadkrjkedft" localSheetId="7" hidden="1">{#N/A,#N/A,FALSE,"Plan1";#N/A,#N/A,FALSE,"Plan2"}</definedName>
    <definedName name="sadkrjkedft" localSheetId="9" hidden="1">{#N/A,#N/A,FALSE,"Plan1";#N/A,#N/A,FALSE,"Plan2"}</definedName>
    <definedName name="sadkrjkedft" localSheetId="3" hidden="1">{#N/A,#N/A,FALSE,"Plan1";#N/A,#N/A,FALSE,"Plan2"}</definedName>
    <definedName name="sadkrjkedft" localSheetId="2" hidden="1">{#N/A,#N/A,FALSE,"Plan1";#N/A,#N/A,FALSE,"Plan2"}</definedName>
    <definedName name="sadkrjkedft" localSheetId="16" hidden="1">{#N/A,#N/A,FALSE,"Plan1";#N/A,#N/A,FALSE,"Plan2"}</definedName>
    <definedName name="sadkrjkedft" localSheetId="0" hidden="1">{#N/A,#N/A,FALSE,"Plan1";#N/A,#N/A,FALSE,"Plan2"}</definedName>
    <definedName name="sadkrjkedft" localSheetId="26" hidden="1">{#N/A,#N/A,FALSE,"Plan1";#N/A,#N/A,FALSE,"Plan2"}</definedName>
    <definedName name="sadkrjkedft" localSheetId="11" hidden="1">{#N/A,#N/A,FALSE,"Plan1";#N/A,#N/A,FALSE,"Plan2"}</definedName>
    <definedName name="sadkrjkedft" hidden="1">{#N/A,#N/A,FALSE,"Plan1";#N/A,#N/A,FALSE,"Plan2"}</definedName>
    <definedName name="SADSRTR" localSheetId="24" hidden="1">{#N/A,#N/A,FALSE,"Plan1";#N/A,#N/A,FALSE,"Plan2"}</definedName>
    <definedName name="SADSRTR" localSheetId="7" hidden="1">{#N/A,#N/A,FALSE,"Plan1";#N/A,#N/A,FALSE,"Plan2"}</definedName>
    <definedName name="SADSRTR" localSheetId="9" hidden="1">{#N/A,#N/A,FALSE,"Plan1";#N/A,#N/A,FALSE,"Plan2"}</definedName>
    <definedName name="SADSRTR" localSheetId="3" hidden="1">{#N/A,#N/A,FALSE,"Plan1";#N/A,#N/A,FALSE,"Plan2"}</definedName>
    <definedName name="SADSRTR" localSheetId="2" hidden="1">{#N/A,#N/A,FALSE,"Plan1";#N/A,#N/A,FALSE,"Plan2"}</definedName>
    <definedName name="SADSRTR" localSheetId="16" hidden="1">{#N/A,#N/A,FALSE,"Plan1";#N/A,#N/A,FALSE,"Plan2"}</definedName>
    <definedName name="SADSRTR" localSheetId="0" hidden="1">{#N/A,#N/A,FALSE,"Plan1";#N/A,#N/A,FALSE,"Plan2"}</definedName>
    <definedName name="SADSRTR" localSheetId="26" hidden="1">{#N/A,#N/A,FALSE,"Plan1";#N/A,#N/A,FALSE,"Plan2"}</definedName>
    <definedName name="SADSRTR" localSheetId="11" hidden="1">{#N/A,#N/A,FALSE,"Plan1";#N/A,#N/A,FALSE,"Plan2"}</definedName>
    <definedName name="SADSRTR" hidden="1">{#N/A,#N/A,FALSE,"Plan1";#N/A,#N/A,FALSE,"Plan2"}</definedName>
    <definedName name="sadwde" localSheetId="24" hidden="1">{#N/A,#N/A,FALSE,"Plan1";#N/A,#N/A,FALSE,"Plan2"}</definedName>
    <definedName name="sadwde" localSheetId="7" hidden="1">{#N/A,#N/A,FALSE,"Plan1";#N/A,#N/A,FALSE,"Plan2"}</definedName>
    <definedName name="sadwde" localSheetId="9" hidden="1">{#N/A,#N/A,FALSE,"Plan1";#N/A,#N/A,FALSE,"Plan2"}</definedName>
    <definedName name="sadwde" localSheetId="3" hidden="1">{#N/A,#N/A,FALSE,"Plan1";#N/A,#N/A,FALSE,"Plan2"}</definedName>
    <definedName name="sadwde" localSheetId="2" hidden="1">{#N/A,#N/A,FALSE,"Plan1";#N/A,#N/A,FALSE,"Plan2"}</definedName>
    <definedName name="sadwde" localSheetId="16" hidden="1">{#N/A,#N/A,FALSE,"Plan1";#N/A,#N/A,FALSE,"Plan2"}</definedName>
    <definedName name="sadwde" localSheetId="0" hidden="1">{#N/A,#N/A,FALSE,"Plan1";#N/A,#N/A,FALSE,"Plan2"}</definedName>
    <definedName name="sadwde" localSheetId="26" hidden="1">{#N/A,#N/A,FALSE,"Plan1";#N/A,#N/A,FALSE,"Plan2"}</definedName>
    <definedName name="sadwde" localSheetId="11" hidden="1">{#N/A,#N/A,FALSE,"Plan1";#N/A,#N/A,FALSE,"Plan2"}</definedName>
    <definedName name="sadwde" hidden="1">{#N/A,#N/A,FALSE,"Plan1";#N/A,#N/A,FALSE,"Plan2"}</definedName>
    <definedName name="Salas" localSheetId="24">#REF!</definedName>
    <definedName name="Salas" localSheetId="7">#REF!</definedName>
    <definedName name="Salas" localSheetId="3">#REF!</definedName>
    <definedName name="Salas" localSheetId="26">#REF!</definedName>
    <definedName name="Salas">#REF!</definedName>
    <definedName name="sanjay" localSheetId="24" hidden="1">{#N/A,#N/A,FALSE,"TABLE"}</definedName>
    <definedName name="sanjay" localSheetId="7" hidden="1">{#N/A,#N/A,FALSE,"TABLE"}</definedName>
    <definedName name="sanjay" localSheetId="9" hidden="1">{#N/A,#N/A,FALSE,"TABLE"}</definedName>
    <definedName name="sanjay" localSheetId="3" hidden="1">{#N/A,#N/A,FALSE,"TABLE"}</definedName>
    <definedName name="sanjay" localSheetId="2" hidden="1">{#N/A,#N/A,FALSE,"TABLE"}</definedName>
    <definedName name="sanjay" localSheetId="16" hidden="1">{#N/A,#N/A,FALSE,"TABLE"}</definedName>
    <definedName name="sanjay" localSheetId="0" hidden="1">{#N/A,#N/A,FALSE,"TABLE"}</definedName>
    <definedName name="sanjay" localSheetId="26" hidden="1">{#N/A,#N/A,FALSE,"TABLE"}</definedName>
    <definedName name="sanjay" localSheetId="11" hidden="1">{#N/A,#N/A,FALSE,"TABLE"}</definedName>
    <definedName name="sanjay" hidden="1">{#N/A,#N/A,FALSE,"TABLE"}</definedName>
    <definedName name="sapata" localSheetId="24">#REF!</definedName>
    <definedName name="sapata" localSheetId="7">#REF!</definedName>
    <definedName name="sapata" localSheetId="3">#REF!</definedName>
    <definedName name="sapata" localSheetId="26">#REF!</definedName>
    <definedName name="sapata">#REF!</definedName>
    <definedName name="SAPBEXrevision" hidden="1">14</definedName>
    <definedName name="SAPBEXsysID" hidden="1">"BW3"</definedName>
    <definedName name="SAPBEXwbID" hidden="1">"3SO04G3IWYENSZLK6QOKKYLB2"</definedName>
    <definedName name="SAS" localSheetId="24" hidden="1">{#N/A,#N/A,FALSE,"Plan1";#N/A,#N/A,FALSE,"Plan2"}</definedName>
    <definedName name="SAS" localSheetId="7" hidden="1">{#N/A,#N/A,FALSE,"Plan1";#N/A,#N/A,FALSE,"Plan2"}</definedName>
    <definedName name="SAS" localSheetId="9" hidden="1">{#N/A,#N/A,FALSE,"Plan1";#N/A,#N/A,FALSE,"Plan2"}</definedName>
    <definedName name="SAS" localSheetId="3" hidden="1">{#N/A,#N/A,FALSE,"Plan1";#N/A,#N/A,FALSE,"Plan2"}</definedName>
    <definedName name="SAS" localSheetId="2" hidden="1">{#N/A,#N/A,FALSE,"Plan1";#N/A,#N/A,FALSE,"Plan2"}</definedName>
    <definedName name="SAS" localSheetId="16" hidden="1">{#N/A,#N/A,FALSE,"Plan1";#N/A,#N/A,FALSE,"Plan2"}</definedName>
    <definedName name="SAS" localSheetId="0" hidden="1">{#N/A,#N/A,FALSE,"Plan1";#N/A,#N/A,FALSE,"Plan2"}</definedName>
    <definedName name="SAS" localSheetId="26" hidden="1">{#N/A,#N/A,FALSE,"Plan1";#N/A,#N/A,FALSE,"Plan2"}</definedName>
    <definedName name="SAS" localSheetId="11" hidden="1">{#N/A,#N/A,FALSE,"Plan1";#N/A,#N/A,FALSE,"Plan2"}</definedName>
    <definedName name="SAS" hidden="1">{#N/A,#N/A,FALSE,"Plan1";#N/A,#N/A,FALSE,"Plan2"}</definedName>
    <definedName name="sasads" localSheetId="24" hidden="1">{#N/A,#N/A,FALSE,"Plan1";#N/A,#N/A,FALSE,"Plan2"}</definedName>
    <definedName name="sasads" localSheetId="7" hidden="1">{#N/A,#N/A,FALSE,"Plan1";#N/A,#N/A,FALSE,"Plan2"}</definedName>
    <definedName name="sasads" localSheetId="9" hidden="1">{#N/A,#N/A,FALSE,"Plan1";#N/A,#N/A,FALSE,"Plan2"}</definedName>
    <definedName name="sasads" localSheetId="3" hidden="1">{#N/A,#N/A,FALSE,"Plan1";#N/A,#N/A,FALSE,"Plan2"}</definedName>
    <definedName name="sasads" localSheetId="2" hidden="1">{#N/A,#N/A,FALSE,"Plan1";#N/A,#N/A,FALSE,"Plan2"}</definedName>
    <definedName name="sasads" localSheetId="16" hidden="1">{#N/A,#N/A,FALSE,"Plan1";#N/A,#N/A,FALSE,"Plan2"}</definedName>
    <definedName name="sasads" localSheetId="0" hidden="1">{#N/A,#N/A,FALSE,"Plan1";#N/A,#N/A,FALSE,"Plan2"}</definedName>
    <definedName name="sasads" localSheetId="26" hidden="1">{#N/A,#N/A,FALSE,"Plan1";#N/A,#N/A,FALSE,"Plan2"}</definedName>
    <definedName name="sasads" localSheetId="11" hidden="1">{#N/A,#N/A,FALSE,"Plan1";#N/A,#N/A,FALSE,"Plan2"}</definedName>
    <definedName name="sasads" hidden="1">{#N/A,#N/A,FALSE,"Plan1";#N/A,#N/A,FALSE,"Plan2"}</definedName>
    <definedName name="SC" localSheetId="7" hidden="1">#REF!</definedName>
    <definedName name="SC" localSheetId="3" hidden="1">#REF!</definedName>
    <definedName name="SC" localSheetId="0" hidden="1">#REF!</definedName>
    <definedName name="SC" hidden="1">#REF!</definedName>
    <definedName name="sçadldfsfd" hidden="1">25</definedName>
    <definedName name="sda" localSheetId="7">#REF!</definedName>
    <definedName name="sda" localSheetId="9">#REF!</definedName>
    <definedName name="sda" localSheetId="3">#REF!</definedName>
    <definedName name="sda">#REF!</definedName>
    <definedName name="sdae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localSheetId="24" hidden="1">{#N/A,#N/A,FALSE,"Plan1";#N/A,#N/A,FALSE,"Plan2"}</definedName>
    <definedName name="SDAOTGFR" localSheetId="7" hidden="1">{#N/A,#N/A,FALSE,"Plan1";#N/A,#N/A,FALSE,"Plan2"}</definedName>
    <definedName name="SDAOTGFR" localSheetId="9" hidden="1">{#N/A,#N/A,FALSE,"Plan1";#N/A,#N/A,FALSE,"Plan2"}</definedName>
    <definedName name="SDAOTGFR" localSheetId="3" hidden="1">{#N/A,#N/A,FALSE,"Plan1";#N/A,#N/A,FALSE,"Plan2"}</definedName>
    <definedName name="SDAOTGFR" localSheetId="2" hidden="1">{#N/A,#N/A,FALSE,"Plan1";#N/A,#N/A,FALSE,"Plan2"}</definedName>
    <definedName name="SDAOTGFR" localSheetId="16" hidden="1">{#N/A,#N/A,FALSE,"Plan1";#N/A,#N/A,FALSE,"Plan2"}</definedName>
    <definedName name="SDAOTGFR" localSheetId="0" hidden="1">{#N/A,#N/A,FALSE,"Plan1";#N/A,#N/A,FALSE,"Plan2"}</definedName>
    <definedName name="SDAOTGFR" localSheetId="26" hidden="1">{#N/A,#N/A,FALSE,"Plan1";#N/A,#N/A,FALSE,"Plan2"}</definedName>
    <definedName name="SDAOTGFR" localSheetId="11" hidden="1">{#N/A,#N/A,FALSE,"Plan1";#N/A,#N/A,FALSE,"Plan2"}</definedName>
    <definedName name="SDAOTGFR" hidden="1">{#N/A,#N/A,FALSE,"Plan1";#N/A,#N/A,FALSE,"Plan2"}</definedName>
    <definedName name="sdckd" localSheetId="24" hidden="1">{#N/A,#N/A,FALSE,"Plan1";#N/A,#N/A,FALSE,"Plan2"}</definedName>
    <definedName name="sdckd" localSheetId="7" hidden="1">{#N/A,#N/A,FALSE,"Plan1";#N/A,#N/A,FALSE,"Plan2"}</definedName>
    <definedName name="sdckd" localSheetId="9" hidden="1">{#N/A,#N/A,FALSE,"Plan1";#N/A,#N/A,FALSE,"Plan2"}</definedName>
    <definedName name="sdckd" localSheetId="3" hidden="1">{#N/A,#N/A,FALSE,"Plan1";#N/A,#N/A,FALSE,"Plan2"}</definedName>
    <definedName name="sdckd" localSheetId="2" hidden="1">{#N/A,#N/A,FALSE,"Plan1";#N/A,#N/A,FALSE,"Plan2"}</definedName>
    <definedName name="sdckd" localSheetId="16" hidden="1">{#N/A,#N/A,FALSE,"Plan1";#N/A,#N/A,FALSE,"Plan2"}</definedName>
    <definedName name="sdckd" localSheetId="0" hidden="1">{#N/A,#N/A,FALSE,"Plan1";#N/A,#N/A,FALSE,"Plan2"}</definedName>
    <definedName name="sdckd" localSheetId="26" hidden="1">{#N/A,#N/A,FALSE,"Plan1";#N/A,#N/A,FALSE,"Plan2"}</definedName>
    <definedName name="sdckd" localSheetId="11" hidden="1">{#N/A,#N/A,FALSE,"Plan1";#N/A,#N/A,FALSE,"Plan2"}</definedName>
    <definedName name="sdckd" hidden="1">{#N/A,#N/A,FALSE,"Plan1";#N/A,#N/A,FALSE,"Plan2"}</definedName>
    <definedName name="SDDFKSEDE" localSheetId="24" hidden="1">{#N/A,#N/A,FALSE,"Plan1";#N/A,#N/A,FALSE,"Plan2"}</definedName>
    <definedName name="SDDFKSEDE" localSheetId="7" hidden="1">{#N/A,#N/A,FALSE,"Plan1";#N/A,#N/A,FALSE,"Plan2"}</definedName>
    <definedName name="SDDFKSEDE" localSheetId="9" hidden="1">{#N/A,#N/A,FALSE,"Plan1";#N/A,#N/A,FALSE,"Plan2"}</definedName>
    <definedName name="SDDFKSEDE" localSheetId="3" hidden="1">{#N/A,#N/A,FALSE,"Plan1";#N/A,#N/A,FALSE,"Plan2"}</definedName>
    <definedName name="SDDFKSEDE" localSheetId="2" hidden="1">{#N/A,#N/A,FALSE,"Plan1";#N/A,#N/A,FALSE,"Plan2"}</definedName>
    <definedName name="SDDFKSEDE" localSheetId="16" hidden="1">{#N/A,#N/A,FALSE,"Plan1";#N/A,#N/A,FALSE,"Plan2"}</definedName>
    <definedName name="SDDFKSEDE" localSheetId="0" hidden="1">{#N/A,#N/A,FALSE,"Plan1";#N/A,#N/A,FALSE,"Plan2"}</definedName>
    <definedName name="SDDFKSEDE" localSheetId="26" hidden="1">{#N/A,#N/A,FALSE,"Plan1";#N/A,#N/A,FALSE,"Plan2"}</definedName>
    <definedName name="SDDFKSEDE" localSheetId="11" hidden="1">{#N/A,#N/A,FALSE,"Plan1";#N/A,#N/A,FALSE,"Plan2"}</definedName>
    <definedName name="SDDFKSEDE" hidden="1">{#N/A,#N/A,FALSE,"Plan1";#N/A,#N/A,FALSE,"Plan2"}</definedName>
    <definedName name="sddkslker" localSheetId="24" hidden="1">{#N/A,#N/A,FALSE,"Plan1";#N/A,#N/A,FALSE,"Plan2"}</definedName>
    <definedName name="sddkslker" localSheetId="7" hidden="1">{#N/A,#N/A,FALSE,"Plan1";#N/A,#N/A,FALSE,"Plan2"}</definedName>
    <definedName name="sddkslker" localSheetId="9" hidden="1">{#N/A,#N/A,FALSE,"Plan1";#N/A,#N/A,FALSE,"Plan2"}</definedName>
    <definedName name="sddkslker" localSheetId="3" hidden="1">{#N/A,#N/A,FALSE,"Plan1";#N/A,#N/A,FALSE,"Plan2"}</definedName>
    <definedName name="sddkslker" localSheetId="2" hidden="1">{#N/A,#N/A,FALSE,"Plan1";#N/A,#N/A,FALSE,"Plan2"}</definedName>
    <definedName name="sddkslker" localSheetId="16" hidden="1">{#N/A,#N/A,FALSE,"Plan1";#N/A,#N/A,FALSE,"Plan2"}</definedName>
    <definedName name="sddkslker" localSheetId="0" hidden="1">{#N/A,#N/A,FALSE,"Plan1";#N/A,#N/A,FALSE,"Plan2"}</definedName>
    <definedName name="sddkslker" localSheetId="26" hidden="1">{#N/A,#N/A,FALSE,"Plan1";#N/A,#N/A,FALSE,"Plan2"}</definedName>
    <definedName name="sddkslker" localSheetId="11" hidden="1">{#N/A,#N/A,FALSE,"Plan1";#N/A,#N/A,FALSE,"Plan2"}</definedName>
    <definedName name="sddkslker" hidden="1">{#N/A,#N/A,FALSE,"Plan1";#N/A,#N/A,FALSE,"Plan2"}</definedName>
    <definedName name="sdefr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 localSheetId="7" hidden="1">#REF!</definedName>
    <definedName name="sdert" localSheetId="3" hidden="1">#REF!</definedName>
    <definedName name="sdert" localSheetId="0" hidden="1">#REF!</definedName>
    <definedName name="sdert" hidden="1">#REF!</definedName>
    <definedName name="sdfd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localSheetId="24" hidden="1">{#N/A,#N/A,FALSE,"Plan1";#N/A,#N/A,FALSE,"Plan2"}</definedName>
    <definedName name="sdfdds" localSheetId="7" hidden="1">{#N/A,#N/A,FALSE,"Plan1";#N/A,#N/A,FALSE,"Plan2"}</definedName>
    <definedName name="sdfdds" localSheetId="9" hidden="1">{#N/A,#N/A,FALSE,"Plan1";#N/A,#N/A,FALSE,"Plan2"}</definedName>
    <definedName name="sdfdds" localSheetId="3" hidden="1">{#N/A,#N/A,FALSE,"Plan1";#N/A,#N/A,FALSE,"Plan2"}</definedName>
    <definedName name="sdfdds" localSheetId="2" hidden="1">{#N/A,#N/A,FALSE,"Plan1";#N/A,#N/A,FALSE,"Plan2"}</definedName>
    <definedName name="sdfdds" localSheetId="16" hidden="1">{#N/A,#N/A,FALSE,"Plan1";#N/A,#N/A,FALSE,"Plan2"}</definedName>
    <definedName name="sdfdds" localSheetId="0" hidden="1">{#N/A,#N/A,FALSE,"Plan1";#N/A,#N/A,FALSE,"Plan2"}</definedName>
    <definedName name="sdfdds" localSheetId="26" hidden="1">{#N/A,#N/A,FALSE,"Plan1";#N/A,#N/A,FALSE,"Plan2"}</definedName>
    <definedName name="sdfdds" localSheetId="11" hidden="1">{#N/A,#N/A,FALSE,"Plan1";#N/A,#N/A,FALSE,"Plan2"}</definedName>
    <definedName name="sdfdds" hidden="1">{#N/A,#N/A,FALSE,"Plan1";#N/A,#N/A,FALSE,"Plan2"}</definedName>
    <definedName name="sdfdfc" localSheetId="24" hidden="1">{#N/A,#N/A,FALSE,"Plan1";#N/A,#N/A,FALSE,"Plan2"}</definedName>
    <definedName name="sdfdfc" localSheetId="7" hidden="1">{#N/A,#N/A,FALSE,"Plan1";#N/A,#N/A,FALSE,"Plan2"}</definedName>
    <definedName name="sdfdfc" localSheetId="9" hidden="1">{#N/A,#N/A,FALSE,"Plan1";#N/A,#N/A,FALSE,"Plan2"}</definedName>
    <definedName name="sdfdfc" localSheetId="3" hidden="1">{#N/A,#N/A,FALSE,"Plan1";#N/A,#N/A,FALSE,"Plan2"}</definedName>
    <definedName name="sdfdfc" localSheetId="2" hidden="1">{#N/A,#N/A,FALSE,"Plan1";#N/A,#N/A,FALSE,"Plan2"}</definedName>
    <definedName name="sdfdfc" localSheetId="16" hidden="1">{#N/A,#N/A,FALSE,"Plan1";#N/A,#N/A,FALSE,"Plan2"}</definedName>
    <definedName name="sdfdfc" localSheetId="0" hidden="1">{#N/A,#N/A,FALSE,"Plan1";#N/A,#N/A,FALSE,"Plan2"}</definedName>
    <definedName name="sdfdfc" localSheetId="26" hidden="1">{#N/A,#N/A,FALSE,"Plan1";#N/A,#N/A,FALSE,"Plan2"}</definedName>
    <definedName name="sdfdfc" localSheetId="11" hidden="1">{#N/A,#N/A,FALSE,"Plan1";#N/A,#N/A,FALSE,"Plan2"}</definedName>
    <definedName name="sdfdfc" hidden="1">{#N/A,#N/A,FALSE,"Plan1";#N/A,#N/A,FALSE,"Plan2"}</definedName>
    <definedName name="sdfdf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localSheetId="24" hidden="1">{#N/A,#N/A,FALSE,"Plan1";#N/A,#N/A,FALSE,"Plan2"}</definedName>
    <definedName name="sdfdgft" localSheetId="7" hidden="1">{#N/A,#N/A,FALSE,"Plan1";#N/A,#N/A,FALSE,"Plan2"}</definedName>
    <definedName name="sdfdgft" localSheetId="9" hidden="1">{#N/A,#N/A,FALSE,"Plan1";#N/A,#N/A,FALSE,"Plan2"}</definedName>
    <definedName name="sdfdgft" localSheetId="3" hidden="1">{#N/A,#N/A,FALSE,"Plan1";#N/A,#N/A,FALSE,"Plan2"}</definedName>
    <definedName name="sdfdgft" localSheetId="2" hidden="1">{#N/A,#N/A,FALSE,"Plan1";#N/A,#N/A,FALSE,"Plan2"}</definedName>
    <definedName name="sdfdgft" localSheetId="16" hidden="1">{#N/A,#N/A,FALSE,"Plan1";#N/A,#N/A,FALSE,"Plan2"}</definedName>
    <definedName name="sdfdgft" localSheetId="0" hidden="1">{#N/A,#N/A,FALSE,"Plan1";#N/A,#N/A,FALSE,"Plan2"}</definedName>
    <definedName name="sdfdgft" localSheetId="26" hidden="1">{#N/A,#N/A,FALSE,"Plan1";#N/A,#N/A,FALSE,"Plan2"}</definedName>
    <definedName name="sdfdgft" localSheetId="11" hidden="1">{#N/A,#N/A,FALSE,"Plan1";#N/A,#N/A,FALSE,"Plan2"}</definedName>
    <definedName name="sdfdgft" hidden="1">{#N/A,#N/A,FALSE,"Plan1";#N/A,#N/A,FALSE,"Plan2"}</definedName>
    <definedName name="sdfdsf" localSheetId="24" hidden="1">{#N/A,#N/A,FALSE,"Plan1";#N/A,#N/A,FALSE,"Plan2"}</definedName>
    <definedName name="sdfdsf" localSheetId="7" hidden="1">{#N/A,#N/A,FALSE,"Plan1";#N/A,#N/A,FALSE,"Plan2"}</definedName>
    <definedName name="sdfdsf" localSheetId="9" hidden="1">{#N/A,#N/A,FALSE,"Plan1";#N/A,#N/A,FALSE,"Plan2"}</definedName>
    <definedName name="sdfdsf" localSheetId="3" hidden="1">{#N/A,#N/A,FALSE,"Plan1";#N/A,#N/A,FALSE,"Plan2"}</definedName>
    <definedName name="sdfdsf" localSheetId="2" hidden="1">{#N/A,#N/A,FALSE,"Plan1";#N/A,#N/A,FALSE,"Plan2"}</definedName>
    <definedName name="sdfdsf" localSheetId="16" hidden="1">{#N/A,#N/A,FALSE,"Plan1";#N/A,#N/A,FALSE,"Plan2"}</definedName>
    <definedName name="sdfdsf" localSheetId="0" hidden="1">{#N/A,#N/A,FALSE,"Plan1";#N/A,#N/A,FALSE,"Plan2"}</definedName>
    <definedName name="sdfdsf" localSheetId="26" hidden="1">{#N/A,#N/A,FALSE,"Plan1";#N/A,#N/A,FALSE,"Plan2"}</definedName>
    <definedName name="sdfdsf" localSheetId="11" hidden="1">{#N/A,#N/A,FALSE,"Plan1";#N/A,#N/A,FALSE,"Plan2"}</definedName>
    <definedName name="sdfdsf" hidden="1">{#N/A,#N/A,FALSE,"Plan1";#N/A,#N/A,FALSE,"Plan2"}</definedName>
    <definedName name="sdfdsf\da" localSheetId="24" hidden="1">{#N/A,#N/A,FALSE,"Plan1";#N/A,#N/A,FALSE,"Plan2"}</definedName>
    <definedName name="sdfdsf\da" localSheetId="7" hidden="1">{#N/A,#N/A,FALSE,"Plan1";#N/A,#N/A,FALSE,"Plan2"}</definedName>
    <definedName name="sdfdsf\da" localSheetId="9" hidden="1">{#N/A,#N/A,FALSE,"Plan1";#N/A,#N/A,FALSE,"Plan2"}</definedName>
    <definedName name="sdfdsf\da" localSheetId="3" hidden="1">{#N/A,#N/A,FALSE,"Plan1";#N/A,#N/A,FALSE,"Plan2"}</definedName>
    <definedName name="sdfdsf\da" localSheetId="2" hidden="1">{#N/A,#N/A,FALSE,"Plan1";#N/A,#N/A,FALSE,"Plan2"}</definedName>
    <definedName name="sdfdsf\da" localSheetId="16" hidden="1">{#N/A,#N/A,FALSE,"Plan1";#N/A,#N/A,FALSE,"Plan2"}</definedName>
    <definedName name="sdfdsf\da" localSheetId="0" hidden="1">{#N/A,#N/A,FALSE,"Plan1";#N/A,#N/A,FALSE,"Plan2"}</definedName>
    <definedName name="sdfdsf\da" localSheetId="26" hidden="1">{#N/A,#N/A,FALSE,"Plan1";#N/A,#N/A,FALSE,"Plan2"}</definedName>
    <definedName name="sdfdsf\da" localSheetId="11" hidden="1">{#N/A,#N/A,FALSE,"Plan1";#N/A,#N/A,FALSE,"Plan2"}</definedName>
    <definedName name="sdfdsf\da" hidden="1">{#N/A,#N/A,FALSE,"Plan1";#N/A,#N/A,FALSE,"Plan2"}</definedName>
    <definedName name="SDFEDRT" localSheetId="24" hidden="1">{#N/A,#N/A,FALSE,"Plan1";#N/A,#N/A,FALSE,"Plan2"}</definedName>
    <definedName name="SDFEDRT" localSheetId="7" hidden="1">{#N/A,#N/A,FALSE,"Plan1";#N/A,#N/A,FALSE,"Plan2"}</definedName>
    <definedName name="SDFEDRT" localSheetId="9" hidden="1">{#N/A,#N/A,FALSE,"Plan1";#N/A,#N/A,FALSE,"Plan2"}</definedName>
    <definedName name="SDFEDRT" localSheetId="3" hidden="1">{#N/A,#N/A,FALSE,"Plan1";#N/A,#N/A,FALSE,"Plan2"}</definedName>
    <definedName name="SDFEDRT" localSheetId="2" hidden="1">{#N/A,#N/A,FALSE,"Plan1";#N/A,#N/A,FALSE,"Plan2"}</definedName>
    <definedName name="SDFEDRT" localSheetId="16" hidden="1">{#N/A,#N/A,FALSE,"Plan1";#N/A,#N/A,FALSE,"Plan2"}</definedName>
    <definedName name="SDFEDRT" localSheetId="0" hidden="1">{#N/A,#N/A,FALSE,"Plan1";#N/A,#N/A,FALSE,"Plan2"}</definedName>
    <definedName name="SDFEDRT" localSheetId="26" hidden="1">{#N/A,#N/A,FALSE,"Plan1";#N/A,#N/A,FALSE,"Plan2"}</definedName>
    <definedName name="SDFEDRT" localSheetId="11" hidden="1">{#N/A,#N/A,FALSE,"Plan1";#N/A,#N/A,FALSE,"Plan2"}</definedName>
    <definedName name="SDFEDRT" hidden="1">{#N/A,#N/A,FALSE,"Plan1";#N/A,#N/A,FALSE,"Plan2"}</definedName>
    <definedName name="sdfer" localSheetId="24" hidden="1">{#N/A,#N/A,FALSE,"Plan1";#N/A,#N/A,FALSE,"Plan2"}</definedName>
    <definedName name="sdfer" localSheetId="7" hidden="1">{#N/A,#N/A,FALSE,"Plan1";#N/A,#N/A,FALSE,"Plan2"}</definedName>
    <definedName name="sdfer" localSheetId="9" hidden="1">{#N/A,#N/A,FALSE,"Plan1";#N/A,#N/A,FALSE,"Plan2"}</definedName>
    <definedName name="sdfer" localSheetId="3" hidden="1">{#N/A,#N/A,FALSE,"Plan1";#N/A,#N/A,FALSE,"Plan2"}</definedName>
    <definedName name="sdfer" localSheetId="2" hidden="1">{#N/A,#N/A,FALSE,"Plan1";#N/A,#N/A,FALSE,"Plan2"}</definedName>
    <definedName name="sdfer" localSheetId="16" hidden="1">{#N/A,#N/A,FALSE,"Plan1";#N/A,#N/A,FALSE,"Plan2"}</definedName>
    <definedName name="sdfer" localSheetId="0" hidden="1">{#N/A,#N/A,FALSE,"Plan1";#N/A,#N/A,FALSE,"Plan2"}</definedName>
    <definedName name="sdfer" localSheetId="26" hidden="1">{#N/A,#N/A,FALSE,"Plan1";#N/A,#N/A,FALSE,"Plan2"}</definedName>
    <definedName name="sdfer" localSheetId="11" hidden="1">{#N/A,#N/A,FALSE,"Plan1";#N/A,#N/A,FALSE,"Plan2"}</definedName>
    <definedName name="sdfer" hidden="1">{#N/A,#N/A,FALSE,"Plan1";#N/A,#N/A,FALSE,"Plan2"}</definedName>
    <definedName name="sdferr" localSheetId="24" hidden="1">{#N/A,#N/A,FALSE,"Plan1";#N/A,#N/A,FALSE,"Plan2"}</definedName>
    <definedName name="sdferr" localSheetId="7" hidden="1">{#N/A,#N/A,FALSE,"Plan1";#N/A,#N/A,FALSE,"Plan2"}</definedName>
    <definedName name="sdferr" localSheetId="9" hidden="1">{#N/A,#N/A,FALSE,"Plan1";#N/A,#N/A,FALSE,"Plan2"}</definedName>
    <definedName name="sdferr" localSheetId="3" hidden="1">{#N/A,#N/A,FALSE,"Plan1";#N/A,#N/A,FALSE,"Plan2"}</definedName>
    <definedName name="sdferr" localSheetId="2" hidden="1">{#N/A,#N/A,FALSE,"Plan1";#N/A,#N/A,FALSE,"Plan2"}</definedName>
    <definedName name="sdferr" localSheetId="16" hidden="1">{#N/A,#N/A,FALSE,"Plan1";#N/A,#N/A,FALSE,"Plan2"}</definedName>
    <definedName name="sdferr" localSheetId="0" hidden="1">{#N/A,#N/A,FALSE,"Plan1";#N/A,#N/A,FALSE,"Plan2"}</definedName>
    <definedName name="sdferr" localSheetId="26" hidden="1">{#N/A,#N/A,FALSE,"Plan1";#N/A,#N/A,FALSE,"Plan2"}</definedName>
    <definedName name="sdferr" localSheetId="11" hidden="1">{#N/A,#N/A,FALSE,"Plan1";#N/A,#N/A,FALSE,"Plan2"}</definedName>
    <definedName name="sdferr" hidden="1">{#N/A,#N/A,FALSE,"Plan1";#N/A,#N/A,FALSE,"Plan2"}</definedName>
    <definedName name="sdfet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localSheetId="24" hidden="1">{#N/A,#N/A,FALSE,"Plan1";#N/A,#N/A,FALSE,"Plan2"}</definedName>
    <definedName name="SDFGJFSRF" localSheetId="7" hidden="1">{#N/A,#N/A,FALSE,"Plan1";#N/A,#N/A,FALSE,"Plan2"}</definedName>
    <definedName name="SDFGJFSRF" localSheetId="9" hidden="1">{#N/A,#N/A,FALSE,"Plan1";#N/A,#N/A,FALSE,"Plan2"}</definedName>
    <definedName name="SDFGJFSRF" localSheetId="3" hidden="1">{#N/A,#N/A,FALSE,"Plan1";#N/A,#N/A,FALSE,"Plan2"}</definedName>
    <definedName name="SDFGJFSRF" localSheetId="2" hidden="1">{#N/A,#N/A,FALSE,"Plan1";#N/A,#N/A,FALSE,"Plan2"}</definedName>
    <definedName name="SDFGJFSRF" localSheetId="16" hidden="1">{#N/A,#N/A,FALSE,"Plan1";#N/A,#N/A,FALSE,"Plan2"}</definedName>
    <definedName name="SDFGJFSRF" localSheetId="0" hidden="1">{#N/A,#N/A,FALSE,"Plan1";#N/A,#N/A,FALSE,"Plan2"}</definedName>
    <definedName name="SDFGJFSRF" localSheetId="26" hidden="1">{#N/A,#N/A,FALSE,"Plan1";#N/A,#N/A,FALSE,"Plan2"}</definedName>
    <definedName name="SDFGJFSRF" localSheetId="11" hidden="1">{#N/A,#N/A,FALSE,"Plan1";#N/A,#N/A,FALSE,"Plan2"}</definedName>
    <definedName name="SDFGJFSRF" hidden="1">{#N/A,#N/A,FALSE,"Plan1";#N/A,#N/A,FALSE,"Plan2"}</definedName>
    <definedName name="sdfgtr" localSheetId="24" hidden="1">{#N/A,#N/A,FALSE,"Plan1";#N/A,#N/A,FALSE,"Plan2"}</definedName>
    <definedName name="sdfgtr" localSheetId="7" hidden="1">{#N/A,#N/A,FALSE,"Plan1";#N/A,#N/A,FALSE,"Plan2"}</definedName>
    <definedName name="sdfgtr" localSheetId="9" hidden="1">{#N/A,#N/A,FALSE,"Plan1";#N/A,#N/A,FALSE,"Plan2"}</definedName>
    <definedName name="sdfgtr" localSheetId="3" hidden="1">{#N/A,#N/A,FALSE,"Plan1";#N/A,#N/A,FALSE,"Plan2"}</definedName>
    <definedName name="sdfgtr" localSheetId="2" hidden="1">{#N/A,#N/A,FALSE,"Plan1";#N/A,#N/A,FALSE,"Plan2"}</definedName>
    <definedName name="sdfgtr" localSheetId="16" hidden="1">{#N/A,#N/A,FALSE,"Plan1";#N/A,#N/A,FALSE,"Plan2"}</definedName>
    <definedName name="sdfgtr" localSheetId="0" hidden="1">{#N/A,#N/A,FALSE,"Plan1";#N/A,#N/A,FALSE,"Plan2"}</definedName>
    <definedName name="sdfgtr" localSheetId="26" hidden="1">{#N/A,#N/A,FALSE,"Plan1";#N/A,#N/A,FALSE,"Plan2"}</definedName>
    <definedName name="sdfgtr" localSheetId="11" hidden="1">{#N/A,#N/A,FALSE,"Plan1";#N/A,#N/A,FALSE,"Plan2"}</definedName>
    <definedName name="sdfgtr" hidden="1">{#N/A,#N/A,FALSE,"Plan1";#N/A,#N/A,FALSE,"Plan2"}</definedName>
    <definedName name="sdfjdetrt" localSheetId="24" hidden="1">{#N/A,#N/A,FALSE,"Plan1";#N/A,#N/A,FALSE,"Plan2"}</definedName>
    <definedName name="sdfjdetrt" localSheetId="7" hidden="1">{#N/A,#N/A,FALSE,"Plan1";#N/A,#N/A,FALSE,"Plan2"}</definedName>
    <definedName name="sdfjdetrt" localSheetId="9" hidden="1">{#N/A,#N/A,FALSE,"Plan1";#N/A,#N/A,FALSE,"Plan2"}</definedName>
    <definedName name="sdfjdetrt" localSheetId="3" hidden="1">{#N/A,#N/A,FALSE,"Plan1";#N/A,#N/A,FALSE,"Plan2"}</definedName>
    <definedName name="sdfjdetrt" localSheetId="2" hidden="1">{#N/A,#N/A,FALSE,"Plan1";#N/A,#N/A,FALSE,"Plan2"}</definedName>
    <definedName name="sdfjdetrt" localSheetId="16" hidden="1">{#N/A,#N/A,FALSE,"Plan1";#N/A,#N/A,FALSE,"Plan2"}</definedName>
    <definedName name="sdfjdetrt" localSheetId="0" hidden="1">{#N/A,#N/A,FALSE,"Plan1";#N/A,#N/A,FALSE,"Plan2"}</definedName>
    <definedName name="sdfjdetrt" localSheetId="26" hidden="1">{#N/A,#N/A,FALSE,"Plan1";#N/A,#N/A,FALSE,"Plan2"}</definedName>
    <definedName name="sdfjdetrt" localSheetId="11" hidden="1">{#N/A,#N/A,FALSE,"Plan1";#N/A,#N/A,FALSE,"Plan2"}</definedName>
    <definedName name="sdfjdetrt" hidden="1">{#N/A,#N/A,FALSE,"Plan1";#N/A,#N/A,FALSE,"Plan2"}</definedName>
    <definedName name="SDFJDRTJEIDR" localSheetId="24" hidden="1">{#N/A,#N/A,FALSE,"Plan1";#N/A,#N/A,FALSE,"Plan2"}</definedName>
    <definedName name="SDFJDRTJEIDR" localSheetId="7" hidden="1">{#N/A,#N/A,FALSE,"Plan1";#N/A,#N/A,FALSE,"Plan2"}</definedName>
    <definedName name="SDFJDRTJEIDR" localSheetId="9" hidden="1">{#N/A,#N/A,FALSE,"Plan1";#N/A,#N/A,FALSE,"Plan2"}</definedName>
    <definedName name="SDFJDRTJEIDR" localSheetId="3" hidden="1">{#N/A,#N/A,FALSE,"Plan1";#N/A,#N/A,FALSE,"Plan2"}</definedName>
    <definedName name="SDFJDRTJEIDR" localSheetId="2" hidden="1">{#N/A,#N/A,FALSE,"Plan1";#N/A,#N/A,FALSE,"Plan2"}</definedName>
    <definedName name="SDFJDRTJEIDR" localSheetId="16" hidden="1">{#N/A,#N/A,FALSE,"Plan1";#N/A,#N/A,FALSE,"Plan2"}</definedName>
    <definedName name="SDFJDRTJEIDR" localSheetId="0" hidden="1">{#N/A,#N/A,FALSE,"Plan1";#N/A,#N/A,FALSE,"Plan2"}</definedName>
    <definedName name="SDFJDRTJEIDR" localSheetId="26" hidden="1">{#N/A,#N/A,FALSE,"Plan1";#N/A,#N/A,FALSE,"Plan2"}</definedName>
    <definedName name="SDFJDRTJEIDR" localSheetId="11" hidden="1">{#N/A,#N/A,FALSE,"Plan1";#N/A,#N/A,FALSE,"Plan2"}</definedName>
    <definedName name="SDFJDRTJEIDR" hidden="1">{#N/A,#N/A,FALSE,"Plan1";#N/A,#N/A,FALSE,"Plan2"}</definedName>
    <definedName name="sdfjergtij" localSheetId="24" hidden="1">{#N/A,#N/A,FALSE,"Plan1";#N/A,#N/A,FALSE,"Plan2"}</definedName>
    <definedName name="sdfjergtij" localSheetId="7" hidden="1">{#N/A,#N/A,FALSE,"Plan1";#N/A,#N/A,FALSE,"Plan2"}</definedName>
    <definedName name="sdfjergtij" localSheetId="9" hidden="1">{#N/A,#N/A,FALSE,"Plan1";#N/A,#N/A,FALSE,"Plan2"}</definedName>
    <definedName name="sdfjergtij" localSheetId="3" hidden="1">{#N/A,#N/A,FALSE,"Plan1";#N/A,#N/A,FALSE,"Plan2"}</definedName>
    <definedName name="sdfjergtij" localSheetId="2" hidden="1">{#N/A,#N/A,FALSE,"Plan1";#N/A,#N/A,FALSE,"Plan2"}</definedName>
    <definedName name="sdfjergtij" localSheetId="16" hidden="1">{#N/A,#N/A,FALSE,"Plan1";#N/A,#N/A,FALSE,"Plan2"}</definedName>
    <definedName name="sdfjergtij" localSheetId="0" hidden="1">{#N/A,#N/A,FALSE,"Plan1";#N/A,#N/A,FALSE,"Plan2"}</definedName>
    <definedName name="sdfjergtij" localSheetId="26" hidden="1">{#N/A,#N/A,FALSE,"Plan1";#N/A,#N/A,FALSE,"Plan2"}</definedName>
    <definedName name="sdfjergtij" localSheetId="11" hidden="1">{#N/A,#N/A,FALSE,"Plan1";#N/A,#N/A,FALSE,"Plan2"}</definedName>
    <definedName name="sdfjergtij" hidden="1">{#N/A,#N/A,FALSE,"Plan1";#N/A,#N/A,FALSE,"Plan2"}</definedName>
    <definedName name="SDFOPJKWE" localSheetId="24" hidden="1">{#N/A,#N/A,FALSE,"Plan1";#N/A,#N/A,FALSE,"Plan2"}</definedName>
    <definedName name="SDFOPJKWE" localSheetId="7" hidden="1">{#N/A,#N/A,FALSE,"Plan1";#N/A,#N/A,FALSE,"Plan2"}</definedName>
    <definedName name="SDFOPJKWE" localSheetId="9" hidden="1">{#N/A,#N/A,FALSE,"Plan1";#N/A,#N/A,FALSE,"Plan2"}</definedName>
    <definedName name="SDFOPJKWE" localSheetId="3" hidden="1">{#N/A,#N/A,FALSE,"Plan1";#N/A,#N/A,FALSE,"Plan2"}</definedName>
    <definedName name="SDFOPJKWE" localSheetId="2" hidden="1">{#N/A,#N/A,FALSE,"Plan1";#N/A,#N/A,FALSE,"Plan2"}</definedName>
    <definedName name="SDFOPJKWE" localSheetId="16" hidden="1">{#N/A,#N/A,FALSE,"Plan1";#N/A,#N/A,FALSE,"Plan2"}</definedName>
    <definedName name="SDFOPJKWE" localSheetId="0" hidden="1">{#N/A,#N/A,FALSE,"Plan1";#N/A,#N/A,FALSE,"Plan2"}</definedName>
    <definedName name="SDFOPJKWE" localSheetId="26" hidden="1">{#N/A,#N/A,FALSE,"Plan1";#N/A,#N/A,FALSE,"Plan2"}</definedName>
    <definedName name="SDFOPJKWE" localSheetId="11" hidden="1">{#N/A,#N/A,FALSE,"Plan1";#N/A,#N/A,FALSE,"Plan2"}</definedName>
    <definedName name="SDFOPJKWE" hidden="1">{#N/A,#N/A,FALSE,"Plan1";#N/A,#N/A,FALSE,"Plan2"}</definedName>
    <definedName name="sdfrdt5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localSheetId="24" hidden="1">{#N/A,#N/A,FALSE,"Plan1";#N/A,#N/A,FALSE,"Plan2"}</definedName>
    <definedName name="sdfrt" localSheetId="7" hidden="1">{#N/A,#N/A,FALSE,"Plan1";#N/A,#N/A,FALSE,"Plan2"}</definedName>
    <definedName name="sdfrt" localSheetId="9" hidden="1">{#N/A,#N/A,FALSE,"Plan1";#N/A,#N/A,FALSE,"Plan2"}</definedName>
    <definedName name="sdfrt" localSheetId="3" hidden="1">{#N/A,#N/A,FALSE,"Plan1";#N/A,#N/A,FALSE,"Plan2"}</definedName>
    <definedName name="sdfrt" localSheetId="2" hidden="1">{#N/A,#N/A,FALSE,"Plan1";#N/A,#N/A,FALSE,"Plan2"}</definedName>
    <definedName name="sdfrt" localSheetId="16" hidden="1">{#N/A,#N/A,FALSE,"Plan1";#N/A,#N/A,FALSE,"Plan2"}</definedName>
    <definedName name="sdfrt" localSheetId="0" hidden="1">{#N/A,#N/A,FALSE,"Plan1";#N/A,#N/A,FALSE,"Plan2"}</definedName>
    <definedName name="sdfrt" localSheetId="26" hidden="1">{#N/A,#N/A,FALSE,"Plan1";#N/A,#N/A,FALSE,"Plan2"}</definedName>
    <definedName name="sdfrt" localSheetId="11" hidden="1">{#N/A,#N/A,FALSE,"Plan1";#N/A,#N/A,FALSE,"Plan2"}</definedName>
    <definedName name="sdfrt" hidden="1">{#N/A,#N/A,FALSE,"Plan1";#N/A,#N/A,FALSE,"Plan2"}</definedName>
    <definedName name="SDFRTKK" localSheetId="24" hidden="1">{#N/A,#N/A,FALSE,"Plan1";#N/A,#N/A,FALSE,"Plan2"}</definedName>
    <definedName name="SDFRTKK" localSheetId="7" hidden="1">{#N/A,#N/A,FALSE,"Plan1";#N/A,#N/A,FALSE,"Plan2"}</definedName>
    <definedName name="SDFRTKK" localSheetId="9" hidden="1">{#N/A,#N/A,FALSE,"Plan1";#N/A,#N/A,FALSE,"Plan2"}</definedName>
    <definedName name="SDFRTKK" localSheetId="3" hidden="1">{#N/A,#N/A,FALSE,"Plan1";#N/A,#N/A,FALSE,"Plan2"}</definedName>
    <definedName name="SDFRTKK" localSheetId="2" hidden="1">{#N/A,#N/A,FALSE,"Plan1";#N/A,#N/A,FALSE,"Plan2"}</definedName>
    <definedName name="SDFRTKK" localSheetId="16" hidden="1">{#N/A,#N/A,FALSE,"Plan1";#N/A,#N/A,FALSE,"Plan2"}</definedName>
    <definedName name="SDFRTKK" localSheetId="0" hidden="1">{#N/A,#N/A,FALSE,"Plan1";#N/A,#N/A,FALSE,"Plan2"}</definedName>
    <definedName name="SDFRTKK" localSheetId="26" hidden="1">{#N/A,#N/A,FALSE,"Plan1";#N/A,#N/A,FALSE,"Plan2"}</definedName>
    <definedName name="SDFRTKK" localSheetId="11" hidden="1">{#N/A,#N/A,FALSE,"Plan1";#N/A,#N/A,FALSE,"Plan2"}</definedName>
    <definedName name="SDFRTKK" hidden="1">{#N/A,#N/A,FALSE,"Plan1";#N/A,#N/A,FALSE,"Plan2"}</definedName>
    <definedName name="SDFRTR" localSheetId="24" hidden="1">{#N/A,#N/A,FALSE,"Plan1";#N/A,#N/A,FALSE,"Plan2"}</definedName>
    <definedName name="SDFRTR" localSheetId="7" hidden="1">{#N/A,#N/A,FALSE,"Plan1";#N/A,#N/A,FALSE,"Plan2"}</definedName>
    <definedName name="SDFRTR" localSheetId="9" hidden="1">{#N/A,#N/A,FALSE,"Plan1";#N/A,#N/A,FALSE,"Plan2"}</definedName>
    <definedName name="SDFRTR" localSheetId="3" hidden="1">{#N/A,#N/A,FALSE,"Plan1";#N/A,#N/A,FALSE,"Plan2"}</definedName>
    <definedName name="SDFRTR" localSheetId="2" hidden="1">{#N/A,#N/A,FALSE,"Plan1";#N/A,#N/A,FALSE,"Plan2"}</definedName>
    <definedName name="SDFRTR" localSheetId="16" hidden="1">{#N/A,#N/A,FALSE,"Plan1";#N/A,#N/A,FALSE,"Plan2"}</definedName>
    <definedName name="SDFRTR" localSheetId="0" hidden="1">{#N/A,#N/A,FALSE,"Plan1";#N/A,#N/A,FALSE,"Plan2"}</definedName>
    <definedName name="SDFRTR" localSheetId="26" hidden="1">{#N/A,#N/A,FALSE,"Plan1";#N/A,#N/A,FALSE,"Plan2"}</definedName>
    <definedName name="SDFRTR" localSheetId="11" hidden="1">{#N/A,#N/A,FALSE,"Plan1";#N/A,#N/A,FALSE,"Plan2"}</definedName>
    <definedName name="SDFRTR" hidden="1">{#N/A,#N/A,FALSE,"Plan1";#N/A,#N/A,FALSE,"Plan2"}</definedName>
    <definedName name="sdfry6" localSheetId="24" hidden="1">{#N/A,#N/A,FALSE,"Plan1";#N/A,#N/A,FALSE,"Plan2"}</definedName>
    <definedName name="sdfry6" localSheetId="7" hidden="1">{#N/A,#N/A,FALSE,"Plan1";#N/A,#N/A,FALSE,"Plan2"}</definedName>
    <definedName name="sdfry6" localSheetId="9" hidden="1">{#N/A,#N/A,FALSE,"Plan1";#N/A,#N/A,FALSE,"Plan2"}</definedName>
    <definedName name="sdfry6" localSheetId="3" hidden="1">{#N/A,#N/A,FALSE,"Plan1";#N/A,#N/A,FALSE,"Plan2"}</definedName>
    <definedName name="sdfry6" localSheetId="2" hidden="1">{#N/A,#N/A,FALSE,"Plan1";#N/A,#N/A,FALSE,"Plan2"}</definedName>
    <definedName name="sdfry6" localSheetId="16" hidden="1">{#N/A,#N/A,FALSE,"Plan1";#N/A,#N/A,FALSE,"Plan2"}</definedName>
    <definedName name="sdfry6" localSheetId="0" hidden="1">{#N/A,#N/A,FALSE,"Plan1";#N/A,#N/A,FALSE,"Plan2"}</definedName>
    <definedName name="sdfry6" localSheetId="26" hidden="1">{#N/A,#N/A,FALSE,"Plan1";#N/A,#N/A,FALSE,"Plan2"}</definedName>
    <definedName name="sdfry6" localSheetId="11" hidden="1">{#N/A,#N/A,FALSE,"Plan1";#N/A,#N/A,FALSE,"Plan2"}</definedName>
    <definedName name="sdfry6" hidden="1">{#N/A,#N/A,FALSE,"Plan1";#N/A,#N/A,FALSE,"Plan2"}</definedName>
    <definedName name="sdfsaf" localSheetId="24" hidden="1">{#N/A,#N/A,FALSE,"Plan1";#N/A,#N/A,FALSE,"Plan2"}</definedName>
    <definedName name="sdfsaf" localSheetId="7" hidden="1">{#N/A,#N/A,FALSE,"Plan1";#N/A,#N/A,FALSE,"Plan2"}</definedName>
    <definedName name="sdfsaf" localSheetId="9" hidden="1">{#N/A,#N/A,FALSE,"Plan1";#N/A,#N/A,FALSE,"Plan2"}</definedName>
    <definedName name="sdfsaf" localSheetId="3" hidden="1">{#N/A,#N/A,FALSE,"Plan1";#N/A,#N/A,FALSE,"Plan2"}</definedName>
    <definedName name="sdfsaf" localSheetId="2" hidden="1">{#N/A,#N/A,FALSE,"Plan1";#N/A,#N/A,FALSE,"Plan2"}</definedName>
    <definedName name="sdfsaf" localSheetId="16" hidden="1">{#N/A,#N/A,FALSE,"Plan1";#N/A,#N/A,FALSE,"Plan2"}</definedName>
    <definedName name="sdfsaf" localSheetId="0" hidden="1">{#N/A,#N/A,FALSE,"Plan1";#N/A,#N/A,FALSE,"Plan2"}</definedName>
    <definedName name="sdfsaf" localSheetId="26" hidden="1">{#N/A,#N/A,FALSE,"Plan1";#N/A,#N/A,FALSE,"Plan2"}</definedName>
    <definedName name="sdfsaf" localSheetId="11" hidden="1">{#N/A,#N/A,FALSE,"Plan1";#N/A,#N/A,FALSE,"Plan2"}</definedName>
    <definedName name="sdfsaf" hidden="1">{#N/A,#N/A,FALSE,"Plan1";#N/A,#N/A,FALSE,"Plan2"}</definedName>
    <definedName name="sdfsd" localSheetId="24" hidden="1">{"'Estimativa de Lançamento-JAN'!$A$1:$AI$85"}</definedName>
    <definedName name="sdfsd" localSheetId="7" hidden="1">{"'Estimativa de Lançamento-JAN'!$A$1:$AI$85"}</definedName>
    <definedName name="sdfsd" localSheetId="9" hidden="1">{"'Estimativa de Lançamento-JAN'!$A$1:$AI$85"}</definedName>
    <definedName name="sdfsd" localSheetId="3" hidden="1">{"'Estimativa de Lançamento-JAN'!$A$1:$AI$85"}</definedName>
    <definedName name="sdfsd" localSheetId="2" hidden="1">{"'Estimativa de Lançamento-JAN'!$A$1:$AI$85"}</definedName>
    <definedName name="sdfsd" localSheetId="16" hidden="1">{"'Estimativa de Lançamento-JAN'!$A$1:$AI$85"}</definedName>
    <definedName name="sdfsd" localSheetId="0" hidden="1">{"'Estimativa de Lançamento-JAN'!$A$1:$AI$85"}</definedName>
    <definedName name="sdfsd" localSheetId="26" hidden="1">{"'Estimativa de Lançamento-JAN'!$A$1:$AI$85"}</definedName>
    <definedName name="sdfsd" localSheetId="11" hidden="1">{"'Estimativa de Lançamento-JAN'!$A$1:$AI$85"}</definedName>
    <definedName name="sdfsd" hidden="1">{"'Estimativa de Lançamento-JAN'!$A$1:$AI$85"}</definedName>
    <definedName name="sdfsdfg" localSheetId="24" hidden="1">{#N/A,#N/A,FALSE,"Plan1";#N/A,#N/A,FALSE,"Plan2"}</definedName>
    <definedName name="sdfsdfg" localSheetId="7" hidden="1">{#N/A,#N/A,FALSE,"Plan1";#N/A,#N/A,FALSE,"Plan2"}</definedName>
    <definedName name="sdfsdfg" localSheetId="9" hidden="1">{#N/A,#N/A,FALSE,"Plan1";#N/A,#N/A,FALSE,"Plan2"}</definedName>
    <definedName name="sdfsdfg" localSheetId="3" hidden="1">{#N/A,#N/A,FALSE,"Plan1";#N/A,#N/A,FALSE,"Plan2"}</definedName>
    <definedName name="sdfsdfg" localSheetId="2" hidden="1">{#N/A,#N/A,FALSE,"Plan1";#N/A,#N/A,FALSE,"Plan2"}</definedName>
    <definedName name="sdfsdfg" localSheetId="16" hidden="1">{#N/A,#N/A,FALSE,"Plan1";#N/A,#N/A,FALSE,"Plan2"}</definedName>
    <definedName name="sdfsdfg" localSheetId="0" hidden="1">{#N/A,#N/A,FALSE,"Plan1";#N/A,#N/A,FALSE,"Plan2"}</definedName>
    <definedName name="sdfsdfg" localSheetId="26" hidden="1">{#N/A,#N/A,FALSE,"Plan1";#N/A,#N/A,FALSE,"Plan2"}</definedName>
    <definedName name="sdfsdfg" localSheetId="11" hidden="1">{#N/A,#N/A,FALSE,"Plan1";#N/A,#N/A,FALSE,"Plan2"}</definedName>
    <definedName name="sdfsdfg" hidden="1">{#N/A,#N/A,FALSE,"Plan1";#N/A,#N/A,FALSE,"Plan2"}</definedName>
    <definedName name="SDFSDFK" localSheetId="24" hidden="1">{#N/A,#N/A,FALSE,"Plan1";#N/A,#N/A,FALSE,"Plan2"}</definedName>
    <definedName name="SDFSDFK" localSheetId="7" hidden="1">{#N/A,#N/A,FALSE,"Plan1";#N/A,#N/A,FALSE,"Plan2"}</definedName>
    <definedName name="SDFSDFK" localSheetId="9" hidden="1">{#N/A,#N/A,FALSE,"Plan1";#N/A,#N/A,FALSE,"Plan2"}</definedName>
    <definedName name="SDFSDFK" localSheetId="3" hidden="1">{#N/A,#N/A,FALSE,"Plan1";#N/A,#N/A,FALSE,"Plan2"}</definedName>
    <definedName name="SDFSDFK" localSheetId="2" hidden="1">{#N/A,#N/A,FALSE,"Plan1";#N/A,#N/A,FALSE,"Plan2"}</definedName>
    <definedName name="SDFSDFK" localSheetId="16" hidden="1">{#N/A,#N/A,FALSE,"Plan1";#N/A,#N/A,FALSE,"Plan2"}</definedName>
    <definedName name="SDFSDFK" localSheetId="0" hidden="1">{#N/A,#N/A,FALSE,"Plan1";#N/A,#N/A,FALSE,"Plan2"}</definedName>
    <definedName name="SDFSDFK" localSheetId="26" hidden="1">{#N/A,#N/A,FALSE,"Plan1";#N/A,#N/A,FALSE,"Plan2"}</definedName>
    <definedName name="SDFSDFK" localSheetId="11" hidden="1">{#N/A,#N/A,FALSE,"Plan1";#N/A,#N/A,FALSE,"Plan2"}</definedName>
    <definedName name="SDFSDFK" hidden="1">{#N/A,#N/A,FALSE,"Plan1";#N/A,#N/A,FALSE,"Plan2"}</definedName>
    <definedName name="sdfsdgftret" localSheetId="24" hidden="1">{#N/A,#N/A,FALSE,"Plan1";#N/A,#N/A,FALSE,"Plan2"}</definedName>
    <definedName name="sdfsdgftret" localSheetId="7" hidden="1">{#N/A,#N/A,FALSE,"Plan1";#N/A,#N/A,FALSE,"Plan2"}</definedName>
    <definedName name="sdfsdgftret" localSheetId="9" hidden="1">{#N/A,#N/A,FALSE,"Plan1";#N/A,#N/A,FALSE,"Plan2"}</definedName>
    <definedName name="sdfsdgftret" localSheetId="3" hidden="1">{#N/A,#N/A,FALSE,"Plan1";#N/A,#N/A,FALSE,"Plan2"}</definedName>
    <definedName name="sdfsdgftret" localSheetId="2" hidden="1">{#N/A,#N/A,FALSE,"Plan1";#N/A,#N/A,FALSE,"Plan2"}</definedName>
    <definedName name="sdfsdgftret" localSheetId="16" hidden="1">{#N/A,#N/A,FALSE,"Plan1";#N/A,#N/A,FALSE,"Plan2"}</definedName>
    <definedName name="sdfsdgftret" localSheetId="0" hidden="1">{#N/A,#N/A,FALSE,"Plan1";#N/A,#N/A,FALSE,"Plan2"}</definedName>
    <definedName name="sdfsdgftret" localSheetId="26" hidden="1">{#N/A,#N/A,FALSE,"Plan1";#N/A,#N/A,FALSE,"Plan2"}</definedName>
    <definedName name="sdfsdgftret" localSheetId="11" hidden="1">{#N/A,#N/A,FALSE,"Plan1";#N/A,#N/A,FALSE,"Plan2"}</definedName>
    <definedName name="sdfsdgftret" hidden="1">{#N/A,#N/A,FALSE,"Plan1";#N/A,#N/A,FALSE,"Plan2"}</definedName>
    <definedName name="sdfsdr" hidden="1">1</definedName>
    <definedName name="sdfsf" localSheetId="24" hidden="1">{#N/A,#N/A,FALSE,"Plan1";#N/A,#N/A,FALSE,"Plan2"}</definedName>
    <definedName name="sdfsf" localSheetId="7" hidden="1">{#N/A,#N/A,FALSE,"Plan1";#N/A,#N/A,FALSE,"Plan2"}</definedName>
    <definedName name="SDFSF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sf" localSheetId="3" hidden="1">{#N/A,#N/A,FALSE,"Plan1";#N/A,#N/A,FALSE,"Plan2"}</definedName>
    <definedName name="sdfsf" localSheetId="2" hidden="1">{#N/A,#N/A,FALSE,"Plan1";#N/A,#N/A,FALSE,"Plan2"}</definedName>
    <definedName name="sdfsf" localSheetId="16" hidden="1">{#N/A,#N/A,FALSE,"Plan1";#N/A,#N/A,FALSE,"Plan2"}</definedName>
    <definedName name="sdfsf" localSheetId="0" hidden="1">{#N/A,#N/A,FALSE,"Plan1";#N/A,#N/A,FALSE,"Plan2"}</definedName>
    <definedName name="sdfsf" localSheetId="26" hidden="1">{#N/A,#N/A,FALSE,"Plan1";#N/A,#N/A,FALSE,"Plan2"}</definedName>
    <definedName name="sdfsf" localSheetId="11" hidden="1">{#N/A,#N/A,FALSE,"Plan1";#N/A,#N/A,FALSE,"Plan2"}</definedName>
    <definedName name="sdfsf" hidden="1">{#N/A,#N/A,FALSE,"Plan1";#N/A,#N/A,FALSE,"Plan2"}</definedName>
    <definedName name="SDFSFRT" localSheetId="24" hidden="1">{"Econ Consolidado",#N/A,FALSE,"Econ Consol";"Fluxo de Caixa",#N/A,FALSE,"Fluxo Caixa";"Investimentos",#N/A,FALSE,"Investimentos"}</definedName>
    <definedName name="SDFSFRT" localSheetId="7" hidden="1">{"Econ Consolidado",#N/A,FALSE,"Econ Consol";"Fluxo de Caixa",#N/A,FALSE,"Fluxo Caixa";"Investimentos",#N/A,FALSE,"Investimentos"}</definedName>
    <definedName name="SDFSFRT" localSheetId="9" hidden="1">{"Econ Consolidado",#N/A,FALSE,"Econ Consol";"Fluxo de Caixa",#N/A,FALSE,"Fluxo Caixa";"Investimentos",#N/A,FALSE,"Investimentos"}</definedName>
    <definedName name="SDFSFRT" localSheetId="3" hidden="1">{"Econ Consolidado",#N/A,FALSE,"Econ Consol";"Fluxo de Caixa",#N/A,FALSE,"Fluxo Caixa";"Investimentos",#N/A,FALSE,"Investimentos"}</definedName>
    <definedName name="SDFSFRT" localSheetId="2" hidden="1">{"Econ Consolidado",#N/A,FALSE,"Econ Consol";"Fluxo de Caixa",#N/A,FALSE,"Fluxo Caixa";"Investimentos",#N/A,FALSE,"Investimentos"}</definedName>
    <definedName name="SDFSFRT" localSheetId="16" hidden="1">{"Econ Consolidado",#N/A,FALSE,"Econ Consol";"Fluxo de Caixa",#N/A,FALSE,"Fluxo Caixa";"Investimentos",#N/A,FALSE,"Investimentos"}</definedName>
    <definedName name="SDFSFRT" localSheetId="0" hidden="1">{"Econ Consolidado",#N/A,FALSE,"Econ Consol";"Fluxo de Caixa",#N/A,FALSE,"Fluxo Caixa";"Investimentos",#N/A,FALSE,"Investimentos"}</definedName>
    <definedName name="SDFSFRT" localSheetId="26" hidden="1">{"Econ Consolidado",#N/A,FALSE,"Econ Consol";"Fluxo de Caixa",#N/A,FALSE,"Fluxo Caixa";"Investimentos",#N/A,FALSE,"Investimentos"}</definedName>
    <definedName name="SDFSFRT" localSheetId="11" hidden="1">{"Econ Consolidado",#N/A,FALSE,"Econ Consol";"Fluxo de Caixa",#N/A,FALSE,"Fluxo Caixa";"Investimentos",#N/A,FALSE,"Investimentos"}</definedName>
    <definedName name="SDFSFRT" hidden="1">{"Econ Consolidado",#N/A,FALSE,"Econ Consol";"Fluxo de Caixa",#N/A,FALSE,"Fluxo Caixa";"Investimentos",#N/A,FALSE,"Investimentos"}</definedName>
    <definedName name="sdfsr" localSheetId="24" hidden="1">{#N/A,#N/A,FALSE,"Plan1";#N/A,#N/A,FALSE,"Plan2"}</definedName>
    <definedName name="sdfsr" localSheetId="7" hidden="1">{#N/A,#N/A,FALSE,"Plan1";#N/A,#N/A,FALSE,"Plan2"}</definedName>
    <definedName name="sdfsr" localSheetId="9" hidden="1">{#N/A,#N/A,FALSE,"Plan1";#N/A,#N/A,FALSE,"Plan2"}</definedName>
    <definedName name="sdfsr" localSheetId="3" hidden="1">{#N/A,#N/A,FALSE,"Plan1";#N/A,#N/A,FALSE,"Plan2"}</definedName>
    <definedName name="sdfsr" localSheetId="2" hidden="1">{#N/A,#N/A,FALSE,"Plan1";#N/A,#N/A,FALSE,"Plan2"}</definedName>
    <definedName name="sdfsr" localSheetId="16" hidden="1">{#N/A,#N/A,FALSE,"Plan1";#N/A,#N/A,FALSE,"Plan2"}</definedName>
    <definedName name="sdfsr" localSheetId="0" hidden="1">{#N/A,#N/A,FALSE,"Plan1";#N/A,#N/A,FALSE,"Plan2"}</definedName>
    <definedName name="sdfsr" localSheetId="26" hidden="1">{#N/A,#N/A,FALSE,"Plan1";#N/A,#N/A,FALSE,"Plan2"}</definedName>
    <definedName name="sdfsr" localSheetId="11" hidden="1">{#N/A,#N/A,FALSE,"Plan1";#N/A,#N/A,FALSE,"Plan2"}</definedName>
    <definedName name="sdfsr" hidden="1">{#N/A,#N/A,FALSE,"Plan1";#N/A,#N/A,FALSE,"Plan2"}</definedName>
    <definedName name="sdfty" localSheetId="24" hidden="1">{#N/A,#N/A,FALSE,"Plan1";#N/A,#N/A,FALSE,"Plan2"}</definedName>
    <definedName name="sdfty" localSheetId="7" hidden="1">{#N/A,#N/A,FALSE,"Plan1";#N/A,#N/A,FALSE,"Plan2"}</definedName>
    <definedName name="sdfty" localSheetId="9" hidden="1">{#N/A,#N/A,FALSE,"Plan1";#N/A,#N/A,FALSE,"Plan2"}</definedName>
    <definedName name="sdfty" localSheetId="3" hidden="1">{#N/A,#N/A,FALSE,"Plan1";#N/A,#N/A,FALSE,"Plan2"}</definedName>
    <definedName name="sdfty" localSheetId="2" hidden="1">{#N/A,#N/A,FALSE,"Plan1";#N/A,#N/A,FALSE,"Plan2"}</definedName>
    <definedName name="sdfty" localSheetId="16" hidden="1">{#N/A,#N/A,FALSE,"Plan1";#N/A,#N/A,FALSE,"Plan2"}</definedName>
    <definedName name="sdfty" localSheetId="0" hidden="1">{#N/A,#N/A,FALSE,"Plan1";#N/A,#N/A,FALSE,"Plan2"}</definedName>
    <definedName name="sdfty" localSheetId="26" hidden="1">{#N/A,#N/A,FALSE,"Plan1";#N/A,#N/A,FALSE,"Plan2"}</definedName>
    <definedName name="sdfty" localSheetId="11" hidden="1">{#N/A,#N/A,FALSE,"Plan1";#N/A,#N/A,FALSE,"Plan2"}</definedName>
    <definedName name="sdfty" hidden="1">{#N/A,#N/A,FALSE,"Plan1";#N/A,#N/A,FALSE,"Plan2"}</definedName>
    <definedName name="sdgdf" localSheetId="24" hidden="1">{#N/A,#N/A,FALSE,"Plan1";#N/A,#N/A,FALSE,"Plan2"}</definedName>
    <definedName name="sdgdf" localSheetId="7" hidden="1">{#N/A,#N/A,FALSE,"Plan1";#N/A,#N/A,FALSE,"Plan2"}</definedName>
    <definedName name="sdgdf" localSheetId="9" hidden="1">{#N/A,#N/A,FALSE,"Plan1";#N/A,#N/A,FALSE,"Plan2"}</definedName>
    <definedName name="sdgdf" localSheetId="3" hidden="1">{#N/A,#N/A,FALSE,"Plan1";#N/A,#N/A,FALSE,"Plan2"}</definedName>
    <definedName name="sdgdf" localSheetId="2" hidden="1">{#N/A,#N/A,FALSE,"Plan1";#N/A,#N/A,FALSE,"Plan2"}</definedName>
    <definedName name="sdgdf" localSheetId="16" hidden="1">{#N/A,#N/A,FALSE,"Plan1";#N/A,#N/A,FALSE,"Plan2"}</definedName>
    <definedName name="sdgdf" localSheetId="0" hidden="1">{#N/A,#N/A,FALSE,"Plan1";#N/A,#N/A,FALSE,"Plan2"}</definedName>
    <definedName name="sdgdf" localSheetId="26" hidden="1">{#N/A,#N/A,FALSE,"Plan1";#N/A,#N/A,FALSE,"Plan2"}</definedName>
    <definedName name="sdgdf" localSheetId="11" hidden="1">{#N/A,#N/A,FALSE,"Plan1";#N/A,#N/A,FALSE,"Plan2"}</definedName>
    <definedName name="sdgdf" hidden="1">{#N/A,#N/A,FALSE,"Plan1";#N/A,#N/A,FALSE,"Plan2"}</definedName>
    <definedName name="sdgfrt" localSheetId="24" hidden="1">{#N/A,#N/A,FALSE,"Plan1";#N/A,#N/A,FALSE,"Plan2"}</definedName>
    <definedName name="sdgfrt" localSheetId="7" hidden="1">{#N/A,#N/A,FALSE,"Plan1";#N/A,#N/A,FALSE,"Plan2"}</definedName>
    <definedName name="sdgfrt" localSheetId="9" hidden="1">{#N/A,#N/A,FALSE,"Plan1";#N/A,#N/A,FALSE,"Plan2"}</definedName>
    <definedName name="sdgfrt" localSheetId="3" hidden="1">{#N/A,#N/A,FALSE,"Plan1";#N/A,#N/A,FALSE,"Plan2"}</definedName>
    <definedName name="sdgfrt" localSheetId="2" hidden="1">{#N/A,#N/A,FALSE,"Plan1";#N/A,#N/A,FALSE,"Plan2"}</definedName>
    <definedName name="sdgfrt" localSheetId="16" hidden="1">{#N/A,#N/A,FALSE,"Plan1";#N/A,#N/A,FALSE,"Plan2"}</definedName>
    <definedName name="sdgfrt" localSheetId="0" hidden="1">{#N/A,#N/A,FALSE,"Plan1";#N/A,#N/A,FALSE,"Plan2"}</definedName>
    <definedName name="sdgfrt" localSheetId="26" hidden="1">{#N/A,#N/A,FALSE,"Plan1";#N/A,#N/A,FALSE,"Plan2"}</definedName>
    <definedName name="sdgfrt" localSheetId="11" hidden="1">{#N/A,#N/A,FALSE,"Plan1";#N/A,#N/A,FALSE,"Plan2"}</definedName>
    <definedName name="sdgfrt" hidden="1">{#N/A,#N/A,FALSE,"Plan1";#N/A,#N/A,FALSE,"Plan2"}</definedName>
    <definedName name="sdgft" localSheetId="24" hidden="1">{#N/A,#N/A,FALSE,"Plan1";#N/A,#N/A,FALSE,"Plan2"}</definedName>
    <definedName name="sdgft" localSheetId="7" hidden="1">{#N/A,#N/A,FALSE,"Plan1";#N/A,#N/A,FALSE,"Plan2"}</definedName>
    <definedName name="sdgft" localSheetId="9" hidden="1">{#N/A,#N/A,FALSE,"Plan1";#N/A,#N/A,FALSE,"Plan2"}</definedName>
    <definedName name="sdgft" localSheetId="3" hidden="1">{#N/A,#N/A,FALSE,"Plan1";#N/A,#N/A,FALSE,"Plan2"}</definedName>
    <definedName name="sdgft" localSheetId="2" hidden="1">{#N/A,#N/A,FALSE,"Plan1";#N/A,#N/A,FALSE,"Plan2"}</definedName>
    <definedName name="sdgft" localSheetId="16" hidden="1">{#N/A,#N/A,FALSE,"Plan1";#N/A,#N/A,FALSE,"Plan2"}</definedName>
    <definedName name="sdgft" localSheetId="0" hidden="1">{#N/A,#N/A,FALSE,"Plan1";#N/A,#N/A,FALSE,"Plan2"}</definedName>
    <definedName name="sdgft" localSheetId="26" hidden="1">{#N/A,#N/A,FALSE,"Plan1";#N/A,#N/A,FALSE,"Plan2"}</definedName>
    <definedName name="sdgft" localSheetId="11" hidden="1">{#N/A,#N/A,FALSE,"Plan1";#N/A,#N/A,FALSE,"Plan2"}</definedName>
    <definedName name="sdgft" hidden="1">{#N/A,#N/A,FALSE,"Plan1";#N/A,#N/A,FALSE,"Plan2"}</definedName>
    <definedName name="sdgt" localSheetId="24" hidden="1">{#N/A,#N/A,FALSE,"Plan1";#N/A,#N/A,FALSE,"Plan2"}</definedName>
    <definedName name="sdgt" localSheetId="7" hidden="1">{#N/A,#N/A,FALSE,"Plan1";#N/A,#N/A,FALSE,"Plan2"}</definedName>
    <definedName name="sdgt" localSheetId="9" hidden="1">{#N/A,#N/A,FALSE,"Plan1";#N/A,#N/A,FALSE,"Plan2"}</definedName>
    <definedName name="sdgt" localSheetId="3" hidden="1">{#N/A,#N/A,FALSE,"Plan1";#N/A,#N/A,FALSE,"Plan2"}</definedName>
    <definedName name="sdgt" localSheetId="2" hidden="1">{#N/A,#N/A,FALSE,"Plan1";#N/A,#N/A,FALSE,"Plan2"}</definedName>
    <definedName name="sdgt" localSheetId="16" hidden="1">{#N/A,#N/A,FALSE,"Plan1";#N/A,#N/A,FALSE,"Plan2"}</definedName>
    <definedName name="sdgt" localSheetId="0" hidden="1">{#N/A,#N/A,FALSE,"Plan1";#N/A,#N/A,FALSE,"Plan2"}</definedName>
    <definedName name="sdgt" localSheetId="26" hidden="1">{#N/A,#N/A,FALSE,"Plan1";#N/A,#N/A,FALSE,"Plan2"}</definedName>
    <definedName name="sdgt" localSheetId="11" hidden="1">{#N/A,#N/A,FALSE,"Plan1";#N/A,#N/A,FALSE,"Plan2"}</definedName>
    <definedName name="sdgt" hidden="1">{#N/A,#N/A,FALSE,"Plan1";#N/A,#N/A,FALSE,"Plan2"}</definedName>
    <definedName name="sdgtry" localSheetId="7" hidden="1">#REF!</definedName>
    <definedName name="sdgtry" localSheetId="3" hidden="1">#REF!</definedName>
    <definedName name="sdgtry" localSheetId="0" hidden="1">#REF!</definedName>
    <definedName name="sdgtry" hidden="1">#REF!</definedName>
    <definedName name="sdhfghdsfg" localSheetId="24" hidden="1">{#N/A,#N/A,FALSE,"Plan1";#N/A,#N/A,FALSE,"Plan2"}</definedName>
    <definedName name="sdhfghdsfg" localSheetId="7" hidden="1">{#N/A,#N/A,FALSE,"Plan1";#N/A,#N/A,FALSE,"Plan2"}</definedName>
    <definedName name="sdhfghdsfg" localSheetId="9" hidden="1">{#N/A,#N/A,FALSE,"Plan1";#N/A,#N/A,FALSE,"Plan2"}</definedName>
    <definedName name="sdhfghdsfg" localSheetId="3" hidden="1">{#N/A,#N/A,FALSE,"Plan1";#N/A,#N/A,FALSE,"Plan2"}</definedName>
    <definedName name="sdhfghdsfg" localSheetId="2" hidden="1">{#N/A,#N/A,FALSE,"Plan1";#N/A,#N/A,FALSE,"Plan2"}</definedName>
    <definedName name="sdhfghdsfg" localSheetId="16" hidden="1">{#N/A,#N/A,FALSE,"Plan1";#N/A,#N/A,FALSE,"Plan2"}</definedName>
    <definedName name="sdhfghdsfg" localSheetId="0" hidden="1">{#N/A,#N/A,FALSE,"Plan1";#N/A,#N/A,FALSE,"Plan2"}</definedName>
    <definedName name="sdhfghdsfg" localSheetId="26" hidden="1">{#N/A,#N/A,FALSE,"Plan1";#N/A,#N/A,FALSE,"Plan2"}</definedName>
    <definedName name="sdhfghdsfg" localSheetId="11" hidden="1">{#N/A,#N/A,FALSE,"Plan1";#N/A,#N/A,FALSE,"Plan2"}</definedName>
    <definedName name="sdhfghdsfg" hidden="1">{#N/A,#N/A,FALSE,"Plan1";#N/A,#N/A,FALSE,"Plan2"}</definedName>
    <definedName name="SDHFJKHDFJRE" localSheetId="24" hidden="1">{#N/A,#N/A,FALSE,"Plan1";#N/A,#N/A,FALSE,"Plan2"}</definedName>
    <definedName name="SDHFJKHDFJRE" localSheetId="7" hidden="1">{#N/A,#N/A,FALSE,"Plan1";#N/A,#N/A,FALSE,"Plan2"}</definedName>
    <definedName name="SDHFJKHDFJRE" localSheetId="9" hidden="1">{#N/A,#N/A,FALSE,"Plan1";#N/A,#N/A,FALSE,"Plan2"}</definedName>
    <definedName name="SDHFJKHDFJRE" localSheetId="3" hidden="1">{#N/A,#N/A,FALSE,"Plan1";#N/A,#N/A,FALSE,"Plan2"}</definedName>
    <definedName name="SDHFJKHDFJRE" localSheetId="2" hidden="1">{#N/A,#N/A,FALSE,"Plan1";#N/A,#N/A,FALSE,"Plan2"}</definedName>
    <definedName name="SDHFJKHDFJRE" localSheetId="16" hidden="1">{#N/A,#N/A,FALSE,"Plan1";#N/A,#N/A,FALSE,"Plan2"}</definedName>
    <definedName name="SDHFJKHDFJRE" localSheetId="0" hidden="1">{#N/A,#N/A,FALSE,"Plan1";#N/A,#N/A,FALSE,"Plan2"}</definedName>
    <definedName name="SDHFJKHDFJRE" localSheetId="26" hidden="1">{#N/A,#N/A,FALSE,"Plan1";#N/A,#N/A,FALSE,"Plan2"}</definedName>
    <definedName name="SDHFJKHDFJRE" localSheetId="11" hidden="1">{#N/A,#N/A,FALSE,"Plan1";#N/A,#N/A,FALSE,"Plan2"}</definedName>
    <definedName name="SDHFJKHDFJRE" hidden="1">{#N/A,#N/A,FALSE,"Plan1";#N/A,#N/A,FALSE,"Plan2"}</definedName>
    <definedName name="SDHKFDRKGTR" localSheetId="24" hidden="1">{#N/A,#N/A,FALSE,"Plan1";#N/A,#N/A,FALSE,"Plan2"}</definedName>
    <definedName name="SDHKFDRKGTR" localSheetId="7" hidden="1">{#N/A,#N/A,FALSE,"Plan1";#N/A,#N/A,FALSE,"Plan2"}</definedName>
    <definedName name="SDHKFDRKGTR" localSheetId="9" hidden="1">{#N/A,#N/A,FALSE,"Plan1";#N/A,#N/A,FALSE,"Plan2"}</definedName>
    <definedName name="SDHKFDRKGTR" localSheetId="3" hidden="1">{#N/A,#N/A,FALSE,"Plan1";#N/A,#N/A,FALSE,"Plan2"}</definedName>
    <definedName name="SDHKFDRKGTR" localSheetId="2" hidden="1">{#N/A,#N/A,FALSE,"Plan1";#N/A,#N/A,FALSE,"Plan2"}</definedName>
    <definedName name="SDHKFDRKGTR" localSheetId="16" hidden="1">{#N/A,#N/A,FALSE,"Plan1";#N/A,#N/A,FALSE,"Plan2"}</definedName>
    <definedName name="SDHKFDRKGTR" localSheetId="0" hidden="1">{#N/A,#N/A,FALSE,"Plan1";#N/A,#N/A,FALSE,"Plan2"}</definedName>
    <definedName name="SDHKFDRKGTR" localSheetId="26" hidden="1">{#N/A,#N/A,FALSE,"Plan1";#N/A,#N/A,FALSE,"Plan2"}</definedName>
    <definedName name="SDHKFDRKGTR" localSheetId="11" hidden="1">{#N/A,#N/A,FALSE,"Plan1";#N/A,#N/A,FALSE,"Plan2"}</definedName>
    <definedName name="SDHKFDRKGTR" hidden="1">{#N/A,#N/A,FALSE,"Plan1";#N/A,#N/A,FALSE,"Plan2"}</definedName>
    <definedName name="sdjdswger" localSheetId="24" hidden="1">{#N/A,#N/A,FALSE,"Plan1";#N/A,#N/A,FALSE,"Plan2"}</definedName>
    <definedName name="sdjdswger" localSheetId="7" hidden="1">{#N/A,#N/A,FALSE,"Plan1";#N/A,#N/A,FALSE,"Plan2"}</definedName>
    <definedName name="sdjdswger" localSheetId="9" hidden="1">{#N/A,#N/A,FALSE,"Plan1";#N/A,#N/A,FALSE,"Plan2"}</definedName>
    <definedName name="sdjdswger" localSheetId="3" hidden="1">{#N/A,#N/A,FALSE,"Plan1";#N/A,#N/A,FALSE,"Plan2"}</definedName>
    <definedName name="sdjdswger" localSheetId="2" hidden="1">{#N/A,#N/A,FALSE,"Plan1";#N/A,#N/A,FALSE,"Plan2"}</definedName>
    <definedName name="sdjdswger" localSheetId="16" hidden="1">{#N/A,#N/A,FALSE,"Plan1";#N/A,#N/A,FALSE,"Plan2"}</definedName>
    <definedName name="sdjdswger" localSheetId="0" hidden="1">{#N/A,#N/A,FALSE,"Plan1";#N/A,#N/A,FALSE,"Plan2"}</definedName>
    <definedName name="sdjdswger" localSheetId="26" hidden="1">{#N/A,#N/A,FALSE,"Plan1";#N/A,#N/A,FALSE,"Plan2"}</definedName>
    <definedName name="sdjdswger" localSheetId="11" hidden="1">{#N/A,#N/A,FALSE,"Plan1";#N/A,#N/A,FALSE,"Plan2"}</definedName>
    <definedName name="sdjdswger" hidden="1">{#N/A,#N/A,FALSE,"Plan1";#N/A,#N/A,FALSE,"Plan2"}</definedName>
    <definedName name="sdjfdf" localSheetId="24" hidden="1">{#N/A,#N/A,FALSE,"Plan1";#N/A,#N/A,FALSE,"Plan2"}</definedName>
    <definedName name="sdjfdf" localSheetId="7" hidden="1">{#N/A,#N/A,FALSE,"Plan1";#N/A,#N/A,FALSE,"Plan2"}</definedName>
    <definedName name="sdjfdf" localSheetId="9" hidden="1">{#N/A,#N/A,FALSE,"Plan1";#N/A,#N/A,FALSE,"Plan2"}</definedName>
    <definedName name="sdjfdf" localSheetId="3" hidden="1">{#N/A,#N/A,FALSE,"Plan1";#N/A,#N/A,FALSE,"Plan2"}</definedName>
    <definedName name="sdjfdf" localSheetId="2" hidden="1">{#N/A,#N/A,FALSE,"Plan1";#N/A,#N/A,FALSE,"Plan2"}</definedName>
    <definedName name="sdjfdf" localSheetId="16" hidden="1">{#N/A,#N/A,FALSE,"Plan1";#N/A,#N/A,FALSE,"Plan2"}</definedName>
    <definedName name="sdjfdf" localSheetId="0" hidden="1">{#N/A,#N/A,FALSE,"Plan1";#N/A,#N/A,FALSE,"Plan2"}</definedName>
    <definedName name="sdjfdf" localSheetId="26" hidden="1">{#N/A,#N/A,FALSE,"Plan1";#N/A,#N/A,FALSE,"Plan2"}</definedName>
    <definedName name="sdjfdf" localSheetId="11" hidden="1">{#N/A,#N/A,FALSE,"Plan1";#N/A,#N/A,FALSE,"Plan2"}</definedName>
    <definedName name="sdjfdf" hidden="1">{#N/A,#N/A,FALSE,"Plan1";#N/A,#N/A,FALSE,"Plan2"}</definedName>
    <definedName name="sdjfhdjk" localSheetId="24" hidden="1">{#N/A,#N/A,FALSE,"Plan1";#N/A,#N/A,FALSE,"Plan2"}</definedName>
    <definedName name="sdjfhdjk" localSheetId="7" hidden="1">{#N/A,#N/A,FALSE,"Plan1";#N/A,#N/A,FALSE,"Plan2"}</definedName>
    <definedName name="sdjfhdjk" localSheetId="9" hidden="1">{#N/A,#N/A,FALSE,"Plan1";#N/A,#N/A,FALSE,"Plan2"}</definedName>
    <definedName name="sdjfhdjk" localSheetId="3" hidden="1">{#N/A,#N/A,FALSE,"Plan1";#N/A,#N/A,FALSE,"Plan2"}</definedName>
    <definedName name="sdjfhdjk" localSheetId="2" hidden="1">{#N/A,#N/A,FALSE,"Plan1";#N/A,#N/A,FALSE,"Plan2"}</definedName>
    <definedName name="sdjfhdjk" localSheetId="16" hidden="1">{#N/A,#N/A,FALSE,"Plan1";#N/A,#N/A,FALSE,"Plan2"}</definedName>
    <definedName name="sdjfhdjk" localSheetId="0" hidden="1">{#N/A,#N/A,FALSE,"Plan1";#N/A,#N/A,FALSE,"Plan2"}</definedName>
    <definedName name="sdjfhdjk" localSheetId="26" hidden="1">{#N/A,#N/A,FALSE,"Plan1";#N/A,#N/A,FALSE,"Plan2"}</definedName>
    <definedName name="sdjfhdjk" localSheetId="11" hidden="1">{#N/A,#N/A,FALSE,"Plan1";#N/A,#N/A,FALSE,"Plan2"}</definedName>
    <definedName name="sdjfhdjk" hidden="1">{#N/A,#N/A,FALSE,"Plan1";#N/A,#N/A,FALSE,"Plan2"}</definedName>
    <definedName name="SDJFJDER" localSheetId="24" hidden="1">{#N/A,#N/A,FALSE,"Plan1";#N/A,#N/A,FALSE,"Plan2"}</definedName>
    <definedName name="SDJFJDER" localSheetId="7" hidden="1">{#N/A,#N/A,FALSE,"Plan1";#N/A,#N/A,FALSE,"Plan2"}</definedName>
    <definedName name="SDJFJDER" localSheetId="9" hidden="1">{#N/A,#N/A,FALSE,"Plan1";#N/A,#N/A,FALSE,"Plan2"}</definedName>
    <definedName name="SDJFJDER" localSheetId="3" hidden="1">{#N/A,#N/A,FALSE,"Plan1";#N/A,#N/A,FALSE,"Plan2"}</definedName>
    <definedName name="SDJFJDER" localSheetId="2" hidden="1">{#N/A,#N/A,FALSE,"Plan1";#N/A,#N/A,FALSE,"Plan2"}</definedName>
    <definedName name="SDJFJDER" localSheetId="16" hidden="1">{#N/A,#N/A,FALSE,"Plan1";#N/A,#N/A,FALSE,"Plan2"}</definedName>
    <definedName name="SDJFJDER" localSheetId="0" hidden="1">{#N/A,#N/A,FALSE,"Plan1";#N/A,#N/A,FALSE,"Plan2"}</definedName>
    <definedName name="SDJFJDER" localSheetId="26" hidden="1">{#N/A,#N/A,FALSE,"Plan1";#N/A,#N/A,FALSE,"Plan2"}</definedName>
    <definedName name="SDJFJDER" localSheetId="11" hidden="1">{#N/A,#N/A,FALSE,"Plan1";#N/A,#N/A,FALSE,"Plan2"}</definedName>
    <definedName name="SDJFJDER" hidden="1">{#N/A,#N/A,FALSE,"Plan1";#N/A,#N/A,FALSE,"Plan2"}</definedName>
    <definedName name="sdjflsdjfl" localSheetId="24" hidden="1">{#N/A,#N/A,FALSE,"Plan1";#N/A,#N/A,FALSE,"Plan2"}</definedName>
    <definedName name="sdjflsdjfl" localSheetId="7" hidden="1">{#N/A,#N/A,FALSE,"Plan1";#N/A,#N/A,FALSE,"Plan2"}</definedName>
    <definedName name="sdjflsdjfl" localSheetId="9" hidden="1">{#N/A,#N/A,FALSE,"Plan1";#N/A,#N/A,FALSE,"Plan2"}</definedName>
    <definedName name="sdjflsdjfl" localSheetId="3" hidden="1">{#N/A,#N/A,FALSE,"Plan1";#N/A,#N/A,FALSE,"Plan2"}</definedName>
    <definedName name="sdjflsdjfl" localSheetId="2" hidden="1">{#N/A,#N/A,FALSE,"Plan1";#N/A,#N/A,FALSE,"Plan2"}</definedName>
    <definedName name="sdjflsdjfl" localSheetId="16" hidden="1">{#N/A,#N/A,FALSE,"Plan1";#N/A,#N/A,FALSE,"Plan2"}</definedName>
    <definedName name="sdjflsdjfl" localSheetId="0" hidden="1">{#N/A,#N/A,FALSE,"Plan1";#N/A,#N/A,FALSE,"Plan2"}</definedName>
    <definedName name="sdjflsdjfl" localSheetId="26" hidden="1">{#N/A,#N/A,FALSE,"Plan1";#N/A,#N/A,FALSE,"Plan2"}</definedName>
    <definedName name="sdjflsdjfl" localSheetId="11" hidden="1">{#N/A,#N/A,FALSE,"Plan1";#N/A,#N/A,FALSE,"Plan2"}</definedName>
    <definedName name="sdjflsdjfl" hidden="1">{#N/A,#N/A,FALSE,"Plan1";#N/A,#N/A,FALSE,"Plan2"}</definedName>
    <definedName name="SDJHF" localSheetId="24" hidden="1">{#N/A,#N/A,FALSE,"Plan1";#N/A,#N/A,FALSE,"Plan2"}</definedName>
    <definedName name="SDJHF" localSheetId="7" hidden="1">{#N/A,#N/A,FALSE,"Plan1";#N/A,#N/A,FALSE,"Plan2"}</definedName>
    <definedName name="SDJHF" localSheetId="9" hidden="1">{#N/A,#N/A,FALSE,"Plan1";#N/A,#N/A,FALSE,"Plan2"}</definedName>
    <definedName name="SDJHF" localSheetId="3" hidden="1">{#N/A,#N/A,FALSE,"Plan1";#N/A,#N/A,FALSE,"Plan2"}</definedName>
    <definedName name="SDJHF" localSheetId="2" hidden="1">{#N/A,#N/A,FALSE,"Plan1";#N/A,#N/A,FALSE,"Plan2"}</definedName>
    <definedName name="SDJHF" localSheetId="16" hidden="1">{#N/A,#N/A,FALSE,"Plan1";#N/A,#N/A,FALSE,"Plan2"}</definedName>
    <definedName name="SDJHF" localSheetId="0" hidden="1">{#N/A,#N/A,FALSE,"Plan1";#N/A,#N/A,FALSE,"Plan2"}</definedName>
    <definedName name="SDJHF" localSheetId="26" hidden="1">{#N/A,#N/A,FALSE,"Plan1";#N/A,#N/A,FALSE,"Plan2"}</definedName>
    <definedName name="SDJHF" localSheetId="11" hidden="1">{#N/A,#N/A,FALSE,"Plan1";#N/A,#N/A,FALSE,"Plan2"}</definedName>
    <definedName name="SDJHF" hidden="1">{#N/A,#N/A,FALSE,"Plan1";#N/A,#N/A,FALSE,"Plan2"}</definedName>
    <definedName name="sdjrderertrr" localSheetId="24" hidden="1">{#N/A,#N/A,FALSE,"Plan1";#N/A,#N/A,FALSE,"Plan2"}</definedName>
    <definedName name="sdjrderertrr" localSheetId="7" hidden="1">{#N/A,#N/A,FALSE,"Plan1";#N/A,#N/A,FALSE,"Plan2"}</definedName>
    <definedName name="sdjrderertrr" localSheetId="9" hidden="1">{#N/A,#N/A,FALSE,"Plan1";#N/A,#N/A,FALSE,"Plan2"}</definedName>
    <definedName name="sdjrderertrr" localSheetId="3" hidden="1">{#N/A,#N/A,FALSE,"Plan1";#N/A,#N/A,FALSE,"Plan2"}</definedName>
    <definedName name="sdjrderertrr" localSheetId="2" hidden="1">{#N/A,#N/A,FALSE,"Plan1";#N/A,#N/A,FALSE,"Plan2"}</definedName>
    <definedName name="sdjrderertrr" localSheetId="16" hidden="1">{#N/A,#N/A,FALSE,"Plan1";#N/A,#N/A,FALSE,"Plan2"}</definedName>
    <definedName name="sdjrderertrr" localSheetId="0" hidden="1">{#N/A,#N/A,FALSE,"Plan1";#N/A,#N/A,FALSE,"Plan2"}</definedName>
    <definedName name="sdjrderertrr" localSheetId="26" hidden="1">{#N/A,#N/A,FALSE,"Plan1";#N/A,#N/A,FALSE,"Plan2"}</definedName>
    <definedName name="sdjrderertrr" localSheetId="11" hidden="1">{#N/A,#N/A,FALSE,"Plan1";#N/A,#N/A,FALSE,"Plan2"}</definedName>
    <definedName name="sdjrderertrr" hidden="1">{#N/A,#N/A,FALSE,"Plan1";#N/A,#N/A,FALSE,"Plan2"}</definedName>
    <definedName name="sdkdjk" localSheetId="24" hidden="1">{#N/A,#N/A,FALSE,"Plan1";#N/A,#N/A,FALSE,"Plan2"}</definedName>
    <definedName name="sdkdjk" localSheetId="7" hidden="1">{#N/A,#N/A,FALSE,"Plan1";#N/A,#N/A,FALSE,"Plan2"}</definedName>
    <definedName name="sdkdjk" localSheetId="9" hidden="1">{#N/A,#N/A,FALSE,"Plan1";#N/A,#N/A,FALSE,"Plan2"}</definedName>
    <definedName name="sdkdjk" localSheetId="3" hidden="1">{#N/A,#N/A,FALSE,"Plan1";#N/A,#N/A,FALSE,"Plan2"}</definedName>
    <definedName name="sdkdjk" localSheetId="2" hidden="1">{#N/A,#N/A,FALSE,"Plan1";#N/A,#N/A,FALSE,"Plan2"}</definedName>
    <definedName name="sdkdjk" localSheetId="16" hidden="1">{#N/A,#N/A,FALSE,"Plan1";#N/A,#N/A,FALSE,"Plan2"}</definedName>
    <definedName name="sdkdjk" localSheetId="0" hidden="1">{#N/A,#N/A,FALSE,"Plan1";#N/A,#N/A,FALSE,"Plan2"}</definedName>
    <definedName name="sdkdjk" localSheetId="26" hidden="1">{#N/A,#N/A,FALSE,"Plan1";#N/A,#N/A,FALSE,"Plan2"}</definedName>
    <definedName name="sdkdjk" localSheetId="11" hidden="1">{#N/A,#N/A,FALSE,"Plan1";#N/A,#N/A,FALSE,"Plan2"}</definedName>
    <definedName name="sdkdjk" hidden="1">{#N/A,#N/A,FALSE,"Plan1";#N/A,#N/A,FALSE,"Plan2"}</definedName>
    <definedName name="sdkfjhkdgfhk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localSheetId="24" hidden="1">{#N/A,#N/A,FALSE,"Plan1";#N/A,#N/A,FALSE,"Plan2"}</definedName>
    <definedName name="sdkfnjd" localSheetId="7" hidden="1">{#N/A,#N/A,FALSE,"Plan1";#N/A,#N/A,FALSE,"Plan2"}</definedName>
    <definedName name="sdkfnjd" localSheetId="9" hidden="1">{#N/A,#N/A,FALSE,"Plan1";#N/A,#N/A,FALSE,"Plan2"}</definedName>
    <definedName name="sdkfnjd" localSheetId="3" hidden="1">{#N/A,#N/A,FALSE,"Plan1";#N/A,#N/A,FALSE,"Plan2"}</definedName>
    <definedName name="sdkfnjd" localSheetId="2" hidden="1">{#N/A,#N/A,FALSE,"Plan1";#N/A,#N/A,FALSE,"Plan2"}</definedName>
    <definedName name="sdkfnjd" localSheetId="16" hidden="1">{#N/A,#N/A,FALSE,"Plan1";#N/A,#N/A,FALSE,"Plan2"}</definedName>
    <definedName name="sdkfnjd" localSheetId="0" hidden="1">{#N/A,#N/A,FALSE,"Plan1";#N/A,#N/A,FALSE,"Plan2"}</definedName>
    <definedName name="sdkfnjd" localSheetId="26" hidden="1">{#N/A,#N/A,FALSE,"Plan1";#N/A,#N/A,FALSE,"Plan2"}</definedName>
    <definedName name="sdkfnjd" localSheetId="11" hidden="1">{#N/A,#N/A,FALSE,"Plan1";#N/A,#N/A,FALSE,"Plan2"}</definedName>
    <definedName name="sdkfnjd" hidden="1">{#N/A,#N/A,FALSE,"Plan1";#N/A,#N/A,FALSE,"Plan2"}</definedName>
    <definedName name="sdkk" localSheetId="24" hidden="1">{#N/A,#N/A,FALSE,"Plan1";#N/A,#N/A,FALSE,"Plan2"}</definedName>
    <definedName name="sdkk" localSheetId="7" hidden="1">{#N/A,#N/A,FALSE,"Plan1";#N/A,#N/A,FALSE,"Plan2"}</definedName>
    <definedName name="sdkk" localSheetId="9" hidden="1">{#N/A,#N/A,FALSE,"Plan1";#N/A,#N/A,FALSE,"Plan2"}</definedName>
    <definedName name="sdkk" localSheetId="3" hidden="1">{#N/A,#N/A,FALSE,"Plan1";#N/A,#N/A,FALSE,"Plan2"}</definedName>
    <definedName name="sdkk" localSheetId="2" hidden="1">{#N/A,#N/A,FALSE,"Plan1";#N/A,#N/A,FALSE,"Plan2"}</definedName>
    <definedName name="sdkk" localSheetId="16" hidden="1">{#N/A,#N/A,FALSE,"Plan1";#N/A,#N/A,FALSE,"Plan2"}</definedName>
    <definedName name="sdkk" localSheetId="0" hidden="1">{#N/A,#N/A,FALSE,"Plan1";#N/A,#N/A,FALSE,"Plan2"}</definedName>
    <definedName name="sdkk" localSheetId="26" hidden="1">{#N/A,#N/A,FALSE,"Plan1";#N/A,#N/A,FALSE,"Plan2"}</definedName>
    <definedName name="sdkk" localSheetId="11" hidden="1">{#N/A,#N/A,FALSE,"Plan1";#N/A,#N/A,FALSE,"Plan2"}</definedName>
    <definedName name="sdkk" hidden="1">{#N/A,#N/A,FALSE,"Plan1";#N/A,#N/A,FALSE,"Plan2"}</definedName>
    <definedName name="sdlfsdflj" localSheetId="24" hidden="1">{#N/A,#N/A,FALSE,"Plan1";#N/A,#N/A,FALSE,"Plan2"}</definedName>
    <definedName name="sdlfsdflj" localSheetId="7" hidden="1">{#N/A,#N/A,FALSE,"Plan1";#N/A,#N/A,FALSE,"Plan2"}</definedName>
    <definedName name="sdlfsdflj" localSheetId="9" hidden="1">{#N/A,#N/A,FALSE,"Plan1";#N/A,#N/A,FALSE,"Plan2"}</definedName>
    <definedName name="sdlfsdflj" localSheetId="3" hidden="1">{#N/A,#N/A,FALSE,"Plan1";#N/A,#N/A,FALSE,"Plan2"}</definedName>
    <definedName name="sdlfsdflj" localSheetId="2" hidden="1">{#N/A,#N/A,FALSE,"Plan1";#N/A,#N/A,FALSE,"Plan2"}</definedName>
    <definedName name="sdlfsdflj" localSheetId="16" hidden="1">{#N/A,#N/A,FALSE,"Plan1";#N/A,#N/A,FALSE,"Plan2"}</definedName>
    <definedName name="sdlfsdflj" localSheetId="0" hidden="1">{#N/A,#N/A,FALSE,"Plan1";#N/A,#N/A,FALSE,"Plan2"}</definedName>
    <definedName name="sdlfsdflj" localSheetId="26" hidden="1">{#N/A,#N/A,FALSE,"Plan1";#N/A,#N/A,FALSE,"Plan2"}</definedName>
    <definedName name="sdlfsdflj" localSheetId="11" hidden="1">{#N/A,#N/A,FALSE,"Plan1";#N/A,#N/A,FALSE,"Plan2"}</definedName>
    <definedName name="sdlfsdflj" hidden="1">{#N/A,#N/A,FALSE,"Plan1";#N/A,#N/A,FALSE,"Plan2"}</definedName>
    <definedName name="sdmfmdfsgfd" localSheetId="24" hidden="1">{#N/A,#N/A,FALSE,"Plan1";#N/A,#N/A,FALSE,"Plan2"}</definedName>
    <definedName name="sdmfmdfsgfd" localSheetId="7" hidden="1">{#N/A,#N/A,FALSE,"Plan1";#N/A,#N/A,FALSE,"Plan2"}</definedName>
    <definedName name="sdmfmdfsgfd" localSheetId="9" hidden="1">{#N/A,#N/A,FALSE,"Plan1";#N/A,#N/A,FALSE,"Plan2"}</definedName>
    <definedName name="sdmfmdfsgfd" localSheetId="3" hidden="1">{#N/A,#N/A,FALSE,"Plan1";#N/A,#N/A,FALSE,"Plan2"}</definedName>
    <definedName name="sdmfmdfsgfd" localSheetId="2" hidden="1">{#N/A,#N/A,FALSE,"Plan1";#N/A,#N/A,FALSE,"Plan2"}</definedName>
    <definedName name="sdmfmdfsgfd" localSheetId="16" hidden="1">{#N/A,#N/A,FALSE,"Plan1";#N/A,#N/A,FALSE,"Plan2"}</definedName>
    <definedName name="sdmfmdfsgfd" localSheetId="0" hidden="1">{#N/A,#N/A,FALSE,"Plan1";#N/A,#N/A,FALSE,"Plan2"}</definedName>
    <definedName name="sdmfmdfsgfd" localSheetId="26" hidden="1">{#N/A,#N/A,FALSE,"Plan1";#N/A,#N/A,FALSE,"Plan2"}</definedName>
    <definedName name="sdmfmdfsgfd" localSheetId="11" hidden="1">{#N/A,#N/A,FALSE,"Plan1";#N/A,#N/A,FALSE,"Plan2"}</definedName>
    <definedName name="sdmfmdfsgfd" hidden="1">{#N/A,#N/A,FALSE,"Plan1";#N/A,#N/A,FALSE,"Plan2"}</definedName>
    <definedName name="sd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localSheetId="24" hidden="1">{#N/A,#N/A,FALSE,"Plan1";#N/A,#N/A,FALSE,"Plan2"}</definedName>
    <definedName name="sdrfgt" localSheetId="7" hidden="1">{#N/A,#N/A,FALSE,"Plan1";#N/A,#N/A,FALSE,"Plan2"}</definedName>
    <definedName name="sdrfgt" localSheetId="9" hidden="1">{#N/A,#N/A,FALSE,"Plan1";#N/A,#N/A,FALSE,"Plan2"}</definedName>
    <definedName name="sdrfgt" localSheetId="3" hidden="1">{#N/A,#N/A,FALSE,"Plan1";#N/A,#N/A,FALSE,"Plan2"}</definedName>
    <definedName name="sdrfgt" localSheetId="2" hidden="1">{#N/A,#N/A,FALSE,"Plan1";#N/A,#N/A,FALSE,"Plan2"}</definedName>
    <definedName name="sdrfgt" localSheetId="16" hidden="1">{#N/A,#N/A,FALSE,"Plan1";#N/A,#N/A,FALSE,"Plan2"}</definedName>
    <definedName name="sdrfgt" localSheetId="0" hidden="1">{#N/A,#N/A,FALSE,"Plan1";#N/A,#N/A,FALSE,"Plan2"}</definedName>
    <definedName name="sdrfgt" localSheetId="26" hidden="1">{#N/A,#N/A,FALSE,"Plan1";#N/A,#N/A,FALSE,"Plan2"}</definedName>
    <definedName name="sdrfgt" localSheetId="11" hidden="1">{#N/A,#N/A,FALSE,"Plan1";#N/A,#N/A,FALSE,"Plan2"}</definedName>
    <definedName name="sdrfgt" hidden="1">{#N/A,#N/A,FALSE,"Plan1";#N/A,#N/A,FALSE,"Plan2"}</definedName>
    <definedName name="sdsd" localSheetId="24" hidden="1">{#N/A,#N/A,FALSE,"Plan1";#N/A,#N/A,FALSE,"Plan2"}</definedName>
    <definedName name="sdsd" localSheetId="7" hidden="1">{#N/A,#N/A,FALSE,"Plan1";#N/A,#N/A,FALSE,"Plan2"}</definedName>
    <definedName name="sdsd" localSheetId="9" hidden="1">{#N/A,#N/A,FALSE,"Plan1";#N/A,#N/A,FALSE,"Plan2"}</definedName>
    <definedName name="sdsd" localSheetId="3" hidden="1">{#N/A,#N/A,FALSE,"Plan1";#N/A,#N/A,FALSE,"Plan2"}</definedName>
    <definedName name="sdsd" localSheetId="2" hidden="1">{#N/A,#N/A,FALSE,"Plan1";#N/A,#N/A,FALSE,"Plan2"}</definedName>
    <definedName name="sdsd" localSheetId="16" hidden="1">{#N/A,#N/A,FALSE,"Plan1";#N/A,#N/A,FALSE,"Plan2"}</definedName>
    <definedName name="sdsd" localSheetId="0" hidden="1">{#N/A,#N/A,FALSE,"Plan1";#N/A,#N/A,FALSE,"Plan2"}</definedName>
    <definedName name="sdsd" localSheetId="26" hidden="1">{#N/A,#N/A,FALSE,"Plan1";#N/A,#N/A,FALSE,"Plan2"}</definedName>
    <definedName name="sdsd" localSheetId="11" hidden="1">{#N/A,#N/A,FALSE,"Plan1";#N/A,#N/A,FALSE,"Plan2"}</definedName>
    <definedName name="sdsd" hidden="1">{#N/A,#N/A,FALSE,"Plan1";#N/A,#N/A,FALSE,"Plan2"}</definedName>
    <definedName name="sdser" localSheetId="24" hidden="1">{#N/A,#N/A,FALSE,"Plan1";#N/A,#N/A,FALSE,"Plan2"}</definedName>
    <definedName name="sdser" localSheetId="7" hidden="1">{#N/A,#N/A,FALSE,"Plan1";#N/A,#N/A,FALSE,"Plan2"}</definedName>
    <definedName name="sdser" localSheetId="9" hidden="1">{#N/A,#N/A,FALSE,"Plan1";#N/A,#N/A,FALSE,"Plan2"}</definedName>
    <definedName name="sdser" localSheetId="3" hidden="1">{#N/A,#N/A,FALSE,"Plan1";#N/A,#N/A,FALSE,"Plan2"}</definedName>
    <definedName name="sdser" localSheetId="2" hidden="1">{#N/A,#N/A,FALSE,"Plan1";#N/A,#N/A,FALSE,"Plan2"}</definedName>
    <definedName name="sdser" localSheetId="16" hidden="1">{#N/A,#N/A,FALSE,"Plan1";#N/A,#N/A,FALSE,"Plan2"}</definedName>
    <definedName name="sdser" localSheetId="0" hidden="1">{#N/A,#N/A,FALSE,"Plan1";#N/A,#N/A,FALSE,"Plan2"}</definedName>
    <definedName name="sdser" localSheetId="26" hidden="1">{#N/A,#N/A,FALSE,"Plan1";#N/A,#N/A,FALSE,"Plan2"}</definedName>
    <definedName name="sdser" localSheetId="11" hidden="1">{#N/A,#N/A,FALSE,"Plan1";#N/A,#N/A,FALSE,"Plan2"}</definedName>
    <definedName name="sdser" hidden="1">{#N/A,#N/A,FALSE,"Plan1";#N/A,#N/A,FALSE,"Plan2"}</definedName>
    <definedName name="sdsre" localSheetId="24" hidden="1">{#N/A,#N/A,FALSE,"Plan1";#N/A,#N/A,FALSE,"Plan2"}</definedName>
    <definedName name="sdsre" localSheetId="7" hidden="1">{#N/A,#N/A,FALSE,"Plan1";#N/A,#N/A,FALSE,"Plan2"}</definedName>
    <definedName name="sdsre" localSheetId="9" hidden="1">{#N/A,#N/A,FALSE,"Plan1";#N/A,#N/A,FALSE,"Plan2"}</definedName>
    <definedName name="sdsre" localSheetId="3" hidden="1">{#N/A,#N/A,FALSE,"Plan1";#N/A,#N/A,FALSE,"Plan2"}</definedName>
    <definedName name="sdsre" localSheetId="2" hidden="1">{#N/A,#N/A,FALSE,"Plan1";#N/A,#N/A,FALSE,"Plan2"}</definedName>
    <definedName name="sdsre" localSheetId="16" hidden="1">{#N/A,#N/A,FALSE,"Plan1";#N/A,#N/A,FALSE,"Plan2"}</definedName>
    <definedName name="sdsre" localSheetId="0" hidden="1">{#N/A,#N/A,FALSE,"Plan1";#N/A,#N/A,FALSE,"Plan2"}</definedName>
    <definedName name="sdsre" localSheetId="26" hidden="1">{#N/A,#N/A,FALSE,"Plan1";#N/A,#N/A,FALSE,"Plan2"}</definedName>
    <definedName name="sdsre" localSheetId="11" hidden="1">{#N/A,#N/A,FALSE,"Plan1";#N/A,#N/A,FALSE,"Plan2"}</definedName>
    <definedName name="sdsre" hidden="1">{#N/A,#N/A,FALSE,"Plan1";#N/A,#N/A,FALSE,"Plan2"}</definedName>
    <definedName name="sdss" localSheetId="24" hidden="1">{#N/A,#N/A,FALSE,"Plan1";#N/A,#N/A,FALSE,"Plan2"}</definedName>
    <definedName name="sdss" localSheetId="7" hidden="1">{#N/A,#N/A,FALSE,"Plan1";#N/A,#N/A,FALSE,"Plan2"}</definedName>
    <definedName name="sdss" localSheetId="9" hidden="1">{#N/A,#N/A,FALSE,"Plan1";#N/A,#N/A,FALSE,"Plan2"}</definedName>
    <definedName name="sdss" localSheetId="3" hidden="1">{#N/A,#N/A,FALSE,"Plan1";#N/A,#N/A,FALSE,"Plan2"}</definedName>
    <definedName name="sdss" localSheetId="2" hidden="1">{#N/A,#N/A,FALSE,"Plan1";#N/A,#N/A,FALSE,"Plan2"}</definedName>
    <definedName name="sdss" localSheetId="16" hidden="1">{#N/A,#N/A,FALSE,"Plan1";#N/A,#N/A,FALSE,"Plan2"}</definedName>
    <definedName name="sdss" localSheetId="0" hidden="1">{#N/A,#N/A,FALSE,"Plan1";#N/A,#N/A,FALSE,"Plan2"}</definedName>
    <definedName name="sdss" localSheetId="26" hidden="1">{#N/A,#N/A,FALSE,"Plan1";#N/A,#N/A,FALSE,"Plan2"}</definedName>
    <definedName name="sdss" localSheetId="11" hidden="1">{#N/A,#N/A,FALSE,"Plan1";#N/A,#N/A,FALSE,"Plan2"}</definedName>
    <definedName name="sdss" hidden="1">{#N/A,#N/A,FALSE,"Plan1";#N/A,#N/A,FALSE,"Plan2"}</definedName>
    <definedName name="sdtrtg" localSheetId="7" hidden="1">#REF!</definedName>
    <definedName name="sdtrtg" localSheetId="3" hidden="1">#REF!</definedName>
    <definedName name="sdtrtg" localSheetId="0" hidden="1">#REF!</definedName>
    <definedName name="sdtrtg" hidden="1">#REF!</definedName>
    <definedName name="sdusi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localSheetId="24" hidden="1">{"Econ Consolidado",#N/A,FALSE,"Econ Consol";"Fluxo de Caixa",#N/A,FALSE,"Fluxo Caixa";"Investimentos",#N/A,FALSE,"Investimentos"}</definedName>
    <definedName name="SDWER" localSheetId="7" hidden="1">{"Econ Consolidado",#N/A,FALSE,"Econ Consol";"Fluxo de Caixa",#N/A,FALSE,"Fluxo Caixa";"Investimentos",#N/A,FALSE,"Investimentos"}</definedName>
    <definedName name="SDWER" localSheetId="9" hidden="1">{"Econ Consolidado",#N/A,FALSE,"Econ Consol";"Fluxo de Caixa",#N/A,FALSE,"Fluxo Caixa";"Investimentos",#N/A,FALSE,"Investimentos"}</definedName>
    <definedName name="SDWER" localSheetId="3" hidden="1">{"Econ Consolidado",#N/A,FALSE,"Econ Consol";"Fluxo de Caixa",#N/A,FALSE,"Fluxo Caixa";"Investimentos",#N/A,FALSE,"Investimentos"}</definedName>
    <definedName name="SDWER" localSheetId="2" hidden="1">{"Econ Consolidado",#N/A,FALSE,"Econ Consol";"Fluxo de Caixa",#N/A,FALSE,"Fluxo Caixa";"Investimentos",#N/A,FALSE,"Investimentos"}</definedName>
    <definedName name="SDWER" localSheetId="16" hidden="1">{"Econ Consolidado",#N/A,FALSE,"Econ Consol";"Fluxo de Caixa",#N/A,FALSE,"Fluxo Caixa";"Investimentos",#N/A,FALSE,"Investimentos"}</definedName>
    <definedName name="SDWER" localSheetId="0" hidden="1">{"Econ Consolidado",#N/A,FALSE,"Econ Consol";"Fluxo de Caixa",#N/A,FALSE,"Fluxo Caixa";"Investimentos",#N/A,FALSE,"Investimentos"}</definedName>
    <definedName name="SDWER" localSheetId="26" hidden="1">{"Econ Consolidado",#N/A,FALSE,"Econ Consol";"Fluxo de Caixa",#N/A,FALSE,"Fluxo Caixa";"Investimentos",#N/A,FALSE,"Investimentos"}</definedName>
    <definedName name="SDWER" localSheetId="11" hidden="1">{"Econ Consolidado",#N/A,FALSE,"Econ Consol";"Fluxo de Caixa",#N/A,FALSE,"Fluxo Caixa";"Investimentos",#N/A,FALSE,"Investimentos"}</definedName>
    <definedName name="SDWER" hidden="1">{"Econ Consolidado",#N/A,FALSE,"Econ Consol";"Fluxo de Caixa",#N/A,FALSE,"Fluxo Caixa";"Investimentos",#N/A,FALSE,"Investimentos"}</definedName>
    <definedName name="sdxfrt" localSheetId="24" hidden="1">{#N/A,#N/A,FALSE,"Plan1";#N/A,#N/A,FALSE,"Plan2"}</definedName>
    <definedName name="sdxfrt" localSheetId="7" hidden="1">{#N/A,#N/A,FALSE,"Plan1";#N/A,#N/A,FALSE,"Plan2"}</definedName>
    <definedName name="sdxfrt" localSheetId="9" hidden="1">{#N/A,#N/A,FALSE,"Plan1";#N/A,#N/A,FALSE,"Plan2"}</definedName>
    <definedName name="sdxfrt" localSheetId="3" hidden="1">{#N/A,#N/A,FALSE,"Plan1";#N/A,#N/A,FALSE,"Plan2"}</definedName>
    <definedName name="sdxfrt" localSheetId="2" hidden="1">{#N/A,#N/A,FALSE,"Plan1";#N/A,#N/A,FALSE,"Plan2"}</definedName>
    <definedName name="sdxfrt" localSheetId="16" hidden="1">{#N/A,#N/A,FALSE,"Plan1";#N/A,#N/A,FALSE,"Plan2"}</definedName>
    <definedName name="sdxfrt" localSheetId="0" hidden="1">{#N/A,#N/A,FALSE,"Plan1";#N/A,#N/A,FALSE,"Plan2"}</definedName>
    <definedName name="sdxfrt" localSheetId="26" hidden="1">{#N/A,#N/A,FALSE,"Plan1";#N/A,#N/A,FALSE,"Plan2"}</definedName>
    <definedName name="sdxfrt" localSheetId="11" hidden="1">{#N/A,#N/A,FALSE,"Plan1";#N/A,#N/A,FALSE,"Plan2"}</definedName>
    <definedName name="sdxfrt" hidden="1">{#N/A,#N/A,FALSE,"Plan1";#N/A,#N/A,FALSE,"Plan2"}</definedName>
    <definedName name="SDZFERF" localSheetId="24" hidden="1">{#N/A,#N/A,FALSE,"Plan1";#N/A,#N/A,FALSE,"Plan2"}</definedName>
    <definedName name="SDZFERF" localSheetId="7" hidden="1">{#N/A,#N/A,FALSE,"Plan1";#N/A,#N/A,FALSE,"Plan2"}</definedName>
    <definedName name="SDZFERF" localSheetId="9" hidden="1">{#N/A,#N/A,FALSE,"Plan1";#N/A,#N/A,FALSE,"Plan2"}</definedName>
    <definedName name="SDZFERF" localSheetId="3" hidden="1">{#N/A,#N/A,FALSE,"Plan1";#N/A,#N/A,FALSE,"Plan2"}</definedName>
    <definedName name="SDZFERF" localSheetId="2" hidden="1">{#N/A,#N/A,FALSE,"Plan1";#N/A,#N/A,FALSE,"Plan2"}</definedName>
    <definedName name="SDZFERF" localSheetId="16" hidden="1">{#N/A,#N/A,FALSE,"Plan1";#N/A,#N/A,FALSE,"Plan2"}</definedName>
    <definedName name="SDZFERF" localSheetId="0" hidden="1">{#N/A,#N/A,FALSE,"Plan1";#N/A,#N/A,FALSE,"Plan2"}</definedName>
    <definedName name="SDZFERF" localSheetId="26" hidden="1">{#N/A,#N/A,FALSE,"Plan1";#N/A,#N/A,FALSE,"Plan2"}</definedName>
    <definedName name="SDZFERF" localSheetId="11" hidden="1">{#N/A,#N/A,FALSE,"Plan1";#N/A,#N/A,FALSE,"Plan2"}</definedName>
    <definedName name="SDZFERF" hidden="1">{#N/A,#N/A,FALSE,"Plan1";#N/A,#N/A,FALSE,"Plan2"}</definedName>
    <definedName name="se" localSheetId="24">#REF!</definedName>
    <definedName name="se" localSheetId="7">#REF!</definedName>
    <definedName name="se" localSheetId="3">#REF!</definedName>
    <definedName name="se" localSheetId="26">#REF!</definedName>
    <definedName name="se">#REF!</definedName>
    <definedName name="SEDE" localSheetId="7">#REF!</definedName>
    <definedName name="SEDE" localSheetId="3">#REF!</definedName>
    <definedName name="SEDE">#REF!</definedName>
    <definedName name="sefret4rt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 localSheetId="24">#REF!</definedName>
    <definedName name="SEG" localSheetId="7">#REF!</definedName>
    <definedName name="SEG" localSheetId="5">#REF!</definedName>
    <definedName name="SEG" localSheetId="3">#REF!</definedName>
    <definedName name="SEG" localSheetId="0">#REF!</definedName>
    <definedName name="SEG">#REF!</definedName>
    <definedName name="segftru" localSheetId="24" hidden="1">{#N/A,#N/A,FALSE,"Plan1";#N/A,#N/A,FALSE,"Plan2"}</definedName>
    <definedName name="segftru" localSheetId="7" hidden="1">{#N/A,#N/A,FALSE,"Plan1";#N/A,#N/A,FALSE,"Plan2"}</definedName>
    <definedName name="segftru" localSheetId="9" hidden="1">{#N/A,#N/A,FALSE,"Plan1";#N/A,#N/A,FALSE,"Plan2"}</definedName>
    <definedName name="segftru" localSheetId="3" hidden="1">{#N/A,#N/A,FALSE,"Plan1";#N/A,#N/A,FALSE,"Plan2"}</definedName>
    <definedName name="segftru" localSheetId="2" hidden="1">{#N/A,#N/A,FALSE,"Plan1";#N/A,#N/A,FALSE,"Plan2"}</definedName>
    <definedName name="segftru" localSheetId="16" hidden="1">{#N/A,#N/A,FALSE,"Plan1";#N/A,#N/A,FALSE,"Plan2"}</definedName>
    <definedName name="segftru" localSheetId="0" hidden="1">{#N/A,#N/A,FALSE,"Plan1";#N/A,#N/A,FALSE,"Plan2"}</definedName>
    <definedName name="segftru" localSheetId="26" hidden="1">{#N/A,#N/A,FALSE,"Plan1";#N/A,#N/A,FALSE,"Plan2"}</definedName>
    <definedName name="segftru" localSheetId="11" hidden="1">{#N/A,#N/A,FALSE,"Plan1";#N/A,#N/A,FALSE,"Plan2"}</definedName>
    <definedName name="segftru" hidden="1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 localSheetId="7">#REF!</definedName>
    <definedName name="SEIS" localSheetId="3">#REF!</definedName>
    <definedName name="SEIS">#REF!</definedName>
    <definedName name="sencount" localSheetId="7" hidden="1">1</definedName>
    <definedName name="sencount" localSheetId="9" hidden="1">1</definedName>
    <definedName name="sencount" localSheetId="3" hidden="1">3</definedName>
    <definedName name="sencount" localSheetId="0" hidden="1">3</definedName>
    <definedName name="sencount" hidden="1">3</definedName>
    <definedName name="SEQUENCIA" localSheetId="7">#REF!</definedName>
    <definedName name="SEQUENCIA" localSheetId="9">#REF!</definedName>
    <definedName name="SEQUENCIA" localSheetId="3">#REF!</definedName>
    <definedName name="SEQUENCIA">#REF!</definedName>
    <definedName name="SEREWRSWE" localSheetId="24" hidden="1">{"tabela",#N/A,FALSE,"Tabela";"decoração",#N/A,FALSE,"Decor.";"Informações",#N/A,FALSE,"Inform."}</definedName>
    <definedName name="SEREWRSWE" localSheetId="7" hidden="1">{"tabela",#N/A,FALSE,"Tabela";"decoração",#N/A,FALSE,"Decor.";"Informações",#N/A,FALSE,"Inform."}</definedName>
    <definedName name="SEREWRSWE" localSheetId="9" hidden="1">{"tabela",#N/A,FALSE,"Tabela";"decoração",#N/A,FALSE,"Decor.";"Informações",#N/A,FALSE,"Inform."}</definedName>
    <definedName name="SEREWRSWE" localSheetId="3" hidden="1">{"tabela",#N/A,FALSE,"Tabela";"decoração",#N/A,FALSE,"Decor.";"Informações",#N/A,FALSE,"Inform."}</definedName>
    <definedName name="SEREWRSWE" localSheetId="2" hidden="1">{"tabela",#N/A,FALSE,"Tabela";"decoração",#N/A,FALSE,"Decor.";"Informações",#N/A,FALSE,"Inform."}</definedName>
    <definedName name="SEREWRSWE" localSheetId="16" hidden="1">{"tabela",#N/A,FALSE,"Tabela";"decoração",#N/A,FALSE,"Decor.";"Informações",#N/A,FALSE,"Inform."}</definedName>
    <definedName name="SEREWRSWE" localSheetId="0" hidden="1">{"tabela",#N/A,FALSE,"Tabela";"decoração",#N/A,FALSE,"Decor.";"Informações",#N/A,FALSE,"Inform."}</definedName>
    <definedName name="SEREWRSWE" localSheetId="26" hidden="1">{"tabela",#N/A,FALSE,"Tabela";"decoração",#N/A,FALSE,"Decor.";"Informações",#N/A,FALSE,"Inform."}</definedName>
    <definedName name="SEREWRSWE" localSheetId="11" hidden="1">{"tabela",#N/A,FALSE,"Tabela";"decoração",#N/A,FALSE,"Decor.";"Informações",#N/A,FALSE,"Inform."}</definedName>
    <definedName name="SEREWRSWE" hidden="1">{"tabela",#N/A,FALSE,"Tabela";"decoração",#N/A,FALSE,"Decor.";"Informações",#N/A,FALSE,"Inform."}</definedName>
    <definedName name="Set_17" localSheetId="24">#REF!</definedName>
    <definedName name="Set_17" localSheetId="7">#REF!</definedName>
    <definedName name="Set_17" localSheetId="3">#REF!</definedName>
    <definedName name="Set_17" localSheetId="26">#REF!</definedName>
    <definedName name="Set_17">#REF!</definedName>
    <definedName name="SETE" localSheetId="7">#REF!</definedName>
    <definedName name="SETE" localSheetId="3">#REF!</definedName>
    <definedName name="SETE">#REF!</definedName>
    <definedName name="SETEMBRO" localSheetId="7">#REF!</definedName>
    <definedName name="SETEMBRO" localSheetId="3">#REF!</definedName>
    <definedName name="SETEMBRO">#REF!</definedName>
    <definedName name="setRJ17" localSheetId="7">#REF!</definedName>
    <definedName name="setRJ17" localSheetId="3">#REF!</definedName>
    <definedName name="setRJ17">#REF!</definedName>
    <definedName name="severo" localSheetId="7">#REF!</definedName>
    <definedName name="severo" localSheetId="3">#REF!</definedName>
    <definedName name="severo">#REF!</definedName>
    <definedName name="sf" localSheetId="24" hidden="1">{#N/A,#N/A,FALSE,"Plan1";#N/A,#N/A,FALSE,"Plan2"}</definedName>
    <definedName name="sf" localSheetId="7" hidden="1">{#N/A,#N/A,FALSE,"Plan1";#N/A,#N/A,FALSE,"Plan2"}</definedName>
    <definedName name="sf" localSheetId="9" hidden="1">{#N/A,#N/A,FALSE,"Plan1";#N/A,#N/A,FALSE,"Plan2"}</definedName>
    <definedName name="sf" localSheetId="3" hidden="1">{#N/A,#N/A,FALSE,"Plan1";#N/A,#N/A,FALSE,"Plan2"}</definedName>
    <definedName name="sf" localSheetId="2" hidden="1">{#N/A,#N/A,FALSE,"Plan1";#N/A,#N/A,FALSE,"Plan2"}</definedName>
    <definedName name="sf" localSheetId="16" hidden="1">{#N/A,#N/A,FALSE,"Plan1";#N/A,#N/A,FALSE,"Plan2"}</definedName>
    <definedName name="sf" localSheetId="0" hidden="1">{#N/A,#N/A,FALSE,"Plan1";#N/A,#N/A,FALSE,"Plan2"}</definedName>
    <definedName name="sf" localSheetId="26" hidden="1">{#N/A,#N/A,FALSE,"Plan1";#N/A,#N/A,FALSE,"Plan2"}</definedName>
    <definedName name="sf" localSheetId="11" hidden="1">{#N/A,#N/A,FALSE,"Plan1";#N/A,#N/A,FALSE,"Plan2"}</definedName>
    <definedName name="sf" hidden="1">{#N/A,#N/A,FALSE,"Plan1";#N/A,#N/A,FALSE,"Plan2"}</definedName>
    <definedName name="sfcrert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localSheetId="24" hidden="1">{#N/A,#N/A,FALSE,"Plan1";#N/A,#N/A,FALSE,"Plan2"}</definedName>
    <definedName name="sfddfd" localSheetId="7" hidden="1">{#N/A,#N/A,FALSE,"Plan1";#N/A,#N/A,FALSE,"Plan2"}</definedName>
    <definedName name="sfddfd" localSheetId="9" hidden="1">{#N/A,#N/A,FALSE,"Plan1";#N/A,#N/A,FALSE,"Plan2"}</definedName>
    <definedName name="sfddfd" localSheetId="3" hidden="1">{#N/A,#N/A,FALSE,"Plan1";#N/A,#N/A,FALSE,"Plan2"}</definedName>
    <definedName name="sfddfd" localSheetId="2" hidden="1">{#N/A,#N/A,FALSE,"Plan1";#N/A,#N/A,FALSE,"Plan2"}</definedName>
    <definedName name="sfddfd" localSheetId="16" hidden="1">{#N/A,#N/A,FALSE,"Plan1";#N/A,#N/A,FALSE,"Plan2"}</definedName>
    <definedName name="sfddfd" localSheetId="0" hidden="1">{#N/A,#N/A,FALSE,"Plan1";#N/A,#N/A,FALSE,"Plan2"}</definedName>
    <definedName name="sfddfd" localSheetId="26" hidden="1">{#N/A,#N/A,FALSE,"Plan1";#N/A,#N/A,FALSE,"Plan2"}</definedName>
    <definedName name="sfddfd" localSheetId="11" hidden="1">{#N/A,#N/A,FALSE,"Plan1";#N/A,#N/A,FALSE,"Plan2"}</definedName>
    <definedName name="sfddfd" hidden="1">{#N/A,#N/A,FALSE,"Plan1";#N/A,#N/A,FALSE,"Plan2"}</definedName>
    <definedName name="sfds" localSheetId="24" hidden="1">{#N/A,#N/A,FALSE,"Plan1";#N/A,#N/A,FALSE,"Plan2"}</definedName>
    <definedName name="sfds" localSheetId="7" hidden="1">{#N/A,#N/A,FALSE,"Plan1";#N/A,#N/A,FALSE,"Plan2"}</definedName>
    <definedName name="sfds" localSheetId="9" hidden="1">{#N/A,#N/A,FALSE,"Plan1";#N/A,#N/A,FALSE,"Plan2"}</definedName>
    <definedName name="sfds" localSheetId="3" hidden="1">{#N/A,#N/A,FALSE,"Plan1";#N/A,#N/A,FALSE,"Plan2"}</definedName>
    <definedName name="sfds" localSheetId="2" hidden="1">{#N/A,#N/A,FALSE,"Plan1";#N/A,#N/A,FALSE,"Plan2"}</definedName>
    <definedName name="sfds" localSheetId="16" hidden="1">{#N/A,#N/A,FALSE,"Plan1";#N/A,#N/A,FALSE,"Plan2"}</definedName>
    <definedName name="sfds" localSheetId="0" hidden="1">{#N/A,#N/A,FALSE,"Plan1";#N/A,#N/A,FALSE,"Plan2"}</definedName>
    <definedName name="sfds" localSheetId="26" hidden="1">{#N/A,#N/A,FALSE,"Plan1";#N/A,#N/A,FALSE,"Plan2"}</definedName>
    <definedName name="sfds" localSheetId="11" hidden="1">{#N/A,#N/A,FALSE,"Plan1";#N/A,#N/A,FALSE,"Plan2"}</definedName>
    <definedName name="sfds" hidden="1">{#N/A,#N/A,FALSE,"Plan1";#N/A,#N/A,FALSE,"Plan2"}</definedName>
    <definedName name="sfdsd" localSheetId="24" hidden="1">{#N/A,#N/A,FALSE,"Plan1";#N/A,#N/A,FALSE,"Plan2"}</definedName>
    <definedName name="sfdsd" localSheetId="7" hidden="1">{#N/A,#N/A,FALSE,"Plan1";#N/A,#N/A,FALSE,"Plan2"}</definedName>
    <definedName name="sfdsd" localSheetId="9" hidden="1">{#N/A,#N/A,FALSE,"Plan1";#N/A,#N/A,FALSE,"Plan2"}</definedName>
    <definedName name="sfdsd" localSheetId="3" hidden="1">{#N/A,#N/A,FALSE,"Plan1";#N/A,#N/A,FALSE,"Plan2"}</definedName>
    <definedName name="sfdsd" localSheetId="2" hidden="1">{#N/A,#N/A,FALSE,"Plan1";#N/A,#N/A,FALSE,"Plan2"}</definedName>
    <definedName name="sfdsd" localSheetId="16" hidden="1">{#N/A,#N/A,FALSE,"Plan1";#N/A,#N/A,FALSE,"Plan2"}</definedName>
    <definedName name="sfdsd" localSheetId="0" hidden="1">{#N/A,#N/A,FALSE,"Plan1";#N/A,#N/A,FALSE,"Plan2"}</definedName>
    <definedName name="sfdsd" localSheetId="26" hidden="1">{#N/A,#N/A,FALSE,"Plan1";#N/A,#N/A,FALSE,"Plan2"}</definedName>
    <definedName name="sfdsd" localSheetId="11" hidden="1">{#N/A,#N/A,FALSE,"Plan1";#N/A,#N/A,FALSE,"Plan2"}</definedName>
    <definedName name="sfdsd" hidden="1">{#N/A,#N/A,FALSE,"Plan1";#N/A,#N/A,FALSE,"Plan2"}</definedName>
    <definedName name="SFDSF" hidden="1">34</definedName>
    <definedName name="sfrsdrgt" localSheetId="24" hidden="1">{#N/A,#N/A,FALSE,"Plan1";#N/A,#N/A,FALSE,"Plan2"}</definedName>
    <definedName name="sfrsdrgt" localSheetId="7" hidden="1">{#N/A,#N/A,FALSE,"Plan1";#N/A,#N/A,FALSE,"Plan2"}</definedName>
    <definedName name="sfrsdrgt" localSheetId="9" hidden="1">{#N/A,#N/A,FALSE,"Plan1";#N/A,#N/A,FALSE,"Plan2"}</definedName>
    <definedName name="sfrsdrgt" localSheetId="3" hidden="1">{#N/A,#N/A,FALSE,"Plan1";#N/A,#N/A,FALSE,"Plan2"}</definedName>
    <definedName name="sfrsdrgt" localSheetId="2" hidden="1">{#N/A,#N/A,FALSE,"Plan1";#N/A,#N/A,FALSE,"Plan2"}</definedName>
    <definedName name="sfrsdrgt" localSheetId="16" hidden="1">{#N/A,#N/A,FALSE,"Plan1";#N/A,#N/A,FALSE,"Plan2"}</definedName>
    <definedName name="sfrsdrgt" localSheetId="0" hidden="1">{#N/A,#N/A,FALSE,"Plan1";#N/A,#N/A,FALSE,"Plan2"}</definedName>
    <definedName name="sfrsdrgt" localSheetId="26" hidden="1">{#N/A,#N/A,FALSE,"Plan1";#N/A,#N/A,FALSE,"Plan2"}</definedName>
    <definedName name="sfrsdrgt" localSheetId="11" hidden="1">{#N/A,#N/A,FALSE,"Plan1";#N/A,#N/A,FALSE,"Plan2"}</definedName>
    <definedName name="sfrsdrgt" hidden="1">{#N/A,#N/A,FALSE,"Plan1";#N/A,#N/A,FALSE,"Plan2"}</definedName>
    <definedName name="SFRT" localSheetId="24" hidden="1">{#N/A,#N/A,FALSE,"Plan1";#N/A,#N/A,FALSE,"Plan2"}</definedName>
    <definedName name="SFRT" localSheetId="7" hidden="1">{#N/A,#N/A,FALSE,"Plan1";#N/A,#N/A,FALSE,"Plan2"}</definedName>
    <definedName name="SFRT" localSheetId="9" hidden="1">{#N/A,#N/A,FALSE,"Plan1";#N/A,#N/A,FALSE,"Plan2"}</definedName>
    <definedName name="SFRT" localSheetId="3" hidden="1">{#N/A,#N/A,FALSE,"Plan1";#N/A,#N/A,FALSE,"Plan2"}</definedName>
    <definedName name="SFRT" localSheetId="2" hidden="1">{#N/A,#N/A,FALSE,"Plan1";#N/A,#N/A,FALSE,"Plan2"}</definedName>
    <definedName name="SFRT" localSheetId="16" hidden="1">{#N/A,#N/A,FALSE,"Plan1";#N/A,#N/A,FALSE,"Plan2"}</definedName>
    <definedName name="SFRT" localSheetId="0" hidden="1">{#N/A,#N/A,FALSE,"Plan1";#N/A,#N/A,FALSE,"Plan2"}</definedName>
    <definedName name="SFRT" localSheetId="26" hidden="1">{#N/A,#N/A,FALSE,"Plan1";#N/A,#N/A,FALSE,"Plan2"}</definedName>
    <definedName name="SFRT" localSheetId="11" hidden="1">{#N/A,#N/A,FALSE,"Plan1";#N/A,#N/A,FALSE,"Plan2"}</definedName>
    <definedName name="SFRT" hidden="1">{#N/A,#N/A,FALSE,"Plan1";#N/A,#N/A,FALSE,"Plan2"}</definedName>
    <definedName name="sfsdferf" localSheetId="24" hidden="1">{#N/A,#N/A,FALSE,"Plan1";#N/A,#N/A,FALSE,"Plan2"}</definedName>
    <definedName name="sfsdferf" localSheetId="7" hidden="1">{#N/A,#N/A,FALSE,"Plan1";#N/A,#N/A,FALSE,"Plan2"}</definedName>
    <definedName name="sfsdferf" localSheetId="9" hidden="1">{#N/A,#N/A,FALSE,"Plan1";#N/A,#N/A,FALSE,"Plan2"}</definedName>
    <definedName name="sfsdferf" localSheetId="3" hidden="1">{#N/A,#N/A,FALSE,"Plan1";#N/A,#N/A,FALSE,"Plan2"}</definedName>
    <definedName name="sfsdferf" localSheetId="2" hidden="1">{#N/A,#N/A,FALSE,"Plan1";#N/A,#N/A,FALSE,"Plan2"}</definedName>
    <definedName name="sfsdferf" localSheetId="16" hidden="1">{#N/A,#N/A,FALSE,"Plan1";#N/A,#N/A,FALSE,"Plan2"}</definedName>
    <definedName name="sfsdferf" localSheetId="0" hidden="1">{#N/A,#N/A,FALSE,"Plan1";#N/A,#N/A,FALSE,"Plan2"}</definedName>
    <definedName name="sfsdferf" localSheetId="26" hidden="1">{#N/A,#N/A,FALSE,"Plan1";#N/A,#N/A,FALSE,"Plan2"}</definedName>
    <definedName name="sfsdferf" localSheetId="11" hidden="1">{#N/A,#N/A,FALSE,"Plan1";#N/A,#N/A,FALSE,"Plan2"}</definedName>
    <definedName name="sfsdferf" hidden="1">{#N/A,#N/A,FALSE,"Plan1";#N/A,#N/A,FALSE,"Plan2"}</definedName>
    <definedName name="sfsdfs" hidden="1">34</definedName>
    <definedName name="SFSDS" localSheetId="24" hidden="1">{#N/A,#N/A,FALSE,"Plan1";#N/A,#N/A,FALSE,"Plan2"}</definedName>
    <definedName name="SFSDS" localSheetId="7" hidden="1">{#N/A,#N/A,FALSE,"Plan1";#N/A,#N/A,FALSE,"Plan2"}</definedName>
    <definedName name="SFSDS" localSheetId="9" hidden="1">{#N/A,#N/A,FALSE,"Plan1";#N/A,#N/A,FALSE,"Plan2"}</definedName>
    <definedName name="SFSDS" localSheetId="3" hidden="1">{#N/A,#N/A,FALSE,"Plan1";#N/A,#N/A,FALSE,"Plan2"}</definedName>
    <definedName name="SFSDS" localSheetId="2" hidden="1">{#N/A,#N/A,FALSE,"Plan1";#N/A,#N/A,FALSE,"Plan2"}</definedName>
    <definedName name="SFSDS" localSheetId="16" hidden="1">{#N/A,#N/A,FALSE,"Plan1";#N/A,#N/A,FALSE,"Plan2"}</definedName>
    <definedName name="SFSDS" localSheetId="0" hidden="1">{#N/A,#N/A,FALSE,"Plan1";#N/A,#N/A,FALSE,"Plan2"}</definedName>
    <definedName name="SFSDS" localSheetId="26" hidden="1">{#N/A,#N/A,FALSE,"Plan1";#N/A,#N/A,FALSE,"Plan2"}</definedName>
    <definedName name="SFSDS" localSheetId="11" hidden="1">{#N/A,#N/A,FALSE,"Plan1";#N/A,#N/A,FALSE,"Plan2"}</definedName>
    <definedName name="SFSDS" hidden="1">{#N/A,#N/A,FALSE,"Plan1";#N/A,#N/A,FALSE,"Plan2"}</definedName>
    <definedName name="SGarantia" localSheetId="24">#REF!</definedName>
    <definedName name="SGarantia" localSheetId="7">#REF!</definedName>
    <definedName name="SGarantia" localSheetId="3">#REF!</definedName>
    <definedName name="SGarantia" localSheetId="26">#REF!</definedName>
    <definedName name="SGarantia">#REF!</definedName>
    <definedName name="sgtghty" localSheetId="24" hidden="1">{#N/A,#N/A,FALSE,"Plan1";#N/A,#N/A,FALSE,"Plan2"}</definedName>
    <definedName name="sgtghty" localSheetId="7" hidden="1">{#N/A,#N/A,FALSE,"Plan1";#N/A,#N/A,FALSE,"Plan2"}</definedName>
    <definedName name="sgtghty" localSheetId="9" hidden="1">{#N/A,#N/A,FALSE,"Plan1";#N/A,#N/A,FALSE,"Plan2"}</definedName>
    <definedName name="sgtghty" localSheetId="3" hidden="1">{#N/A,#N/A,FALSE,"Plan1";#N/A,#N/A,FALSE,"Plan2"}</definedName>
    <definedName name="sgtghty" localSheetId="2" hidden="1">{#N/A,#N/A,FALSE,"Plan1";#N/A,#N/A,FALSE,"Plan2"}</definedName>
    <definedName name="sgtghty" localSheetId="16" hidden="1">{#N/A,#N/A,FALSE,"Plan1";#N/A,#N/A,FALSE,"Plan2"}</definedName>
    <definedName name="sgtghty" localSheetId="0" hidden="1">{#N/A,#N/A,FALSE,"Plan1";#N/A,#N/A,FALSE,"Plan2"}</definedName>
    <definedName name="sgtghty" localSheetId="26" hidden="1">{#N/A,#N/A,FALSE,"Plan1";#N/A,#N/A,FALSE,"Plan2"}</definedName>
    <definedName name="sgtghty" localSheetId="11" hidden="1">{#N/A,#N/A,FALSE,"Plan1";#N/A,#N/A,FALSE,"Plan2"}</definedName>
    <definedName name="sgtghty" hidden="1">{#N/A,#N/A,FALSE,"Plan1";#N/A,#N/A,FALSE,"Plan2"}</definedName>
    <definedName name="SH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>#N/A</definedName>
    <definedName name="SHARED_FORMULA_1">#N/A</definedName>
    <definedName name="SHARED_FORMULA_10">#N/A</definedName>
    <definedName name="SHARED_FORMULA_11">#N/A</definedName>
    <definedName name="SHARED_FORMULA_12">#N/A</definedName>
    <definedName name="SHARED_FORMULA_13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7">#N/A</definedName>
    <definedName name="SHARED_FORMULA_8">#N/A</definedName>
    <definedName name="SHARED_FORMULA_9">#N/A</definedName>
    <definedName name="SIH" localSheetId="24">#REF!</definedName>
    <definedName name="SIH" localSheetId="7">#REF!</definedName>
    <definedName name="SIH" localSheetId="5">#REF!</definedName>
    <definedName name="SIH" localSheetId="3">#REF!</definedName>
    <definedName name="SIH" localSheetId="0">#REF!</definedName>
    <definedName name="SIH">#REF!</definedName>
    <definedName name="SISTEM1" localSheetId="7">#REF!</definedName>
    <definedName name="SISTEM1" localSheetId="3">#REF!</definedName>
    <definedName name="SISTEM1">#REF!</definedName>
    <definedName name="SISTEM2" localSheetId="7">#REF!</definedName>
    <definedName name="SISTEM2" localSheetId="3">#REF!</definedName>
    <definedName name="SISTEM2">#REF!</definedName>
    <definedName name="SIV" localSheetId="24">#REF!</definedName>
    <definedName name="SIV" localSheetId="7">#REF!</definedName>
    <definedName name="SIV" localSheetId="5">#REF!</definedName>
    <definedName name="SIV" localSheetId="3">#REF!</definedName>
    <definedName name="SIV" localSheetId="0">#REF!</definedName>
    <definedName name="SIV">#REF!</definedName>
    <definedName name="sjawe" localSheetId="24" hidden="1">{#N/A,#N/A,FALSE,"Plan1";#N/A,#N/A,FALSE,"Plan2"}</definedName>
    <definedName name="sjawe" localSheetId="7" hidden="1">{#N/A,#N/A,FALSE,"Plan1";#N/A,#N/A,FALSE,"Plan2"}</definedName>
    <definedName name="sjawe" localSheetId="9" hidden="1">{#N/A,#N/A,FALSE,"Plan1";#N/A,#N/A,FALSE,"Plan2"}</definedName>
    <definedName name="sjawe" localSheetId="3" hidden="1">{#N/A,#N/A,FALSE,"Plan1";#N/A,#N/A,FALSE,"Plan2"}</definedName>
    <definedName name="sjawe" localSheetId="2" hidden="1">{#N/A,#N/A,FALSE,"Plan1";#N/A,#N/A,FALSE,"Plan2"}</definedName>
    <definedName name="sjawe" localSheetId="16" hidden="1">{#N/A,#N/A,FALSE,"Plan1";#N/A,#N/A,FALSE,"Plan2"}</definedName>
    <definedName name="sjawe" localSheetId="0" hidden="1">{#N/A,#N/A,FALSE,"Plan1";#N/A,#N/A,FALSE,"Plan2"}</definedName>
    <definedName name="sjawe" localSheetId="26" hidden="1">{#N/A,#N/A,FALSE,"Plan1";#N/A,#N/A,FALSE,"Plan2"}</definedName>
    <definedName name="sjawe" localSheetId="11" hidden="1">{#N/A,#N/A,FALSE,"Plan1";#N/A,#N/A,FALSE,"Plan2"}</definedName>
    <definedName name="sjawe" hidden="1">{#N/A,#N/A,FALSE,"Plan1";#N/A,#N/A,FALSE,"Plan2"}</definedName>
    <definedName name="sjdffd" localSheetId="24" hidden="1">{#N/A,#N/A,FALSE,"Plan1";#N/A,#N/A,FALSE,"Plan2"}</definedName>
    <definedName name="sjdffd" localSheetId="7" hidden="1">{#N/A,#N/A,FALSE,"Plan1";#N/A,#N/A,FALSE,"Plan2"}</definedName>
    <definedName name="sjdffd" localSheetId="9" hidden="1">{#N/A,#N/A,FALSE,"Plan1";#N/A,#N/A,FALSE,"Plan2"}</definedName>
    <definedName name="sjdffd" localSheetId="3" hidden="1">{#N/A,#N/A,FALSE,"Plan1";#N/A,#N/A,FALSE,"Plan2"}</definedName>
    <definedName name="sjdffd" localSheetId="2" hidden="1">{#N/A,#N/A,FALSE,"Plan1";#N/A,#N/A,FALSE,"Plan2"}</definedName>
    <definedName name="sjdffd" localSheetId="16" hidden="1">{#N/A,#N/A,FALSE,"Plan1";#N/A,#N/A,FALSE,"Plan2"}</definedName>
    <definedName name="sjdffd" localSheetId="0" hidden="1">{#N/A,#N/A,FALSE,"Plan1";#N/A,#N/A,FALSE,"Plan2"}</definedName>
    <definedName name="sjdffd" localSheetId="26" hidden="1">{#N/A,#N/A,FALSE,"Plan1";#N/A,#N/A,FALSE,"Plan2"}</definedName>
    <definedName name="sjdffd" localSheetId="11" hidden="1">{#N/A,#N/A,FALSE,"Plan1";#N/A,#N/A,FALSE,"Plan2"}</definedName>
    <definedName name="sjdffd" hidden="1">{#N/A,#N/A,FALSE,"Plan1";#N/A,#N/A,FALSE,"Plan2"}</definedName>
    <definedName name="SJDFHDJSF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localSheetId="24" hidden="1">{#N/A,#N/A,FALSE,"Plan1";#N/A,#N/A,FALSE,"Plan2"}</definedName>
    <definedName name="SJDHFHRE" localSheetId="7" hidden="1">{#N/A,#N/A,FALSE,"Plan1";#N/A,#N/A,FALSE,"Plan2"}</definedName>
    <definedName name="SJDHFHRE" localSheetId="9" hidden="1">{#N/A,#N/A,FALSE,"Plan1";#N/A,#N/A,FALSE,"Plan2"}</definedName>
    <definedName name="SJDHFHRE" localSheetId="3" hidden="1">{#N/A,#N/A,FALSE,"Plan1";#N/A,#N/A,FALSE,"Plan2"}</definedName>
    <definedName name="SJDHFHRE" localSheetId="2" hidden="1">{#N/A,#N/A,FALSE,"Plan1";#N/A,#N/A,FALSE,"Plan2"}</definedName>
    <definedName name="SJDHFHRE" localSheetId="16" hidden="1">{#N/A,#N/A,FALSE,"Plan1";#N/A,#N/A,FALSE,"Plan2"}</definedName>
    <definedName name="SJDHFHRE" localSheetId="0" hidden="1">{#N/A,#N/A,FALSE,"Plan1";#N/A,#N/A,FALSE,"Plan2"}</definedName>
    <definedName name="SJDHFHRE" localSheetId="26" hidden="1">{#N/A,#N/A,FALSE,"Plan1";#N/A,#N/A,FALSE,"Plan2"}</definedName>
    <definedName name="SJDHFHRE" localSheetId="11" hidden="1">{#N/A,#N/A,FALSE,"Plan1";#N/A,#N/A,FALSE,"Plan2"}</definedName>
    <definedName name="SJDHFHRE" hidden="1">{#N/A,#N/A,FALSE,"Plan1";#N/A,#N/A,FALSE,"Plan2"}</definedName>
    <definedName name="SJDKJDE" localSheetId="24" hidden="1">{"Econ Consolidado",#N/A,FALSE,"Econ Consol";"Fluxo de Caixa",#N/A,FALSE,"Fluxo Caixa";"Investimentos",#N/A,FALSE,"Investimentos"}</definedName>
    <definedName name="SJDKJDE" localSheetId="7" hidden="1">{"Econ Consolidado",#N/A,FALSE,"Econ Consol";"Fluxo de Caixa",#N/A,FALSE,"Fluxo Caixa";"Investimentos",#N/A,FALSE,"Investimentos"}</definedName>
    <definedName name="SJDKJDE" localSheetId="9" hidden="1">{"Econ Consolidado",#N/A,FALSE,"Econ Consol";"Fluxo de Caixa",#N/A,FALSE,"Fluxo Caixa";"Investimentos",#N/A,FALSE,"Investimentos"}</definedName>
    <definedName name="SJDKJDE" localSheetId="3" hidden="1">{"Econ Consolidado",#N/A,FALSE,"Econ Consol";"Fluxo de Caixa",#N/A,FALSE,"Fluxo Caixa";"Investimentos",#N/A,FALSE,"Investimentos"}</definedName>
    <definedName name="SJDKJDE" localSheetId="2" hidden="1">{"Econ Consolidado",#N/A,FALSE,"Econ Consol";"Fluxo de Caixa",#N/A,FALSE,"Fluxo Caixa";"Investimentos",#N/A,FALSE,"Investimentos"}</definedName>
    <definedName name="SJDKJDE" localSheetId="16" hidden="1">{"Econ Consolidado",#N/A,FALSE,"Econ Consol";"Fluxo de Caixa",#N/A,FALSE,"Fluxo Caixa";"Investimentos",#N/A,FALSE,"Investimentos"}</definedName>
    <definedName name="SJDKJDE" localSheetId="0" hidden="1">{"Econ Consolidado",#N/A,FALSE,"Econ Consol";"Fluxo de Caixa",#N/A,FALSE,"Fluxo Caixa";"Investimentos",#N/A,FALSE,"Investimentos"}</definedName>
    <definedName name="SJDKJDE" localSheetId="26" hidden="1">{"Econ Consolidado",#N/A,FALSE,"Econ Consol";"Fluxo de Caixa",#N/A,FALSE,"Fluxo Caixa";"Investimentos",#N/A,FALSE,"Investimentos"}</definedName>
    <definedName name="SJDKJDE" localSheetId="11" hidden="1">{"Econ Consolidado",#N/A,FALSE,"Econ Consol";"Fluxo de Caixa",#N/A,FALSE,"Fluxo Caixa";"Investimentos",#N/A,FALSE,"Investimentos"}</definedName>
    <definedName name="SJDKJDE" hidden="1">{"Econ Consolidado",#N/A,FALSE,"Econ Consol";"Fluxo de Caixa",#N/A,FALSE,"Fluxo Caixa";"Investimentos",#N/A,FALSE,"Investimentos"}</definedName>
    <definedName name="sjekwjri" localSheetId="24" hidden="1">{#N/A,#N/A,FALSE,"Plan1";#N/A,#N/A,FALSE,"Plan2"}</definedName>
    <definedName name="sjekwjri" localSheetId="7" hidden="1">{#N/A,#N/A,FALSE,"Plan1";#N/A,#N/A,FALSE,"Plan2"}</definedName>
    <definedName name="sjekwjri" localSheetId="9" hidden="1">{#N/A,#N/A,FALSE,"Plan1";#N/A,#N/A,FALSE,"Plan2"}</definedName>
    <definedName name="sjekwjri" localSheetId="3" hidden="1">{#N/A,#N/A,FALSE,"Plan1";#N/A,#N/A,FALSE,"Plan2"}</definedName>
    <definedName name="sjekwjri" localSheetId="2" hidden="1">{#N/A,#N/A,FALSE,"Plan1";#N/A,#N/A,FALSE,"Plan2"}</definedName>
    <definedName name="sjekwjri" localSheetId="16" hidden="1">{#N/A,#N/A,FALSE,"Plan1";#N/A,#N/A,FALSE,"Plan2"}</definedName>
    <definedName name="sjekwjri" localSheetId="0" hidden="1">{#N/A,#N/A,FALSE,"Plan1";#N/A,#N/A,FALSE,"Plan2"}</definedName>
    <definedName name="sjekwjri" localSheetId="26" hidden="1">{#N/A,#N/A,FALSE,"Plan1";#N/A,#N/A,FALSE,"Plan2"}</definedName>
    <definedName name="sjekwjri" localSheetId="11" hidden="1">{#N/A,#N/A,FALSE,"Plan1";#N/A,#N/A,FALSE,"Plan2"}</definedName>
    <definedName name="sjekwjri" hidden="1">{#N/A,#N/A,FALSE,"Plan1";#N/A,#N/A,FALSE,"Plan2"}</definedName>
    <definedName name="sjfkdhsfds" localSheetId="24" hidden="1">{#N/A,#N/A,FALSE,"Plan1";#N/A,#N/A,FALSE,"Plan2"}</definedName>
    <definedName name="sjfkdhsfds" localSheetId="7" hidden="1">{#N/A,#N/A,FALSE,"Plan1";#N/A,#N/A,FALSE,"Plan2"}</definedName>
    <definedName name="sjfkdhsfds" localSheetId="9" hidden="1">{#N/A,#N/A,FALSE,"Plan1";#N/A,#N/A,FALSE,"Plan2"}</definedName>
    <definedName name="sjfkdhsfds" localSheetId="3" hidden="1">{#N/A,#N/A,FALSE,"Plan1";#N/A,#N/A,FALSE,"Plan2"}</definedName>
    <definedName name="sjfkdhsfds" localSheetId="2" hidden="1">{#N/A,#N/A,FALSE,"Plan1";#N/A,#N/A,FALSE,"Plan2"}</definedName>
    <definedName name="sjfkdhsfds" localSheetId="16" hidden="1">{#N/A,#N/A,FALSE,"Plan1";#N/A,#N/A,FALSE,"Plan2"}</definedName>
    <definedName name="sjfkdhsfds" localSheetId="0" hidden="1">{#N/A,#N/A,FALSE,"Plan1";#N/A,#N/A,FALSE,"Plan2"}</definedName>
    <definedName name="sjfkdhsfds" localSheetId="26" hidden="1">{#N/A,#N/A,FALSE,"Plan1";#N/A,#N/A,FALSE,"Plan2"}</definedName>
    <definedName name="sjfkdhsfds" localSheetId="11" hidden="1">{#N/A,#N/A,FALSE,"Plan1";#N/A,#N/A,FALSE,"Plan2"}</definedName>
    <definedName name="sjfkdhsfds" hidden="1">{#N/A,#N/A,FALSE,"Plan1";#N/A,#N/A,FALSE,"Plan2"}</definedName>
    <definedName name="sjkdljslkrje" localSheetId="24" hidden="1">{#N/A,#N/A,FALSE,"Plan1";#N/A,#N/A,FALSE,"Plan2"}</definedName>
    <definedName name="sjkdljslkrje" localSheetId="7" hidden="1">{#N/A,#N/A,FALSE,"Plan1";#N/A,#N/A,FALSE,"Plan2"}</definedName>
    <definedName name="sjkdljslkrje" localSheetId="9" hidden="1">{#N/A,#N/A,FALSE,"Plan1";#N/A,#N/A,FALSE,"Plan2"}</definedName>
    <definedName name="sjkdljslkrje" localSheetId="3" hidden="1">{#N/A,#N/A,FALSE,"Plan1";#N/A,#N/A,FALSE,"Plan2"}</definedName>
    <definedName name="sjkdljslkrje" localSheetId="2" hidden="1">{#N/A,#N/A,FALSE,"Plan1";#N/A,#N/A,FALSE,"Plan2"}</definedName>
    <definedName name="sjkdljslkrje" localSheetId="16" hidden="1">{#N/A,#N/A,FALSE,"Plan1";#N/A,#N/A,FALSE,"Plan2"}</definedName>
    <definedName name="sjkdljslkrje" localSheetId="0" hidden="1">{#N/A,#N/A,FALSE,"Plan1";#N/A,#N/A,FALSE,"Plan2"}</definedName>
    <definedName name="sjkdljslkrje" localSheetId="26" hidden="1">{#N/A,#N/A,FALSE,"Plan1";#N/A,#N/A,FALSE,"Plan2"}</definedName>
    <definedName name="sjkdljslkrje" localSheetId="11" hidden="1">{#N/A,#N/A,FALSE,"Plan1";#N/A,#N/A,FALSE,"Plan2"}</definedName>
    <definedName name="sjkdljslkrje" hidden="1">{#N/A,#N/A,FALSE,"Plan1";#N/A,#N/A,FALSE,"Plan2"}</definedName>
    <definedName name="skadadaszs" localSheetId="24" hidden="1">{#N/A,#N/A,FALSE,"Plan1";#N/A,#N/A,FALSE,"Plan2"}</definedName>
    <definedName name="skadadaszs" localSheetId="7" hidden="1">{#N/A,#N/A,FALSE,"Plan1";#N/A,#N/A,FALSE,"Plan2"}</definedName>
    <definedName name="skadadaszs" localSheetId="9" hidden="1">{#N/A,#N/A,FALSE,"Plan1";#N/A,#N/A,FALSE,"Plan2"}</definedName>
    <definedName name="skadadaszs" localSheetId="3" hidden="1">{#N/A,#N/A,FALSE,"Plan1";#N/A,#N/A,FALSE,"Plan2"}</definedName>
    <definedName name="skadadaszs" localSheetId="2" hidden="1">{#N/A,#N/A,FALSE,"Plan1";#N/A,#N/A,FALSE,"Plan2"}</definedName>
    <definedName name="skadadaszs" localSheetId="16" hidden="1">{#N/A,#N/A,FALSE,"Plan1";#N/A,#N/A,FALSE,"Plan2"}</definedName>
    <definedName name="skadadaszs" localSheetId="0" hidden="1">{#N/A,#N/A,FALSE,"Plan1";#N/A,#N/A,FALSE,"Plan2"}</definedName>
    <definedName name="skadadaszs" localSheetId="26" hidden="1">{#N/A,#N/A,FALSE,"Plan1";#N/A,#N/A,FALSE,"Plan2"}</definedName>
    <definedName name="skadadaszs" localSheetId="11" hidden="1">{#N/A,#N/A,FALSE,"Plan1";#N/A,#N/A,FALSE,"Plan2"}</definedName>
    <definedName name="skadadaszs" hidden="1">{#N/A,#N/A,FALSE,"Plan1";#N/A,#N/A,FALSE,"Plan2"}</definedName>
    <definedName name="SKASH" localSheetId="24" hidden="1">{#N/A,#N/A,FALSE,"Plan1";#N/A,#N/A,FALSE,"Plan2"}</definedName>
    <definedName name="SKASH" localSheetId="7" hidden="1">{#N/A,#N/A,FALSE,"Plan1";#N/A,#N/A,FALSE,"Plan2"}</definedName>
    <definedName name="SKASH" localSheetId="9" hidden="1">{#N/A,#N/A,FALSE,"Plan1";#N/A,#N/A,FALSE,"Plan2"}</definedName>
    <definedName name="SKASH" localSheetId="3" hidden="1">{#N/A,#N/A,FALSE,"Plan1";#N/A,#N/A,FALSE,"Plan2"}</definedName>
    <definedName name="SKASH" localSheetId="2" hidden="1">{#N/A,#N/A,FALSE,"Plan1";#N/A,#N/A,FALSE,"Plan2"}</definedName>
    <definedName name="SKASH" localSheetId="16" hidden="1">{#N/A,#N/A,FALSE,"Plan1";#N/A,#N/A,FALSE,"Plan2"}</definedName>
    <definedName name="SKASH" localSheetId="0" hidden="1">{#N/A,#N/A,FALSE,"Plan1";#N/A,#N/A,FALSE,"Plan2"}</definedName>
    <definedName name="SKASH" localSheetId="26" hidden="1">{#N/A,#N/A,FALSE,"Plan1";#N/A,#N/A,FALSE,"Plan2"}</definedName>
    <definedName name="SKASH" localSheetId="11" hidden="1">{#N/A,#N/A,FALSE,"Plan1";#N/A,#N/A,FALSE,"Plan2"}</definedName>
    <definedName name="SKASH" hidden="1">{#N/A,#N/A,FALSE,"Plan1";#N/A,#N/A,FALSE,"Plan2"}</definedName>
    <definedName name="skldfrde" localSheetId="24" hidden="1">{#N/A,#N/A,FALSE,"Plan1";#N/A,#N/A,FALSE,"Plan2"}</definedName>
    <definedName name="skldfrde" localSheetId="7" hidden="1">{#N/A,#N/A,FALSE,"Plan1";#N/A,#N/A,FALSE,"Plan2"}</definedName>
    <definedName name="skldfrde" localSheetId="9" hidden="1">{#N/A,#N/A,FALSE,"Plan1";#N/A,#N/A,FALSE,"Plan2"}</definedName>
    <definedName name="skldfrde" localSheetId="3" hidden="1">{#N/A,#N/A,FALSE,"Plan1";#N/A,#N/A,FALSE,"Plan2"}</definedName>
    <definedName name="skldfrde" localSheetId="2" hidden="1">{#N/A,#N/A,FALSE,"Plan1";#N/A,#N/A,FALSE,"Plan2"}</definedName>
    <definedName name="skldfrde" localSheetId="16" hidden="1">{#N/A,#N/A,FALSE,"Plan1";#N/A,#N/A,FALSE,"Plan2"}</definedName>
    <definedName name="skldfrde" localSheetId="0" hidden="1">{#N/A,#N/A,FALSE,"Plan1";#N/A,#N/A,FALSE,"Plan2"}</definedName>
    <definedName name="skldfrde" localSheetId="26" hidden="1">{#N/A,#N/A,FALSE,"Plan1";#N/A,#N/A,FALSE,"Plan2"}</definedName>
    <definedName name="skldfrde" localSheetId="11" hidden="1">{#N/A,#N/A,FALSE,"Plan1";#N/A,#N/A,FALSE,"Plan2"}</definedName>
    <definedName name="skldfrde" hidden="1">{#N/A,#N/A,FALSE,"Plan1";#N/A,#N/A,FALSE,"Plan2"}</definedName>
    <definedName name="skosroer" localSheetId="24" hidden="1">{#N/A,#N/A,FALSE,"Plan1";#N/A,#N/A,FALSE,"Plan2"}</definedName>
    <definedName name="skosroer" localSheetId="7" hidden="1">{#N/A,#N/A,FALSE,"Plan1";#N/A,#N/A,FALSE,"Plan2"}</definedName>
    <definedName name="skosroer" localSheetId="9" hidden="1">{#N/A,#N/A,FALSE,"Plan1";#N/A,#N/A,FALSE,"Plan2"}</definedName>
    <definedName name="skosroer" localSheetId="3" hidden="1">{#N/A,#N/A,FALSE,"Plan1";#N/A,#N/A,FALSE,"Plan2"}</definedName>
    <definedName name="skosroer" localSheetId="2" hidden="1">{#N/A,#N/A,FALSE,"Plan1";#N/A,#N/A,FALSE,"Plan2"}</definedName>
    <definedName name="skosroer" localSheetId="16" hidden="1">{#N/A,#N/A,FALSE,"Plan1";#N/A,#N/A,FALSE,"Plan2"}</definedName>
    <definedName name="skosroer" localSheetId="0" hidden="1">{#N/A,#N/A,FALSE,"Plan1";#N/A,#N/A,FALSE,"Plan2"}</definedName>
    <definedName name="skosroer" localSheetId="26" hidden="1">{#N/A,#N/A,FALSE,"Plan1";#N/A,#N/A,FALSE,"Plan2"}</definedName>
    <definedName name="skosroer" localSheetId="11" hidden="1">{#N/A,#N/A,FALSE,"Plan1";#N/A,#N/A,FALSE,"Plan2"}</definedName>
    <definedName name="skosroer" hidden="1">{#N/A,#N/A,FALSE,"Plan1";#N/A,#N/A,FALSE,"Plan2"}</definedName>
    <definedName name="SO" localSheetId="24">#REF!</definedName>
    <definedName name="SO" localSheetId="7">#REF!</definedName>
    <definedName name="SO" localSheetId="3">#REF!</definedName>
    <definedName name="SO" localSheetId="26">#REF!</definedName>
    <definedName name="SO">#REF!</definedName>
    <definedName name="solver_lin" hidden="1">0</definedName>
    <definedName name="solver_num" hidden="1">0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oma" localSheetId="7">#REF!</definedName>
    <definedName name="soma" localSheetId="3">#REF!</definedName>
    <definedName name="soma">#REF!</definedName>
    <definedName name="sp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localSheetId="24" hidden="1">{#N/A,#N/A,FALSE,"Plan1";#N/A,#N/A,FALSE,"Plan2"}</definedName>
    <definedName name="sQEWWE" localSheetId="7" hidden="1">{#N/A,#N/A,FALSE,"Plan1";#N/A,#N/A,FALSE,"Plan2"}</definedName>
    <definedName name="sQEWWE" localSheetId="9" hidden="1">{#N/A,#N/A,FALSE,"Plan1";#N/A,#N/A,FALSE,"Plan2"}</definedName>
    <definedName name="sQEWWE" localSheetId="3" hidden="1">{#N/A,#N/A,FALSE,"Plan1";#N/A,#N/A,FALSE,"Plan2"}</definedName>
    <definedName name="sQEWWE" localSheetId="2" hidden="1">{#N/A,#N/A,FALSE,"Plan1";#N/A,#N/A,FALSE,"Plan2"}</definedName>
    <definedName name="sQEWWE" localSheetId="16" hidden="1">{#N/A,#N/A,FALSE,"Plan1";#N/A,#N/A,FALSE,"Plan2"}</definedName>
    <definedName name="sQEWWE" localSheetId="0" hidden="1">{#N/A,#N/A,FALSE,"Plan1";#N/A,#N/A,FALSE,"Plan2"}</definedName>
    <definedName name="sQEWWE" localSheetId="26" hidden="1">{#N/A,#N/A,FALSE,"Plan1";#N/A,#N/A,FALSE,"Plan2"}</definedName>
    <definedName name="sQEWWE" localSheetId="11" hidden="1">{#N/A,#N/A,FALSE,"Plan1";#N/A,#N/A,FALSE,"Plan2"}</definedName>
    <definedName name="sQEWWE" hidden="1">{#N/A,#N/A,FALSE,"Plan1";#N/A,#N/A,FALSE,"Plan2"}</definedName>
    <definedName name="SR" localSheetId="7" hidden="1">#REF!</definedName>
    <definedName name="SR" localSheetId="3" hidden="1">#REF!</definedName>
    <definedName name="SR" localSheetId="0" hidden="1">#REF!</definedName>
    <definedName name="SR" hidden="1">#REF!</definedName>
    <definedName name="SRH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 localSheetId="24" hidden="1">#REF!</definedName>
    <definedName name="SS" localSheetId="7" hidden="1">#REF!</definedName>
    <definedName name="ss" localSheetId="5">#REF!</definedName>
    <definedName name="SS" localSheetId="26" hidden="1">#REF!</definedName>
    <definedName name="SS" hidden="1">#REF!</definedName>
    <definedName name="sssss" localSheetId="7" hidden="1">#REF!</definedName>
    <definedName name="sssss" localSheetId="3" hidden="1">#REF!</definedName>
    <definedName name="sssss" localSheetId="0" hidden="1">#REF!</definedName>
    <definedName name="sssss" hidden="1">#REF!</definedName>
    <definedName name="stake_cury" localSheetId="7">#REF!</definedName>
    <definedName name="stake_cury" localSheetId="3">#REF!</definedName>
    <definedName name="stake_cury">#REF!</definedName>
    <definedName name="status_projeto" localSheetId="7" hidden="1">OFFSET(INDEX(#REF!,MATCH(#REF!,#REF!,0)),1,0,COUNTA(#REF!)-1)</definedName>
    <definedName name="status_projeto" localSheetId="3" hidden="1">OFFSET(INDEX(#REF!,MATCH(#REF!,#REF!,0)),1,0,COUNTA(#REF!)-1)</definedName>
    <definedName name="status_projeto" localSheetId="0" hidden="1">OFFSET(INDEX(#REF!,MATCH(#REF!,#REF!,0)),1,0,COUNTA(#REF!)-1)</definedName>
    <definedName name="status_projeto" hidden="1">OFFSET(INDEX(#REF!,MATCH(#REF!,#REF!,0)),1,0,COUNTA(#REF!)-1)</definedName>
    <definedName name="SUB_TOTAL_1" localSheetId="24">#REF!</definedName>
    <definedName name="SUB_TOTAL_1" localSheetId="7">#REF!</definedName>
    <definedName name="SUB_TOTAL_1" localSheetId="3">#REF!</definedName>
    <definedName name="SUB_TOTAL_1" localSheetId="26">#REF!</definedName>
    <definedName name="SUB_TOTAL_1">#REF!</definedName>
    <definedName name="SUBDER" localSheetId="7">#REF!</definedName>
    <definedName name="SUBDER" localSheetId="3">#REF!</definedName>
    <definedName name="SUBDER">#REF!</definedName>
    <definedName name="SUBDIV" localSheetId="7">#REF!</definedName>
    <definedName name="SUBDIV" localSheetId="3">#REF!</definedName>
    <definedName name="SUBDIV">#REF!</definedName>
    <definedName name="SUBEQP" localSheetId="7">#REF!</definedName>
    <definedName name="SUBEQP" localSheetId="3">#REF!</definedName>
    <definedName name="SUBEQP">#REF!</definedName>
    <definedName name="SUBMUR" localSheetId="7">#REF!</definedName>
    <definedName name="SUBMUR" localSheetId="3">#REF!</definedName>
    <definedName name="SUBMUR">#REF!</definedName>
    <definedName name="summ" localSheetId="7" hidden="1">#REF!</definedName>
    <definedName name="summ" localSheetId="0" hidden="1">#REF!</definedName>
    <definedName name="summ" hidden="1">#REF!</definedName>
    <definedName name="susref" localSheetId="24">#REF!</definedName>
    <definedName name="susref" localSheetId="7">#REF!</definedName>
    <definedName name="susref" localSheetId="5">#REF!</definedName>
    <definedName name="susref" localSheetId="3">#REF!</definedName>
    <definedName name="susref" localSheetId="0">#REF!</definedName>
    <definedName name="susref">#REF!</definedName>
    <definedName name="Swvu.Características." hidden="1">#REF!</definedName>
    <definedName name="Swvu.Ciclos." hidden="1">#REF!</definedName>
    <definedName name="Swvu.Custos." hidden="1">#REF!</definedName>
    <definedName name="Swvu.PLANILHA2." hidden="1">#REF!</definedName>
    <definedName name="Swvu.Recursos." hidden="1">#REF!</definedName>
    <definedName name="T_actual" localSheetId="7">#REF!</definedName>
    <definedName name="T_actual" localSheetId="3">#REF!</definedName>
    <definedName name="T_actual">#REF!</definedName>
    <definedName name="t_cc" localSheetId="7">#REF!</definedName>
    <definedName name="t_cc" localSheetId="3">#REF!</definedName>
    <definedName name="t_cc">#REF!</definedName>
    <definedName name="t_KSB1_Transport" localSheetId="7">#REF!</definedName>
    <definedName name="t_KSB1_Transport" localSheetId="3">#REF!</definedName>
    <definedName name="t_KSB1_Transport">#REF!</definedName>
    <definedName name="tab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 localSheetId="24">#REF!</definedName>
    <definedName name="TAB_GASTOS" localSheetId="7">#REF!</definedName>
    <definedName name="TAB_GASTOS" localSheetId="3">#REF!</definedName>
    <definedName name="TAB_GASTOS" localSheetId="26">#REF!</definedName>
    <definedName name="TAB_GASTOS">#REF!</definedName>
    <definedName name="TABACABAMENTOS" localSheetId="7">#REF!</definedName>
    <definedName name="TABACABAMENTOS" localSheetId="3">#REF!</definedName>
    <definedName name="TABACABAMENTOS">#REF!</definedName>
    <definedName name="tabela" localSheetId="7">#REF!</definedName>
    <definedName name="tabela" localSheetId="3">#REF!</definedName>
    <definedName name="tabela">#REF!</definedName>
    <definedName name="Tabela_Atribuição" localSheetId="7">#REF!</definedName>
    <definedName name="Tabela_Atribuição" localSheetId="3">#REF!</definedName>
    <definedName name="Tabela_Atribuição">#REF!</definedName>
    <definedName name="TABELA_DE_REVESTIMENTOS" localSheetId="7">#REF!</definedName>
    <definedName name="TABELA_DE_REVESTIMENTOS" localSheetId="3">#REF!</definedName>
    <definedName name="TABELA_DE_REVESTIMENTOS">#REF!</definedName>
    <definedName name="Tabela_Recursos" localSheetId="7">#REF!</definedName>
    <definedName name="Tabela_Recursos" localSheetId="3">#REF!</definedName>
    <definedName name="Tabela_Recursos">#REF!</definedName>
    <definedName name="Tabela_Tarefas" localSheetId="7">#REF!</definedName>
    <definedName name="Tabela_Tarefas" localSheetId="3">#REF!</definedName>
    <definedName name="Tabela_Tarefas">#REF!</definedName>
    <definedName name="Tabela1" localSheetId="7">#REF!</definedName>
    <definedName name="Tabela1" localSheetId="3">#REF!</definedName>
    <definedName name="Tabela1">#REF!</definedName>
    <definedName name="Tabela2" localSheetId="7">#REF!</definedName>
    <definedName name="Tabela2" localSheetId="3">#REF!</definedName>
    <definedName name="Tabela2">#REF!</definedName>
    <definedName name="tabela3" localSheetId="7">#REF!</definedName>
    <definedName name="tabela3" localSheetId="3">#REF!</definedName>
    <definedName name="tabela3">#REF!</definedName>
    <definedName name="TABREF" localSheetId="7">#REF!</definedName>
    <definedName name="TABREF" localSheetId="3">#REF!</definedName>
    <definedName name="TABREF">#REF!</definedName>
    <definedName name="tania" localSheetId="24">#REF!</definedName>
    <definedName name="tania" localSheetId="7">#REF!</definedName>
    <definedName name="tania" localSheetId="5">#REF!</definedName>
    <definedName name="tania" localSheetId="3">#REF!</definedName>
    <definedName name="tania" localSheetId="0">#REF!</definedName>
    <definedName name="tania">#REF!</definedName>
    <definedName name="TAUX2" localSheetId="7">OFFSET(#REF!,0,0,COUNTA(#REF!)+1,1)</definedName>
    <definedName name="TAUX2" localSheetId="3">OFFSET(#REF!,0,0,COUNTA(#REF!)+1,1)</definedName>
    <definedName name="TAUX2">OFFSET(#REF!,0,0,COUNTA(#REF!)+1,1)</definedName>
    <definedName name="TAUX3" localSheetId="7">OFFSET(#REF!,0,0,COUNTA(#REF!)+1,1)</definedName>
    <definedName name="TAUX3" localSheetId="3">OFFSET(#REF!,0,0,COUNTA(#REF!)+1,1)</definedName>
    <definedName name="TAUX3">OFFSET(#REF!,0,0,COUNTA(#REF!)+1,1)</definedName>
    <definedName name="TAXA_VENTO" localSheetId="24">#REF!</definedName>
    <definedName name="TAXA_VENTO" localSheetId="7">#REF!</definedName>
    <definedName name="TAXA_VENTO" localSheetId="3">#REF!</definedName>
    <definedName name="TAXA_VENTO" localSheetId="26">#REF!</definedName>
    <definedName name="TAXA_VENTO">#REF!</definedName>
    <definedName name="TAXAS" localSheetId="7">#REF!</definedName>
    <definedName name="TAXAS" localSheetId="3">#REF!</definedName>
    <definedName name="TAXAS">#REF!</definedName>
    <definedName name="TbDin" localSheetId="7">OFFSET(#REF!,0,0,COUNTA(#REF!),13)</definedName>
    <definedName name="TbDin" localSheetId="3">OFFSET(#REF!,0,0,COUNTA(#REF!),13)</definedName>
    <definedName name="TbDin">OFFSET(#REF!,0,0,COUNTA(#REF!),13)</definedName>
    <definedName name="tc" localSheetId="24">#REF!</definedName>
    <definedName name="tc" localSheetId="7">#REF!</definedName>
    <definedName name="tc" localSheetId="5">#REF!</definedName>
    <definedName name="tc" localSheetId="3">#REF!</definedName>
    <definedName name="tc" localSheetId="0">#REF!</definedName>
    <definedName name="tc">#REF!</definedName>
    <definedName name="TE" localSheetId="7">#REF!</definedName>
    <definedName name="TE" localSheetId="3">#REF!</definedName>
    <definedName name="TE">#REF!</definedName>
    <definedName name="TECLA" localSheetId="7">#REF!</definedName>
    <definedName name="TECLA" localSheetId="3">#REF!</definedName>
    <definedName name="TECLA">#REF!</definedName>
    <definedName name="Tendência_Obra_Controladoria" localSheetId="7">#REF!</definedName>
    <definedName name="Tendência_Obra_Controladoria" localSheetId="3">#REF!</definedName>
    <definedName name="Tendência_Obra_Controladoria">#REF!</definedName>
    <definedName name="TERRENO" localSheetId="7">#REF!</definedName>
    <definedName name="TERRENO" localSheetId="3">#REF!</definedName>
    <definedName name="TERRENO">#REF!</definedName>
    <definedName name="Test" localSheetId="24" hidden="1">{"'Edit'!$A$1:$V$2277"}</definedName>
    <definedName name="Test" localSheetId="7" hidden="1">{"'Edit'!$A$1:$V$2277"}</definedName>
    <definedName name="Test" localSheetId="9" hidden="1">{"'Edit'!$A$1:$V$2277"}</definedName>
    <definedName name="Test" localSheetId="3" hidden="1">{"'Edit'!$A$1:$V$2277"}</definedName>
    <definedName name="Test" localSheetId="2" hidden="1">{"'Edit'!$A$1:$V$2277"}</definedName>
    <definedName name="Test" localSheetId="16" hidden="1">{"'Edit'!$A$1:$V$2277"}</definedName>
    <definedName name="Test" localSheetId="0" hidden="1">{"'Edit'!$A$1:$V$2277"}</definedName>
    <definedName name="Test" localSheetId="26" hidden="1">{"'Edit'!$A$1:$V$2277"}</definedName>
    <definedName name="Test" localSheetId="11" hidden="1">{"'Edit'!$A$1:$V$2277"}</definedName>
    <definedName name="Test" hidden="1">{"'Edit'!$A$1:$V$2277"}</definedName>
    <definedName name="TESTANDO" localSheetId="24" hidden="1">{#N/A,#N/A,TRUE,"Quinzena 01 à 15-04-98 "}</definedName>
    <definedName name="TESTANDO" localSheetId="7" hidden="1">{#N/A,#N/A,TRUE,"Quinzena 01 à 15-04-98 "}</definedName>
    <definedName name="TESTANDO" localSheetId="9" hidden="1">{#N/A,#N/A,TRUE,"Quinzena 01 à 15-04-98 "}</definedName>
    <definedName name="TESTANDO" localSheetId="3" hidden="1">{#N/A,#N/A,TRUE,"Quinzena 01 à 15-04-98 "}</definedName>
    <definedName name="TESTANDO" localSheetId="2" hidden="1">{#N/A,#N/A,TRUE,"Quinzena 01 à 15-04-98 "}</definedName>
    <definedName name="TESTANDO" localSheetId="16" hidden="1">{#N/A,#N/A,TRUE,"Quinzena 01 à 15-04-98 "}</definedName>
    <definedName name="TESTANDO" localSheetId="0" hidden="1">{#N/A,#N/A,TRUE,"Quinzena 01 à 15-04-98 "}</definedName>
    <definedName name="TESTANDO" localSheetId="26" hidden="1">{#N/A,#N/A,TRUE,"Quinzena 01 à 15-04-98 "}</definedName>
    <definedName name="TESTANDO" localSheetId="11" hidden="1">{#N/A,#N/A,TRUE,"Quinzena 01 à 15-04-98 "}</definedName>
    <definedName name="TESTANDO" hidden="1">{#N/A,#N/A,TRUE,"Quinzena 01 à 15-04-98 "}</definedName>
    <definedName name="teste" localSheetId="24">#REF!</definedName>
    <definedName name="teste" localSheetId="7">#REF!</definedName>
    <definedName name="teste" localSheetId="3">#REF!</definedName>
    <definedName name="teste" localSheetId="26">#REF!</definedName>
    <definedName name="teste">#REF!</definedName>
    <definedName name="teste1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 localSheetId="24">#REF!</definedName>
    <definedName name="teste3" localSheetId="7">#REF!</definedName>
    <definedName name="teste3" localSheetId="3">#REF!</definedName>
    <definedName name="teste3" localSheetId="26">#REF!</definedName>
    <definedName name="teste3">#REF!</definedName>
    <definedName name="TESTHKEY" localSheetId="7">#REF!</definedName>
    <definedName name="TESTHKEY" localSheetId="3">#REF!</definedName>
    <definedName name="TESTHKEY">#REF!</definedName>
    <definedName name="teto1" localSheetId="7">#REF!</definedName>
    <definedName name="teto1" localSheetId="3">#REF!</definedName>
    <definedName name="teto1">#REF!</definedName>
    <definedName name="Teto2" localSheetId="7">#REF!</definedName>
    <definedName name="Teto2" localSheetId="3">#REF!</definedName>
    <definedName name="Teto2">#REF!</definedName>
    <definedName name="tetuytw" localSheetId="7">#REF!</definedName>
    <definedName name="tetuytw" localSheetId="3">#REF!</definedName>
    <definedName name="tetuytw">#REF!</definedName>
    <definedName name="TextRefCopyRangeCount" hidden="1">1</definedName>
    <definedName name="thjgsergsr" localSheetId="24" hidden="1">{#N/A,#N/A,FALSE,"Plan1";#N/A,#N/A,FALSE,"Plan2"}</definedName>
    <definedName name="thjgsergsr" localSheetId="7" hidden="1">{#N/A,#N/A,FALSE,"Plan1";#N/A,#N/A,FALSE,"Plan2"}</definedName>
    <definedName name="thjgsergsr" localSheetId="9" hidden="1">{#N/A,#N/A,FALSE,"Plan1";#N/A,#N/A,FALSE,"Plan2"}</definedName>
    <definedName name="thjgsergsr" localSheetId="3" hidden="1">{#N/A,#N/A,FALSE,"Plan1";#N/A,#N/A,FALSE,"Plan2"}</definedName>
    <definedName name="thjgsergsr" localSheetId="2" hidden="1">{#N/A,#N/A,FALSE,"Plan1";#N/A,#N/A,FALSE,"Plan2"}</definedName>
    <definedName name="thjgsergsr" localSheetId="16" hidden="1">{#N/A,#N/A,FALSE,"Plan1";#N/A,#N/A,FALSE,"Plan2"}</definedName>
    <definedName name="thjgsergsr" localSheetId="0" hidden="1">{#N/A,#N/A,FALSE,"Plan1";#N/A,#N/A,FALSE,"Plan2"}</definedName>
    <definedName name="thjgsergsr" localSheetId="26" hidden="1">{#N/A,#N/A,FALSE,"Plan1";#N/A,#N/A,FALSE,"Plan2"}</definedName>
    <definedName name="thjgsergsr" localSheetId="11" hidden="1">{#N/A,#N/A,FALSE,"Plan1";#N/A,#N/A,FALSE,"Plan2"}</definedName>
    <definedName name="thjgsergsr" hidden="1">{#N/A,#N/A,FALSE,"Plan1";#N/A,#N/A,FALSE,"Plan2"}</definedName>
    <definedName name="THYJ" localSheetId="24" hidden="1">{#N/A,#N/A,FALSE,"Plan1";#N/A,#N/A,FALSE,"Plan2"}</definedName>
    <definedName name="THYJ" localSheetId="7" hidden="1">{#N/A,#N/A,FALSE,"Plan1";#N/A,#N/A,FALSE,"Plan2"}</definedName>
    <definedName name="THYJ" localSheetId="9" hidden="1">{#N/A,#N/A,FALSE,"Plan1";#N/A,#N/A,FALSE,"Plan2"}</definedName>
    <definedName name="THYJ" localSheetId="3" hidden="1">{#N/A,#N/A,FALSE,"Plan1";#N/A,#N/A,FALSE,"Plan2"}</definedName>
    <definedName name="THYJ" localSheetId="2" hidden="1">{#N/A,#N/A,FALSE,"Plan1";#N/A,#N/A,FALSE,"Plan2"}</definedName>
    <definedName name="THYJ" localSheetId="16" hidden="1">{#N/A,#N/A,FALSE,"Plan1";#N/A,#N/A,FALSE,"Plan2"}</definedName>
    <definedName name="THYJ" localSheetId="0" hidden="1">{#N/A,#N/A,FALSE,"Plan1";#N/A,#N/A,FALSE,"Plan2"}</definedName>
    <definedName name="THYJ" localSheetId="26" hidden="1">{#N/A,#N/A,FALSE,"Plan1";#N/A,#N/A,FALSE,"Plan2"}</definedName>
    <definedName name="THYJ" localSheetId="11" hidden="1">{#N/A,#N/A,FALSE,"Plan1";#N/A,#N/A,FALSE,"Plan2"}</definedName>
    <definedName name="THYJ" hidden="1">{#N/A,#N/A,FALSE,"Plan1";#N/A,#N/A,FALSE,"Plan2"}</definedName>
    <definedName name="tihjgih" localSheetId="24" hidden="1">{#N/A,#N/A,FALSE,"Plan1";#N/A,#N/A,FALSE,"Plan2"}</definedName>
    <definedName name="tihjgih" localSheetId="7" hidden="1">{#N/A,#N/A,FALSE,"Plan1";#N/A,#N/A,FALSE,"Plan2"}</definedName>
    <definedName name="tihjgih" localSheetId="9" hidden="1">{#N/A,#N/A,FALSE,"Plan1";#N/A,#N/A,FALSE,"Plan2"}</definedName>
    <definedName name="tihjgih" localSheetId="3" hidden="1">{#N/A,#N/A,FALSE,"Plan1";#N/A,#N/A,FALSE,"Plan2"}</definedName>
    <definedName name="tihjgih" localSheetId="2" hidden="1">{#N/A,#N/A,FALSE,"Plan1";#N/A,#N/A,FALSE,"Plan2"}</definedName>
    <definedName name="tihjgih" localSheetId="16" hidden="1">{#N/A,#N/A,FALSE,"Plan1";#N/A,#N/A,FALSE,"Plan2"}</definedName>
    <definedName name="tihjgih" localSheetId="0" hidden="1">{#N/A,#N/A,FALSE,"Plan1";#N/A,#N/A,FALSE,"Plan2"}</definedName>
    <definedName name="tihjgih" localSheetId="26" hidden="1">{#N/A,#N/A,FALSE,"Plan1";#N/A,#N/A,FALSE,"Plan2"}</definedName>
    <definedName name="tihjgih" localSheetId="11" hidden="1">{#N/A,#N/A,FALSE,"Plan1";#N/A,#N/A,FALSE,"Plan2"}</definedName>
    <definedName name="tihjgih" hidden="1">{#N/A,#N/A,FALSE,"Plan1";#N/A,#N/A,FALSE,"Plan2"}</definedName>
    <definedName name="TIPO_CTT" localSheetId="24">#REF!</definedName>
    <definedName name="TIPO_CTT" localSheetId="7">#REF!</definedName>
    <definedName name="TIPO_CTT" localSheetId="3">#REF!</definedName>
    <definedName name="TIPO_CTT" localSheetId="26">#REF!</definedName>
    <definedName name="TIPO_CTT">#REF!</definedName>
    <definedName name="Tipo_de_Diretoria" localSheetId="7">#REF!</definedName>
    <definedName name="Tipo_de_Diretoria" localSheetId="3">#REF!</definedName>
    <definedName name="Tipo_de_Diretoria">#REF!</definedName>
    <definedName name="Tipo_de_Gestao" localSheetId="7">#REF!</definedName>
    <definedName name="Tipo_de_Gestao" localSheetId="3">#REF!</definedName>
    <definedName name="Tipo_de_Gestao">#REF!</definedName>
    <definedName name="Tipo_de_Padrao" localSheetId="7">#REF!</definedName>
    <definedName name="Tipo_de_Padrao" localSheetId="3">#REF!</definedName>
    <definedName name="Tipo_de_Padrao">#REF!</definedName>
    <definedName name="Tipo_de_Regiao" localSheetId="7">#REF!</definedName>
    <definedName name="Tipo_de_Regiao" localSheetId="3">#REF!</definedName>
    <definedName name="Tipo_de_Regiao">#REF!</definedName>
    <definedName name="Tipo_de_Segmento" localSheetId="7">#REF!</definedName>
    <definedName name="Tipo_de_Segmento" localSheetId="3">#REF!</definedName>
    <definedName name="Tipo_de_Segmento">#REF!</definedName>
    <definedName name="Tipo_de_Status" localSheetId="7">#REF!</definedName>
    <definedName name="Tipo_de_Status" localSheetId="3">#REF!</definedName>
    <definedName name="Tipo_de_Status">#REF!</definedName>
    <definedName name="Tipo_de_UF" localSheetId="7">#REF!</definedName>
    <definedName name="Tipo_de_UF" localSheetId="3">#REF!</definedName>
    <definedName name="Tipo_de_UF">#REF!</definedName>
    <definedName name="Tipo_de_Unidade_de_Negocio" localSheetId="7">#REF!</definedName>
    <definedName name="Tipo_de_Unidade_de_Negocio" localSheetId="3">#REF!</definedName>
    <definedName name="Tipo_de_Unidade_de_Negocio">#REF!</definedName>
    <definedName name="Tipo_do_cliente" localSheetId="7">#REF!</definedName>
    <definedName name="Tipo_do_cliente" localSheetId="3">#REF!</definedName>
    <definedName name="Tipo_do_cliente">#REF!</definedName>
    <definedName name="tipo_subtotal" localSheetId="7">#REF!</definedName>
    <definedName name="tipo_subtotal" localSheetId="3">#REF!</definedName>
    <definedName name="tipo_subtotal">#REF!</definedName>
    <definedName name="tipobloco" localSheetId="7">#REF!</definedName>
    <definedName name="tipobloco" localSheetId="3">#REF!</definedName>
    <definedName name="tipobloco">#REF!</definedName>
    <definedName name="titbeb" localSheetId="7">#REF!</definedName>
    <definedName name="titbeb" localSheetId="3">#REF!</definedName>
    <definedName name="titbeb">#REF!</definedName>
    <definedName name="TITCHAF" localSheetId="7">#REF!</definedName>
    <definedName name="TITCHAF" localSheetId="3">#REF!</definedName>
    <definedName name="TITCHAF">#REF!</definedName>
    <definedName name="TituloMkt" localSheetId="7">#REF!</definedName>
    <definedName name="TituloMkt" localSheetId="3">#REF!</definedName>
    <definedName name="TituloMkt">#REF!</definedName>
    <definedName name="titulos" localSheetId="24">#REF!</definedName>
    <definedName name="titulos" localSheetId="7">#REF!</definedName>
    <definedName name="titulos" localSheetId="3">#REF!</definedName>
    <definedName name="titulos" localSheetId="0">#REF!</definedName>
    <definedName name="titulos">#REF!</definedName>
    <definedName name="_xlnm.Print_Titles" localSheetId="24">#REF!</definedName>
    <definedName name="_xlnm.Print_Titles" localSheetId="7">#REF!</definedName>
    <definedName name="_xlnm.Print_Titles" localSheetId="9">#REF!</definedName>
    <definedName name="_xlnm.Print_Titles" localSheetId="3">#REF!</definedName>
    <definedName name="_xlnm.Print_Titles" localSheetId="0">#REF!</definedName>
    <definedName name="_xlnm.Print_Titles" localSheetId="26">#REF!</definedName>
    <definedName name="_xlnm.Print_Titles">#REF!</definedName>
    <definedName name="Títulos_impressão_IM" localSheetId="7">#REF!</definedName>
    <definedName name="Títulos_impressão_IM" localSheetId="3">#REF!</definedName>
    <definedName name="Títulos_impressão_IM">#REF!</definedName>
    <definedName name="TMO" localSheetId="7">#REF!</definedName>
    <definedName name="TMO" localSheetId="3">#REF!</definedName>
    <definedName name="TMO">#REF!</definedName>
    <definedName name="TOLTAL2" localSheetId="7">#REF!</definedName>
    <definedName name="TOLTAL2" localSheetId="3">#REF!</definedName>
    <definedName name="TOLTAL2">#REF!</definedName>
    <definedName name="TOT" localSheetId="24">#REF!</definedName>
    <definedName name="TOT" localSheetId="7">#REF!</definedName>
    <definedName name="TOT" localSheetId="5">#REF!</definedName>
    <definedName name="TOT" localSheetId="3">#REF!</definedName>
    <definedName name="TOT" localSheetId="0">#REF!</definedName>
    <definedName name="TOT">#REF!</definedName>
    <definedName name="tot3estac" localSheetId="7">#REF!</definedName>
    <definedName name="tot3estac" localSheetId="3">#REF!</definedName>
    <definedName name="tot3estac">#REF!</definedName>
    <definedName name="TOTAIS" localSheetId="7">#REF!</definedName>
    <definedName name="TOTAIS" localSheetId="3">#REF!</definedName>
    <definedName name="TOTAIS">#REF!</definedName>
    <definedName name="Total" localSheetId="24">#REF!</definedName>
    <definedName name="Total" localSheetId="7">#REF!</definedName>
    <definedName name="Total" localSheetId="5">#REF!</definedName>
    <definedName name="Total" localSheetId="3">#REF!</definedName>
    <definedName name="Total" localSheetId="0">#REF!</definedName>
    <definedName name="Total">#REF!</definedName>
    <definedName name="Total_2016_Rel_Controladoria" localSheetId="7">#REF!</definedName>
    <definedName name="Total_2016_Rel_Controladoria" localSheetId="3">#REF!</definedName>
    <definedName name="Total_2016_Rel_Controladoria">#REF!</definedName>
    <definedName name="Total_Parcelas_MAP" localSheetId="7">#REF!</definedName>
    <definedName name="Total_Parcelas_MAP" localSheetId="3">#REF!</definedName>
    <definedName name="Total_Parcelas_MAP">#REF!</definedName>
    <definedName name="total_unid" localSheetId="7">#REF!</definedName>
    <definedName name="total_unid" localSheetId="3">#REF!</definedName>
    <definedName name="total_unid">#REF!</definedName>
    <definedName name="TOTAL1" localSheetId="7">#REF!</definedName>
    <definedName name="TOTAL1" localSheetId="3">#REF!</definedName>
    <definedName name="TOTAL1">#REF!</definedName>
    <definedName name="TOTAL10" localSheetId="7">#REF!</definedName>
    <definedName name="TOTAL10" localSheetId="3">#REF!</definedName>
    <definedName name="TOTAL10">#REF!</definedName>
    <definedName name="TOTAL11" localSheetId="7">#REF!</definedName>
    <definedName name="TOTAL11" localSheetId="3">#REF!</definedName>
    <definedName name="TOTAL11">#REF!</definedName>
    <definedName name="TOTAL12" localSheetId="7">#REF!</definedName>
    <definedName name="TOTAL12" localSheetId="3">#REF!</definedName>
    <definedName name="TOTAL12">#REF!</definedName>
    <definedName name="TOTAL13" localSheetId="7">#REF!</definedName>
    <definedName name="TOTAL13" localSheetId="3">#REF!</definedName>
    <definedName name="TOTAL13">#REF!</definedName>
    <definedName name="TOTAL14" localSheetId="7">#REF!</definedName>
    <definedName name="TOTAL14" localSheetId="3">#REF!</definedName>
    <definedName name="TOTAL14">#REF!</definedName>
    <definedName name="TOTAL15" localSheetId="7">#REF!</definedName>
    <definedName name="TOTAL15" localSheetId="3">#REF!</definedName>
    <definedName name="TOTAL15">#REF!</definedName>
    <definedName name="TOTAL16" localSheetId="7">#REF!</definedName>
    <definedName name="TOTAL16" localSheetId="3">#REF!</definedName>
    <definedName name="TOTAL16">#REF!</definedName>
    <definedName name="TOTAL2" localSheetId="7">#REF!</definedName>
    <definedName name="TOTAL2" localSheetId="3">#REF!</definedName>
    <definedName name="TOTAL2">#REF!</definedName>
    <definedName name="TOTAL3" localSheetId="7">#REF!</definedName>
    <definedName name="TOTAL3" localSheetId="3">#REF!</definedName>
    <definedName name="TOTAL3">#REF!</definedName>
    <definedName name="TOTAL4" localSheetId="7">#REF!</definedName>
    <definedName name="TOTAL4" localSheetId="3">#REF!</definedName>
    <definedName name="TOTAL4">#REF!</definedName>
    <definedName name="TOTAL5" localSheetId="7">#REF!</definedName>
    <definedName name="TOTAL5" localSheetId="3">#REF!</definedName>
    <definedName name="TOTAL5">#REF!</definedName>
    <definedName name="TOTAL6" localSheetId="7">#REF!</definedName>
    <definedName name="TOTAL6" localSheetId="3">#REF!</definedName>
    <definedName name="TOTAL6">#REF!</definedName>
    <definedName name="TOTAL7" localSheetId="7">#REF!</definedName>
    <definedName name="TOTAL7" localSheetId="3">#REF!</definedName>
    <definedName name="TOTAL7">#REF!</definedName>
    <definedName name="TOTAL8" localSheetId="7">#REF!</definedName>
    <definedName name="TOTAL8" localSheetId="3">#REF!</definedName>
    <definedName name="TOTAL8">#REF!</definedName>
    <definedName name="TOTAL9" localSheetId="7">#REF!</definedName>
    <definedName name="TOTAL9" localSheetId="3">#REF!</definedName>
    <definedName name="TOTAL9">#REF!</definedName>
    <definedName name="TOTALITEM" localSheetId="7">#REF!</definedName>
    <definedName name="TOTALITEM" localSheetId="3">#REF!</definedName>
    <definedName name="TOTALITEM">#REF!</definedName>
    <definedName name="totbase" localSheetId="7">#REF!</definedName>
    <definedName name="totbase" localSheetId="3">#REF!</definedName>
    <definedName name="totbase">#REF!</definedName>
    <definedName name="totestaca" localSheetId="7">#REF!</definedName>
    <definedName name="totestaca" localSheetId="3">#REF!</definedName>
    <definedName name="totestaca">#REF!</definedName>
    <definedName name="TOTG" localSheetId="7">OFFSET(#REF!,0,0,COUNTA(#REF!),1)</definedName>
    <definedName name="TOTG" localSheetId="3">OFFSET(#REF!,0,0,COUNTA(#REF!),1)</definedName>
    <definedName name="TOTG">OFFSET(#REF!,0,0,COUNTA(#REF!),1)</definedName>
    <definedName name="totperfura" localSheetId="24">#REF!</definedName>
    <definedName name="totperfura" localSheetId="7">#REF!</definedName>
    <definedName name="totperfura" localSheetId="3">#REF!</definedName>
    <definedName name="totperfura" localSheetId="26">#REF!</definedName>
    <definedName name="totperfura">#REF!</definedName>
    <definedName name="TOTQTS" localSheetId="7">#REF!</definedName>
    <definedName name="TOTQTS" localSheetId="3">#REF!</definedName>
    <definedName name="TOTQTS">#REF!</definedName>
    <definedName name="TOTT" localSheetId="7">OFFSET(#REF!,0,0,COUNTA(#REF!)+1,1)</definedName>
    <definedName name="TOTT" localSheetId="3">OFFSET(#REF!,0,0,COUNTA(#REF!)+1,1)</definedName>
    <definedName name="TOTT">OFFSET(#REF!,0,0,COUNTA(#REF!)+1,1)</definedName>
    <definedName name="TR" localSheetId="24">#REF!</definedName>
    <definedName name="TR" localSheetId="7">#REF!</definedName>
    <definedName name="TR" localSheetId="3">#REF!</definedName>
    <definedName name="TR" localSheetId="26">#REF!</definedName>
    <definedName name="TR">#REF!</definedName>
    <definedName name="Transferencia1" localSheetId="7">#REF!</definedName>
    <definedName name="Transferencia1" localSheetId="3">#REF!</definedName>
    <definedName name="Transferencia1">#REF!</definedName>
    <definedName name="TRES" localSheetId="7">#REF!</definedName>
    <definedName name="TRES" localSheetId="3">#REF!</definedName>
    <definedName name="TRES">#REF!</definedName>
    <definedName name="TREZE" localSheetId="7">#REF!</definedName>
    <definedName name="TREZE" localSheetId="3">#REF!</definedName>
    <definedName name="TREZE">#REF!</definedName>
    <definedName name="tri" localSheetId="7">#REF!</definedName>
    <definedName name="tri" localSheetId="3">#REF!</definedName>
    <definedName name="tri">#REF!</definedName>
    <definedName name="Trimestre_data_base" localSheetId="7">#REF!</definedName>
    <definedName name="Trimestre_data_base" localSheetId="3">#REF!</definedName>
    <definedName name="Trimestre_data_base">#REF!</definedName>
    <definedName name="trjyidih" localSheetId="24" hidden="1">{#N/A,#N/A,FALSE,"Plan1";#N/A,#N/A,FALSE,"Plan2"}</definedName>
    <definedName name="trjyidih" localSheetId="7" hidden="1">{#N/A,#N/A,FALSE,"Plan1";#N/A,#N/A,FALSE,"Plan2"}</definedName>
    <definedName name="trjyidih" localSheetId="9" hidden="1">{#N/A,#N/A,FALSE,"Plan1";#N/A,#N/A,FALSE,"Plan2"}</definedName>
    <definedName name="trjyidih" localSheetId="3" hidden="1">{#N/A,#N/A,FALSE,"Plan1";#N/A,#N/A,FALSE,"Plan2"}</definedName>
    <definedName name="trjyidih" localSheetId="2" hidden="1">{#N/A,#N/A,FALSE,"Plan1";#N/A,#N/A,FALSE,"Plan2"}</definedName>
    <definedName name="trjyidih" localSheetId="16" hidden="1">{#N/A,#N/A,FALSE,"Plan1";#N/A,#N/A,FALSE,"Plan2"}</definedName>
    <definedName name="trjyidih" localSheetId="0" hidden="1">{#N/A,#N/A,FALSE,"Plan1";#N/A,#N/A,FALSE,"Plan2"}</definedName>
    <definedName name="trjyidih" localSheetId="26" hidden="1">{#N/A,#N/A,FALSE,"Plan1";#N/A,#N/A,FALSE,"Plan2"}</definedName>
    <definedName name="trjyidih" localSheetId="11" hidden="1">{#N/A,#N/A,FALSE,"Plan1";#N/A,#N/A,FALSE,"Plan2"}</definedName>
    <definedName name="trjyidih" hidden="1">{#N/A,#N/A,FALSE,"Plan1";#N/A,#N/A,FALSE,"Plan2"}</definedName>
    <definedName name="TRP" localSheetId="24">#REF!</definedName>
    <definedName name="TRP" localSheetId="7">#REF!</definedName>
    <definedName name="TRP" localSheetId="5">#REF!</definedName>
    <definedName name="TRP" localSheetId="3">#REF!</definedName>
    <definedName name="TRP" localSheetId="0">#REF!</definedName>
    <definedName name="TRP">#REF!</definedName>
    <definedName name="TTT" localSheetId="7">#REF!</definedName>
    <definedName name="TTT" localSheetId="3">#REF!</definedName>
    <definedName name="TTT">#REF!</definedName>
    <definedName name="TURNO" localSheetId="7">#REF!</definedName>
    <definedName name="TURNO" localSheetId="3">#REF!</definedName>
    <definedName name="TURNO">#REF!</definedName>
    <definedName name="tuyedjsksj" localSheetId="24" hidden="1">{#N/A,#N/A,FALSE,"Plan1";#N/A,#N/A,FALSE,"Plan2"}</definedName>
    <definedName name="tuyedjsksj" localSheetId="7" hidden="1">{#N/A,#N/A,FALSE,"Plan1";#N/A,#N/A,FALSE,"Plan2"}</definedName>
    <definedName name="tuyedjsksj" localSheetId="9" hidden="1">{#N/A,#N/A,FALSE,"Plan1";#N/A,#N/A,FALSE,"Plan2"}</definedName>
    <definedName name="tuyedjsksj" localSheetId="3" hidden="1">{#N/A,#N/A,FALSE,"Plan1";#N/A,#N/A,FALSE,"Plan2"}</definedName>
    <definedName name="tuyedjsksj" localSheetId="2" hidden="1">{#N/A,#N/A,FALSE,"Plan1";#N/A,#N/A,FALSE,"Plan2"}</definedName>
    <definedName name="tuyedjsksj" localSheetId="16" hidden="1">{#N/A,#N/A,FALSE,"Plan1";#N/A,#N/A,FALSE,"Plan2"}</definedName>
    <definedName name="tuyedjsksj" localSheetId="0" hidden="1">{#N/A,#N/A,FALSE,"Plan1";#N/A,#N/A,FALSE,"Plan2"}</definedName>
    <definedName name="tuyedjsksj" localSheetId="26" hidden="1">{#N/A,#N/A,FALSE,"Plan1";#N/A,#N/A,FALSE,"Plan2"}</definedName>
    <definedName name="tuyedjsksj" localSheetId="11" hidden="1">{#N/A,#N/A,FALSE,"Plan1";#N/A,#N/A,FALSE,"Plan2"}</definedName>
    <definedName name="tuyedjsksj" hidden="1">{#N/A,#N/A,FALSE,"Plan1";#N/A,#N/A,FALSE,"Plan2"}</definedName>
    <definedName name="TX_ADM" localSheetId="24">#REF!</definedName>
    <definedName name="TX_ADM" localSheetId="7">#REF!</definedName>
    <definedName name="TX_ADM" localSheetId="3">#REF!</definedName>
    <definedName name="TX_ADM" localSheetId="26">#REF!</definedName>
    <definedName name="TX_ADM">#REF!</definedName>
    <definedName name="tx_desconto_real" localSheetId="7">#REF!</definedName>
    <definedName name="tx_desconto_real" localSheetId="3">#REF!</definedName>
    <definedName name="tx_desconto_real">#REF!</definedName>
    <definedName name="TxAplicMes" localSheetId="7">#REF!</definedName>
    <definedName name="TxAplicMes" localSheetId="3">#REF!</definedName>
    <definedName name="TxAplicMes">#REF!</definedName>
    <definedName name="TxCdiMes" localSheetId="7">#REF!</definedName>
    <definedName name="TxCdiMes" localSheetId="3">#REF!</definedName>
    <definedName name="TxCdiMes">#REF!</definedName>
    <definedName name="TxDescMes" localSheetId="7">#REF!</definedName>
    <definedName name="TxDescMes" localSheetId="3">#REF!</definedName>
    <definedName name="TxDescMes">#REF!</definedName>
    <definedName name="TxSecuritizacaoMes" localSheetId="7">#REF!</definedName>
    <definedName name="TxSecuritizacaoMes" localSheetId="3">#REF!</definedName>
    <definedName name="TxSecuritizacaoMes">#REF!</definedName>
    <definedName name="TxSfhEco" localSheetId="7">#REF!</definedName>
    <definedName name="TxSfhEco" localSheetId="3">#REF!</definedName>
    <definedName name="TxSfhEco">#REF!</definedName>
    <definedName name="TxSfhMap" localSheetId="7">#REF!</definedName>
    <definedName name="TxSfhMap" localSheetId="3">#REF!</definedName>
    <definedName name="TxSfhMap">#REF!</definedName>
    <definedName name="TXTEQUIP" localSheetId="7">#REF!</definedName>
    <definedName name="TXTEQUIP" localSheetId="3">#REF!</definedName>
    <definedName name="TXTEQUIP">#REF!</definedName>
    <definedName name="TXTMARCA" localSheetId="7">#REF!</definedName>
    <definedName name="TXTMARCA" localSheetId="3">#REF!</definedName>
    <definedName name="TXTMARCA">#REF!</definedName>
    <definedName name="TXTMOD" localSheetId="7">#REF!</definedName>
    <definedName name="TXTMOD" localSheetId="3">#REF!</definedName>
    <definedName name="TXTMOD">#REF!</definedName>
    <definedName name="TXTPOT" localSheetId="7">#REF!</definedName>
    <definedName name="TXTPOT" localSheetId="3">#REF!</definedName>
    <definedName name="TXTPOT">#REF!</definedName>
    <definedName name="TYHGFHFHG" localSheetId="24" hidden="1">{#N/A,#N/A,FALSE,"Plan1";#N/A,#N/A,FALSE,"Plan2"}</definedName>
    <definedName name="TYHGFHFHG" localSheetId="7" hidden="1">{#N/A,#N/A,FALSE,"Plan1";#N/A,#N/A,FALSE,"Plan2"}</definedName>
    <definedName name="TYHGFHFHG" localSheetId="9" hidden="1">{#N/A,#N/A,FALSE,"Plan1";#N/A,#N/A,FALSE,"Plan2"}</definedName>
    <definedName name="TYHGFHFHG" localSheetId="3" hidden="1">{#N/A,#N/A,FALSE,"Plan1";#N/A,#N/A,FALSE,"Plan2"}</definedName>
    <definedName name="TYHGFHFHG" localSheetId="2" hidden="1">{#N/A,#N/A,FALSE,"Plan1";#N/A,#N/A,FALSE,"Plan2"}</definedName>
    <definedName name="TYHGFHFHG" localSheetId="16" hidden="1">{#N/A,#N/A,FALSE,"Plan1";#N/A,#N/A,FALSE,"Plan2"}</definedName>
    <definedName name="TYHGFHFHG" localSheetId="0" hidden="1">{#N/A,#N/A,FALSE,"Plan1";#N/A,#N/A,FALSE,"Plan2"}</definedName>
    <definedName name="TYHGFHFHG" localSheetId="26" hidden="1">{#N/A,#N/A,FALSE,"Plan1";#N/A,#N/A,FALSE,"Plan2"}</definedName>
    <definedName name="TYHGFHFHG" localSheetId="11" hidden="1">{#N/A,#N/A,FALSE,"Plan1";#N/A,#N/A,FALSE,"Plan2"}</definedName>
    <definedName name="TYHGFHFHG" hidden="1">{#N/A,#N/A,FALSE,"Plan1";#N/A,#N/A,FALSE,"Plan2"}</definedName>
    <definedName name="u" localSheetId="6">{#N/A,#N/A,FALSE,"ET-CAPA";#N/A,#N/A,FALSE,"ET-PAG1";#N/A,#N/A,FALSE,"ET-PAG2";#N/A,#N/A,FALSE,"ET-PAG3";#N/A,#N/A,FALSE,"ET-PAG4";#N/A,#N/A,FALSE,"ET-PAG5"}</definedName>
    <definedName name="u" localSheetId="24" hidden="1">{#N/A,#N/A,FALSE,"ET-CAPA";#N/A,#N/A,FALSE,"ET-PAG1";#N/A,#N/A,FALSE,"ET-PAG2";#N/A,#N/A,FALSE,"ET-PAG3";#N/A,#N/A,FALSE,"ET-PAG4";#N/A,#N/A,FALSE,"ET-PAG5"}</definedName>
    <definedName name="u" localSheetId="7">{#N/A,#N/A,FALSE,"ET-CAPA";#N/A,#N/A,FALSE,"ET-PAG1";#N/A,#N/A,FALSE,"ET-PAG2";#N/A,#N/A,FALSE,"ET-PAG3";#N/A,#N/A,FALSE,"ET-PAG4";#N/A,#N/A,FALSE,"ET-PAG5"}</definedName>
    <definedName name="u" localSheetId="5">{#N/A,#N/A,FALSE,"ET-CAPA";#N/A,#N/A,FALSE,"ET-PAG1";#N/A,#N/A,FALSE,"ET-PAG2";#N/A,#N/A,FALSE,"ET-PAG3";#N/A,#N/A,FALSE,"ET-PAG4";#N/A,#N/A,FALSE,"ET-PAG5"}</definedName>
    <definedName name="u" localSheetId="9">{#N/A,#N/A,FALSE,"ET-CAPA";#N/A,#N/A,FALSE,"ET-PAG1";#N/A,#N/A,FALSE,"ET-PAG2";#N/A,#N/A,FALSE,"ET-PAG3";#N/A,#N/A,FALSE,"ET-PAG4";#N/A,#N/A,FALSE,"ET-PAG5"}</definedName>
    <definedName name="u" localSheetId="3" hidden="1">{#N/A,#N/A,FALSE,"ET-CAPA";#N/A,#N/A,FALSE,"ET-PAG1";#N/A,#N/A,FALSE,"ET-PAG2";#N/A,#N/A,FALSE,"ET-PAG3";#N/A,#N/A,FALSE,"ET-PAG4";#N/A,#N/A,FALSE,"ET-PAG5"}</definedName>
    <definedName name="u" localSheetId="2" hidden="1">{#N/A,#N/A,FALSE,"ET-CAPA";#N/A,#N/A,FALSE,"ET-PAG1";#N/A,#N/A,FALSE,"ET-PAG2";#N/A,#N/A,FALSE,"ET-PAG3";#N/A,#N/A,FALSE,"ET-PAG4";#N/A,#N/A,FALSE,"ET-PAG5"}</definedName>
    <definedName name="u" localSheetId="16" hidden="1">{#N/A,#N/A,FALSE,"ET-CAPA";#N/A,#N/A,FALSE,"ET-PAG1";#N/A,#N/A,FALSE,"ET-PAG2";#N/A,#N/A,FALSE,"ET-PAG3";#N/A,#N/A,FALSE,"ET-PAG4";#N/A,#N/A,FALSE,"ET-PAG5"}</definedName>
    <definedName name="u" localSheetId="0" hidden="1">{#N/A,#N/A,FALSE,"ET-CAPA";#N/A,#N/A,FALSE,"ET-PAG1";#N/A,#N/A,FALSE,"ET-PAG2";#N/A,#N/A,FALSE,"ET-PAG3";#N/A,#N/A,FALSE,"ET-PAG4";#N/A,#N/A,FALSE,"ET-PAG5"}</definedName>
    <definedName name="u" localSheetId="26" hidden="1">{#N/A,#N/A,FALSE,"ET-CAPA";#N/A,#N/A,FALSE,"ET-PAG1";#N/A,#N/A,FALSE,"ET-PAG2";#N/A,#N/A,FALSE,"ET-PAG3";#N/A,#N/A,FALSE,"ET-PAG4";#N/A,#N/A,FALSE,"ET-PAG5"}</definedName>
    <definedName name="u" localSheetId="11" hidden="1">{#N/A,#N/A,FALSE,"ET-CAPA";#N/A,#N/A,FALSE,"ET-PAG1";#N/A,#N/A,FALSE,"ET-PAG2";#N/A,#N/A,FALSE,"ET-PAG3";#N/A,#N/A,FALSE,"ET-PAG4";#N/A,#N/A,FALSE,"ET-PAG5"}</definedName>
    <definedName name="u" hidden="1">{#N/A,#N/A,FALSE,"ET-CAPA";#N/A,#N/A,FALSE,"ET-PAG1";#N/A,#N/A,FALSE,"ET-PAG2";#N/A,#N/A,FALSE,"ET-PAG3";#N/A,#N/A,FALSE,"ET-PAG4";#N/A,#N/A,FALSE,"ET-PAG5"}</definedName>
    <definedName name="udhgfhfg" localSheetId="24" hidden="1">{#N/A,#N/A,FALSE,"Plan1";#N/A,#N/A,FALSE,"Plan2"}</definedName>
    <definedName name="udhgfhfg" localSheetId="7" hidden="1">{#N/A,#N/A,FALSE,"Plan1";#N/A,#N/A,FALSE,"Plan2"}</definedName>
    <definedName name="udhgfhfg" localSheetId="9" hidden="1">{#N/A,#N/A,FALSE,"Plan1";#N/A,#N/A,FALSE,"Plan2"}</definedName>
    <definedName name="udhgfhfg" localSheetId="3" hidden="1">{#N/A,#N/A,FALSE,"Plan1";#N/A,#N/A,FALSE,"Plan2"}</definedName>
    <definedName name="udhgfhfg" localSheetId="2" hidden="1">{#N/A,#N/A,FALSE,"Plan1";#N/A,#N/A,FALSE,"Plan2"}</definedName>
    <definedName name="udhgfhfg" localSheetId="16" hidden="1">{#N/A,#N/A,FALSE,"Plan1";#N/A,#N/A,FALSE,"Plan2"}</definedName>
    <definedName name="udhgfhfg" localSheetId="0" hidden="1">{#N/A,#N/A,FALSE,"Plan1";#N/A,#N/A,FALSE,"Plan2"}</definedName>
    <definedName name="udhgfhfg" localSheetId="26" hidden="1">{#N/A,#N/A,FALSE,"Plan1";#N/A,#N/A,FALSE,"Plan2"}</definedName>
    <definedName name="udhgfhfg" localSheetId="11" hidden="1">{#N/A,#N/A,FALSE,"Plan1";#N/A,#N/A,FALSE,"Plan2"}</definedName>
    <definedName name="udhgfhfg" hidden="1">{#N/A,#N/A,FALSE,"Plan1";#N/A,#N/A,FALSE,"Plan2"}</definedName>
    <definedName name="ueiutriuef" localSheetId="24" hidden="1">{#N/A,#N/A,FALSE,"Plan1";#N/A,#N/A,FALSE,"Plan2"}</definedName>
    <definedName name="ueiutriuef" localSheetId="7" hidden="1">{#N/A,#N/A,FALSE,"Plan1";#N/A,#N/A,FALSE,"Plan2"}</definedName>
    <definedName name="ueiutriuef" localSheetId="9" hidden="1">{#N/A,#N/A,FALSE,"Plan1";#N/A,#N/A,FALSE,"Plan2"}</definedName>
    <definedName name="ueiutriuef" localSheetId="3" hidden="1">{#N/A,#N/A,FALSE,"Plan1";#N/A,#N/A,FALSE,"Plan2"}</definedName>
    <definedName name="ueiutriuef" localSheetId="2" hidden="1">{#N/A,#N/A,FALSE,"Plan1";#N/A,#N/A,FALSE,"Plan2"}</definedName>
    <definedName name="ueiutriuef" localSheetId="16" hidden="1">{#N/A,#N/A,FALSE,"Plan1";#N/A,#N/A,FALSE,"Plan2"}</definedName>
    <definedName name="ueiutriuef" localSheetId="0" hidden="1">{#N/A,#N/A,FALSE,"Plan1";#N/A,#N/A,FALSE,"Plan2"}</definedName>
    <definedName name="ueiutriuef" localSheetId="26" hidden="1">{#N/A,#N/A,FALSE,"Plan1";#N/A,#N/A,FALSE,"Plan2"}</definedName>
    <definedName name="ueiutriuef" localSheetId="11" hidden="1">{#N/A,#N/A,FALSE,"Plan1";#N/A,#N/A,FALSE,"Plan2"}</definedName>
    <definedName name="ueiutriuef" hidden="1">{#N/A,#N/A,FALSE,"Plan1";#N/A,#N/A,FALSE,"Plan2"}</definedName>
    <definedName name="UENSIT" localSheetId="24">#REF!</definedName>
    <definedName name="UENSIT" localSheetId="7">#REF!</definedName>
    <definedName name="UENSIT" localSheetId="3">#REF!</definedName>
    <definedName name="UENSIT" localSheetId="26">#REF!</definedName>
    <definedName name="UENSIT">#REF!</definedName>
    <definedName name="UENSITS" localSheetId="7">#REF!</definedName>
    <definedName name="UENSITS" localSheetId="3">#REF!</definedName>
    <definedName name="UENSITS">#REF!</definedName>
    <definedName name="UHGSDUS" localSheetId="24" hidden="1">{#N/A,#N/A,FALSE,"Plan1";#N/A,#N/A,FALSE,"Plan2"}</definedName>
    <definedName name="UHGSDUS" localSheetId="7" hidden="1">{#N/A,#N/A,FALSE,"Plan1";#N/A,#N/A,FALSE,"Plan2"}</definedName>
    <definedName name="UHGSDUS" localSheetId="9" hidden="1">{#N/A,#N/A,FALSE,"Plan1";#N/A,#N/A,FALSE,"Plan2"}</definedName>
    <definedName name="UHGSDUS" localSheetId="3" hidden="1">{#N/A,#N/A,FALSE,"Plan1";#N/A,#N/A,FALSE,"Plan2"}</definedName>
    <definedName name="UHGSDUS" localSheetId="2" hidden="1">{#N/A,#N/A,FALSE,"Plan1";#N/A,#N/A,FALSE,"Plan2"}</definedName>
    <definedName name="UHGSDUS" localSheetId="16" hidden="1">{#N/A,#N/A,FALSE,"Plan1";#N/A,#N/A,FALSE,"Plan2"}</definedName>
    <definedName name="UHGSDUS" localSheetId="0" hidden="1">{#N/A,#N/A,FALSE,"Plan1";#N/A,#N/A,FALSE,"Plan2"}</definedName>
    <definedName name="UHGSDUS" localSheetId="26" hidden="1">{#N/A,#N/A,FALSE,"Plan1";#N/A,#N/A,FALSE,"Plan2"}</definedName>
    <definedName name="UHGSDUS" localSheetId="11" hidden="1">{#N/A,#N/A,FALSE,"Plan1";#N/A,#N/A,FALSE,"Plan2"}</definedName>
    <definedName name="UHGSDUS" hidden="1">{#N/A,#N/A,FALSE,"Plan1";#N/A,#N/A,FALSE,"Plan2"}</definedName>
    <definedName name="UI" localSheetId="7" hidden="1">#REF!</definedName>
    <definedName name="UI" localSheetId="3" hidden="1">#REF!</definedName>
    <definedName name="UI" localSheetId="0" hidden="1">#REF!</definedName>
    <definedName name="UI" hidden="1">#REF!</definedName>
    <definedName name="UIHWER45R" localSheetId="24" hidden="1">{#N/A,#N/A,FALSE,"Plan1";#N/A,#N/A,FALSE,"Plan2"}</definedName>
    <definedName name="UIHWER45R" localSheetId="7" hidden="1">{#N/A,#N/A,FALSE,"Plan1";#N/A,#N/A,FALSE,"Plan2"}</definedName>
    <definedName name="UIHWER45R" localSheetId="9" hidden="1">{#N/A,#N/A,FALSE,"Plan1";#N/A,#N/A,FALSE,"Plan2"}</definedName>
    <definedName name="UIHWER45R" localSheetId="3" hidden="1">{#N/A,#N/A,FALSE,"Plan1";#N/A,#N/A,FALSE,"Plan2"}</definedName>
    <definedName name="UIHWER45R" localSheetId="2" hidden="1">{#N/A,#N/A,FALSE,"Plan1";#N/A,#N/A,FALSE,"Plan2"}</definedName>
    <definedName name="UIHWER45R" localSheetId="16" hidden="1">{#N/A,#N/A,FALSE,"Plan1";#N/A,#N/A,FALSE,"Plan2"}</definedName>
    <definedName name="UIHWER45R" localSheetId="0" hidden="1">{#N/A,#N/A,FALSE,"Plan1";#N/A,#N/A,FALSE,"Plan2"}</definedName>
    <definedName name="UIHWER45R" localSheetId="26" hidden="1">{#N/A,#N/A,FALSE,"Plan1";#N/A,#N/A,FALSE,"Plan2"}</definedName>
    <definedName name="UIHWER45R" localSheetId="11" hidden="1">{#N/A,#N/A,FALSE,"Plan1";#N/A,#N/A,FALSE,"Plan2"}</definedName>
    <definedName name="UIHWER45R" hidden="1">{#N/A,#N/A,FALSE,"Plan1";#N/A,#N/A,FALSE,"Plan2"}</definedName>
    <definedName name="uiosderuiu" localSheetId="24" hidden="1">{#N/A,#N/A,FALSE,"Plan1";#N/A,#N/A,FALSE,"Plan2"}</definedName>
    <definedName name="uiosderuiu" localSheetId="7" hidden="1">{#N/A,#N/A,FALSE,"Plan1";#N/A,#N/A,FALSE,"Plan2"}</definedName>
    <definedName name="uiosderuiu" localSheetId="9" hidden="1">{#N/A,#N/A,FALSE,"Plan1";#N/A,#N/A,FALSE,"Plan2"}</definedName>
    <definedName name="uiosderuiu" localSheetId="3" hidden="1">{#N/A,#N/A,FALSE,"Plan1";#N/A,#N/A,FALSE,"Plan2"}</definedName>
    <definedName name="uiosderuiu" localSheetId="2" hidden="1">{#N/A,#N/A,FALSE,"Plan1";#N/A,#N/A,FALSE,"Plan2"}</definedName>
    <definedName name="uiosderuiu" localSheetId="16" hidden="1">{#N/A,#N/A,FALSE,"Plan1";#N/A,#N/A,FALSE,"Plan2"}</definedName>
    <definedName name="uiosderuiu" localSheetId="0" hidden="1">{#N/A,#N/A,FALSE,"Plan1";#N/A,#N/A,FALSE,"Plan2"}</definedName>
    <definedName name="uiosderuiu" localSheetId="26" hidden="1">{#N/A,#N/A,FALSE,"Plan1";#N/A,#N/A,FALSE,"Plan2"}</definedName>
    <definedName name="uiosderuiu" localSheetId="11" hidden="1">{#N/A,#N/A,FALSE,"Plan1";#N/A,#N/A,FALSE,"Plan2"}</definedName>
    <definedName name="uiosderuiu" hidden="1">{#N/A,#N/A,FALSE,"Plan1";#N/A,#N/A,FALSE,"Plan2"}</definedName>
    <definedName name="UIOURET" localSheetId="24" hidden="1">{#N/A,#N/A,FALSE,"Plan1";#N/A,#N/A,FALSE,"Plan2"}</definedName>
    <definedName name="UIOURET" localSheetId="7" hidden="1">{#N/A,#N/A,FALSE,"Plan1";#N/A,#N/A,FALSE,"Plan2"}</definedName>
    <definedName name="UIOURET" localSheetId="9" hidden="1">{#N/A,#N/A,FALSE,"Plan1";#N/A,#N/A,FALSE,"Plan2"}</definedName>
    <definedName name="UIOURET" localSheetId="3" hidden="1">{#N/A,#N/A,FALSE,"Plan1";#N/A,#N/A,FALSE,"Plan2"}</definedName>
    <definedName name="UIOURET" localSheetId="2" hidden="1">{#N/A,#N/A,FALSE,"Plan1";#N/A,#N/A,FALSE,"Plan2"}</definedName>
    <definedName name="UIOURET" localSheetId="16" hidden="1">{#N/A,#N/A,FALSE,"Plan1";#N/A,#N/A,FALSE,"Plan2"}</definedName>
    <definedName name="UIOURET" localSheetId="0" hidden="1">{#N/A,#N/A,FALSE,"Plan1";#N/A,#N/A,FALSE,"Plan2"}</definedName>
    <definedName name="UIOURET" localSheetId="26" hidden="1">{#N/A,#N/A,FALSE,"Plan1";#N/A,#N/A,FALSE,"Plan2"}</definedName>
    <definedName name="UIOURET" localSheetId="11" hidden="1">{#N/A,#N/A,FALSE,"Plan1";#N/A,#N/A,FALSE,"Plan2"}</definedName>
    <definedName name="UIOURET" hidden="1">{#N/A,#N/A,FALSE,"Plan1";#N/A,#N/A,FALSE,"Plan2"}</definedName>
    <definedName name="uiwuer" localSheetId="24" hidden="1">{#N/A,#N/A,FALSE,"Plan1";#N/A,#N/A,FALSE,"Plan2"}</definedName>
    <definedName name="uiwuer" localSheetId="7" hidden="1">{#N/A,#N/A,FALSE,"Plan1";#N/A,#N/A,FALSE,"Plan2"}</definedName>
    <definedName name="uiwuer" localSheetId="9" hidden="1">{#N/A,#N/A,FALSE,"Plan1";#N/A,#N/A,FALSE,"Plan2"}</definedName>
    <definedName name="uiwuer" localSheetId="3" hidden="1">{#N/A,#N/A,FALSE,"Plan1";#N/A,#N/A,FALSE,"Plan2"}</definedName>
    <definedName name="uiwuer" localSheetId="2" hidden="1">{#N/A,#N/A,FALSE,"Plan1";#N/A,#N/A,FALSE,"Plan2"}</definedName>
    <definedName name="uiwuer" localSheetId="16" hidden="1">{#N/A,#N/A,FALSE,"Plan1";#N/A,#N/A,FALSE,"Plan2"}</definedName>
    <definedName name="uiwuer" localSheetId="0" hidden="1">{#N/A,#N/A,FALSE,"Plan1";#N/A,#N/A,FALSE,"Plan2"}</definedName>
    <definedName name="uiwuer" localSheetId="26" hidden="1">{#N/A,#N/A,FALSE,"Plan1";#N/A,#N/A,FALSE,"Plan2"}</definedName>
    <definedName name="uiwuer" localSheetId="11" hidden="1">{#N/A,#N/A,FALSE,"Plan1";#N/A,#N/A,FALSE,"Plan2"}</definedName>
    <definedName name="uiwuer" hidden="1">{#N/A,#N/A,FALSE,"Plan1";#N/A,#N/A,FALSE,"Plan2"}</definedName>
    <definedName name="UKHDFDSGUDFKD" localSheetId="24" hidden="1">{#N/A,#N/A,FALSE,"Plan1";#N/A,#N/A,FALSE,"Plan2"}</definedName>
    <definedName name="UKHDFDSGUDFKD" localSheetId="7" hidden="1">{#N/A,#N/A,FALSE,"Plan1";#N/A,#N/A,FALSE,"Plan2"}</definedName>
    <definedName name="UKHDFDSGUDFKD" localSheetId="9" hidden="1">{#N/A,#N/A,FALSE,"Plan1";#N/A,#N/A,FALSE,"Plan2"}</definedName>
    <definedName name="UKHDFDSGUDFKD" localSheetId="3" hidden="1">{#N/A,#N/A,FALSE,"Plan1";#N/A,#N/A,FALSE,"Plan2"}</definedName>
    <definedName name="UKHDFDSGUDFKD" localSheetId="2" hidden="1">{#N/A,#N/A,FALSE,"Plan1";#N/A,#N/A,FALSE,"Plan2"}</definedName>
    <definedName name="UKHDFDSGUDFKD" localSheetId="16" hidden="1">{#N/A,#N/A,FALSE,"Plan1";#N/A,#N/A,FALSE,"Plan2"}</definedName>
    <definedName name="UKHDFDSGUDFKD" localSheetId="0" hidden="1">{#N/A,#N/A,FALSE,"Plan1";#N/A,#N/A,FALSE,"Plan2"}</definedName>
    <definedName name="UKHDFDSGUDFKD" localSheetId="26" hidden="1">{#N/A,#N/A,FALSE,"Plan1";#N/A,#N/A,FALSE,"Plan2"}</definedName>
    <definedName name="UKHDFDSGUDFKD" localSheetId="11" hidden="1">{#N/A,#N/A,FALSE,"Plan1";#N/A,#N/A,FALSE,"Plan2"}</definedName>
    <definedName name="UKHDFDSGUDFKD" hidden="1">{#N/A,#N/A,FALSE,"Plan1";#N/A,#N/A,FALSE,"Plan2"}</definedName>
    <definedName name="um" localSheetId="7" hidden="1">0</definedName>
    <definedName name="um" localSheetId="9" hidden="1">0</definedName>
    <definedName name="UM" localSheetId="3">#REF!</definedName>
    <definedName name="um" localSheetId="0" hidden="1">0</definedName>
    <definedName name="UM" localSheetId="26">#REF!</definedName>
    <definedName name="UM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" localSheetId="7">OFFSET(#REF!,0,0,COUNTA(#REF!),1)</definedName>
    <definedName name="UNID" localSheetId="3">OFFSET(#REF!,0,0,COUNTA(#REF!),1)</definedName>
    <definedName name="UNID">OFFSET(#REF!,0,0,COUNTA(#REF!),1)</definedName>
    <definedName name="unit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 localSheetId="24">#REF!</definedName>
    <definedName name="univ_cdi" localSheetId="7">#REF!</definedName>
    <definedName name="univ_cdi" localSheetId="3">#REF!</definedName>
    <definedName name="univ_cdi" localSheetId="26">#REF!</definedName>
    <definedName name="univ_cdi">#REF!</definedName>
    <definedName name="univ_hist" localSheetId="7">#REF!</definedName>
    <definedName name="univ_hist" localSheetId="3">#REF!</definedName>
    <definedName name="univ_hist">#REF!</definedName>
    <definedName name="univ_uss" localSheetId="7">#REF!</definedName>
    <definedName name="univ_uss" localSheetId="3">#REF!</definedName>
    <definedName name="univ_uss">#REF!</definedName>
    <definedName name="UPS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localSheetId="24" hidden="1">{#N/A,#N/A,FALSE,"Plan1";#N/A,#N/A,FALSE,"Plan2"}</definedName>
    <definedName name="uryrtyt" localSheetId="7" hidden="1">{#N/A,#N/A,FALSE,"Plan1";#N/A,#N/A,FALSE,"Plan2"}</definedName>
    <definedName name="uryrtyt" localSheetId="9" hidden="1">{#N/A,#N/A,FALSE,"Plan1";#N/A,#N/A,FALSE,"Plan2"}</definedName>
    <definedName name="uryrtyt" localSheetId="3" hidden="1">{#N/A,#N/A,FALSE,"Plan1";#N/A,#N/A,FALSE,"Plan2"}</definedName>
    <definedName name="uryrtyt" localSheetId="2" hidden="1">{#N/A,#N/A,FALSE,"Plan1";#N/A,#N/A,FALSE,"Plan2"}</definedName>
    <definedName name="uryrtyt" localSheetId="16" hidden="1">{#N/A,#N/A,FALSE,"Plan1";#N/A,#N/A,FALSE,"Plan2"}</definedName>
    <definedName name="uryrtyt" localSheetId="0" hidden="1">{#N/A,#N/A,FALSE,"Plan1";#N/A,#N/A,FALSE,"Plan2"}</definedName>
    <definedName name="uryrtyt" localSheetId="26" hidden="1">{#N/A,#N/A,FALSE,"Plan1";#N/A,#N/A,FALSE,"Plan2"}</definedName>
    <definedName name="uryrtyt" localSheetId="11" hidden="1">{#N/A,#N/A,FALSE,"Plan1";#N/A,#N/A,FALSE,"Plan2"}</definedName>
    <definedName name="uryrtyt" hidden="1">{#N/A,#N/A,FALSE,"Plan1";#N/A,#N/A,FALSE,"Plan2"}</definedName>
    <definedName name="V" localSheetId="7">#REF!</definedName>
    <definedName name="V" localSheetId="9">#REF!</definedName>
    <definedName name="V" localSheetId="3">#REF!</definedName>
    <definedName name="V">#REF!</definedName>
    <definedName name="VALIDADE_EXECUÇÃO" localSheetId="7">#REF!</definedName>
    <definedName name="VALIDADE_EXECUÇÃO" localSheetId="3">#REF!</definedName>
    <definedName name="VALIDADE_EXECUÇÃO">#REF!</definedName>
    <definedName name="Valor_PLS_Controladoria" localSheetId="7">#REF!</definedName>
    <definedName name="Valor_PLS_Controladoria" localSheetId="3">#REF!</definedName>
    <definedName name="Valor_PLS_Controladoria">#REF!</definedName>
    <definedName name="Valor_Previsto_Fin_Medições" localSheetId="7">#REF!</definedName>
    <definedName name="Valor_Previsto_Fin_Medições" localSheetId="3">#REF!</definedName>
    <definedName name="Valor_Previsto_Fin_Medições">#REF!</definedName>
    <definedName name="VALOR_REAIS" localSheetId="7">#REF!</definedName>
    <definedName name="VALOR_REAIS" localSheetId="3">#REF!</definedName>
    <definedName name="VALOR_REAIS">#REF!</definedName>
    <definedName name="Valor_Recebido_Fin_Medições" localSheetId="7">#REF!</definedName>
    <definedName name="Valor_Recebido_Fin_Medições" localSheetId="3">#REF!</definedName>
    <definedName name="Valor_Recebido_Fin_Medições">#REF!</definedName>
    <definedName name="Valor_Sienge" localSheetId="7">#REF!</definedName>
    <definedName name="Valor_Sienge" localSheetId="3">#REF!</definedName>
    <definedName name="Valor_Sienge">#REF!</definedName>
    <definedName name="VALOR_VENDA" localSheetId="7">#REF!</definedName>
    <definedName name="VALOR_VENDA" localSheetId="3">#REF!</definedName>
    <definedName name="VALOR_VENDA">#REF!</definedName>
    <definedName name="valores_diferidos" localSheetId="7">#REF!</definedName>
    <definedName name="valores_diferidos" localSheetId="3">#REF!</definedName>
    <definedName name="valores_diferidos">#REF!</definedName>
    <definedName name="valve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 localSheetId="24">#REF!</definedName>
    <definedName name="VAOS" localSheetId="7">#REF!</definedName>
    <definedName name="VAOS" localSheetId="3">#REF!</definedName>
    <definedName name="VAOS" localSheetId="26">#REF!</definedName>
    <definedName name="VAOS">#REF!</definedName>
    <definedName name="vdsgfrhgfr" localSheetId="24" hidden="1">{#N/A,#N/A,FALSE,"Plan1";#N/A,#N/A,FALSE,"Plan2"}</definedName>
    <definedName name="vdsgfrhgfr" localSheetId="7" hidden="1">{#N/A,#N/A,FALSE,"Plan1";#N/A,#N/A,FALSE,"Plan2"}</definedName>
    <definedName name="vdsgfrhgfr" localSheetId="9" hidden="1">{#N/A,#N/A,FALSE,"Plan1";#N/A,#N/A,FALSE,"Plan2"}</definedName>
    <definedName name="vdsgfrhgfr" localSheetId="3" hidden="1">{#N/A,#N/A,FALSE,"Plan1";#N/A,#N/A,FALSE,"Plan2"}</definedName>
    <definedName name="vdsgfrhgfr" localSheetId="2" hidden="1">{#N/A,#N/A,FALSE,"Plan1";#N/A,#N/A,FALSE,"Plan2"}</definedName>
    <definedName name="vdsgfrhgfr" localSheetId="16" hidden="1">{#N/A,#N/A,FALSE,"Plan1";#N/A,#N/A,FALSE,"Plan2"}</definedName>
    <definedName name="vdsgfrhgfr" localSheetId="0" hidden="1">{#N/A,#N/A,FALSE,"Plan1";#N/A,#N/A,FALSE,"Plan2"}</definedName>
    <definedName name="vdsgfrhgfr" localSheetId="26" hidden="1">{#N/A,#N/A,FALSE,"Plan1";#N/A,#N/A,FALSE,"Plan2"}</definedName>
    <definedName name="vdsgfrhgfr" localSheetId="11" hidden="1">{#N/A,#N/A,FALSE,"Plan1";#N/A,#N/A,FALSE,"Plan2"}</definedName>
    <definedName name="vdsgfrhgfr" hidden="1">{#N/A,#N/A,FALSE,"Plan1";#N/A,#N/A,FALSE,"Plan2"}</definedName>
    <definedName name="Veiculos" localSheetId="24">#REF!</definedName>
    <definedName name="Veiculos" localSheetId="7">#REF!</definedName>
    <definedName name="Veiculos" localSheetId="3">#REF!</definedName>
    <definedName name="Veiculos" localSheetId="26">#REF!</definedName>
    <definedName name="Veiculos">#REF!</definedName>
    <definedName name="VENDA_ADOTADA" localSheetId="7">#REF!</definedName>
    <definedName name="VENDA_ADOTADA" localSheetId="3">#REF!</definedName>
    <definedName name="VENDA_ADOTADA">#REF!</definedName>
    <definedName name="VENDAFINAL_R" localSheetId="7">#REF!</definedName>
    <definedName name="VENDAFINAL_R" localSheetId="3">#REF!</definedName>
    <definedName name="VENDAFINAL_R">#REF!</definedName>
    <definedName name="VENDAFINAL_U" localSheetId="7">#REF!</definedName>
    <definedName name="VENDAFINAL_U" localSheetId="3">#REF!</definedName>
    <definedName name="VENDAFINAL_U">#REF!</definedName>
    <definedName name="Vendas" localSheetId="7">#REF!</definedName>
    <definedName name="Vendas" localSheetId="3">#REF!</definedName>
    <definedName name="Vendas">#REF!</definedName>
    <definedName name="vendas_" localSheetId="7">#REF!</definedName>
    <definedName name="vendas_" localSheetId="3">#REF!</definedName>
    <definedName name="vendas_">#REF!</definedName>
    <definedName name="VERIFICAR" localSheetId="24" hidden="1">{#N/A,#N/A,TRUE,"Quinzena 01 à 15-04-98 "}</definedName>
    <definedName name="VERIFICAR" localSheetId="7" hidden="1">{#N/A,#N/A,TRUE,"Quinzena 01 à 15-04-98 "}</definedName>
    <definedName name="VERIFICAR" localSheetId="9" hidden="1">{#N/A,#N/A,TRUE,"Quinzena 01 à 15-04-98 "}</definedName>
    <definedName name="VERIFICAR" localSheetId="3" hidden="1">{#N/A,#N/A,TRUE,"Quinzena 01 à 15-04-98 "}</definedName>
    <definedName name="VERIFICAR" localSheetId="2" hidden="1">{#N/A,#N/A,TRUE,"Quinzena 01 à 15-04-98 "}</definedName>
    <definedName name="VERIFICAR" localSheetId="16" hidden="1">{#N/A,#N/A,TRUE,"Quinzena 01 à 15-04-98 "}</definedName>
    <definedName name="VERIFICAR" localSheetId="0" hidden="1">{#N/A,#N/A,TRUE,"Quinzena 01 à 15-04-98 "}</definedName>
    <definedName name="VERIFICAR" localSheetId="26" hidden="1">{#N/A,#N/A,TRUE,"Quinzena 01 à 15-04-98 "}</definedName>
    <definedName name="VERIFICAR" localSheetId="11" hidden="1">{#N/A,#N/A,TRUE,"Quinzena 01 à 15-04-98 "}</definedName>
    <definedName name="VERIFICAR" hidden="1">{#N/A,#N/A,TRUE,"Quinzena 01 à 15-04-98 "}</definedName>
    <definedName name="versao_estudo" localSheetId="24">#REF!</definedName>
    <definedName name="versao_estudo" localSheetId="7">#REF!</definedName>
    <definedName name="versao_estudo" localSheetId="3">#REF!</definedName>
    <definedName name="versao_estudo" localSheetId="26">#REF!</definedName>
    <definedName name="versao_estudo">#REF!</definedName>
    <definedName name="vfbg" localSheetId="7">#REF!</definedName>
    <definedName name="vfbg" localSheetId="3">#REF!</definedName>
    <definedName name="vfbg">#REF!</definedName>
    <definedName name="vfnijfd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localSheetId="24" hidden="1">{#N/A,#N/A,FALSE,"Plan1";#N/A,#N/A,FALSE,"Plan2"}</definedName>
    <definedName name="VFV" localSheetId="7" hidden="1">{#N/A,#N/A,FALSE,"Plan1";#N/A,#N/A,FALSE,"Plan2"}</definedName>
    <definedName name="VFV" localSheetId="9" hidden="1">{#N/A,#N/A,FALSE,"Plan1";#N/A,#N/A,FALSE,"Plan2"}</definedName>
    <definedName name="VFV" localSheetId="3" hidden="1">{#N/A,#N/A,FALSE,"Plan1";#N/A,#N/A,FALSE,"Plan2"}</definedName>
    <definedName name="VFV" localSheetId="2" hidden="1">{#N/A,#N/A,FALSE,"Plan1";#N/A,#N/A,FALSE,"Plan2"}</definedName>
    <definedName name="VFV" localSheetId="16" hidden="1">{#N/A,#N/A,FALSE,"Plan1";#N/A,#N/A,FALSE,"Plan2"}</definedName>
    <definedName name="VFV" localSheetId="0" hidden="1">{#N/A,#N/A,FALSE,"Plan1";#N/A,#N/A,FALSE,"Plan2"}</definedName>
    <definedName name="VFV" localSheetId="26" hidden="1">{#N/A,#N/A,FALSE,"Plan1";#N/A,#N/A,FALSE,"Plan2"}</definedName>
    <definedName name="VFV" localSheetId="11" hidden="1">{#N/A,#N/A,FALSE,"Plan1";#N/A,#N/A,FALSE,"Plan2"}</definedName>
    <definedName name="VFV" hidden="1">{#N/A,#N/A,FALSE,"Plan1";#N/A,#N/A,FALSE,"Plan2"}</definedName>
    <definedName name="VI" localSheetId="7">#REF!</definedName>
    <definedName name="VI" localSheetId="9">#REF!</definedName>
    <definedName name="VI" localSheetId="3">#REF!</definedName>
    <definedName name="VI">#REF!</definedName>
    <definedName name="VINTE" localSheetId="7">#REF!</definedName>
    <definedName name="VINTE" localSheetId="3">#REF!</definedName>
    <definedName name="VINTE">#REF!</definedName>
    <definedName name="visao_cashflow" localSheetId="7">#REF!</definedName>
    <definedName name="visao_cashflow" localSheetId="3">#REF!</definedName>
    <definedName name="visao_cashflow">#REF!</definedName>
    <definedName name="visao_VL" localSheetId="7">#REF!</definedName>
    <definedName name="visao_VL" localSheetId="3">#REF!</definedName>
    <definedName name="visao_VL">#REF!</definedName>
    <definedName name="vl_cd" localSheetId="7">#REF!</definedName>
    <definedName name="vl_cd" localSheetId="3">#REF!</definedName>
    <definedName name="vl_cd">#REF!</definedName>
    <definedName name="vl_k1" localSheetId="7">#REF!</definedName>
    <definedName name="vl_k1" localSheetId="3">#REF!</definedName>
    <definedName name="vl_k1">#REF!</definedName>
    <definedName name="vl_k2" localSheetId="7">#REF!</definedName>
    <definedName name="vl_k2" localSheetId="3">#REF!</definedName>
    <definedName name="vl_k2">#REF!</definedName>
    <definedName name="vl_k3" localSheetId="7">#REF!</definedName>
    <definedName name="vl_k3" localSheetId="3">#REF!</definedName>
    <definedName name="vl_k3">#REF!</definedName>
    <definedName name="vld_classificacao" localSheetId="24" hidden="1">IF(#REF!="Ativa",OFFSET(INDEX(rng_list_classificacao,MATCH(#REF!,rng_list_classificacao,0)),1,0,COUNTA(rng_list_classificacao)-1),#REF!)</definedName>
    <definedName name="vld_classificacao" localSheetId="7" hidden="1">IF(#REF!="Ativa",OFFSET(INDEX(rng_list_classificacao,MATCH(#REF!,rng_list_classificacao,0)),1,0,COUNTA(rng_list_classificacao)-1),#REF!)</definedName>
    <definedName name="vld_classificacao" localSheetId="9" hidden="1">IF(#REF!="Ativa",OFFSET(INDEX(rng_list_classificacao,MATCH(#REF!,rng_list_classificacao,0)),1,0,COUNTA(rng_list_classificacao)-1),#REF!)</definedName>
    <definedName name="vld_classificacao" localSheetId="3" hidden="1">IF(#REF!="Ativa",OFFSET(INDEX(rng_list_classificacao,MATCH(#REF!,rng_list_classificacao,0)),1,0,COUNTA(rng_list_classificacao)-1),#REF!)</definedName>
    <definedName name="vld_classificacao" localSheetId="2" hidden="1">IF(#REF!="Ativa",OFFSET(INDEX(rng_list_classificacao,MATCH(#REF!,rng_list_classificacao,0)),1,0,COUNTA(rng_list_classificacao)-1),#REF!)</definedName>
    <definedName name="vld_classificacao" localSheetId="17" hidden="1">IF(#REF!="Ativa",OFFSET(INDEX(rng_list_classificacao,MATCH(#REF!,rng_list_classificacao,0)),1,0,COUNTA(rng_list_classificacao)-1),#REF!)</definedName>
    <definedName name="vld_classificacao" localSheetId="16" hidden="1">IF(#REF!="Ativa",OFFSET(INDEX(rng_list_classificacao,MATCH(#REF!,rng_list_classificacao,0)),1,0,COUNTA(rng_list_classificacao)-1),#REF!)</definedName>
    <definedName name="vld_classificacao" localSheetId="0" hidden="1">IF(#REF!="Ativa",OFFSET(INDEX(rng_list_classificacao,MATCH(#REF!,rng_list_classificacao,0)),1,0,COUNTA(rng_list_classificacao)-1),#REF!)</definedName>
    <definedName name="vld_classificacao" localSheetId="26" hidden="1">IF(#REF!="Ativa",OFFSET(INDEX(rng_list_classificacao,MATCH(#REF!,rng_list_classificacao,0)),1,0,COUNTA(rng_list_classificacao)-1),#REF!)</definedName>
    <definedName name="vld_classificacao" localSheetId="11" hidden="1">IF(#REF!="Ativa",OFFSET(INDEX(rng_list_classificacao,MATCH(#REF!,rng_list_classificacao,0)),1,0,COUNTA(rng_list_classificacao)-1),#REF!)</definedName>
    <definedName name="vld_classificacao" hidden="1">IF(#REF!="Ativa",OFFSET(INDEX(rng_list_classificacao,MATCH(#REF!,rng_list_classificacao,0)),1,0,COUNTA(rng_list_classificacao)-1),#REF!)</definedName>
    <definedName name="vld_regional" localSheetId="24" hidden="1">OFFSET(INDEX(rng_list_regional,MATCH(#REF!,rng_list_regional,0)),1,0,COUNTA(rng_list_regional)-1)</definedName>
    <definedName name="vld_regional" localSheetId="7" hidden="1">OFFSET(INDEX(rng_list_regional,MATCH(#REF!,rng_list_regional,0)),1,0,COUNTA(rng_list_regional)-1)</definedName>
    <definedName name="vld_regional" localSheetId="9" hidden="1">OFFSET(INDEX(rng_list_regional,MATCH(#REF!,rng_list_regional,0)),1,0,COUNTA(rng_list_regional)-1)</definedName>
    <definedName name="vld_regional" localSheetId="3" hidden="1">OFFSET(INDEX(rng_list_regional,MATCH(#REF!,rng_list_regional,0)),1,0,COUNTA(rng_list_regional)-1)</definedName>
    <definedName name="vld_regional" localSheetId="2" hidden="1">OFFSET(INDEX(rng_list_regional,MATCH(#REF!,rng_list_regional,0)),1,0,COUNTA(rng_list_regional)-1)</definedName>
    <definedName name="vld_regional" localSheetId="17" hidden="1">OFFSET(INDEX(rng_list_regional,MATCH(#REF!,rng_list_regional,0)),1,0,COUNTA(rng_list_regional)-1)</definedName>
    <definedName name="vld_regional" localSheetId="16" hidden="1">OFFSET(INDEX(rng_list_regional,MATCH(#REF!,rng_list_regional,0)),1,0,COUNTA(rng_list_regional)-1)</definedName>
    <definedName name="vld_regional" localSheetId="0" hidden="1">OFFSET(INDEX(rng_list_regional,MATCH(#REF!,rng_list_regional,0)),1,0,COUNTA(rng_list_regional)-1)</definedName>
    <definedName name="vld_regional" localSheetId="26" hidden="1">OFFSET(INDEX(rng_list_regional,MATCH(#REF!,rng_list_regional,0)),1,0,COUNTA(rng_list_regional)-1)</definedName>
    <definedName name="vld_regional" localSheetId="11" hidden="1">OFFSET(INDEX(rng_list_regional,MATCH(#REF!,rng_list_regional,0)),1,0,COUNTA(rng_list_regional)-1)</definedName>
    <definedName name="vld_regional" hidden="1">OFFSET(INDEX(rng_list_regional,MATCH(#REF!,rng_list_regional,0)),1,0,COUNTA(rng_list_regional)-1)</definedName>
    <definedName name="vld_segmento" localSheetId="24" hidden="1">IF(#REF!="Ativa",OFFSET(INDEX(rng_list_segmento,MATCH(#REF!,rng_list_segmento,0)),1,0,COUNTA(rng_list_segmento)-1),#REF!)</definedName>
    <definedName name="vld_segmento" localSheetId="7" hidden="1">IF(#REF!="Ativa",OFFSET(INDEX(rng_list_segmento,MATCH(#REF!,rng_list_segmento,0)),1,0,COUNTA(rng_list_segmento)-1),#REF!)</definedName>
    <definedName name="vld_segmento" localSheetId="9" hidden="1">IF(#REF!="Ativa",OFFSET(INDEX(rng_list_segmento,MATCH(#REF!,rng_list_segmento,0)),1,0,COUNTA(rng_list_segmento)-1),#REF!)</definedName>
    <definedName name="vld_segmento" localSheetId="3" hidden="1">IF(#REF!="Ativa",OFFSET(INDEX(rng_list_segmento,MATCH(#REF!,rng_list_segmento,0)),1,0,COUNTA(rng_list_segmento)-1),#REF!)</definedName>
    <definedName name="vld_segmento" localSheetId="2" hidden="1">IF(#REF!="Ativa",OFFSET(INDEX(rng_list_segmento,MATCH(#REF!,rng_list_segmento,0)),1,0,COUNTA(rng_list_segmento)-1),#REF!)</definedName>
    <definedName name="vld_segmento" localSheetId="17" hidden="1">IF(#REF!="Ativa",OFFSET(INDEX(rng_list_segmento,MATCH(#REF!,rng_list_segmento,0)),1,0,COUNTA(rng_list_segmento)-1),#REF!)</definedName>
    <definedName name="vld_segmento" localSheetId="16" hidden="1">IF(#REF!="Ativa",OFFSET(INDEX(rng_list_segmento,MATCH(#REF!,rng_list_segmento,0)),1,0,COUNTA(rng_list_segmento)-1),#REF!)</definedName>
    <definedName name="vld_segmento" localSheetId="0" hidden="1">IF(#REF!="Ativa",OFFSET(INDEX(rng_list_segmento,MATCH(#REF!,rng_list_segmento,0)),1,0,COUNTA(rng_list_segmento)-1),#REF!)</definedName>
    <definedName name="vld_segmento" localSheetId="26" hidden="1">IF(#REF!="Ativa",OFFSET(INDEX(rng_list_segmento,MATCH(#REF!,rng_list_segmento,0)),1,0,COUNTA(rng_list_segmento)-1),#REF!)</definedName>
    <definedName name="vld_segmento" localSheetId="11" hidden="1">IF(#REF!="Ativa",OFFSET(INDEX(rng_list_segmento,MATCH(#REF!,rng_list_segmento,0)),1,0,COUNTA(rng_list_segmento)-1),#REF!)</definedName>
    <definedName name="vld_segmento" hidden="1">IF(#REF!="Ativa",OFFSET(INDEX(rng_list_segmento,MATCH(#REF!,rng_list_segmento,0)),1,0,COUNTA(rng_list_segmento)-1),#REF!)</definedName>
    <definedName name="vld_sociedade" localSheetId="24" hidden="1">OFFSET(INDEX(rng_list_sociedade,MATCH(#REF!,rng_list_sociedade,0)),1,0,COUNTA(rng_list_sociedade)-1)</definedName>
    <definedName name="vld_sociedade" localSheetId="7" hidden="1">OFFSET(INDEX(rng_list_sociedade,MATCH(#REF!,rng_list_sociedade,0)),1,0,COUNTA(rng_list_sociedade)-1)</definedName>
    <definedName name="vld_sociedade" localSheetId="9" hidden="1">OFFSET(INDEX(rng_list_sociedade,MATCH(#REF!,rng_list_sociedade,0)),1,0,COUNTA(rng_list_sociedade)-1)</definedName>
    <definedName name="vld_sociedade" localSheetId="3" hidden="1">OFFSET(INDEX(rng_list_sociedade,MATCH(#REF!,rng_list_sociedade,0)),1,0,COUNTA(rng_list_sociedade)-1)</definedName>
    <definedName name="vld_sociedade" localSheetId="2" hidden="1">OFFSET(INDEX(rng_list_sociedade,MATCH(#REF!,rng_list_sociedade,0)),1,0,COUNTA(rng_list_sociedade)-1)</definedName>
    <definedName name="vld_sociedade" localSheetId="17" hidden="1">OFFSET(INDEX(rng_list_sociedade,MATCH(#REF!,rng_list_sociedade,0)),1,0,COUNTA(rng_list_sociedade)-1)</definedName>
    <definedName name="vld_sociedade" localSheetId="16" hidden="1">OFFSET(INDEX(rng_list_sociedade,MATCH(#REF!,rng_list_sociedade,0)),1,0,COUNTA(rng_list_sociedade)-1)</definedName>
    <definedName name="vld_sociedade" localSheetId="0" hidden="1">OFFSET(INDEX(rng_list_sociedade,MATCH(#REF!,rng_list_sociedade,0)),1,0,COUNTA(rng_list_sociedade)-1)</definedName>
    <definedName name="vld_sociedade" localSheetId="26" hidden="1">OFFSET(INDEX(rng_list_sociedade,MATCH(#REF!,rng_list_sociedade,0)),1,0,COUNTA(rng_list_sociedade)-1)</definedName>
    <definedName name="vld_sociedade" localSheetId="11" hidden="1">OFFSET(INDEX(rng_list_sociedade,MATCH(#REF!,rng_list_sociedade,0)),1,0,COUNTA(rng_list_sociedade)-1)</definedName>
    <definedName name="vld_sociedade" hidden="1">OFFSET(INDEX(rng_list_sociedade,MATCH(#REF!,rng_list_sociedade,0)),1,0,COUNTA(rng_list_sociedade)-1)</definedName>
    <definedName name="vld_status_empresa" localSheetId="24" hidden="1">OFFSET(INDEX(rng_list_status_empresa,MATCH(#REF!,rng_list_status_empresa,0)),1,0,COUNTA(rng_list_status_empresa)-1)</definedName>
    <definedName name="vld_status_empresa" localSheetId="7" hidden="1">OFFSET(INDEX(rng_list_status_empresa,MATCH(#REF!,rng_list_status_empresa,0)),1,0,COUNTA(rng_list_status_empresa)-1)</definedName>
    <definedName name="vld_status_empresa" localSheetId="9" hidden="1">OFFSET(INDEX(rng_list_status_empresa,MATCH(#REF!,rng_list_status_empresa,0)),1,0,COUNTA(rng_list_status_empresa)-1)</definedName>
    <definedName name="vld_status_empresa" localSheetId="3" hidden="1">OFFSET(INDEX(rng_list_status_empresa,MATCH(#REF!,rng_list_status_empresa,0)),1,0,COUNTA(rng_list_status_empresa)-1)</definedName>
    <definedName name="vld_status_empresa" localSheetId="2" hidden="1">OFFSET(INDEX(rng_list_status_empresa,MATCH(#REF!,rng_list_status_empresa,0)),1,0,COUNTA(rng_list_status_empresa)-1)</definedName>
    <definedName name="vld_status_empresa" localSheetId="17" hidden="1">OFFSET(INDEX(rng_list_status_empresa,MATCH(#REF!,rng_list_status_empresa,0)),1,0,COUNTA(rng_list_status_empresa)-1)</definedName>
    <definedName name="vld_status_empresa" localSheetId="16" hidden="1">OFFSET(INDEX(rng_list_status_empresa,MATCH(#REF!,rng_list_status_empresa,0)),1,0,COUNTA(rng_list_status_empresa)-1)</definedName>
    <definedName name="vld_status_empresa" localSheetId="0" hidden="1">OFFSET(INDEX(rng_list_status_empresa,MATCH(#REF!,rng_list_status_empresa,0)),1,0,COUNTA(rng_list_status_empresa)-1)</definedName>
    <definedName name="vld_status_empresa" localSheetId="26" hidden="1">OFFSET(INDEX(rng_list_status_empresa,MATCH(#REF!,rng_list_status_empresa,0)),1,0,COUNTA(rng_list_status_empresa)-1)</definedName>
    <definedName name="vld_status_empresa" localSheetId="11" hidden="1">OFFSET(INDEX(rng_list_status_empresa,MATCH(#REF!,rng_list_status_empresa,0)),1,0,COUNTA(rng_list_status_empresa)-1)</definedName>
    <definedName name="vld_status_empresa" hidden="1">OFFSET(INDEX(rng_list_status_empresa,MATCH(#REF!,rng_list_status_empresa,0)),1,0,COUNTA(rng_list_status_empresa)-1)</definedName>
    <definedName name="vld_status_lancamento" localSheetId="24" hidden="1">IF(#REF!="Ativa",OFFSET(INDEX(rng_list_status_lancamento,MATCH(#REF!,rng_list_status_lancamento,0)),1,0,COUNTA(rng_list_status_lancamento)-1),#REF!)</definedName>
    <definedName name="vld_status_lancamento" localSheetId="7" hidden="1">IF(#REF!="Ativa",OFFSET(INDEX(rng_list_status_lancamento,MATCH(#REF!,rng_list_status_lancamento,0)),1,0,COUNTA(rng_list_status_lancamento)-1),#REF!)</definedName>
    <definedName name="vld_status_lancamento" localSheetId="9" hidden="1">IF(#REF!="Ativa",OFFSET(INDEX(rng_list_status_lancamento,MATCH(#REF!,rng_list_status_lancamento,0)),1,0,COUNTA(rng_list_status_lancamento)-1),#REF!)</definedName>
    <definedName name="vld_status_lancamento" localSheetId="3" hidden="1">IF(#REF!="Ativa",OFFSET(INDEX(rng_list_status_lancamento,MATCH(#REF!,rng_list_status_lancamento,0)),1,0,COUNTA(rng_list_status_lancamento)-1),#REF!)</definedName>
    <definedName name="vld_status_lancamento" localSheetId="2" hidden="1">IF(#REF!="Ativa",OFFSET(INDEX(rng_list_status_lancamento,MATCH(#REF!,rng_list_status_lancamento,0)),1,0,COUNTA(rng_list_status_lancamento)-1),#REF!)</definedName>
    <definedName name="vld_status_lancamento" localSheetId="17" hidden="1">IF(#REF!="Ativa",OFFSET(INDEX(rng_list_status_lancamento,MATCH(#REF!,rng_list_status_lancamento,0)),1,0,COUNTA(rng_list_status_lancamento)-1),#REF!)</definedName>
    <definedName name="vld_status_lancamento" localSheetId="16" hidden="1">IF(#REF!="Ativa",OFFSET(INDEX(rng_list_status_lancamento,MATCH(#REF!,rng_list_status_lancamento,0)),1,0,COUNTA(rng_list_status_lancamento)-1),#REF!)</definedName>
    <definedName name="vld_status_lancamento" localSheetId="0" hidden="1">IF(#REF!="Ativa",OFFSET(INDEX(rng_list_status_lancamento,MATCH(#REF!,rng_list_status_lancamento,0)),1,0,COUNTA(rng_list_status_lancamento)-1),#REF!)</definedName>
    <definedName name="vld_status_lancamento" localSheetId="26" hidden="1">IF(#REF!="Ativa",OFFSET(INDEX(rng_list_status_lancamento,MATCH(#REF!,rng_list_status_lancamento,0)),1,0,COUNTA(rng_list_status_lancamento)-1),#REF!)</definedName>
    <definedName name="vld_status_lancamento" localSheetId="11" hidden="1">IF(#REF!="Ativa",OFFSET(INDEX(rng_list_status_lancamento,MATCH(#REF!,rng_list_status_lancamento,0)),1,0,COUNTA(rng_list_status_lancamento)-1),#REF!)</definedName>
    <definedName name="vld_status_lancamento" hidden="1">IF(#REF!="Ativa",OFFSET(INDEX(rng_list_status_lancamento,MATCH(#REF!,rng_list_status_lancamento,0)),1,0,COUNTA(rng_list_status_lancamento)-1),#REF!)</definedName>
    <definedName name="vld_status_projeto" localSheetId="24" hidden="1">IF(#REF!="Ativa",OFFSET(INDEX(rng_list_status_projeto,MATCH(#REF!,rng_list_status_projeto,0)),1,0,COUNTA(rng_list_status_projeto)-1),#REF!)</definedName>
    <definedName name="vld_status_projeto" localSheetId="7" hidden="1">IF(#REF!="Ativa",OFFSET(INDEX(rng_list_status_projeto,MATCH(#REF!,rng_list_status_projeto,0)),1,0,COUNTA(rng_list_status_projeto)-1),#REF!)</definedName>
    <definedName name="vld_status_projeto" localSheetId="9" hidden="1">IF(#REF!="Ativa",OFFSET(INDEX(rng_list_status_projeto,MATCH(#REF!,rng_list_status_projeto,0)),1,0,COUNTA(rng_list_status_projeto)-1),#REF!)</definedName>
    <definedName name="vld_status_projeto" localSheetId="3" hidden="1">IF(#REF!="Ativa",OFFSET(INDEX(rng_list_status_projeto,MATCH(#REF!,rng_list_status_projeto,0)),1,0,COUNTA(rng_list_status_projeto)-1),#REF!)</definedName>
    <definedName name="vld_status_projeto" localSheetId="2" hidden="1">IF(#REF!="Ativa",OFFSET(INDEX(rng_list_status_projeto,MATCH(#REF!,rng_list_status_projeto,0)),1,0,COUNTA(rng_list_status_projeto)-1),#REF!)</definedName>
    <definedName name="vld_status_projeto" localSheetId="17" hidden="1">IF(#REF!="Ativa",OFFSET(INDEX(rng_list_status_projeto,MATCH(#REF!,rng_list_status_projeto,0)),1,0,COUNTA(rng_list_status_projeto)-1),#REF!)</definedName>
    <definedName name="vld_status_projeto" localSheetId="16" hidden="1">IF(#REF!="Ativa",OFFSET(INDEX(rng_list_status_projeto,MATCH(#REF!,rng_list_status_projeto,0)),1,0,COUNTA(rng_list_status_projeto)-1),#REF!)</definedName>
    <definedName name="vld_status_projeto" localSheetId="0" hidden="1">IF(#REF!="Ativa",OFFSET(INDEX(rng_list_status_projeto,MATCH(#REF!,rng_list_status_projeto,0)),1,0,COUNTA(rng_list_status_projeto)-1),#REF!)</definedName>
    <definedName name="vld_status_projeto" localSheetId="26" hidden="1">IF(#REF!="Ativa",OFFSET(INDEX(rng_list_status_projeto,MATCH(#REF!,rng_list_status_projeto,0)),1,0,COUNTA(rng_list_status_projeto)-1),#REF!)</definedName>
    <definedName name="vld_status_projeto" localSheetId="11" hidden="1">IF(#REF!="Ativa",OFFSET(INDEX(rng_list_status_projeto,MATCH(#REF!,rng_list_status_projeto,0)),1,0,COUNTA(rng_list_status_projeto)-1),#REF!)</definedName>
    <definedName name="vld_status_projeto" hidden="1">IF(#REF!="Ativa",OFFSET(INDEX(rng_list_status_projeto,MATCH(#REF!,rng_list_status_projeto,0)),1,0,COUNTA(rng_list_status_projeto)-1),#REF!)</definedName>
    <definedName name="vld_status_viabilidade" localSheetId="24" hidden="1">OFFSET(INDEX(rng_list_status_viabilidade,MATCH(#REF!,rng_list_status_viabilidade,0)),1,0,COUNTA(rng_list_status_viabilidade)-1)</definedName>
    <definedName name="vld_status_viabilidade" localSheetId="7" hidden="1">OFFSET(INDEX(rng_list_status_viabilidade,MATCH(#REF!,rng_list_status_viabilidade,0)),1,0,COUNTA(rng_list_status_viabilidade)-1)</definedName>
    <definedName name="vld_status_viabilidade" localSheetId="9" hidden="1">OFFSET(INDEX(rng_list_status_viabilidade,MATCH(#REF!,rng_list_status_viabilidade,0)),1,0,COUNTA(rng_list_status_viabilidade)-1)</definedName>
    <definedName name="vld_status_viabilidade" localSheetId="3" hidden="1">OFFSET(INDEX(rng_list_status_viabilidade,MATCH(#REF!,rng_list_status_viabilidade,0)),1,0,COUNTA(rng_list_status_viabilidade)-1)</definedName>
    <definedName name="vld_status_viabilidade" localSheetId="2" hidden="1">OFFSET(INDEX(rng_list_status_viabilidade,MATCH(#REF!,rng_list_status_viabilidade,0)),1,0,COUNTA(rng_list_status_viabilidade)-1)</definedName>
    <definedName name="vld_status_viabilidade" localSheetId="17" hidden="1">OFFSET(INDEX(rng_list_status_viabilidade,MATCH(#REF!,rng_list_status_viabilidade,0)),1,0,COUNTA(rng_list_status_viabilidade)-1)</definedName>
    <definedName name="vld_status_viabilidade" localSheetId="16" hidden="1">OFFSET(INDEX(rng_list_status_viabilidade,MATCH(#REF!,rng_list_status_viabilidade,0)),1,0,COUNTA(rng_list_status_viabilidade)-1)</definedName>
    <definedName name="vld_status_viabilidade" localSheetId="0" hidden="1">OFFSET(INDEX(rng_list_status_viabilidade,MATCH(#REF!,rng_list_status_viabilidade,0)),1,0,COUNTA(rng_list_status_viabilidade)-1)</definedName>
    <definedName name="vld_status_viabilidade" localSheetId="26" hidden="1">OFFSET(INDEX(rng_list_status_viabilidade,MATCH(#REF!,rng_list_status_viabilidade,0)),1,0,COUNTA(rng_list_status_viabilidade)-1)</definedName>
    <definedName name="vld_status_viabilidade" localSheetId="11" hidden="1">OFFSET(INDEX(rng_list_status_viabilidade,MATCH(#REF!,rng_list_status_viabilidade,0)),1,0,COUNTA(rng_list_status_viabilidade)-1)</definedName>
    <definedName name="vld_status_viabilidade" hidden="1">OFFSET(INDEX(rng_list_status_viabilidade,MATCH(#REF!,rng_list_status_viabilidade,0)),1,0,COUNTA(rng_list_status_viabilidade)-1)</definedName>
    <definedName name="VOLUME1" localSheetId="7">#REF!</definedName>
    <definedName name="VOLUME1" localSheetId="9">#REF!</definedName>
    <definedName name="VOLUME1" localSheetId="3">#REF!</definedName>
    <definedName name="VOLUME1">#REF!</definedName>
    <definedName name="VOLUME2" localSheetId="7">#REF!</definedName>
    <definedName name="VOLUME2" localSheetId="3">#REF!</definedName>
    <definedName name="VOLUME2">#REF!</definedName>
    <definedName name="VOLUME3" localSheetId="7">#REF!</definedName>
    <definedName name="VOLUME3" localSheetId="3">#REF!</definedName>
    <definedName name="VOLUME3">#REF!</definedName>
    <definedName name="VSDHFGDFGR" localSheetId="24" hidden="1">{#N/A,#N/A,FALSE,"Plan1";#N/A,#N/A,FALSE,"Plan2"}</definedName>
    <definedName name="VSDHFGDFGR" localSheetId="7" hidden="1">{#N/A,#N/A,FALSE,"Plan1";#N/A,#N/A,FALSE,"Plan2"}</definedName>
    <definedName name="VSDHFGDFGR" localSheetId="9" hidden="1">{#N/A,#N/A,FALSE,"Plan1";#N/A,#N/A,FALSE,"Plan2"}</definedName>
    <definedName name="VSDHFGDFGR" localSheetId="3" hidden="1">{#N/A,#N/A,FALSE,"Plan1";#N/A,#N/A,FALSE,"Plan2"}</definedName>
    <definedName name="VSDHFGDFGR" localSheetId="2" hidden="1">{#N/A,#N/A,FALSE,"Plan1";#N/A,#N/A,FALSE,"Plan2"}</definedName>
    <definedName name="VSDHFGDFGR" localSheetId="16" hidden="1">{#N/A,#N/A,FALSE,"Plan1";#N/A,#N/A,FALSE,"Plan2"}</definedName>
    <definedName name="VSDHFGDFGR" localSheetId="0" hidden="1">{#N/A,#N/A,FALSE,"Plan1";#N/A,#N/A,FALSE,"Plan2"}</definedName>
    <definedName name="VSDHFGDFGR" localSheetId="26" hidden="1">{#N/A,#N/A,FALSE,"Plan1";#N/A,#N/A,FALSE,"Plan2"}</definedName>
    <definedName name="VSDHFGDFGR" localSheetId="11" hidden="1">{#N/A,#N/A,FALSE,"Plan1";#N/A,#N/A,FALSE,"Plan2"}</definedName>
    <definedName name="VSDHFGDFGR" hidden="1">{#N/A,#N/A,FALSE,"Plan1";#N/A,#N/A,FALSE,"Plan2"}</definedName>
    <definedName name="vvbb" localSheetId="24" hidden="1">{"tabela",#N/A,FALSE,"Tabela";"decoração",#N/A,FALSE,"Decor.";"Informações",#N/A,FALSE,"Inform."}</definedName>
    <definedName name="vvbb" localSheetId="7" hidden="1">{"tabela",#N/A,FALSE,"Tabela";"decoração",#N/A,FALSE,"Decor.";"Informações",#N/A,FALSE,"Inform."}</definedName>
    <definedName name="vvbb" localSheetId="9" hidden="1">{"tabela",#N/A,FALSE,"Tabela";"decoração",#N/A,FALSE,"Decor.";"Informações",#N/A,FALSE,"Inform."}</definedName>
    <definedName name="vvbb" localSheetId="3" hidden="1">{"tabela",#N/A,FALSE,"Tabela";"decoração",#N/A,FALSE,"Decor.";"Informações",#N/A,FALSE,"Inform."}</definedName>
    <definedName name="vvbb" localSheetId="2" hidden="1">{"tabela",#N/A,FALSE,"Tabela";"decoração",#N/A,FALSE,"Decor.";"Informações",#N/A,FALSE,"Inform."}</definedName>
    <definedName name="vvbb" localSheetId="16" hidden="1">{"tabela",#N/A,FALSE,"Tabela";"decoração",#N/A,FALSE,"Decor.";"Informações",#N/A,FALSE,"Inform."}</definedName>
    <definedName name="vvbb" localSheetId="0" hidden="1">{"tabela",#N/A,FALSE,"Tabela";"decoração",#N/A,FALSE,"Decor.";"Informações",#N/A,FALSE,"Inform."}</definedName>
    <definedName name="vvbb" localSheetId="26" hidden="1">{"tabela",#N/A,FALSE,"Tabela";"decoração",#N/A,FALSE,"Decor.";"Informações",#N/A,FALSE,"Inform."}</definedName>
    <definedName name="vvbb" localSheetId="11" hidden="1">{"tabela",#N/A,FALSE,"Tabela";"decoração",#N/A,FALSE,"Decor.";"Informações",#N/A,FALSE,"Inform."}</definedName>
    <definedName name="vvbb" hidden="1">{"tabela",#N/A,FALSE,"Tabela";"decoração",#N/A,FALSE,"Decor.";"Informações",#N/A,FALSE,"Inform."}</definedName>
    <definedName name="vvcbnb" localSheetId="24" hidden="1">{#N/A,#N/A,FALSE,"Plan1";#N/A,#N/A,FALSE,"Plan2"}</definedName>
    <definedName name="vvcbnb" localSheetId="7" hidden="1">{#N/A,#N/A,FALSE,"Plan1";#N/A,#N/A,FALSE,"Plan2"}</definedName>
    <definedName name="vvcbnb" localSheetId="9" hidden="1">{#N/A,#N/A,FALSE,"Plan1";#N/A,#N/A,FALSE,"Plan2"}</definedName>
    <definedName name="vvcbnb" localSheetId="3" hidden="1">{#N/A,#N/A,FALSE,"Plan1";#N/A,#N/A,FALSE,"Plan2"}</definedName>
    <definedName name="vvcbnb" localSheetId="2" hidden="1">{#N/A,#N/A,FALSE,"Plan1";#N/A,#N/A,FALSE,"Plan2"}</definedName>
    <definedName name="vvcbnb" localSheetId="16" hidden="1">{#N/A,#N/A,FALSE,"Plan1";#N/A,#N/A,FALSE,"Plan2"}</definedName>
    <definedName name="vvcbnb" localSheetId="0" hidden="1">{#N/A,#N/A,FALSE,"Plan1";#N/A,#N/A,FALSE,"Plan2"}</definedName>
    <definedName name="vvcbnb" localSheetId="26" hidden="1">{#N/A,#N/A,FALSE,"Plan1";#N/A,#N/A,FALSE,"Plan2"}</definedName>
    <definedName name="vvcbnb" localSheetId="11" hidden="1">{#N/A,#N/A,FALSE,"Plan1";#N/A,#N/A,FALSE,"Plan2"}</definedName>
    <definedName name="vvcbnb" hidden="1">{#N/A,#N/A,FALSE,"Plan1";#N/A,#N/A,FALSE,"Plan2"}</definedName>
    <definedName name="vvvvv" localSheetId="24" hidden="1">{"Econ Consolidado",#N/A,FALSE,"Econ Consol";"Fluxo de Caixa",#N/A,FALSE,"Fluxo Caixa";"Investimentos",#N/A,FALSE,"Investimentos"}</definedName>
    <definedName name="vvvvv" localSheetId="7" hidden="1">{"Econ Consolidado",#N/A,FALSE,"Econ Consol";"Fluxo de Caixa",#N/A,FALSE,"Fluxo Caixa";"Investimentos",#N/A,FALSE,"Investimentos"}</definedName>
    <definedName name="vvvvv" localSheetId="9" hidden="1">{"Econ Consolidado",#N/A,FALSE,"Econ Consol";"Fluxo de Caixa",#N/A,FALSE,"Fluxo Caixa";"Investimentos",#N/A,FALSE,"Investimentos"}</definedName>
    <definedName name="vvvvv" localSheetId="3" hidden="1">{"Econ Consolidado",#N/A,FALSE,"Econ Consol";"Fluxo de Caixa",#N/A,FALSE,"Fluxo Caixa";"Investimentos",#N/A,FALSE,"Investimentos"}</definedName>
    <definedName name="vvvvv" localSheetId="2" hidden="1">{"Econ Consolidado",#N/A,FALSE,"Econ Consol";"Fluxo de Caixa",#N/A,FALSE,"Fluxo Caixa";"Investimentos",#N/A,FALSE,"Investimentos"}</definedName>
    <definedName name="vvvvv" localSheetId="16" hidden="1">{"Econ Consolidado",#N/A,FALSE,"Econ Consol";"Fluxo de Caixa",#N/A,FALSE,"Fluxo Caixa";"Investimentos",#N/A,FALSE,"Investimentos"}</definedName>
    <definedName name="vvvvv" localSheetId="0" hidden="1">{"Econ Consolidado",#N/A,FALSE,"Econ Consol";"Fluxo de Caixa",#N/A,FALSE,"Fluxo Caixa";"Investimentos",#N/A,FALSE,"Investimentos"}</definedName>
    <definedName name="vvvvv" localSheetId="26" hidden="1">{"Econ Consolidado",#N/A,FALSE,"Econ Consol";"Fluxo de Caixa",#N/A,FALSE,"Fluxo Caixa";"Investimentos",#N/A,FALSE,"Investimentos"}</definedName>
    <definedName name="vvvvv" localSheetId="11" hidden="1">{"Econ Consolidado",#N/A,FALSE,"Econ Consol";"Fluxo de Caixa",#N/A,FALSE,"Fluxo Caixa";"Investimentos",#N/A,FALSE,"Investimentos"}</definedName>
    <definedName name="vvvvv" hidden="1">{"Econ Consolidado",#N/A,FALSE,"Econ Consol";"Fluxo de Caixa",#N/A,FALSE,"Fluxo Caixa";"Investimentos",#N/A,FALSE,"Investimentos"}</definedName>
    <definedName name="vvvvvv" localSheetId="24" hidden="1">{#N/A,#N/A,FALSE,"Plan1";#N/A,#N/A,FALSE,"Plan2"}</definedName>
    <definedName name="vvvvvv" localSheetId="7" hidden="1">{#N/A,#N/A,FALSE,"Plan1";#N/A,#N/A,FALSE,"Plan2"}</definedName>
    <definedName name="vvvvvv" localSheetId="9" hidden="1">{#N/A,#N/A,FALSE,"Plan1";#N/A,#N/A,FALSE,"Plan2"}</definedName>
    <definedName name="vvvvvv" localSheetId="3" hidden="1">{#N/A,#N/A,FALSE,"Plan1";#N/A,#N/A,FALSE,"Plan2"}</definedName>
    <definedName name="vvvvvv" localSheetId="2" hidden="1">{#N/A,#N/A,FALSE,"Plan1";#N/A,#N/A,FALSE,"Plan2"}</definedName>
    <definedName name="vvvvvv" localSheetId="16" hidden="1">{#N/A,#N/A,FALSE,"Plan1";#N/A,#N/A,FALSE,"Plan2"}</definedName>
    <definedName name="vvvvvv" localSheetId="0" hidden="1">{#N/A,#N/A,FALSE,"Plan1";#N/A,#N/A,FALSE,"Plan2"}</definedName>
    <definedName name="vvvvvv" localSheetId="26" hidden="1">{#N/A,#N/A,FALSE,"Plan1";#N/A,#N/A,FALSE,"Plan2"}</definedName>
    <definedName name="vvvvvv" localSheetId="11" hidden="1">{#N/A,#N/A,FALSE,"Plan1";#N/A,#N/A,FALSE,"Plan2"}</definedName>
    <definedName name="vvvvvv" hidden="1">{#N/A,#N/A,FALSE,"Plan1";#N/A,#N/A,FALSE,"Plan2"}</definedName>
    <definedName name="vvvvvvvvvvvvvvvvv" localSheetId="24" hidden="1">{"HW",#N/A,FALSE,"1998"}</definedName>
    <definedName name="vvvvvvvvvvvvvvvvv" localSheetId="7" hidden="1">{"HW",#N/A,FALSE,"1998"}</definedName>
    <definedName name="vvvvvvvvvvvvvvvvv" localSheetId="9" hidden="1">{"HW",#N/A,FALSE,"1998"}</definedName>
    <definedName name="vvvvvvvvvvvvvvvvv" localSheetId="3" hidden="1">{"HW",#N/A,FALSE,"1998"}</definedName>
    <definedName name="vvvvvvvvvvvvvvvvv" localSheetId="2" hidden="1">{"HW",#N/A,FALSE,"1998"}</definedName>
    <definedName name="vvvvvvvvvvvvvvvvv" localSheetId="16" hidden="1">{"HW",#N/A,FALSE,"1998"}</definedName>
    <definedName name="vvvvvvvvvvvvvvvvv" localSheetId="0" hidden="1">{"HW",#N/A,FALSE,"1998"}</definedName>
    <definedName name="vvvvvvvvvvvvvvvvv" localSheetId="26" hidden="1">{"HW",#N/A,FALSE,"1998"}</definedName>
    <definedName name="vvvvvvvvvvvvvvvvv" localSheetId="11" hidden="1">{"HW",#N/A,FALSE,"1998"}</definedName>
    <definedName name="vvvvvvvvvvvvvvvvv" hidden="1">{"HW",#N/A,FALSE,"1998"}</definedName>
    <definedName name="VX" localSheetId="7" hidden="1">#REF!</definedName>
    <definedName name="VX" localSheetId="3" hidden="1">#REF!</definedName>
    <definedName name="VX" localSheetId="0" hidden="1">#REF!</definedName>
    <definedName name="VX" hidden="1">#REF!</definedName>
    <definedName name="w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 localSheetId="3">#REF!</definedName>
    <definedName name="w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>#REF!</definedName>
    <definedName name="wacc" localSheetId="7">#REF!</definedName>
    <definedName name="wacc" localSheetId="9">#REF!</definedName>
    <definedName name="wacc" localSheetId="3">#REF!</definedName>
    <definedName name="wacc">#REF!</definedName>
    <definedName name="wadalrdjlaev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 localSheetId="7" hidden="1">#REF!</definedName>
    <definedName name="wdewr" localSheetId="3" hidden="1">#REF!</definedName>
    <definedName name="wdewr" localSheetId="0" hidden="1">#REF!</definedName>
    <definedName name="wdewr" hidden="1">#REF!</definedName>
    <definedName name="WE" localSheetId="0" hidden="1">#REF!</definedName>
    <definedName name="WE" hidden="1">#REF!</definedName>
    <definedName name="weki_9701.xls" hidden="1">#REF!</definedName>
    <definedName name="wekir9701.xls" hidden="1">#REF!</definedName>
    <definedName name="werw4tr" localSheetId="24" hidden="1">{#N/A,#N/A,FALSE,"Plan1";#N/A,#N/A,FALSE,"Plan2"}</definedName>
    <definedName name="werw4tr" localSheetId="7" hidden="1">{#N/A,#N/A,FALSE,"Plan1";#N/A,#N/A,FALSE,"Plan2"}</definedName>
    <definedName name="werw4tr" localSheetId="9" hidden="1">{#N/A,#N/A,FALSE,"Plan1";#N/A,#N/A,FALSE,"Plan2"}</definedName>
    <definedName name="werw4tr" localSheetId="3" hidden="1">{#N/A,#N/A,FALSE,"Plan1";#N/A,#N/A,FALSE,"Plan2"}</definedName>
    <definedName name="werw4tr" localSheetId="2" hidden="1">{#N/A,#N/A,FALSE,"Plan1";#N/A,#N/A,FALSE,"Plan2"}</definedName>
    <definedName name="werw4tr" localSheetId="16" hidden="1">{#N/A,#N/A,FALSE,"Plan1";#N/A,#N/A,FALSE,"Plan2"}</definedName>
    <definedName name="werw4tr" localSheetId="0" hidden="1">{#N/A,#N/A,FALSE,"Plan1";#N/A,#N/A,FALSE,"Plan2"}</definedName>
    <definedName name="werw4tr" localSheetId="26" hidden="1">{#N/A,#N/A,FALSE,"Plan1";#N/A,#N/A,FALSE,"Plan2"}</definedName>
    <definedName name="werw4tr" localSheetId="11" hidden="1">{#N/A,#N/A,FALSE,"Plan1";#N/A,#N/A,FALSE,"Plan2"}</definedName>
    <definedName name="werw4tr" hidden="1">{#N/A,#N/A,FALSE,"Plan1";#N/A,#N/A,FALSE,"Plan2"}</definedName>
    <definedName name="wetoedjtkdr" localSheetId="24" hidden="1">{#N/A,#N/A,FALSE,"Plan1";#N/A,#N/A,FALSE,"Plan2"}</definedName>
    <definedName name="wetoedjtkdr" localSheetId="7" hidden="1">{#N/A,#N/A,FALSE,"Plan1";#N/A,#N/A,FALSE,"Plan2"}</definedName>
    <definedName name="wetoedjtkdr" localSheetId="9" hidden="1">{#N/A,#N/A,FALSE,"Plan1";#N/A,#N/A,FALSE,"Plan2"}</definedName>
    <definedName name="wetoedjtkdr" localSheetId="3" hidden="1">{#N/A,#N/A,FALSE,"Plan1";#N/A,#N/A,FALSE,"Plan2"}</definedName>
    <definedName name="wetoedjtkdr" localSheetId="2" hidden="1">{#N/A,#N/A,FALSE,"Plan1";#N/A,#N/A,FALSE,"Plan2"}</definedName>
    <definedName name="wetoedjtkdr" localSheetId="16" hidden="1">{#N/A,#N/A,FALSE,"Plan1";#N/A,#N/A,FALSE,"Plan2"}</definedName>
    <definedName name="wetoedjtkdr" localSheetId="0" hidden="1">{#N/A,#N/A,FALSE,"Plan1";#N/A,#N/A,FALSE,"Plan2"}</definedName>
    <definedName name="wetoedjtkdr" localSheetId="26" hidden="1">{#N/A,#N/A,FALSE,"Plan1";#N/A,#N/A,FALSE,"Plan2"}</definedName>
    <definedName name="wetoedjtkdr" localSheetId="11" hidden="1">{#N/A,#N/A,FALSE,"Plan1";#N/A,#N/A,FALSE,"Plan2"}</definedName>
    <definedName name="wetoedjtkdr" hidden="1">{#N/A,#N/A,FALSE,"Plan1";#N/A,#N/A,FALSE,"Plan2"}</definedName>
    <definedName name="WHATS" localSheetId="24" hidden="1">{"'Edit'!$A$1:$V$2277"}</definedName>
    <definedName name="WHATS" localSheetId="7" hidden="1">{"'Edit'!$A$1:$V$2277"}</definedName>
    <definedName name="WHATS" localSheetId="9" hidden="1">{"'Edit'!$A$1:$V$2277"}</definedName>
    <definedName name="WHATS" localSheetId="3" hidden="1">{"'Edit'!$A$1:$V$2277"}</definedName>
    <definedName name="WHATS" localSheetId="2" hidden="1">{"'Edit'!$A$1:$V$2277"}</definedName>
    <definedName name="WHATS" localSheetId="16" hidden="1">{"'Edit'!$A$1:$V$2277"}</definedName>
    <definedName name="WHATS" localSheetId="0" hidden="1">{"'Edit'!$A$1:$V$2277"}</definedName>
    <definedName name="WHATS" localSheetId="26" hidden="1">{"'Edit'!$A$1:$V$2277"}</definedName>
    <definedName name="WHATS" localSheetId="11" hidden="1">{"'Edit'!$A$1:$V$2277"}</definedName>
    <definedName name="WHATS" hidden="1">{"'Edit'!$A$1:$V$2277"}</definedName>
    <definedName name="win.VESSEL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 localSheetId="24">#REF!</definedName>
    <definedName name="WITENS" localSheetId="7">#REF!</definedName>
    <definedName name="WITENS" localSheetId="3">#REF!</definedName>
    <definedName name="WITENS" localSheetId="26">#REF!</definedName>
    <definedName name="WITENS">#REF!</definedName>
    <definedName name="WKJHIR" localSheetId="24" hidden="1">{#N/A,#N/A,FALSE,"Plan1";#N/A,#N/A,FALSE,"Plan2"}</definedName>
    <definedName name="WKJHIR" localSheetId="7" hidden="1">{#N/A,#N/A,FALSE,"Plan1";#N/A,#N/A,FALSE,"Plan2"}</definedName>
    <definedName name="WKJHIR" localSheetId="9" hidden="1">{#N/A,#N/A,FALSE,"Plan1";#N/A,#N/A,FALSE,"Plan2"}</definedName>
    <definedName name="WKJHIR" localSheetId="3" hidden="1">{#N/A,#N/A,FALSE,"Plan1";#N/A,#N/A,FALSE,"Plan2"}</definedName>
    <definedName name="WKJHIR" localSheetId="2" hidden="1">{#N/A,#N/A,FALSE,"Plan1";#N/A,#N/A,FALSE,"Plan2"}</definedName>
    <definedName name="WKJHIR" localSheetId="16" hidden="1">{#N/A,#N/A,FALSE,"Plan1";#N/A,#N/A,FALSE,"Plan2"}</definedName>
    <definedName name="WKJHIR" localSheetId="0" hidden="1">{#N/A,#N/A,FALSE,"Plan1";#N/A,#N/A,FALSE,"Plan2"}</definedName>
    <definedName name="WKJHIR" localSheetId="26" hidden="1">{#N/A,#N/A,FALSE,"Plan1";#N/A,#N/A,FALSE,"Plan2"}</definedName>
    <definedName name="WKJHIR" localSheetId="11" hidden="1">{#N/A,#N/A,FALSE,"Plan1";#N/A,#N/A,FALSE,"Plan2"}</definedName>
    <definedName name="WKJHIR" hidden="1">{#N/A,#N/A,FALSE,"Plan1";#N/A,#N/A,FALSE,"Plan2"}</definedName>
    <definedName name="WLQ" localSheetId="24" hidden="1">{#N/A,#N/A,FALSE,"명세표"}</definedName>
    <definedName name="WLQ" localSheetId="7" hidden="1">{#N/A,#N/A,FALSE,"명세표"}</definedName>
    <definedName name="WLQ" localSheetId="9" hidden="1">{#N/A,#N/A,FALSE,"명세표"}</definedName>
    <definedName name="WLQ" localSheetId="3" hidden="1">{#N/A,#N/A,FALSE,"명세표"}</definedName>
    <definedName name="WLQ" localSheetId="2" hidden="1">{#N/A,#N/A,FALSE,"명세표"}</definedName>
    <definedName name="WLQ" localSheetId="16" hidden="1">{#N/A,#N/A,FALSE,"명세표"}</definedName>
    <definedName name="WLQ" localSheetId="0" hidden="1">{#N/A,#N/A,FALSE,"명세표"}</definedName>
    <definedName name="WLQ" localSheetId="26" hidden="1">{#N/A,#N/A,FALSE,"명세표"}</definedName>
    <definedName name="WLQ" localSheetId="11" hidden="1">{#N/A,#N/A,FALSE,"명세표"}</definedName>
    <definedName name="WLQ" hidden="1">{#N/A,#N/A,FALSE,"명세표"}</definedName>
    <definedName name="WNMLOCAL" localSheetId="24">#REF!</definedName>
    <definedName name="WNMLOCAL" localSheetId="7">#REF!</definedName>
    <definedName name="WNMLOCAL" localSheetId="3">#REF!</definedName>
    <definedName name="WNMLOCAL" localSheetId="26">#REF!</definedName>
    <definedName name="WNMLOCAL">#REF!</definedName>
    <definedName name="WNMMUN" localSheetId="7">#REF!</definedName>
    <definedName name="WNMMUN" localSheetId="3">#REF!</definedName>
    <definedName name="WNMMUN">#REF!</definedName>
    <definedName name="WNMSERV" localSheetId="7">#REF!</definedName>
    <definedName name="WNMSERV" localSheetId="3">#REF!</definedName>
    <definedName name="WNMSERV">#REF!</definedName>
    <definedName name="worl_cdi" localSheetId="7">#REF!</definedName>
    <definedName name="worl_cdi" localSheetId="3">#REF!</definedName>
    <definedName name="worl_cdi">#REF!</definedName>
    <definedName name="worl_hist" localSheetId="7">#REF!</definedName>
    <definedName name="worl_hist" localSheetId="3">#REF!</definedName>
    <definedName name="worl_hist">#REF!</definedName>
    <definedName name="worl_uss" localSheetId="7">#REF!</definedName>
    <definedName name="worl_uss" localSheetId="3">#REF!</definedName>
    <definedName name="worl_uss">#REF!</definedName>
    <definedName name="WRITE" localSheetId="24" hidden="1">{#N/A,#N/A,FALSE,"CCTV"}</definedName>
    <definedName name="WRITE" localSheetId="7" hidden="1">{#N/A,#N/A,FALSE,"CCTV"}</definedName>
    <definedName name="WRITE" localSheetId="9" hidden="1">{#N/A,#N/A,FALSE,"CCTV"}</definedName>
    <definedName name="WRITE" localSheetId="3" hidden="1">{#N/A,#N/A,FALSE,"CCTV"}</definedName>
    <definedName name="WRITE" localSheetId="2" hidden="1">{#N/A,#N/A,FALSE,"CCTV"}</definedName>
    <definedName name="WRITE" localSheetId="16" hidden="1">{#N/A,#N/A,FALSE,"CCTV"}</definedName>
    <definedName name="WRITE" localSheetId="0" hidden="1">{#N/A,#N/A,FALSE,"CCTV"}</definedName>
    <definedName name="WRITE" localSheetId="26" hidden="1">{#N/A,#N/A,FALSE,"CCTV"}</definedName>
    <definedName name="WRITE" localSheetId="11" hidden="1">{#N/A,#N/A,FALSE,"CCTV"}</definedName>
    <definedName name="WRITE" hidden="1">{#N/A,#N/A,FALSE,"CCTV"}</definedName>
    <definedName name="wrn.BM." localSheetId="24" hidden="1">{#N/A,#N/A,FALSE,"CCTV"}</definedName>
    <definedName name="wrn.BM." localSheetId="7" hidden="1">{#N/A,#N/A,FALSE,"CCTV"}</definedName>
    <definedName name="wrn.BM." localSheetId="9" hidden="1">{#N/A,#N/A,FALSE,"CCTV"}</definedName>
    <definedName name="wrn.BM." localSheetId="3" hidden="1">{#N/A,#N/A,FALSE,"CCTV"}</definedName>
    <definedName name="wrn.BM." localSheetId="2" hidden="1">{#N/A,#N/A,FALSE,"CCTV"}</definedName>
    <definedName name="wrn.BM." localSheetId="16" hidden="1">{#N/A,#N/A,FALSE,"CCTV"}</definedName>
    <definedName name="wrn.BM." localSheetId="0" hidden="1">{#N/A,#N/A,FALSE,"CCTV"}</definedName>
    <definedName name="wrn.BM." localSheetId="26" hidden="1">{#N/A,#N/A,FALSE,"CCTV"}</definedName>
    <definedName name="wrn.BM." localSheetId="11" hidden="1">{#N/A,#N/A,FALSE,"CCTV"}</definedName>
    <definedName name="wrn.BM." hidden="1">{#N/A,#N/A,FALSE,"CCTV"}</definedName>
    <definedName name="wrn.Brita98.xls." localSheetId="24" hidden="1">{#N/A,#N/A,TRUE,"Quinzena 01 à 15-04-98 "}</definedName>
    <definedName name="wrn.Brita98.xls." localSheetId="7" hidden="1">{#N/A,#N/A,TRUE,"Quinzena 01 à 15-04-98 "}</definedName>
    <definedName name="wrn.Brita98.xls." localSheetId="9" hidden="1">{#N/A,#N/A,TRUE,"Quinzena 01 à 15-04-98 "}</definedName>
    <definedName name="wrn.Brita98.xls." localSheetId="3" hidden="1">{#N/A,#N/A,TRUE,"Quinzena 01 à 15-04-98 "}</definedName>
    <definedName name="wrn.Brita98.xls." localSheetId="2" hidden="1">{#N/A,#N/A,TRUE,"Quinzena 01 à 15-04-98 "}</definedName>
    <definedName name="wrn.Brita98.xls." localSheetId="16" hidden="1">{#N/A,#N/A,TRUE,"Quinzena 01 à 15-04-98 "}</definedName>
    <definedName name="wrn.Brita98.xls." localSheetId="0" hidden="1">{#N/A,#N/A,TRUE,"Quinzena 01 à 15-04-98 "}</definedName>
    <definedName name="wrn.Brita98.xls." localSheetId="26" hidden="1">{#N/A,#N/A,TRUE,"Quinzena 01 à 15-04-98 "}</definedName>
    <definedName name="wrn.Brita98.xls." localSheetId="11" hidden="1">{#N/A,#N/A,TRUE,"Quinzena 01 à 15-04-98 "}</definedName>
    <definedName name="wrn.Brita98.xls." hidden="1">{#N/A,#N/A,TRUE,"Quinzena 01 à 15-04-98 "}</definedName>
    <definedName name="wrn.Completo." localSheetId="24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7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9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3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2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16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0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26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11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localSheetId="24" hidden="1">{"EconCons",#N/A,TRUE,"Econômico - Consolidado";"CaixaCons",#N/A,TRUE,"Caixa - Consolidado";"InvestCons",#N/A,TRUE,"Invest Consolidado"}</definedName>
    <definedName name="wrn.Cons." localSheetId="7" hidden="1">{"EconCons",#N/A,TRUE,"Econômico - Consolidado";"CaixaCons",#N/A,TRUE,"Caixa - Consolidado";"InvestCons",#N/A,TRUE,"Invest Consolidado"}</definedName>
    <definedName name="wrn.Cons." localSheetId="9" hidden="1">{"EconCons",#N/A,TRUE,"Econômico - Consolidado";"CaixaCons",#N/A,TRUE,"Caixa - Consolidado";"InvestCons",#N/A,TRUE,"Invest Consolidado"}</definedName>
    <definedName name="wrn.Cons." localSheetId="3" hidden="1">{"EconCons",#N/A,TRUE,"Econômico - Consolidado";"CaixaCons",#N/A,TRUE,"Caixa - Consolidado";"InvestCons",#N/A,TRUE,"Invest Consolidado"}</definedName>
    <definedName name="wrn.Cons." localSheetId="2" hidden="1">{"EconCons",#N/A,TRUE,"Econômico - Consolidado";"CaixaCons",#N/A,TRUE,"Caixa - Consolidado";"InvestCons",#N/A,TRUE,"Invest Consolidado"}</definedName>
    <definedName name="wrn.Cons." localSheetId="16" hidden="1">{"EconCons",#N/A,TRUE,"Econômico - Consolidado";"CaixaCons",#N/A,TRUE,"Caixa - Consolidado";"InvestCons",#N/A,TRUE,"Invest Consolidado"}</definedName>
    <definedName name="wrn.Cons." localSheetId="0" hidden="1">{"EconCons",#N/A,TRUE,"Econômico - Consolidado";"CaixaCons",#N/A,TRUE,"Caixa - Consolidado";"InvestCons",#N/A,TRUE,"Invest Consolidado"}</definedName>
    <definedName name="wrn.Cons." localSheetId="26" hidden="1">{"EconCons",#N/A,TRUE,"Econômico - Consolidado";"CaixaCons",#N/A,TRUE,"Caixa - Consolidado";"InvestCons",#N/A,TRUE,"Invest Consolidado"}</definedName>
    <definedName name="wrn.Cons." localSheetId="11" hidden="1">{"EconCons",#N/A,TRUE,"Econômico - Consolidado";"CaixaCons",#N/A,TRUE,"Caixa - Consolidado";"InvestCons",#N/A,TRUE,"Invest Consolidado"}</definedName>
    <definedName name="wrn.Cons." hidden="1">{"EconCons",#N/A,TRUE,"Econômico - Consolidado";"CaixaCons",#N/A,TRUE,"Caixa - Consolidado";"InvestCons",#N/A,TRUE,"Invest Consolidado"}</definedName>
    <definedName name="wrn.Consolidado." localSheetId="24" hidden="1">{"Econ Consolidado",#N/A,FALSE,"Econ Consol";"Fluxo de Caixa",#N/A,FALSE,"Fluxo Caixa";"Investimentos",#N/A,FALSE,"Investimentos"}</definedName>
    <definedName name="wrn.Consolidado." localSheetId="7" hidden="1">{"Econ Consolidado",#N/A,FALSE,"Econ Consol";"Fluxo de Caixa",#N/A,FALSE,"Fluxo Caixa";"Investimentos",#N/A,FALSE,"Investimentos"}</definedName>
    <definedName name="wrn.Consolidado." localSheetId="9" hidden="1">{"Econ Consolidado",#N/A,FALSE,"Econ Consol";"Fluxo de Caixa",#N/A,FALSE,"Fluxo Caixa";"Investimentos",#N/A,FALSE,"Investimentos"}</definedName>
    <definedName name="wrn.Consolidado." localSheetId="3" hidden="1">{"Econ Consolidado",#N/A,FALSE,"Econ Consol";"Fluxo de Caixa",#N/A,FALSE,"Fluxo Caixa";"Investimentos",#N/A,FALSE,"Investimentos"}</definedName>
    <definedName name="wrn.Consolidado." localSheetId="2" hidden="1">{"Econ Consolidado",#N/A,FALSE,"Econ Consol";"Fluxo de Caixa",#N/A,FALSE,"Fluxo Caixa";"Investimentos",#N/A,FALSE,"Investimentos"}</definedName>
    <definedName name="wrn.Consolidado." localSheetId="16" hidden="1">{"Econ Consolidado",#N/A,FALSE,"Econ Consol";"Fluxo de Caixa",#N/A,FALSE,"Fluxo Caixa";"Investimentos",#N/A,FALSE,"Investimentos"}</definedName>
    <definedName name="wrn.Consolidado." localSheetId="0" hidden="1">{"Econ Consolidado",#N/A,FALSE,"Econ Consol";"Fluxo de Caixa",#N/A,FALSE,"Fluxo Caixa";"Investimentos",#N/A,FALSE,"Investimentos"}</definedName>
    <definedName name="wrn.Consolidado." localSheetId="26" hidden="1">{"Econ Consolidado",#N/A,FALSE,"Econ Consol";"Fluxo de Caixa",#N/A,FALSE,"Fluxo Caixa";"Investimentos",#N/A,FALSE,"Investimentos"}</definedName>
    <definedName name="wrn.Consolidado." localSheetId="11" hidden="1">{"Econ Consolidado",#N/A,FALSE,"Econ Consol";"Fluxo de Caixa",#N/A,FALSE,"Fluxo Caixa";"Investimentos",#N/A,FALSE,"Investimentos"}</definedName>
    <definedName name="wrn.Consolidado." hidden="1">{"Econ Consolidado",#N/A,FALSE,"Econ Consol";"Fluxo de Caixa",#N/A,FALSE,"Fluxo Caixa";"Investimentos",#N/A,FALSE,"Investimentos"}</definedName>
    <definedName name="wrn.GERAL." localSheetId="6">{#N/A,#N/A,FALSE,"ET-CAPA";#N/A,#N/A,FALSE,"ET-PAG1";#N/A,#N/A,FALSE,"ET-PAG2";#N/A,#N/A,FALSE,"ET-PAG3";#N/A,#N/A,FALSE,"ET-PAG4";#N/A,#N/A,FALSE,"ET-PAG5"}</definedName>
    <definedName name="wrn.GERAL." localSheetId="24" hidden="1">{#N/A,#N/A,FALSE,"ET-CAPA";#N/A,#N/A,FALSE,"ET-PAG1";#N/A,#N/A,FALSE,"ET-PAG2";#N/A,#N/A,FALSE,"ET-PAG3";#N/A,#N/A,FALSE,"ET-PAG4";#N/A,#N/A,FALSE,"ET-PAG5"}</definedName>
    <definedName name="wrn.GERAL." localSheetId="7" hidden="1">{#N/A,#N/A,FALSE,"ET-CAPA";#N/A,#N/A,FALSE,"ET-PAG1";#N/A,#N/A,FALSE,"ET-PAG2";#N/A,#N/A,FALSE,"ET-PAG3";#N/A,#N/A,FALSE,"ET-PAG4";#N/A,#N/A,FALSE,"ET-PAG5"}</definedName>
    <definedName name="wrn.GERAL." localSheetId="5">{#N/A,#N/A,FALSE,"ET-CAPA";#N/A,#N/A,FALSE,"ET-PAG1";#N/A,#N/A,FALSE,"ET-PAG2";#N/A,#N/A,FALSE,"ET-PAG3";#N/A,#N/A,FALSE,"ET-PAG4";#N/A,#N/A,FALSE,"ET-PAG5"}</definedName>
    <definedName name="wrn.GERAL." localSheetId="9">{#N/A,#N/A,FALSE,"ET-CAPA";#N/A,#N/A,FALSE,"ET-PAG1";#N/A,#N/A,FALSE,"ET-PAG2";#N/A,#N/A,FALSE,"ET-PAG3";#N/A,#N/A,FALSE,"ET-PAG4";#N/A,#N/A,FALSE,"ET-PAG5"}</definedName>
    <definedName name="wrn.GERAL." localSheetId="3" hidden="1">{#N/A,#N/A,FALSE,"ET-CAPA";#N/A,#N/A,FALSE,"ET-PAG1";#N/A,#N/A,FALSE,"ET-PAG2";#N/A,#N/A,FALSE,"ET-PAG3";#N/A,#N/A,FALSE,"ET-PAG4";#N/A,#N/A,FALSE,"ET-PAG5"}</definedName>
    <definedName name="wrn.GERAL." localSheetId="2" hidden="1">{#N/A,#N/A,FALSE,"ET-CAPA";#N/A,#N/A,FALSE,"ET-PAG1";#N/A,#N/A,FALSE,"ET-PAG2";#N/A,#N/A,FALSE,"ET-PAG3";#N/A,#N/A,FALSE,"ET-PAG4";#N/A,#N/A,FALSE,"ET-PAG5"}</definedName>
    <definedName name="wrn.GERAL." localSheetId="16" hidden="1">{#N/A,#N/A,FALSE,"ET-CAPA";#N/A,#N/A,FALSE,"ET-PAG1";#N/A,#N/A,FALSE,"ET-PAG2";#N/A,#N/A,FALSE,"ET-PAG3";#N/A,#N/A,FALSE,"ET-PAG4";#N/A,#N/A,FALSE,"ET-PAG5"}</definedName>
    <definedName name="wrn.GERAL." localSheetId="0" hidden="1">{#N/A,#N/A,FALSE,"ET-CAPA";#N/A,#N/A,FALSE,"ET-PAG1";#N/A,#N/A,FALSE,"ET-PAG2";#N/A,#N/A,FALSE,"ET-PAG3";#N/A,#N/A,FALSE,"ET-PAG4";#N/A,#N/A,FALSE,"ET-PAG5"}</definedName>
    <definedName name="wrn.GERAL." localSheetId="26" hidden="1">{#N/A,#N/A,FALSE,"ET-CAPA";#N/A,#N/A,FALSE,"ET-PAG1";#N/A,#N/A,FALSE,"ET-PAG2";#N/A,#N/A,FALSE,"ET-PAG3";#N/A,#N/A,FALSE,"ET-PAG4";#N/A,#N/A,FALSE,"ET-PAG5"}</definedName>
    <definedName name="wrn.GERAL." localSheetId="11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HAGE." localSheetId="24" hidden="1">{#N/A,#N/A,FALSE,"cdi";#N/A,#N/A,FALSE,"debent";#N/A,#N/A,FALSE,"fdos";#N/A,#N/A,FALSE,"resumo"}</definedName>
    <definedName name="wrn.HAGE." localSheetId="7" hidden="1">{#N/A,#N/A,FALSE,"cdi";#N/A,#N/A,FALSE,"debent";#N/A,#N/A,FALSE,"fdos";#N/A,#N/A,FALSE,"resumo"}</definedName>
    <definedName name="wrn.HAGE." localSheetId="9" hidden="1">{#N/A,#N/A,FALSE,"cdi";#N/A,#N/A,FALSE,"debent";#N/A,#N/A,FALSE,"fdos";#N/A,#N/A,FALSE,"resumo"}</definedName>
    <definedName name="wrn.HAGE." localSheetId="3" hidden="1">{#N/A,#N/A,FALSE,"cdi";#N/A,#N/A,FALSE,"debent";#N/A,#N/A,FALSE,"fdos";#N/A,#N/A,FALSE,"resumo"}</definedName>
    <definedName name="wrn.HAGE." localSheetId="2" hidden="1">{#N/A,#N/A,FALSE,"cdi";#N/A,#N/A,FALSE,"debent";#N/A,#N/A,FALSE,"fdos";#N/A,#N/A,FALSE,"resumo"}</definedName>
    <definedName name="wrn.HAGE." localSheetId="16" hidden="1">{#N/A,#N/A,FALSE,"cdi";#N/A,#N/A,FALSE,"debent";#N/A,#N/A,FALSE,"fdos";#N/A,#N/A,FALSE,"resumo"}</definedName>
    <definedName name="wrn.HAGE." localSheetId="0" hidden="1">{#N/A,#N/A,FALSE,"cdi";#N/A,#N/A,FALSE,"debent";#N/A,#N/A,FALSE,"fdos";#N/A,#N/A,FALSE,"resumo"}</definedName>
    <definedName name="wrn.HAGE." localSheetId="26" hidden="1">{#N/A,#N/A,FALSE,"cdi";#N/A,#N/A,FALSE,"debent";#N/A,#N/A,FALSE,"fdos";#N/A,#N/A,FALSE,"resumo"}</definedName>
    <definedName name="wrn.HAGE." localSheetId="11" hidden="1">{#N/A,#N/A,FALSE,"cdi";#N/A,#N/A,FALSE,"debent";#N/A,#N/A,FALSE,"fdos";#N/A,#N/A,FALSE,"resumo"}</definedName>
    <definedName name="wrn.HAGE." hidden="1">{#N/A,#N/A,FALSE,"cdi";#N/A,#N/A,FALSE,"debent";#N/A,#N/A,FALSE,"fdos";#N/A,#N/A,FALSE,"resumo"}</definedName>
    <definedName name="wrn.HAGE01" localSheetId="24" hidden="1">{#N/A,#N/A,FALSE,"cdi";#N/A,#N/A,FALSE,"debent";#N/A,#N/A,FALSE,"fdos";#N/A,#N/A,FALSE,"resumo"}</definedName>
    <definedName name="wrn.HAGE01" localSheetId="7" hidden="1">{#N/A,#N/A,FALSE,"cdi";#N/A,#N/A,FALSE,"debent";#N/A,#N/A,FALSE,"fdos";#N/A,#N/A,FALSE,"resumo"}</definedName>
    <definedName name="wrn.HAGE01" localSheetId="9" hidden="1">{#N/A,#N/A,FALSE,"cdi";#N/A,#N/A,FALSE,"debent";#N/A,#N/A,FALSE,"fdos";#N/A,#N/A,FALSE,"resumo"}</definedName>
    <definedName name="wrn.HAGE01" localSheetId="3" hidden="1">{#N/A,#N/A,FALSE,"cdi";#N/A,#N/A,FALSE,"debent";#N/A,#N/A,FALSE,"fdos";#N/A,#N/A,FALSE,"resumo"}</definedName>
    <definedName name="wrn.HAGE01" localSheetId="2" hidden="1">{#N/A,#N/A,FALSE,"cdi";#N/A,#N/A,FALSE,"debent";#N/A,#N/A,FALSE,"fdos";#N/A,#N/A,FALSE,"resumo"}</definedName>
    <definedName name="wrn.HAGE01" localSheetId="16" hidden="1">{#N/A,#N/A,FALSE,"cdi";#N/A,#N/A,FALSE,"debent";#N/A,#N/A,FALSE,"fdos";#N/A,#N/A,FALSE,"resumo"}</definedName>
    <definedName name="wrn.HAGE01" localSheetId="0" hidden="1">{#N/A,#N/A,FALSE,"cdi";#N/A,#N/A,FALSE,"debent";#N/A,#N/A,FALSE,"fdos";#N/A,#N/A,FALSE,"resumo"}</definedName>
    <definedName name="wrn.HAGE01" localSheetId="26" hidden="1">{#N/A,#N/A,FALSE,"cdi";#N/A,#N/A,FALSE,"debent";#N/A,#N/A,FALSE,"fdos";#N/A,#N/A,FALSE,"resumo"}</definedName>
    <definedName name="wrn.HAGE01" localSheetId="11" hidden="1">{#N/A,#N/A,FALSE,"cdi";#N/A,#N/A,FALSE,"debent";#N/A,#N/A,FALSE,"fdos";#N/A,#N/A,FALSE,"resumo"}</definedName>
    <definedName name="wrn.HAGE01" hidden="1">{#N/A,#N/A,FALSE,"cdi";#N/A,#N/A,FALSE,"debent";#N/A,#N/A,FALSE,"fdos";#N/A,#N/A,FALSE,"resumo"}</definedName>
    <definedName name="wrn.HW." localSheetId="24" hidden="1">{"HW",#N/A,FALSE,"1998"}</definedName>
    <definedName name="wrn.HW." localSheetId="7" hidden="1">{"HW",#N/A,FALSE,"1998"}</definedName>
    <definedName name="wrn.HW." localSheetId="9" hidden="1">{"HW",#N/A,FALSE,"1998"}</definedName>
    <definedName name="wrn.HW." localSheetId="3" hidden="1">{"HW",#N/A,FALSE,"1998"}</definedName>
    <definedName name="wrn.HW." localSheetId="2" hidden="1">{"HW",#N/A,FALSE,"1998"}</definedName>
    <definedName name="wrn.HW." localSheetId="16" hidden="1">{"HW",#N/A,FALSE,"1998"}</definedName>
    <definedName name="wrn.HW." localSheetId="0" hidden="1">{"HW",#N/A,FALSE,"1998"}</definedName>
    <definedName name="wrn.HW." localSheetId="26" hidden="1">{"HW",#N/A,FALSE,"1998"}</definedName>
    <definedName name="wrn.HW." localSheetId="11" hidden="1">{"HW",#N/A,FALSE,"1998"}</definedName>
    <definedName name="wrn.HW." hidden="1">{"HW",#N/A,FALSE,"1998"}</definedName>
    <definedName name="wrn.imp_flx." localSheetId="24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7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9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3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2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16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0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26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1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hidden="1">{#N/A,#N/A,FALSE,"CONSOLID";#N/A,#N/A,FALSE,"CIMENTO";#N/A,#N/A,FALSE,"METALURGIA";#N/A,#N/A,FALSE,"PAPEL";#N/A,#N/A,FALSE,"QUÍMICA";#N/A,#N/A,FALSE,"AGROINDL";#N/A,#N/A,FALSE,"OUTROS";#N/A,#N/A,FALSE,"REAL_ORCADO"}</definedName>
    <definedName name="wrn.IMPRESSO." localSheetId="24" hidden="1">{#N/A,#N/A,FALSE,"Plan1";#N/A,#N/A,FALSE,"Plan2"}</definedName>
    <definedName name="wrn.IMPRESSO." localSheetId="7" hidden="1">{#N/A,#N/A,FALSE,"Plan1";#N/A,#N/A,FALSE,"Plan2"}</definedName>
    <definedName name="wrn.IMPRESSO." localSheetId="9" hidden="1">{#N/A,#N/A,FALSE,"Plan1";#N/A,#N/A,FALSE,"Plan2"}</definedName>
    <definedName name="wrn.IMPRESSO." localSheetId="3" hidden="1">{#N/A,#N/A,FALSE,"Plan1";#N/A,#N/A,FALSE,"Plan2"}</definedName>
    <definedName name="wrn.IMPRESSO." localSheetId="2" hidden="1">{#N/A,#N/A,FALSE,"Plan1";#N/A,#N/A,FALSE,"Plan2"}</definedName>
    <definedName name="wrn.IMPRESSO." localSheetId="16" hidden="1">{#N/A,#N/A,FALSE,"Plan1";#N/A,#N/A,FALSE,"Plan2"}</definedName>
    <definedName name="wrn.IMPRESSO." localSheetId="0" hidden="1">{#N/A,#N/A,FALSE,"Plan1";#N/A,#N/A,FALSE,"Plan2"}</definedName>
    <definedName name="wrn.IMPRESSO." localSheetId="26" hidden="1">{#N/A,#N/A,FALSE,"Plan1";#N/A,#N/A,FALSE,"Plan2"}</definedName>
    <definedName name="wrn.IMPRESSO." localSheetId="11" hidden="1">{#N/A,#N/A,FALSE,"Plan1";#N/A,#N/A,FALSE,"Plan2"}</definedName>
    <definedName name="wrn.IMPRESSO." hidden="1">{#N/A,#N/A,FALSE,"Plan1";#N/A,#N/A,FALSE,"Plan2"}</definedName>
    <definedName name="wrn.Imprimir." localSheetId="24" hidden="1">{"tabela",#N/A,FALSE,"Tabela";"decoração",#N/A,FALSE,"Decor.";"Informações",#N/A,FALSE,"Inform."}</definedName>
    <definedName name="wrn.Imprimir." localSheetId="7" hidden="1">{"tabela",#N/A,FALSE,"Tabela";"decoração",#N/A,FALSE,"Decor.";"Informações",#N/A,FALSE,"Inform."}</definedName>
    <definedName name="wrn.Imprimir." localSheetId="9" hidden="1">{"tabela",#N/A,FALSE,"Tabela";"decoração",#N/A,FALSE,"Decor.";"Informações",#N/A,FALSE,"Inform."}</definedName>
    <definedName name="wrn.Imprimir." localSheetId="3" hidden="1">{"tabela",#N/A,FALSE,"Tabela";"decoração",#N/A,FALSE,"Decor.";"Informações",#N/A,FALSE,"Inform."}</definedName>
    <definedName name="wrn.Imprimir." localSheetId="2" hidden="1">{"tabela",#N/A,FALSE,"Tabela";"decoração",#N/A,FALSE,"Decor.";"Informações",#N/A,FALSE,"Inform."}</definedName>
    <definedName name="wrn.Imprimir." localSheetId="16" hidden="1">{"tabela",#N/A,FALSE,"Tabela";"decoração",#N/A,FALSE,"Decor.";"Informações",#N/A,FALSE,"Inform."}</definedName>
    <definedName name="wrn.Imprimir." localSheetId="0" hidden="1">{"tabela",#N/A,FALSE,"Tabela";"decoração",#N/A,FALSE,"Decor.";"Informações",#N/A,FALSE,"Inform."}</definedName>
    <definedName name="wrn.Imprimir." localSheetId="26" hidden="1">{"tabela",#N/A,FALSE,"Tabela";"decoração",#N/A,FALSE,"Decor.";"Informações",#N/A,FALSE,"Inform."}</definedName>
    <definedName name="wrn.Imprimir." localSheetId="11" hidden="1">{"tabela",#N/A,FALSE,"Tabela";"decoração",#N/A,FALSE,"Decor.";"Informações",#N/A,FALSE,"Inform."}</definedName>
    <definedName name="wrn.Imprimir." hidden="1">{"tabela",#N/A,FALSE,"Tabela";"decoração",#N/A,FALSE,"Decor.";"Informações",#N/A,FALSE,"Inform."}</definedName>
    <definedName name="wrn.LPU._.MG." localSheetId="24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7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9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3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6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0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26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1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localSheetId="24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7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9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3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2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16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0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26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11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ode_lev.xls." hidden="1">{#N/A,#N/A,FALSE,"ALVENARIA";#N/A,#N/A,FALSE,"BLOCOS";#N/A,#N/A,FALSE,"CINTAS";#N/A,#N/A,FALSE,"CORTINA";#N/A,#N/A,FALSE,"LAJES";#N/A,#N/A,FALSE,"PILARES";#N/A,#N/A,FALSE,"VIGAS"}</definedName>
    <definedName name="wrn.Month._.Report._.Package." localSheetId="24" hidden="1">{#N/A,#N/A,FALSE,"Global Wls Trend";#N/A,#N/A,FALSE,"Region Trend";#N/A,#N/A,FALSE,"PBU Trend"}</definedName>
    <definedName name="wrn.Month._.Report._.Package." localSheetId="7" hidden="1">{#N/A,#N/A,FALSE,"Global Wls Trend";#N/A,#N/A,FALSE,"Region Trend";#N/A,#N/A,FALSE,"PBU Trend"}</definedName>
    <definedName name="wrn.Month._.Report._.Package." localSheetId="9" hidden="1">{#N/A,#N/A,FALSE,"Global Wls Trend";#N/A,#N/A,FALSE,"Region Trend";#N/A,#N/A,FALSE,"PBU Trend"}</definedName>
    <definedName name="wrn.Month._.Report._.Package." localSheetId="3" hidden="1">{#N/A,#N/A,FALSE,"Global Wls Trend";#N/A,#N/A,FALSE,"Region Trend";#N/A,#N/A,FALSE,"PBU Trend"}</definedName>
    <definedName name="wrn.Month._.Report._.Package." localSheetId="2" hidden="1">{#N/A,#N/A,FALSE,"Global Wls Trend";#N/A,#N/A,FALSE,"Region Trend";#N/A,#N/A,FALSE,"PBU Trend"}</definedName>
    <definedName name="wrn.Month._.Report._.Package." localSheetId="16" hidden="1">{#N/A,#N/A,FALSE,"Global Wls Trend";#N/A,#N/A,FALSE,"Region Trend";#N/A,#N/A,FALSE,"PBU Trend"}</definedName>
    <definedName name="wrn.Month._.Report._.Package." localSheetId="0" hidden="1">{#N/A,#N/A,FALSE,"Global Wls Trend";#N/A,#N/A,FALSE,"Region Trend";#N/A,#N/A,FALSE,"PBU Trend"}</definedName>
    <definedName name="wrn.Month._.Report._.Package." localSheetId="26" hidden="1">{#N/A,#N/A,FALSE,"Global Wls Trend";#N/A,#N/A,FALSE,"Region Trend";#N/A,#N/A,FALSE,"PBU Trend"}</definedName>
    <definedName name="wrn.Month._.Report._.Package." localSheetId="11" hidden="1">{#N/A,#N/A,FALSE,"Global Wls Trend";#N/A,#N/A,FALSE,"Region Trend";#N/A,#N/A,FALSE,"PBU Trend"}</definedName>
    <definedName name="wrn.Month._.Report._.Package." hidden="1">{#N/A,#N/A,FALSE,"Global Wls Trend";#N/A,#N/A,FALSE,"Region Trend";#N/A,#N/A,FALSE,"PBU Trend"}</definedName>
    <definedName name="wrn.Monthly._.Report._.Package." localSheetId="24" hidden="1">{#N/A,#N/A,FALSE,"Global by BU";#N/A,#N/A,FALSE,"U.S. by BU";#N/A,#N/A,FALSE,"Canada by BU";#N/A,#N/A,FALSE,"Europe by BU";#N/A,#N/A,FALSE,"Asia by BU";#N/A,#N/A,FALSE,"Cala by BU"}</definedName>
    <definedName name="wrn.Monthly._.Report._.Package." localSheetId="7" hidden="1">{#N/A,#N/A,FALSE,"Global by BU";#N/A,#N/A,FALSE,"U.S. by BU";#N/A,#N/A,FALSE,"Canada by BU";#N/A,#N/A,FALSE,"Europe by BU";#N/A,#N/A,FALSE,"Asia by BU";#N/A,#N/A,FALSE,"Cala by BU"}</definedName>
    <definedName name="wrn.Monthly._.Report._.Package." localSheetId="9" hidden="1">{#N/A,#N/A,FALSE,"Global by BU";#N/A,#N/A,FALSE,"U.S. by BU";#N/A,#N/A,FALSE,"Canada by BU";#N/A,#N/A,FALSE,"Europe by BU";#N/A,#N/A,FALSE,"Asia by BU";#N/A,#N/A,FALSE,"Cala by BU"}</definedName>
    <definedName name="wrn.Monthly._.Report._.Package." localSheetId="3" hidden="1">{#N/A,#N/A,FALSE,"Global by BU";#N/A,#N/A,FALSE,"U.S. by BU";#N/A,#N/A,FALSE,"Canada by BU";#N/A,#N/A,FALSE,"Europe by BU";#N/A,#N/A,FALSE,"Asia by BU";#N/A,#N/A,FALSE,"Cala by BU"}</definedName>
    <definedName name="wrn.Monthly._.Report._.Package." localSheetId="2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6" hidden="1">{#N/A,#N/A,FALSE,"Global by BU";#N/A,#N/A,FALSE,"U.S. by BU";#N/A,#N/A,FALSE,"Canada by BU";#N/A,#N/A,FALSE,"Europe by BU";#N/A,#N/A,FALSE,"Asia by BU";#N/A,#N/A,FALSE,"Cala by BU"}</definedName>
    <definedName name="wrn.Monthly._.Report._.Package." localSheetId="0" hidden="1">{#N/A,#N/A,FALSE,"Global by BU";#N/A,#N/A,FALSE,"U.S. by BU";#N/A,#N/A,FALSE,"Canada by BU";#N/A,#N/A,FALSE,"Europe by BU";#N/A,#N/A,FALSE,"Asia by BU";#N/A,#N/A,FALSE,"Cala by BU"}</definedName>
    <definedName name="wrn.Monthly._.Report._.Package." localSheetId="26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1" hidden="1">{#N/A,#N/A,FALSE,"Global by BU";#N/A,#N/A,FALSE,"U.S. by BU";#N/A,#N/A,FALSE,"Canada by BU";#N/A,#N/A,FALSE,"Europe by BU";#N/A,#N/A,FALSE,"Asia by BU";#N/A,#N/A,FALSE,"Cala by BU"}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PENDENCIAS.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localSheetId="24" hidden="1">{#N/A,#N/A,FALSE,"F-01"}</definedName>
    <definedName name="wrn.Planiha._.de._.Medição._.F._.01." localSheetId="7" hidden="1">{#N/A,#N/A,FALSE,"F-01"}</definedName>
    <definedName name="wrn.Planiha._.de._.Medição._.F._.01." localSheetId="9" hidden="1">{#N/A,#N/A,FALSE,"F-01"}</definedName>
    <definedName name="wrn.Planiha._.de._.Medição._.F._.01." localSheetId="3" hidden="1">{#N/A,#N/A,FALSE,"F-01"}</definedName>
    <definedName name="wrn.Planiha._.de._.Medição._.F._.01." localSheetId="2" hidden="1">{#N/A,#N/A,FALSE,"F-01"}</definedName>
    <definedName name="wrn.Planiha._.de._.Medição._.F._.01." localSheetId="16" hidden="1">{#N/A,#N/A,FALSE,"F-01"}</definedName>
    <definedName name="wrn.Planiha._.de._.Medição._.F._.01." localSheetId="0" hidden="1">{#N/A,#N/A,FALSE,"F-01"}</definedName>
    <definedName name="wrn.Planiha._.de._.Medição._.F._.01." localSheetId="26" hidden="1">{#N/A,#N/A,FALSE,"F-01"}</definedName>
    <definedName name="wrn.Planiha._.de._.Medição._.F._.01." localSheetId="11" hidden="1">{#N/A,#N/A,FALSE,"F-01"}</definedName>
    <definedName name="wrn.Planiha._.de._.Medição._.F._.01." hidden="1">{#N/A,#N/A,FALSE,"F-01"}</definedName>
    <definedName name="wrn.Planiha._.de._.Medição._.F._.01._1" localSheetId="24" hidden="1">{#N/A,#N/A,FALSE,"F-01"}</definedName>
    <definedName name="wrn.Planiha._.de._.Medição._.F._.01._1" localSheetId="7" hidden="1">{#N/A,#N/A,FALSE,"F-01"}</definedName>
    <definedName name="wrn.Planiha._.de._.Medição._.F._.01._1" localSheetId="9" hidden="1">{#N/A,#N/A,FALSE,"F-01"}</definedName>
    <definedName name="wrn.Planiha._.de._.Medição._.F._.01._1" localSheetId="3" hidden="1">{#N/A,#N/A,FALSE,"F-01"}</definedName>
    <definedName name="wrn.Planiha._.de._.Medição._.F._.01._1" localSheetId="2" hidden="1">{#N/A,#N/A,FALSE,"F-01"}</definedName>
    <definedName name="wrn.Planiha._.de._.Medição._.F._.01._1" localSheetId="16" hidden="1">{#N/A,#N/A,FALSE,"F-01"}</definedName>
    <definedName name="wrn.Planiha._.de._.Medição._.F._.01._1" localSheetId="0" hidden="1">{#N/A,#N/A,FALSE,"F-01"}</definedName>
    <definedName name="wrn.Planiha._.de._.Medição._.F._.01._1" localSheetId="26" hidden="1">{#N/A,#N/A,FALSE,"F-01"}</definedName>
    <definedName name="wrn.Planiha._.de._.Medição._.F._.01._1" localSheetId="11" hidden="1">{#N/A,#N/A,FALSE,"F-01"}</definedName>
    <definedName name="wrn.Planiha._.de._.Medição._.F._.01._1" hidden="1">{#N/A,#N/A,FALSE,"F-01"}</definedName>
    <definedName name="wrn.Planilha_de_Medição_F_02" localSheetId="24" hidden="1">{#N/A,#N/A,FALSE,"F-01"}</definedName>
    <definedName name="wrn.Planilha_de_Medição_F_02" localSheetId="7" hidden="1">{#N/A,#N/A,FALSE,"F-01"}</definedName>
    <definedName name="wrn.Planilha_de_Medição_F_02" localSheetId="9" hidden="1">{#N/A,#N/A,FALSE,"F-01"}</definedName>
    <definedName name="wrn.Planilha_de_Medição_F_02" localSheetId="3" hidden="1">{#N/A,#N/A,FALSE,"F-01"}</definedName>
    <definedName name="wrn.Planilha_de_Medição_F_02" localSheetId="2" hidden="1">{#N/A,#N/A,FALSE,"F-01"}</definedName>
    <definedName name="wrn.Planilha_de_Medição_F_02" localSheetId="16" hidden="1">{#N/A,#N/A,FALSE,"F-01"}</definedName>
    <definedName name="wrn.Planilha_de_Medição_F_02" localSheetId="0" hidden="1">{#N/A,#N/A,FALSE,"F-01"}</definedName>
    <definedName name="wrn.Planilha_de_Medição_F_02" localSheetId="26" hidden="1">{#N/A,#N/A,FALSE,"F-01"}</definedName>
    <definedName name="wrn.Planilha_de_Medição_F_02" localSheetId="11" hidden="1">{#N/A,#N/A,FALSE,"F-01"}</definedName>
    <definedName name="wrn.Planilha_de_Medição_F_02" hidden="1">{#N/A,#N/A,FALSE,"F-01"}</definedName>
    <definedName name="wrn.print._.all." localSheetId="24" hidden="1">{#N/A,#N/A,FALSE,"$170M Cash";#N/A,#N/A,FALSE,"$250M Cash";#N/A,#N/A,FALSE,"$325M Cash"}</definedName>
    <definedName name="wrn.print._.all." localSheetId="7" hidden="1">{#N/A,#N/A,FALSE,"$170M Cash";#N/A,#N/A,FALSE,"$250M Cash";#N/A,#N/A,FALSE,"$325M Cash"}</definedName>
    <definedName name="wrn.print._.all." localSheetId="9" hidden="1">{#N/A,#N/A,FALSE,"$170M Cash";#N/A,#N/A,FALSE,"$250M Cash";#N/A,#N/A,FALSE,"$325M Cash"}</definedName>
    <definedName name="wrn.print._.all." localSheetId="3" hidden="1">{#N/A,#N/A,FALSE,"$170M Cash";#N/A,#N/A,FALSE,"$250M Cash";#N/A,#N/A,FALSE,"$325M Cash"}</definedName>
    <definedName name="wrn.print._.all." localSheetId="2" hidden="1">{#N/A,#N/A,FALSE,"$170M Cash";#N/A,#N/A,FALSE,"$250M Cash";#N/A,#N/A,FALSE,"$325M Cash"}</definedName>
    <definedName name="wrn.print._.all." localSheetId="16" hidden="1">{#N/A,#N/A,FALSE,"$170M Cash";#N/A,#N/A,FALSE,"$250M Cash";#N/A,#N/A,FALSE,"$325M Cash"}</definedName>
    <definedName name="wrn.print._.all." localSheetId="0" hidden="1">{#N/A,#N/A,FALSE,"$170M Cash";#N/A,#N/A,FALSE,"$250M Cash";#N/A,#N/A,FALSE,"$325M Cash"}</definedName>
    <definedName name="wrn.print._.all." localSheetId="26" hidden="1">{#N/A,#N/A,FALSE,"$170M Cash";#N/A,#N/A,FALSE,"$250M Cash";#N/A,#N/A,FALSE,"$325M Cash"}</definedName>
    <definedName name="wrn.print._.all." localSheetId="11" hidden="1">{#N/A,#N/A,FALSE,"$170M Cash";#N/A,#N/A,FALSE,"$250M Cash";#N/A,#N/A,FALSE,"$325M Cash"}</definedName>
    <definedName name="wrn.print._.all." hidden="1">{#N/A,#N/A,FALSE,"$170M Cash";#N/A,#N/A,FALSE,"$250M Cash";#N/A,#N/A,FALSE,"$325M Cash"}</definedName>
    <definedName name="wrn.PrintAll." localSheetId="24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7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9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3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2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16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0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26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11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localSheetId="24" hidden="1">{#N/A,#N/A,FALSE,"Sheet1";#N/A,#N/A,FALSE,"Sheet2";#N/A,#N/A,FALSE,"Sheet3"}</definedName>
    <definedName name="wrn.PrintCurr." localSheetId="7" hidden="1">{#N/A,#N/A,FALSE,"Sheet1";#N/A,#N/A,FALSE,"Sheet2";#N/A,#N/A,FALSE,"Sheet3"}</definedName>
    <definedName name="wrn.PrintCurr." localSheetId="9" hidden="1">{#N/A,#N/A,FALSE,"Sheet1";#N/A,#N/A,FALSE,"Sheet2";#N/A,#N/A,FALSE,"Sheet3"}</definedName>
    <definedName name="wrn.PrintCurr." localSheetId="3" hidden="1">{#N/A,#N/A,FALSE,"Sheet1";#N/A,#N/A,FALSE,"Sheet2";#N/A,#N/A,FALSE,"Sheet3"}</definedName>
    <definedName name="wrn.PrintCurr." localSheetId="2" hidden="1">{#N/A,#N/A,FALSE,"Sheet1";#N/A,#N/A,FALSE,"Sheet2";#N/A,#N/A,FALSE,"Sheet3"}</definedName>
    <definedName name="wrn.PrintCurr." localSheetId="16" hidden="1">{#N/A,#N/A,FALSE,"Sheet1";#N/A,#N/A,FALSE,"Sheet2";#N/A,#N/A,FALSE,"Sheet3"}</definedName>
    <definedName name="wrn.PrintCurr." localSheetId="0" hidden="1">{#N/A,#N/A,FALSE,"Sheet1";#N/A,#N/A,FALSE,"Sheet2";#N/A,#N/A,FALSE,"Sheet3"}</definedName>
    <definedName name="wrn.PrintCurr." localSheetId="26" hidden="1">{#N/A,#N/A,FALSE,"Sheet1";#N/A,#N/A,FALSE,"Sheet2";#N/A,#N/A,FALSE,"Sheet3"}</definedName>
    <definedName name="wrn.PrintCurr." localSheetId="11" hidden="1">{#N/A,#N/A,FALSE,"Sheet1";#N/A,#N/A,FALSE,"Sheet2";#N/A,#N/A,FALSE,"Sheet3"}</definedName>
    <definedName name="wrn.PrintCurr." hidden="1">{#N/A,#N/A,FALSE,"Sheet1";#N/A,#N/A,FALSE,"Sheet2";#N/A,#N/A,FALSE,"Sheet3"}</definedName>
    <definedName name="wrn.PrintPrev1." localSheetId="24" hidden="1">{#N/A,#N/A,FALSE,"Sheet4";#N/A,#N/A,FALSE,"Sheet5";#N/A,#N/A,FALSE,"Sheet6"}</definedName>
    <definedName name="wrn.PrintPrev1." localSheetId="7" hidden="1">{#N/A,#N/A,FALSE,"Sheet4";#N/A,#N/A,FALSE,"Sheet5";#N/A,#N/A,FALSE,"Sheet6"}</definedName>
    <definedName name="wrn.PrintPrev1." localSheetId="9" hidden="1">{#N/A,#N/A,FALSE,"Sheet4";#N/A,#N/A,FALSE,"Sheet5";#N/A,#N/A,FALSE,"Sheet6"}</definedName>
    <definedName name="wrn.PrintPrev1." localSheetId="3" hidden="1">{#N/A,#N/A,FALSE,"Sheet4";#N/A,#N/A,FALSE,"Sheet5";#N/A,#N/A,FALSE,"Sheet6"}</definedName>
    <definedName name="wrn.PrintPrev1." localSheetId="2" hidden="1">{#N/A,#N/A,FALSE,"Sheet4";#N/A,#N/A,FALSE,"Sheet5";#N/A,#N/A,FALSE,"Sheet6"}</definedName>
    <definedName name="wrn.PrintPrev1." localSheetId="16" hidden="1">{#N/A,#N/A,FALSE,"Sheet4";#N/A,#N/A,FALSE,"Sheet5";#N/A,#N/A,FALSE,"Sheet6"}</definedName>
    <definedName name="wrn.PrintPrev1." localSheetId="0" hidden="1">{#N/A,#N/A,FALSE,"Sheet4";#N/A,#N/A,FALSE,"Sheet5";#N/A,#N/A,FALSE,"Sheet6"}</definedName>
    <definedName name="wrn.PrintPrev1." localSheetId="26" hidden="1">{#N/A,#N/A,FALSE,"Sheet4";#N/A,#N/A,FALSE,"Sheet5";#N/A,#N/A,FALSE,"Sheet6"}</definedName>
    <definedName name="wrn.PrintPrev1." localSheetId="11" hidden="1">{#N/A,#N/A,FALSE,"Sheet4";#N/A,#N/A,FALSE,"Sheet5";#N/A,#N/A,FALSE,"Sheet6"}</definedName>
    <definedName name="wrn.PrintPrev1." hidden="1">{#N/A,#N/A,FALSE,"Sheet4";#N/A,#N/A,FALSE,"Sheet5";#N/A,#N/A,FALSE,"Sheet6"}</definedName>
    <definedName name="wrn.PrintPrev2." localSheetId="24" hidden="1">{#N/A,#N/A,FALSE,"Sheet7";#N/A,#N/A,FALSE,"Sheet8";#N/A,#N/A,FALSE,"Sheet9"}</definedName>
    <definedName name="wrn.PrintPrev2." localSheetId="7" hidden="1">{#N/A,#N/A,FALSE,"Sheet7";#N/A,#N/A,FALSE,"Sheet8";#N/A,#N/A,FALSE,"Sheet9"}</definedName>
    <definedName name="wrn.PrintPrev2." localSheetId="9" hidden="1">{#N/A,#N/A,FALSE,"Sheet7";#N/A,#N/A,FALSE,"Sheet8";#N/A,#N/A,FALSE,"Sheet9"}</definedName>
    <definedName name="wrn.PrintPrev2." localSheetId="3" hidden="1">{#N/A,#N/A,FALSE,"Sheet7";#N/A,#N/A,FALSE,"Sheet8";#N/A,#N/A,FALSE,"Sheet9"}</definedName>
    <definedName name="wrn.PrintPrev2." localSheetId="2" hidden="1">{#N/A,#N/A,FALSE,"Sheet7";#N/A,#N/A,FALSE,"Sheet8";#N/A,#N/A,FALSE,"Sheet9"}</definedName>
    <definedName name="wrn.PrintPrev2." localSheetId="16" hidden="1">{#N/A,#N/A,FALSE,"Sheet7";#N/A,#N/A,FALSE,"Sheet8";#N/A,#N/A,FALSE,"Sheet9"}</definedName>
    <definedName name="wrn.PrintPrev2." localSheetId="0" hidden="1">{#N/A,#N/A,FALSE,"Sheet7";#N/A,#N/A,FALSE,"Sheet8";#N/A,#N/A,FALSE,"Sheet9"}</definedName>
    <definedName name="wrn.PrintPrev2." localSheetId="26" hidden="1">{#N/A,#N/A,FALSE,"Sheet7";#N/A,#N/A,FALSE,"Sheet8";#N/A,#N/A,FALSE,"Sheet9"}</definedName>
    <definedName name="wrn.PrintPrev2." localSheetId="11" hidden="1">{#N/A,#N/A,FALSE,"Sheet7";#N/A,#N/A,FALSE,"Sheet8";#N/A,#N/A,FALSE,"Sheet9"}</definedName>
    <definedName name="wrn.PrintPrev2." hidden="1">{#N/A,#N/A,FALSE,"Sheet7";#N/A,#N/A,FALSE,"Sheet8";#N/A,#N/A,FALSE,"Sheet9"}</definedName>
    <definedName name="wrn.Quadros._.relatório." localSheetId="24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7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9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3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2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16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0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26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11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localSheetId="24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7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9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3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2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16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0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26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11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hidden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localSheetId="24" hidden="1">{#N/A,#N/A,FALSE,"TABLE"}</definedName>
    <definedName name="wrn.STAFFS." localSheetId="7" hidden="1">{#N/A,#N/A,FALSE,"TABLE"}</definedName>
    <definedName name="wrn.STAFFS." localSheetId="9" hidden="1">{#N/A,#N/A,FALSE,"TABLE"}</definedName>
    <definedName name="wrn.STAFFS." localSheetId="3" hidden="1">{#N/A,#N/A,FALSE,"TABLE"}</definedName>
    <definedName name="wrn.STAFFS." localSheetId="2" hidden="1">{#N/A,#N/A,FALSE,"TABLE"}</definedName>
    <definedName name="wrn.STAFFS." localSheetId="16" hidden="1">{#N/A,#N/A,FALSE,"TABLE"}</definedName>
    <definedName name="wrn.STAFFS." localSheetId="0" hidden="1">{#N/A,#N/A,FALSE,"TABLE"}</definedName>
    <definedName name="wrn.STAFFS." localSheetId="26" hidden="1">{#N/A,#N/A,FALSE,"TABLE"}</definedName>
    <definedName name="wrn.STAFFS." localSheetId="11" hidden="1">{#N/A,#N/A,FALSE,"TABLE"}</definedName>
    <definedName name="wrn.STAFFS." hidden="1">{#N/A,#N/A,FALSE,"TABLE"}</definedName>
    <definedName name="wrn.TERCEIRO." localSheetId="24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7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9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3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16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26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1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24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7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9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3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16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26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1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localSheetId="24" hidden="1">{#N/A,#N/A,FALSE,"명세표"}</definedName>
    <definedName name="wrn.test1." localSheetId="7" hidden="1">{#N/A,#N/A,FALSE,"명세표"}</definedName>
    <definedName name="wrn.test1." localSheetId="9" hidden="1">{#N/A,#N/A,FALSE,"명세표"}</definedName>
    <definedName name="wrn.test1." localSheetId="3" hidden="1">{#N/A,#N/A,FALSE,"명세표"}</definedName>
    <definedName name="wrn.test1." localSheetId="2" hidden="1">{#N/A,#N/A,FALSE,"명세표"}</definedName>
    <definedName name="wrn.test1." localSheetId="16" hidden="1">{#N/A,#N/A,FALSE,"명세표"}</definedName>
    <definedName name="wrn.test1." localSheetId="0" hidden="1">{#N/A,#N/A,FALSE,"명세표"}</definedName>
    <definedName name="wrn.test1." localSheetId="26" hidden="1">{#N/A,#N/A,FALSE,"명세표"}</definedName>
    <definedName name="wrn.test1." localSheetId="11" hidden="1">{#N/A,#N/A,FALSE,"명세표"}</definedName>
    <definedName name="wrn.test1." hidden="1">{#N/A,#N/A,FALSE,"명세표"}</definedName>
    <definedName name="wrn.Unidades." localSheetId="24" hidden="1">{"Rio Branco",#N/A,FALSE,"Rio Branco";"Itajaí",#N/A,FALSE,"Itajaí";"Pinheiro Machado",#N/A,FALSE,"PMachado";"Esteio",#N/A,FALSE,"Esteio"}</definedName>
    <definedName name="wrn.Unidades." localSheetId="7" hidden="1">{"Rio Branco",#N/A,FALSE,"Rio Branco";"Itajaí",#N/A,FALSE,"Itajaí";"Pinheiro Machado",#N/A,FALSE,"PMachado";"Esteio",#N/A,FALSE,"Esteio"}</definedName>
    <definedName name="wrn.Unidades." localSheetId="9" hidden="1">{"Rio Branco",#N/A,FALSE,"Rio Branco";"Itajaí",#N/A,FALSE,"Itajaí";"Pinheiro Machado",#N/A,FALSE,"PMachado";"Esteio",#N/A,FALSE,"Esteio"}</definedName>
    <definedName name="wrn.Unidades." localSheetId="3" hidden="1">{"Rio Branco",#N/A,FALSE,"Rio Branco";"Itajaí",#N/A,FALSE,"Itajaí";"Pinheiro Machado",#N/A,FALSE,"PMachado";"Esteio",#N/A,FALSE,"Esteio"}</definedName>
    <definedName name="wrn.Unidades." localSheetId="2" hidden="1">{"Rio Branco",#N/A,FALSE,"Rio Branco";"Itajaí",#N/A,FALSE,"Itajaí";"Pinheiro Machado",#N/A,FALSE,"PMachado";"Esteio",#N/A,FALSE,"Esteio"}</definedName>
    <definedName name="wrn.Unidades." localSheetId="16" hidden="1">{"Rio Branco",#N/A,FALSE,"Rio Branco";"Itajaí",#N/A,FALSE,"Itajaí";"Pinheiro Machado",#N/A,FALSE,"PMachado";"Esteio",#N/A,FALSE,"Esteio"}</definedName>
    <definedName name="wrn.Unidades." localSheetId="0" hidden="1">{"Rio Branco",#N/A,FALSE,"Rio Branco";"Itajaí",#N/A,FALSE,"Itajaí";"Pinheiro Machado",#N/A,FALSE,"PMachado";"Esteio",#N/A,FALSE,"Esteio"}</definedName>
    <definedName name="wrn.Unidades." localSheetId="26" hidden="1">{"Rio Branco",#N/A,FALSE,"Rio Branco";"Itajaí",#N/A,FALSE,"Itajaí";"Pinheiro Machado",#N/A,FALSE,"PMachado";"Esteio",#N/A,FALSE,"Esteio"}</definedName>
    <definedName name="wrn.Unidades." localSheetId="11" hidden="1">{"Rio Branco",#N/A,FALSE,"Rio Branco";"Itajaí",#N/A,FALSE,"Itajaí";"Pinheiro Machado",#N/A,FALSE,"PMachado";"Esteio",#N/A,FALSE,"Esteio"}</definedName>
    <definedName name="wrn.Unidades." hidden="1">{"Rio Branco",#N/A,FALSE,"Rio Branco";"Itajaí",#N/A,FALSE,"Itajaí";"Pinheiro Machado",#N/A,FALSE,"PMachado";"Esteio",#N/A,FALSE,"Esteio"}</definedName>
    <definedName name="wrn.VESSEL및N2._.구입사양서.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localSheetId="24" hidden="1">{#N/A,#N/A,FALSE,"Sheet1";#N/A,#N/A,FALSE,"Sheet2";#N/A,#N/A,FALSE,"TAB96-1"}</definedName>
    <definedName name="wrn.견적." localSheetId="7" hidden="1">{#N/A,#N/A,FALSE,"Sheet1";#N/A,#N/A,FALSE,"Sheet2";#N/A,#N/A,FALSE,"TAB96-1"}</definedName>
    <definedName name="wrn.견적." localSheetId="9" hidden="1">{#N/A,#N/A,FALSE,"Sheet1";#N/A,#N/A,FALSE,"Sheet2";#N/A,#N/A,FALSE,"TAB96-1"}</definedName>
    <definedName name="wrn.견적." localSheetId="3" hidden="1">{#N/A,#N/A,FALSE,"Sheet1";#N/A,#N/A,FALSE,"Sheet2";#N/A,#N/A,FALSE,"TAB96-1"}</definedName>
    <definedName name="wrn.견적." localSheetId="2" hidden="1">{#N/A,#N/A,FALSE,"Sheet1";#N/A,#N/A,FALSE,"Sheet2";#N/A,#N/A,FALSE,"TAB96-1"}</definedName>
    <definedName name="wrn.견적." localSheetId="16" hidden="1">{#N/A,#N/A,FALSE,"Sheet1";#N/A,#N/A,FALSE,"Sheet2";#N/A,#N/A,FALSE,"TAB96-1"}</definedName>
    <definedName name="wrn.견적." localSheetId="0" hidden="1">{#N/A,#N/A,FALSE,"Sheet1";#N/A,#N/A,FALSE,"Sheet2";#N/A,#N/A,FALSE,"TAB96-1"}</definedName>
    <definedName name="wrn.견적." localSheetId="26" hidden="1">{#N/A,#N/A,FALSE,"Sheet1";#N/A,#N/A,FALSE,"Sheet2";#N/A,#N/A,FALSE,"TAB96-1"}</definedName>
    <definedName name="wrn.견적." localSheetId="11" hidden="1">{#N/A,#N/A,FALSE,"Sheet1";#N/A,#N/A,FALSE,"Sheet2";#N/A,#N/A,FALSE,"TAB96-1"}</definedName>
    <definedName name="wrn.견적." hidden="1">{#N/A,#N/A,FALSE,"Sheet1";#N/A,#N/A,FALSE,"Sheet2";#N/A,#N/A,FALSE,"TAB96-1"}</definedName>
    <definedName name="wrn.보호계전기." localSheetId="24" hidden="1">{#N/A,#N/A,FALSE,"ENG'G(보호계전기)"}</definedName>
    <definedName name="wrn.보호계전기." localSheetId="7" hidden="1">{#N/A,#N/A,FALSE,"ENG'G(보호계전기)"}</definedName>
    <definedName name="wrn.보호계전기." localSheetId="9" hidden="1">{#N/A,#N/A,FALSE,"ENG'G(보호계전기)"}</definedName>
    <definedName name="wrn.보호계전기." localSheetId="3" hidden="1">{#N/A,#N/A,FALSE,"ENG'G(보호계전기)"}</definedName>
    <definedName name="wrn.보호계전기." localSheetId="2" hidden="1">{#N/A,#N/A,FALSE,"ENG'G(보호계전기)"}</definedName>
    <definedName name="wrn.보호계전기." localSheetId="16" hidden="1">{#N/A,#N/A,FALSE,"ENG'G(보호계전기)"}</definedName>
    <definedName name="wrn.보호계전기." localSheetId="0" hidden="1">{#N/A,#N/A,FALSE,"ENG'G(보호계전기)"}</definedName>
    <definedName name="wrn.보호계전기." localSheetId="26" hidden="1">{#N/A,#N/A,FALSE,"ENG'G(보호계전기)"}</definedName>
    <definedName name="wrn.보호계전기." localSheetId="11" hidden="1">{#N/A,#N/A,FALSE,"ENG'G(보호계전기)"}</definedName>
    <definedName name="wrn.보호계전기." hidden="1">{#N/A,#N/A,FALSE,"ENG'G(보호계전기)"}</definedName>
    <definedName name="wrn.현장._.NCR._.분석." localSheetId="24" hidden="1">{#N/A,#N/A,FALSE,"현장 NCR 분석";#N/A,#N/A,FALSE,"현장품질감사";#N/A,#N/A,FALSE,"현장품질감사"}</definedName>
    <definedName name="wrn.현장._.NCR._.분석." localSheetId="7" hidden="1">{#N/A,#N/A,FALSE,"현장 NCR 분석";#N/A,#N/A,FALSE,"현장품질감사";#N/A,#N/A,FALSE,"현장품질감사"}</definedName>
    <definedName name="wrn.현장._.NCR._.분석." localSheetId="9" hidden="1">{#N/A,#N/A,FALSE,"현장 NCR 분석";#N/A,#N/A,FALSE,"현장품질감사";#N/A,#N/A,FALSE,"현장품질감사"}</definedName>
    <definedName name="wrn.현장._.NCR._.분석." localSheetId="3" hidden="1">{#N/A,#N/A,FALSE,"현장 NCR 분석";#N/A,#N/A,FALSE,"현장품질감사";#N/A,#N/A,FALSE,"현장품질감사"}</definedName>
    <definedName name="wrn.현장._.NCR._.분석." localSheetId="2" hidden="1">{#N/A,#N/A,FALSE,"현장 NCR 분석";#N/A,#N/A,FALSE,"현장품질감사";#N/A,#N/A,FALSE,"현장품질감사"}</definedName>
    <definedName name="wrn.현장._.NCR._.분석." localSheetId="16" hidden="1">{#N/A,#N/A,FALSE,"현장 NCR 분석";#N/A,#N/A,FALSE,"현장품질감사";#N/A,#N/A,FALSE,"현장품질감사"}</definedName>
    <definedName name="wrn.현장._.NCR._.분석." localSheetId="0" hidden="1">{#N/A,#N/A,FALSE,"현장 NCR 분석";#N/A,#N/A,FALSE,"현장품질감사";#N/A,#N/A,FALSE,"현장품질감사"}</definedName>
    <definedName name="wrn.현장._.NCR._.분석." localSheetId="26" hidden="1">{#N/A,#N/A,FALSE,"현장 NCR 분석";#N/A,#N/A,FALSE,"현장품질감사";#N/A,#N/A,FALSE,"현장품질감사"}</definedName>
    <definedName name="wrn.현장._.NCR._.분석." localSheetId="11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1.Cons." localSheetId="24" hidden="1">{"EconCons",#N/A,TRUE,"Econômico - Consolidado";"CaixaCons",#N/A,TRUE,"Caixa - Consolidado";"InvestCons",#N/A,TRUE,"Invest Consolidado"}</definedName>
    <definedName name="wrn1.Cons." localSheetId="7" hidden="1">{"EconCons",#N/A,TRUE,"Econômico - Consolidado";"CaixaCons",#N/A,TRUE,"Caixa - Consolidado";"InvestCons",#N/A,TRUE,"Invest Consolidado"}</definedName>
    <definedName name="wrn1.Cons." localSheetId="9" hidden="1">{"EconCons",#N/A,TRUE,"Econômico - Consolidado";"CaixaCons",#N/A,TRUE,"Caixa - Consolidado";"InvestCons",#N/A,TRUE,"Invest Consolidado"}</definedName>
    <definedName name="wrn1.Cons." localSheetId="3" hidden="1">{"EconCons",#N/A,TRUE,"Econômico - Consolidado";"CaixaCons",#N/A,TRUE,"Caixa - Consolidado";"InvestCons",#N/A,TRUE,"Invest Consolidado"}</definedName>
    <definedName name="wrn1.Cons." localSheetId="2" hidden="1">{"EconCons",#N/A,TRUE,"Econômico - Consolidado";"CaixaCons",#N/A,TRUE,"Caixa - Consolidado";"InvestCons",#N/A,TRUE,"Invest Consolidado"}</definedName>
    <definedName name="wrn1.Cons." localSheetId="16" hidden="1">{"EconCons",#N/A,TRUE,"Econômico - Consolidado";"CaixaCons",#N/A,TRUE,"Caixa - Consolidado";"InvestCons",#N/A,TRUE,"Invest Consolidado"}</definedName>
    <definedName name="wrn1.Cons." localSheetId="0" hidden="1">{"EconCons",#N/A,TRUE,"Econômico - Consolidado";"CaixaCons",#N/A,TRUE,"Caixa - Consolidado";"InvestCons",#N/A,TRUE,"Invest Consolidado"}</definedName>
    <definedName name="wrn1.Cons." localSheetId="26" hidden="1">{"EconCons",#N/A,TRUE,"Econômico - Consolidado";"CaixaCons",#N/A,TRUE,"Caixa - Consolidado";"InvestCons",#N/A,TRUE,"Invest Consolidado"}</definedName>
    <definedName name="wrn1.Cons." localSheetId="11" hidden="1">{"EconCons",#N/A,TRUE,"Econômico - Consolidado";"CaixaCons",#N/A,TRUE,"Caixa - Consolidado";"InvestCons",#N/A,TRUE,"Invest Consolidado"}</definedName>
    <definedName name="wrn1.Cons." hidden="1">{"EconCons",#N/A,TRUE,"Econômico - Consolidado";"CaixaCons",#N/A,TRUE,"Caixa - Consolidado";"InvestCons",#N/A,TRUE,"Invest Consolidado"}</definedName>
    <definedName name="wrn1.print._.all." localSheetId="24" hidden="1">{#N/A,#N/A,FALSE,"$170M Cash";#N/A,#N/A,FALSE,"$250M Cash";#N/A,#N/A,FALSE,"$325M Cash"}</definedName>
    <definedName name="wrn1.print._.all." localSheetId="7" hidden="1">{#N/A,#N/A,FALSE,"$170M Cash";#N/A,#N/A,FALSE,"$250M Cash";#N/A,#N/A,FALSE,"$325M Cash"}</definedName>
    <definedName name="wrn1.print._.all." localSheetId="9" hidden="1">{#N/A,#N/A,FALSE,"$170M Cash";#N/A,#N/A,FALSE,"$250M Cash";#N/A,#N/A,FALSE,"$325M Cash"}</definedName>
    <definedName name="wrn1.print._.all." localSheetId="3" hidden="1">{#N/A,#N/A,FALSE,"$170M Cash";#N/A,#N/A,FALSE,"$250M Cash";#N/A,#N/A,FALSE,"$325M Cash"}</definedName>
    <definedName name="wrn1.print._.all." localSheetId="2" hidden="1">{#N/A,#N/A,FALSE,"$170M Cash";#N/A,#N/A,FALSE,"$250M Cash";#N/A,#N/A,FALSE,"$325M Cash"}</definedName>
    <definedName name="wrn1.print._.all." localSheetId="16" hidden="1">{#N/A,#N/A,FALSE,"$170M Cash";#N/A,#N/A,FALSE,"$250M Cash";#N/A,#N/A,FALSE,"$325M Cash"}</definedName>
    <definedName name="wrn1.print._.all." localSheetId="0" hidden="1">{#N/A,#N/A,FALSE,"$170M Cash";#N/A,#N/A,FALSE,"$250M Cash";#N/A,#N/A,FALSE,"$325M Cash"}</definedName>
    <definedName name="wrn1.print._.all." localSheetId="26" hidden="1">{#N/A,#N/A,FALSE,"$170M Cash";#N/A,#N/A,FALSE,"$250M Cash";#N/A,#N/A,FALSE,"$325M Cash"}</definedName>
    <definedName name="wrn1.print._.all." localSheetId="11" hidden="1">{#N/A,#N/A,FALSE,"$170M Cash";#N/A,#N/A,FALSE,"$250M Cash";#N/A,#N/A,FALSE,"$325M Cash"}</definedName>
    <definedName name="wrn1.print._.all." hidden="1">{#N/A,#N/A,FALSE,"$170M Cash";#N/A,#N/A,FALSE,"$250M Cash";#N/A,#N/A,FALSE,"$325M Cash"}</definedName>
    <definedName name="WRS" localSheetId="24" hidden="1">{"'장비'!$A$3:$M$12"}</definedName>
    <definedName name="WRS" localSheetId="7" hidden="1">{"'장비'!$A$3:$M$12"}</definedName>
    <definedName name="WRS" localSheetId="9" hidden="1">{"'장비'!$A$3:$M$12"}</definedName>
    <definedName name="WRS" localSheetId="3" hidden="1">{"'장비'!$A$3:$M$12"}</definedName>
    <definedName name="WRS" localSheetId="2" hidden="1">{"'장비'!$A$3:$M$12"}</definedName>
    <definedName name="WRS" localSheetId="16" hidden="1">{"'장비'!$A$3:$M$12"}</definedName>
    <definedName name="WRS" localSheetId="0" hidden="1">{"'장비'!$A$3:$M$12"}</definedName>
    <definedName name="WRS" localSheetId="26" hidden="1">{"'장비'!$A$3:$M$12"}</definedName>
    <definedName name="WRS" localSheetId="11" hidden="1">{"'장비'!$A$3:$M$12"}</definedName>
    <definedName name="WRS" hidden="1">{"'장비'!$A$3:$M$12"}</definedName>
    <definedName name="wrt" localSheetId="24" hidden="1">{#N/A,#N/A,FALSE,"$170M Cash";#N/A,#N/A,FALSE,"$250M Cash";#N/A,#N/A,FALSE,"$325M Cash"}</definedName>
    <definedName name="wrt" localSheetId="7" hidden="1">{#N/A,#N/A,FALSE,"$170M Cash";#N/A,#N/A,FALSE,"$250M Cash";#N/A,#N/A,FALSE,"$325M Cash"}</definedName>
    <definedName name="wrt" localSheetId="9" hidden="1">{#N/A,#N/A,FALSE,"$170M Cash";#N/A,#N/A,FALSE,"$250M Cash";#N/A,#N/A,FALSE,"$325M Cash"}</definedName>
    <definedName name="wrt" localSheetId="3" hidden="1">{#N/A,#N/A,FALSE,"$170M Cash";#N/A,#N/A,FALSE,"$250M Cash";#N/A,#N/A,FALSE,"$325M Cash"}</definedName>
    <definedName name="wrt" localSheetId="2" hidden="1">{#N/A,#N/A,FALSE,"$170M Cash";#N/A,#N/A,FALSE,"$250M Cash";#N/A,#N/A,FALSE,"$325M Cash"}</definedName>
    <definedName name="wrt" localSheetId="16" hidden="1">{#N/A,#N/A,FALSE,"$170M Cash";#N/A,#N/A,FALSE,"$250M Cash";#N/A,#N/A,FALSE,"$325M Cash"}</definedName>
    <definedName name="wrt" localSheetId="0" hidden="1">{#N/A,#N/A,FALSE,"$170M Cash";#N/A,#N/A,FALSE,"$250M Cash";#N/A,#N/A,FALSE,"$325M Cash"}</definedName>
    <definedName name="wrt" localSheetId="26" hidden="1">{#N/A,#N/A,FALSE,"$170M Cash";#N/A,#N/A,FALSE,"$250M Cash";#N/A,#N/A,FALSE,"$325M Cash"}</definedName>
    <definedName name="wrt" localSheetId="11" hidden="1">{#N/A,#N/A,FALSE,"$170M Cash";#N/A,#N/A,FALSE,"$250M Cash";#N/A,#N/A,FALSE,"$325M Cash"}</definedName>
    <definedName name="wrt" hidden="1">{#N/A,#N/A,FALSE,"$170M Cash";#N/A,#N/A,FALSE,"$250M Cash";#N/A,#N/A,FALSE,"$325M Cash"}</definedName>
    <definedName name="wvu.PLANILHA2.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localSheetId="24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7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9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3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6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26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1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7">#REF!</definedName>
    <definedName name="X" localSheetId="9">#REF!</definedName>
    <definedName name="X" localSheetId="3">#REF!</definedName>
    <definedName name="X">#REF!</definedName>
    <definedName name="XALFA" localSheetId="7">#REF!</definedName>
    <definedName name="XALFA" localSheetId="3">#REF!</definedName>
    <definedName name="XALFA">#REF!</definedName>
    <definedName name="XC" localSheetId="7">#REF!</definedName>
    <definedName name="XC" localSheetId="3">#REF!</definedName>
    <definedName name="XC">#REF!</definedName>
    <definedName name="xcfrt" localSheetId="24" hidden="1">{#N/A,#N/A,FALSE,"Plan1";#N/A,#N/A,FALSE,"Plan2"}</definedName>
    <definedName name="xcfrt" localSheetId="7" hidden="1">{#N/A,#N/A,FALSE,"Plan1";#N/A,#N/A,FALSE,"Plan2"}</definedName>
    <definedName name="xcfrt" localSheetId="9" hidden="1">{#N/A,#N/A,FALSE,"Plan1";#N/A,#N/A,FALSE,"Plan2"}</definedName>
    <definedName name="xcfrt" localSheetId="3" hidden="1">{#N/A,#N/A,FALSE,"Plan1";#N/A,#N/A,FALSE,"Plan2"}</definedName>
    <definedName name="xcfrt" localSheetId="2" hidden="1">{#N/A,#N/A,FALSE,"Plan1";#N/A,#N/A,FALSE,"Plan2"}</definedName>
    <definedName name="xcfrt" localSheetId="16" hidden="1">{#N/A,#N/A,FALSE,"Plan1";#N/A,#N/A,FALSE,"Plan2"}</definedName>
    <definedName name="xcfrt" localSheetId="0" hidden="1">{#N/A,#N/A,FALSE,"Plan1";#N/A,#N/A,FALSE,"Plan2"}</definedName>
    <definedName name="xcfrt" localSheetId="26" hidden="1">{#N/A,#N/A,FALSE,"Plan1";#N/A,#N/A,FALSE,"Plan2"}</definedName>
    <definedName name="xcfrt" localSheetId="11" hidden="1">{#N/A,#N/A,FALSE,"Plan1";#N/A,#N/A,FALSE,"Plan2"}</definedName>
    <definedName name="xcfrt" hidden="1">{#N/A,#N/A,FALSE,"Plan1";#N/A,#N/A,FALSE,"Plan2"}</definedName>
    <definedName name="xcgjkfghf" localSheetId="24" hidden="1">{#N/A,#N/A,FALSE,"Plan1";#N/A,#N/A,FALSE,"Plan2"}</definedName>
    <definedName name="xcgjkfghf" localSheetId="7" hidden="1">{#N/A,#N/A,FALSE,"Plan1";#N/A,#N/A,FALSE,"Plan2"}</definedName>
    <definedName name="xcgjkfghf" localSheetId="9" hidden="1">{#N/A,#N/A,FALSE,"Plan1";#N/A,#N/A,FALSE,"Plan2"}</definedName>
    <definedName name="xcgjkfghf" localSheetId="3" hidden="1">{#N/A,#N/A,FALSE,"Plan1";#N/A,#N/A,FALSE,"Plan2"}</definedName>
    <definedName name="xcgjkfghf" localSheetId="2" hidden="1">{#N/A,#N/A,FALSE,"Plan1";#N/A,#N/A,FALSE,"Plan2"}</definedName>
    <definedName name="xcgjkfghf" localSheetId="16" hidden="1">{#N/A,#N/A,FALSE,"Plan1";#N/A,#N/A,FALSE,"Plan2"}</definedName>
    <definedName name="xcgjkfghf" localSheetId="0" hidden="1">{#N/A,#N/A,FALSE,"Plan1";#N/A,#N/A,FALSE,"Plan2"}</definedName>
    <definedName name="xcgjkfghf" localSheetId="26" hidden="1">{#N/A,#N/A,FALSE,"Plan1";#N/A,#N/A,FALSE,"Plan2"}</definedName>
    <definedName name="xcgjkfghf" localSheetId="11" hidden="1">{#N/A,#N/A,FALSE,"Plan1";#N/A,#N/A,FALSE,"Plan2"}</definedName>
    <definedName name="xcgjkfghf" hidden="1">{#N/A,#N/A,FALSE,"Plan1";#N/A,#N/A,FALSE,"Plan2"}</definedName>
    <definedName name="XCGJKVHFDG" localSheetId="24" hidden="1">{#N/A,#N/A,FALSE,"Plan1";#N/A,#N/A,FALSE,"Plan2"}</definedName>
    <definedName name="XCGJKVHFDG" localSheetId="7" hidden="1">{#N/A,#N/A,FALSE,"Plan1";#N/A,#N/A,FALSE,"Plan2"}</definedName>
    <definedName name="XCGJKVHFDG" localSheetId="9" hidden="1">{#N/A,#N/A,FALSE,"Plan1";#N/A,#N/A,FALSE,"Plan2"}</definedName>
    <definedName name="XCGJKVHFDG" localSheetId="3" hidden="1">{#N/A,#N/A,FALSE,"Plan1";#N/A,#N/A,FALSE,"Plan2"}</definedName>
    <definedName name="XCGJKVHFDG" localSheetId="2" hidden="1">{#N/A,#N/A,FALSE,"Plan1";#N/A,#N/A,FALSE,"Plan2"}</definedName>
    <definedName name="XCGJKVHFDG" localSheetId="16" hidden="1">{#N/A,#N/A,FALSE,"Plan1";#N/A,#N/A,FALSE,"Plan2"}</definedName>
    <definedName name="XCGJKVHFDG" localSheetId="0" hidden="1">{#N/A,#N/A,FALSE,"Plan1";#N/A,#N/A,FALSE,"Plan2"}</definedName>
    <definedName name="XCGJKVHFDG" localSheetId="26" hidden="1">{#N/A,#N/A,FALSE,"Plan1";#N/A,#N/A,FALSE,"Plan2"}</definedName>
    <definedName name="XCGJKVHFDG" localSheetId="11" hidden="1">{#N/A,#N/A,FALSE,"Plan1";#N/A,#N/A,FALSE,"Plan2"}</definedName>
    <definedName name="XCGJKVHFDG" hidden="1">{#N/A,#N/A,FALSE,"Plan1";#N/A,#N/A,FALSE,"Plan2"}</definedName>
    <definedName name="xcgtrty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 localSheetId="7">#REF!</definedName>
    <definedName name="XCI" localSheetId="9">#REF!</definedName>
    <definedName name="XCI" localSheetId="3">#REF!</definedName>
    <definedName name="XCI">#REF!</definedName>
    <definedName name="XCII" localSheetId="7">#REF!</definedName>
    <definedName name="XCII" localSheetId="3">#REF!</definedName>
    <definedName name="XCII">#REF!</definedName>
    <definedName name="XCIII" localSheetId="7">#REF!</definedName>
    <definedName name="XCIII" localSheetId="3">#REF!</definedName>
    <definedName name="XCIII">#REF!</definedName>
    <definedName name="XCIV" localSheetId="7">#REF!</definedName>
    <definedName name="XCIV" localSheetId="3">#REF!</definedName>
    <definedName name="XCIV">#REF!</definedName>
    <definedName name="XCIX" localSheetId="7">#REF!</definedName>
    <definedName name="XCIX" localSheetId="3">#REF!</definedName>
    <definedName name="XCIX">#REF!</definedName>
    <definedName name="xçl" localSheetId="24" hidden="1">{#N/A,#N/A,FALSE,"Plan1";#N/A,#N/A,FALSE,"Plan2"}</definedName>
    <definedName name="xçl" localSheetId="7" hidden="1">{#N/A,#N/A,FALSE,"Plan1";#N/A,#N/A,FALSE,"Plan2"}</definedName>
    <definedName name="xçl" localSheetId="9" hidden="1">{#N/A,#N/A,FALSE,"Plan1";#N/A,#N/A,FALSE,"Plan2"}</definedName>
    <definedName name="xçl" localSheetId="3" hidden="1">{#N/A,#N/A,FALSE,"Plan1";#N/A,#N/A,FALSE,"Plan2"}</definedName>
    <definedName name="xçl" localSheetId="2" hidden="1">{#N/A,#N/A,FALSE,"Plan1";#N/A,#N/A,FALSE,"Plan2"}</definedName>
    <definedName name="xçl" localSheetId="16" hidden="1">{#N/A,#N/A,FALSE,"Plan1";#N/A,#N/A,FALSE,"Plan2"}</definedName>
    <definedName name="xçl" localSheetId="0" hidden="1">{#N/A,#N/A,FALSE,"Plan1";#N/A,#N/A,FALSE,"Plan2"}</definedName>
    <definedName name="xçl" localSheetId="26" hidden="1">{#N/A,#N/A,FALSE,"Plan1";#N/A,#N/A,FALSE,"Plan2"}</definedName>
    <definedName name="xçl" localSheetId="11" hidden="1">{#N/A,#N/A,FALSE,"Plan1";#N/A,#N/A,FALSE,"Plan2"}</definedName>
    <definedName name="xçl" hidden="1">{#N/A,#N/A,FALSE,"Plan1";#N/A,#N/A,FALSE,"Plan2"}</definedName>
    <definedName name="xcndj" localSheetId="24" hidden="1">{#N/A,#N/A,FALSE,"Plan1";#N/A,#N/A,FALSE,"Plan2"}</definedName>
    <definedName name="xcndj" localSheetId="7" hidden="1">{#N/A,#N/A,FALSE,"Plan1";#N/A,#N/A,FALSE,"Plan2"}</definedName>
    <definedName name="xcndj" localSheetId="9" hidden="1">{#N/A,#N/A,FALSE,"Plan1";#N/A,#N/A,FALSE,"Plan2"}</definedName>
    <definedName name="xcndj" localSheetId="3" hidden="1">{#N/A,#N/A,FALSE,"Plan1";#N/A,#N/A,FALSE,"Plan2"}</definedName>
    <definedName name="xcndj" localSheetId="2" hidden="1">{#N/A,#N/A,FALSE,"Plan1";#N/A,#N/A,FALSE,"Plan2"}</definedName>
    <definedName name="xcndj" localSheetId="16" hidden="1">{#N/A,#N/A,FALSE,"Plan1";#N/A,#N/A,FALSE,"Plan2"}</definedName>
    <definedName name="xcndj" localSheetId="0" hidden="1">{#N/A,#N/A,FALSE,"Plan1";#N/A,#N/A,FALSE,"Plan2"}</definedName>
    <definedName name="xcndj" localSheetId="26" hidden="1">{#N/A,#N/A,FALSE,"Plan1";#N/A,#N/A,FALSE,"Plan2"}</definedName>
    <definedName name="xcndj" localSheetId="11" hidden="1">{#N/A,#N/A,FALSE,"Plan1";#N/A,#N/A,FALSE,"Plan2"}</definedName>
    <definedName name="xcndj" hidden="1">{#N/A,#N/A,FALSE,"Plan1";#N/A,#N/A,FALSE,"Plan2"}</definedName>
    <definedName name="XCV" localSheetId="7">#REF!</definedName>
    <definedName name="XCV" localSheetId="9">#REF!</definedName>
    <definedName name="XCV" localSheetId="3">#REF!</definedName>
    <definedName name="XCV">#REF!</definedName>
    <definedName name="XCVGGT" localSheetId="24" hidden="1">{#N/A,#N/A,FALSE,"Plan1";#N/A,#N/A,FALSE,"Plan2"}</definedName>
    <definedName name="XCVGGT" localSheetId="7" hidden="1">{#N/A,#N/A,FALSE,"Plan1";#N/A,#N/A,FALSE,"Plan2"}</definedName>
    <definedName name="XCVGGT" localSheetId="9" hidden="1">{#N/A,#N/A,FALSE,"Plan1";#N/A,#N/A,FALSE,"Plan2"}</definedName>
    <definedName name="XCVGGT" localSheetId="3" hidden="1">{#N/A,#N/A,FALSE,"Plan1";#N/A,#N/A,FALSE,"Plan2"}</definedName>
    <definedName name="XCVGGT" localSheetId="2" hidden="1">{#N/A,#N/A,FALSE,"Plan1";#N/A,#N/A,FALSE,"Plan2"}</definedName>
    <definedName name="XCVGGT" localSheetId="16" hidden="1">{#N/A,#N/A,FALSE,"Plan1";#N/A,#N/A,FALSE,"Plan2"}</definedName>
    <definedName name="XCVGGT" localSheetId="0" hidden="1">{#N/A,#N/A,FALSE,"Plan1";#N/A,#N/A,FALSE,"Plan2"}</definedName>
    <definedName name="XCVGGT" localSheetId="26" hidden="1">{#N/A,#N/A,FALSE,"Plan1";#N/A,#N/A,FALSE,"Plan2"}</definedName>
    <definedName name="XCVGGT" localSheetId="11" hidden="1">{#N/A,#N/A,FALSE,"Plan1";#N/A,#N/A,FALSE,"Plan2"}</definedName>
    <definedName name="XCVGGT" hidden="1">{#N/A,#N/A,FALSE,"Plan1";#N/A,#N/A,FALSE,"Plan2"}</definedName>
    <definedName name="XCVI" localSheetId="7">#REF!</definedName>
    <definedName name="XCVI" localSheetId="9">#REF!</definedName>
    <definedName name="XCVI" localSheetId="3">#REF!</definedName>
    <definedName name="XCVI">#REF!</definedName>
    <definedName name="XCVII" localSheetId="7">#REF!</definedName>
    <definedName name="XCVII" localSheetId="3">#REF!</definedName>
    <definedName name="XCVII">#REF!</definedName>
    <definedName name="XCVIII" localSheetId="7">#REF!</definedName>
    <definedName name="XCVIII" localSheetId="3">#REF!</definedName>
    <definedName name="XCVIII">#REF!</definedName>
    <definedName name="xcvrg" localSheetId="24" hidden="1">{#N/A,#N/A,FALSE,"Plan1";#N/A,#N/A,FALSE,"Plan2"}</definedName>
    <definedName name="xcvrg" localSheetId="7" hidden="1">{#N/A,#N/A,FALSE,"Plan1";#N/A,#N/A,FALSE,"Plan2"}</definedName>
    <definedName name="xcvrg" localSheetId="9" hidden="1">{#N/A,#N/A,FALSE,"Plan1";#N/A,#N/A,FALSE,"Plan2"}</definedName>
    <definedName name="xcvrg" localSheetId="3" hidden="1">{#N/A,#N/A,FALSE,"Plan1";#N/A,#N/A,FALSE,"Plan2"}</definedName>
    <definedName name="xcvrg" localSheetId="2" hidden="1">{#N/A,#N/A,FALSE,"Plan1";#N/A,#N/A,FALSE,"Plan2"}</definedName>
    <definedName name="xcvrg" localSheetId="16" hidden="1">{#N/A,#N/A,FALSE,"Plan1";#N/A,#N/A,FALSE,"Plan2"}</definedName>
    <definedName name="xcvrg" localSheetId="0" hidden="1">{#N/A,#N/A,FALSE,"Plan1";#N/A,#N/A,FALSE,"Plan2"}</definedName>
    <definedName name="xcvrg" localSheetId="26" hidden="1">{#N/A,#N/A,FALSE,"Plan1";#N/A,#N/A,FALSE,"Plan2"}</definedName>
    <definedName name="xcvrg" localSheetId="11" hidden="1">{#N/A,#N/A,FALSE,"Plan1";#N/A,#N/A,FALSE,"Plan2"}</definedName>
    <definedName name="xcvrg" hidden="1">{#N/A,#N/A,FALSE,"Plan1";#N/A,#N/A,FALSE,"Plan2"}</definedName>
    <definedName name="XDATA" localSheetId="24">#REF!</definedName>
    <definedName name="XDATA" localSheetId="7">#REF!</definedName>
    <definedName name="XDATA" localSheetId="3">#REF!</definedName>
    <definedName name="XDATA" localSheetId="26">#REF!</definedName>
    <definedName name="XDATA">#REF!</definedName>
    <definedName name="xdfeft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localSheetId="24" hidden="1">{#N/A,#N/A,FALSE,"Plan1";#N/A,#N/A,FALSE,"Plan2"}</definedName>
    <definedName name="xdgtyhyt" localSheetId="7" hidden="1">{#N/A,#N/A,FALSE,"Plan1";#N/A,#N/A,FALSE,"Plan2"}</definedName>
    <definedName name="xdgtyhyt" localSheetId="9" hidden="1">{#N/A,#N/A,FALSE,"Plan1";#N/A,#N/A,FALSE,"Plan2"}</definedName>
    <definedName name="xdgtyhyt" localSheetId="3" hidden="1">{#N/A,#N/A,FALSE,"Plan1";#N/A,#N/A,FALSE,"Plan2"}</definedName>
    <definedName name="xdgtyhyt" localSheetId="2" hidden="1">{#N/A,#N/A,FALSE,"Plan1";#N/A,#N/A,FALSE,"Plan2"}</definedName>
    <definedName name="xdgtyhyt" localSheetId="16" hidden="1">{#N/A,#N/A,FALSE,"Plan1";#N/A,#N/A,FALSE,"Plan2"}</definedName>
    <definedName name="xdgtyhyt" localSheetId="0" hidden="1">{#N/A,#N/A,FALSE,"Plan1";#N/A,#N/A,FALSE,"Plan2"}</definedName>
    <definedName name="xdgtyhyt" localSheetId="26" hidden="1">{#N/A,#N/A,FALSE,"Plan1";#N/A,#N/A,FALSE,"Plan2"}</definedName>
    <definedName name="xdgtyhyt" localSheetId="11" hidden="1">{#N/A,#N/A,FALSE,"Plan1";#N/A,#N/A,FALSE,"Plan2"}</definedName>
    <definedName name="xdgtyhyt" hidden="1">{#N/A,#N/A,FALSE,"Plan1";#N/A,#N/A,FALSE,"Plan2"}</definedName>
    <definedName name="xfdlfj" localSheetId="24" hidden="1">{#N/A,#N/A,FALSE,"Plan1";#N/A,#N/A,FALSE,"Plan2"}</definedName>
    <definedName name="xfdlfj" localSheetId="7" hidden="1">{#N/A,#N/A,FALSE,"Plan1";#N/A,#N/A,FALSE,"Plan2"}</definedName>
    <definedName name="xfdlfj" localSheetId="9" hidden="1">{#N/A,#N/A,FALSE,"Plan1";#N/A,#N/A,FALSE,"Plan2"}</definedName>
    <definedName name="xfdlfj" localSheetId="3" hidden="1">{#N/A,#N/A,FALSE,"Plan1";#N/A,#N/A,FALSE,"Plan2"}</definedName>
    <definedName name="xfdlfj" localSheetId="2" hidden="1">{#N/A,#N/A,FALSE,"Plan1";#N/A,#N/A,FALSE,"Plan2"}</definedName>
    <definedName name="xfdlfj" localSheetId="16" hidden="1">{#N/A,#N/A,FALSE,"Plan1";#N/A,#N/A,FALSE,"Plan2"}</definedName>
    <definedName name="xfdlfj" localSheetId="0" hidden="1">{#N/A,#N/A,FALSE,"Plan1";#N/A,#N/A,FALSE,"Plan2"}</definedName>
    <definedName name="xfdlfj" localSheetId="26" hidden="1">{#N/A,#N/A,FALSE,"Plan1";#N/A,#N/A,FALSE,"Plan2"}</definedName>
    <definedName name="xfdlfj" localSheetId="11" hidden="1">{#N/A,#N/A,FALSE,"Plan1";#N/A,#N/A,FALSE,"Plan2"}</definedName>
    <definedName name="xfdlfj" hidden="1">{#N/A,#N/A,FALSE,"Plan1";#N/A,#N/A,FALSE,"Plan2"}</definedName>
    <definedName name="xfdxfdf" localSheetId="24" hidden="1">{#N/A,#N/A,FALSE,"Plan1";#N/A,#N/A,FALSE,"Plan2"}</definedName>
    <definedName name="xfdxfdf" localSheetId="7" hidden="1">{#N/A,#N/A,FALSE,"Plan1";#N/A,#N/A,FALSE,"Plan2"}</definedName>
    <definedName name="xfdxfdf" localSheetId="9" hidden="1">{#N/A,#N/A,FALSE,"Plan1";#N/A,#N/A,FALSE,"Plan2"}</definedName>
    <definedName name="xfdxfdf" localSheetId="3" hidden="1">{#N/A,#N/A,FALSE,"Plan1";#N/A,#N/A,FALSE,"Plan2"}</definedName>
    <definedName name="xfdxfdf" localSheetId="2" hidden="1">{#N/A,#N/A,FALSE,"Plan1";#N/A,#N/A,FALSE,"Plan2"}</definedName>
    <definedName name="xfdxfdf" localSheetId="16" hidden="1">{#N/A,#N/A,FALSE,"Plan1";#N/A,#N/A,FALSE,"Plan2"}</definedName>
    <definedName name="xfdxfdf" localSheetId="0" hidden="1">{#N/A,#N/A,FALSE,"Plan1";#N/A,#N/A,FALSE,"Plan2"}</definedName>
    <definedName name="xfdxfdf" localSheetId="26" hidden="1">{#N/A,#N/A,FALSE,"Plan1";#N/A,#N/A,FALSE,"Plan2"}</definedName>
    <definedName name="xfdxfdf" localSheetId="11" hidden="1">{#N/A,#N/A,FALSE,"Plan1";#N/A,#N/A,FALSE,"Plan2"}</definedName>
    <definedName name="xfdxfdf" hidden="1">{#N/A,#N/A,FALSE,"Plan1";#N/A,#N/A,FALSE,"Plan2"}</definedName>
    <definedName name="XFJKLDJKLGJ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localSheetId="24" hidden="1">{#N/A,#N/A,FALSE,"Plan1";#N/A,#N/A,FALSE,"Plan2"}</definedName>
    <definedName name="xfrty" localSheetId="7" hidden="1">{#N/A,#N/A,FALSE,"Plan1";#N/A,#N/A,FALSE,"Plan2"}</definedName>
    <definedName name="xfrty" localSheetId="9" hidden="1">{#N/A,#N/A,FALSE,"Plan1";#N/A,#N/A,FALSE,"Plan2"}</definedName>
    <definedName name="xfrty" localSheetId="3" hidden="1">{#N/A,#N/A,FALSE,"Plan1";#N/A,#N/A,FALSE,"Plan2"}</definedName>
    <definedName name="xfrty" localSheetId="2" hidden="1">{#N/A,#N/A,FALSE,"Plan1";#N/A,#N/A,FALSE,"Plan2"}</definedName>
    <definedName name="xfrty" localSheetId="16" hidden="1">{#N/A,#N/A,FALSE,"Plan1";#N/A,#N/A,FALSE,"Plan2"}</definedName>
    <definedName name="xfrty" localSheetId="0" hidden="1">{#N/A,#N/A,FALSE,"Plan1";#N/A,#N/A,FALSE,"Plan2"}</definedName>
    <definedName name="xfrty" localSheetId="26" hidden="1">{#N/A,#N/A,FALSE,"Plan1";#N/A,#N/A,FALSE,"Plan2"}</definedName>
    <definedName name="xfrty" localSheetId="11" hidden="1">{#N/A,#N/A,FALSE,"Plan1";#N/A,#N/A,FALSE,"Plan2"}</definedName>
    <definedName name="xfrty" hidden="1">{#N/A,#N/A,FALSE,"Plan1";#N/A,#N/A,FALSE,"Plan2"}</definedName>
    <definedName name="XFT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localSheetId="24" hidden="1">{"Econ Consolidado",#N/A,FALSE,"Econ Consol";"Fluxo de Caixa",#N/A,FALSE,"Fluxo Caixa";"Investimentos",#N/A,FALSE,"Investimentos"}</definedName>
    <definedName name="xfvchdhhd" localSheetId="7" hidden="1">{"Econ Consolidado",#N/A,FALSE,"Econ Consol";"Fluxo de Caixa",#N/A,FALSE,"Fluxo Caixa";"Investimentos",#N/A,FALSE,"Investimentos"}</definedName>
    <definedName name="xfvchdhhd" localSheetId="9" hidden="1">{"Econ Consolidado",#N/A,FALSE,"Econ Consol";"Fluxo de Caixa",#N/A,FALSE,"Fluxo Caixa";"Investimentos",#N/A,FALSE,"Investimentos"}</definedName>
    <definedName name="xfvchdhhd" localSheetId="3" hidden="1">{"Econ Consolidado",#N/A,FALSE,"Econ Consol";"Fluxo de Caixa",#N/A,FALSE,"Fluxo Caixa";"Investimentos",#N/A,FALSE,"Investimentos"}</definedName>
    <definedName name="xfvchdhhd" localSheetId="2" hidden="1">{"Econ Consolidado",#N/A,FALSE,"Econ Consol";"Fluxo de Caixa",#N/A,FALSE,"Fluxo Caixa";"Investimentos",#N/A,FALSE,"Investimentos"}</definedName>
    <definedName name="xfvchdhhd" localSheetId="16" hidden="1">{"Econ Consolidado",#N/A,FALSE,"Econ Consol";"Fluxo de Caixa",#N/A,FALSE,"Fluxo Caixa";"Investimentos",#N/A,FALSE,"Investimentos"}</definedName>
    <definedName name="xfvchdhhd" localSheetId="0" hidden="1">{"Econ Consolidado",#N/A,FALSE,"Econ Consol";"Fluxo de Caixa",#N/A,FALSE,"Fluxo Caixa";"Investimentos",#N/A,FALSE,"Investimentos"}</definedName>
    <definedName name="xfvchdhhd" localSheetId="26" hidden="1">{"Econ Consolidado",#N/A,FALSE,"Econ Consol";"Fluxo de Caixa",#N/A,FALSE,"Fluxo Caixa";"Investimentos",#N/A,FALSE,"Investimentos"}</definedName>
    <definedName name="xfvchdhhd" localSheetId="11" hidden="1">{"Econ Consolidado",#N/A,FALSE,"Econ Consol";"Fluxo de Caixa",#N/A,FALSE,"Fluxo Caixa";"Investimentos",#N/A,FALSE,"Investimentos"}</definedName>
    <definedName name="xfvchdhhd" hidden="1">{"Econ Consolidado",#N/A,FALSE,"Econ Consol";"Fluxo de Caixa",#N/A,FALSE,"Fluxo Caixa";"Investimentos",#N/A,FALSE,"Investimentos"}</definedName>
    <definedName name="xfvgcfgt" localSheetId="24" hidden="1">{#N/A,#N/A,FALSE,"Plan1";#N/A,#N/A,FALSE,"Plan2"}</definedName>
    <definedName name="xfvgcfgt" localSheetId="7" hidden="1">{#N/A,#N/A,FALSE,"Plan1";#N/A,#N/A,FALSE,"Plan2"}</definedName>
    <definedName name="xfvgcfgt" localSheetId="9" hidden="1">{#N/A,#N/A,FALSE,"Plan1";#N/A,#N/A,FALSE,"Plan2"}</definedName>
    <definedName name="xfvgcfgt" localSheetId="3" hidden="1">{#N/A,#N/A,FALSE,"Plan1";#N/A,#N/A,FALSE,"Plan2"}</definedName>
    <definedName name="xfvgcfgt" localSheetId="2" hidden="1">{#N/A,#N/A,FALSE,"Plan1";#N/A,#N/A,FALSE,"Plan2"}</definedName>
    <definedName name="xfvgcfgt" localSheetId="16" hidden="1">{#N/A,#N/A,FALSE,"Plan1";#N/A,#N/A,FALSE,"Plan2"}</definedName>
    <definedName name="xfvgcfgt" localSheetId="0" hidden="1">{#N/A,#N/A,FALSE,"Plan1";#N/A,#N/A,FALSE,"Plan2"}</definedName>
    <definedName name="xfvgcfgt" localSheetId="26" hidden="1">{#N/A,#N/A,FALSE,"Plan1";#N/A,#N/A,FALSE,"Plan2"}</definedName>
    <definedName name="xfvgcfgt" localSheetId="11" hidden="1">{#N/A,#N/A,FALSE,"Plan1";#N/A,#N/A,FALSE,"Plan2"}</definedName>
    <definedName name="xfvgcfgt" hidden="1">{#N/A,#N/A,FALSE,"Plan1";#N/A,#N/A,FALSE,"Plan2"}</definedName>
    <definedName name="xgrg" localSheetId="24" hidden="1">{#N/A,#N/A,FALSE,"Plan1";#N/A,#N/A,FALSE,"Plan2"}</definedName>
    <definedName name="xgrg" localSheetId="7" hidden="1">{#N/A,#N/A,FALSE,"Plan1";#N/A,#N/A,FALSE,"Plan2"}</definedName>
    <definedName name="xgrg" localSheetId="9" hidden="1">{#N/A,#N/A,FALSE,"Plan1";#N/A,#N/A,FALSE,"Plan2"}</definedName>
    <definedName name="xgrg" localSheetId="3" hidden="1">{#N/A,#N/A,FALSE,"Plan1";#N/A,#N/A,FALSE,"Plan2"}</definedName>
    <definedName name="xgrg" localSheetId="2" hidden="1">{#N/A,#N/A,FALSE,"Plan1";#N/A,#N/A,FALSE,"Plan2"}</definedName>
    <definedName name="xgrg" localSheetId="16" hidden="1">{#N/A,#N/A,FALSE,"Plan1";#N/A,#N/A,FALSE,"Plan2"}</definedName>
    <definedName name="xgrg" localSheetId="0" hidden="1">{#N/A,#N/A,FALSE,"Plan1";#N/A,#N/A,FALSE,"Plan2"}</definedName>
    <definedName name="xgrg" localSheetId="26" hidden="1">{#N/A,#N/A,FALSE,"Plan1";#N/A,#N/A,FALSE,"Plan2"}</definedName>
    <definedName name="xgrg" localSheetId="11" hidden="1">{#N/A,#N/A,FALSE,"Plan1";#N/A,#N/A,FALSE,"Plan2"}</definedName>
    <definedName name="xgrg" hidden="1">{#N/A,#N/A,FALSE,"Plan1";#N/A,#N/A,FALSE,"Plan2"}</definedName>
    <definedName name="XI" localSheetId="7">#REF!</definedName>
    <definedName name="XI" localSheetId="9">#REF!</definedName>
    <definedName name="XI" localSheetId="3">#REF!</definedName>
    <definedName name="XI">#REF!</definedName>
    <definedName name="XII" localSheetId="7">#REF!</definedName>
    <definedName name="XII" localSheetId="3">#REF!</definedName>
    <definedName name="XII">#REF!</definedName>
    <definedName name="XIII" localSheetId="7">#REF!</definedName>
    <definedName name="XIII" localSheetId="3">#REF!</definedName>
    <definedName name="XIII">#REF!</definedName>
    <definedName name="XITEM" localSheetId="7">#REF!</definedName>
    <definedName name="XITEM" localSheetId="3">#REF!</definedName>
    <definedName name="XITEM">#REF!</definedName>
    <definedName name="XIV" localSheetId="7">#REF!</definedName>
    <definedName name="XIV" localSheetId="3">#REF!</definedName>
    <definedName name="XIV">#REF!</definedName>
    <definedName name="XLOC" localSheetId="7">#REF!</definedName>
    <definedName name="XLOC" localSheetId="3">#REF!</definedName>
    <definedName name="XLOC">#REF!</definedName>
    <definedName name="xmght" localSheetId="24" hidden="1">{#N/A,#N/A,FALSE,"Plan1";#N/A,#N/A,FALSE,"Plan2"}</definedName>
    <definedName name="xmght" localSheetId="7" hidden="1">{#N/A,#N/A,FALSE,"Plan1";#N/A,#N/A,FALSE,"Plan2"}</definedName>
    <definedName name="xmght" localSheetId="9" hidden="1">{#N/A,#N/A,FALSE,"Plan1";#N/A,#N/A,FALSE,"Plan2"}</definedName>
    <definedName name="xmght" localSheetId="3" hidden="1">{#N/A,#N/A,FALSE,"Plan1";#N/A,#N/A,FALSE,"Plan2"}</definedName>
    <definedName name="xmght" localSheetId="2" hidden="1">{#N/A,#N/A,FALSE,"Plan1";#N/A,#N/A,FALSE,"Plan2"}</definedName>
    <definedName name="xmght" localSheetId="16" hidden="1">{#N/A,#N/A,FALSE,"Plan1";#N/A,#N/A,FALSE,"Plan2"}</definedName>
    <definedName name="xmght" localSheetId="0" hidden="1">{#N/A,#N/A,FALSE,"Plan1";#N/A,#N/A,FALSE,"Plan2"}</definedName>
    <definedName name="xmght" localSheetId="26" hidden="1">{#N/A,#N/A,FALSE,"Plan1";#N/A,#N/A,FALSE,"Plan2"}</definedName>
    <definedName name="xmght" localSheetId="11" hidden="1">{#N/A,#N/A,FALSE,"Plan1";#N/A,#N/A,FALSE,"Plan2"}</definedName>
    <definedName name="xmght" hidden="1">{#N/A,#N/A,FALSE,"Plan1";#N/A,#N/A,FALSE,"Plan2"}</definedName>
    <definedName name="xnInforme_quantos_bebedouros____bebqt__if_bebqt__0__xlQt.bebedouros_invalida___ENTER_p_reinformar__xresp__branch_rqtderv" localSheetId="24">#REF!</definedName>
    <definedName name="xnInforme_quantos_bebedouros____bebqt__if_bebqt__0__xlQt.bebedouros_invalida___ENTER_p_reinformar__xresp__branch_rqtderv" localSheetId="7">#REF!</definedName>
    <definedName name="xnInforme_quantos_bebedouros____bebqt__if_bebqt__0__xlQt.bebedouros_invalida___ENTER_p_reinformar__xresp__branch_rqtderv" localSheetId="3">#REF!</definedName>
    <definedName name="xnInforme_quantos_bebedouros____bebqt__if_bebqt__0__xlQt.bebedouros_invalida___ENTER_p_reinformar__xresp__branch_rqtderv" localSheetId="26">#REF!</definedName>
    <definedName name="xnInforme_quantos_bebedouros____bebqt__if_bebqt__0__xlQt.bebedouros_invalida___ENTER_p_reinformar__xresp__branch_rqtderv">#REF!</definedName>
    <definedName name="XNUCOPIAS" localSheetId="7">#REF!</definedName>
    <definedName name="XNUCOPIAS" localSheetId="3">#REF!</definedName>
    <definedName name="XNUCOPIAS">#REF!</definedName>
    <definedName name="xo" localSheetId="24" hidden="1">{#N/A,#N/A,FALSE,"Global by BU";#N/A,#N/A,FALSE,"U.S. by BU";#N/A,#N/A,FALSE,"Canada by BU";#N/A,#N/A,FALSE,"Europe by BU";#N/A,#N/A,FALSE,"Asia by BU";#N/A,#N/A,FALSE,"Cala by BU"}</definedName>
    <definedName name="xo" localSheetId="7" hidden="1">{#N/A,#N/A,FALSE,"Global by BU";#N/A,#N/A,FALSE,"U.S. by BU";#N/A,#N/A,FALSE,"Canada by BU";#N/A,#N/A,FALSE,"Europe by BU";#N/A,#N/A,FALSE,"Asia by BU";#N/A,#N/A,FALSE,"Cala by BU"}</definedName>
    <definedName name="xo" localSheetId="9" hidden="1">{#N/A,#N/A,FALSE,"Global by BU";#N/A,#N/A,FALSE,"U.S. by BU";#N/A,#N/A,FALSE,"Canada by BU";#N/A,#N/A,FALSE,"Europe by BU";#N/A,#N/A,FALSE,"Asia by BU";#N/A,#N/A,FALSE,"Cala by BU"}</definedName>
    <definedName name="xo" localSheetId="3" hidden="1">{#N/A,#N/A,FALSE,"Global by BU";#N/A,#N/A,FALSE,"U.S. by BU";#N/A,#N/A,FALSE,"Canada by BU";#N/A,#N/A,FALSE,"Europe by BU";#N/A,#N/A,FALSE,"Asia by BU";#N/A,#N/A,FALSE,"Cala by BU"}</definedName>
    <definedName name="xo" localSheetId="2" hidden="1">{#N/A,#N/A,FALSE,"Global by BU";#N/A,#N/A,FALSE,"U.S. by BU";#N/A,#N/A,FALSE,"Canada by BU";#N/A,#N/A,FALSE,"Europe by BU";#N/A,#N/A,FALSE,"Asia by BU";#N/A,#N/A,FALSE,"Cala by BU"}</definedName>
    <definedName name="xo" localSheetId="16" hidden="1">{#N/A,#N/A,FALSE,"Global by BU";#N/A,#N/A,FALSE,"U.S. by BU";#N/A,#N/A,FALSE,"Canada by BU";#N/A,#N/A,FALSE,"Europe by BU";#N/A,#N/A,FALSE,"Asia by BU";#N/A,#N/A,FALSE,"Cala by BU"}</definedName>
    <definedName name="xo" localSheetId="0" hidden="1">{#N/A,#N/A,FALSE,"Global by BU";#N/A,#N/A,FALSE,"U.S. by BU";#N/A,#N/A,FALSE,"Canada by BU";#N/A,#N/A,FALSE,"Europe by BU";#N/A,#N/A,FALSE,"Asia by BU";#N/A,#N/A,FALSE,"Cala by BU"}</definedName>
    <definedName name="xo" localSheetId="26" hidden="1">{#N/A,#N/A,FALSE,"Global by BU";#N/A,#N/A,FALSE,"U.S. by BU";#N/A,#N/A,FALSE,"Canada by BU";#N/A,#N/A,FALSE,"Europe by BU";#N/A,#N/A,FALSE,"Asia by BU";#N/A,#N/A,FALSE,"Cala by BU"}</definedName>
    <definedName name="xo" localSheetId="11" hidden="1">{#N/A,#N/A,FALSE,"Global by BU";#N/A,#N/A,FALSE,"U.S. by BU";#N/A,#N/A,FALSE,"Canada by BU";#N/A,#N/A,FALSE,"Europe by BU";#N/A,#N/A,FALSE,"Asia by BU";#N/A,#N/A,FALSE,"Cala by BU"}</definedName>
    <definedName name="xo" hidden="1">{#N/A,#N/A,FALSE,"Global by BU";#N/A,#N/A,FALSE,"U.S. by BU";#N/A,#N/A,FALSE,"Canada by BU";#N/A,#N/A,FALSE,"Europe by BU";#N/A,#N/A,FALSE,"Asia by BU";#N/A,#N/A,FALSE,"Cala by BU"}</definedName>
    <definedName name="XREF_COLUMN_1" localSheetId="7" hidden="1">#REF!</definedName>
    <definedName name="XREF_COLUMN_1" localSheetId="3" hidden="1">#REF!</definedName>
    <definedName name="XREF_COLUMN_1" localSheetId="0" hidden="1">#REF!</definedName>
    <definedName name="XREF_COLUMN_1" hidden="1">#REF!</definedName>
    <definedName name="XREF_COLUMN_2" localSheetId="7" hidden="1">#REF!</definedName>
    <definedName name="XREF_COLUMN_2" localSheetId="3" hidden="1">#REF!</definedName>
    <definedName name="XREF_COLUMN_2" localSheetId="0" hidden="1">#REF!</definedName>
    <definedName name="XREF_COLUMN_2" hidden="1">#REF!</definedName>
    <definedName name="XREF_COLUMN_3" localSheetId="7" hidden="1">#REF!</definedName>
    <definedName name="XREF_COLUMN_3" hidden="1">#REF!</definedName>
    <definedName name="XREF_COLUMN_4" localSheetId="7" hidden="1">#REF!</definedName>
    <definedName name="XREF_COLUMN_4" hidden="1">#REF!</definedName>
    <definedName name="XRefColumnsCount" hidden="1">1</definedName>
    <definedName name="XRefCopy2" localSheetId="7" hidden="1">#REF!</definedName>
    <definedName name="XRefCopy2" localSheetId="9" hidden="1">#REF!</definedName>
    <definedName name="XRefCopy2" localSheetId="3" hidden="1">#REF!</definedName>
    <definedName name="XRefCopy2" hidden="1">#REF!</definedName>
    <definedName name="XRefCopy3Row" localSheetId="7" hidden="1">#REF!</definedName>
    <definedName name="XRefCopy3Row" localSheetId="3" hidden="1">#REF!</definedName>
    <definedName name="XRefCopy3Row" localSheetId="0" hidden="1">#REF!</definedName>
    <definedName name="XRefCopy3Row" hidden="1">#REF!</definedName>
    <definedName name="XRefCopy4Row" hidden="1">#REF!</definedName>
    <definedName name="XRefCopy6" hidden="1">#REF!</definedName>
    <definedName name="XRefCopyRangeCount" hidden="1">1</definedName>
    <definedName name="XRefPaste2" localSheetId="7" hidden="1">#REF!</definedName>
    <definedName name="XRefPaste2" localSheetId="9" hidden="1">#REF!</definedName>
    <definedName name="XRefPaste2" localSheetId="3" hidden="1">#REF!</definedName>
    <definedName name="XRefPaste2" hidden="1">#REF!</definedName>
    <definedName name="XRefPaste4" localSheetId="7" hidden="1">#REF!</definedName>
    <definedName name="XRefPaste4" localSheetId="3" hidden="1">#REF!</definedName>
    <definedName name="XRefPaste4" hidden="1">#REF!</definedName>
    <definedName name="XRefPaste5" hidden="1">#REF!</definedName>
    <definedName name="XRefPaste6" hidden="1">#REF!</definedName>
    <definedName name="XRefPaste7Row" hidden="1">#REF!</definedName>
    <definedName name="XRefPasteRangeCount" hidden="1">1</definedName>
    <definedName name="XRESP" localSheetId="24">#REF!</definedName>
    <definedName name="XRESP" localSheetId="7">#REF!</definedName>
    <definedName name="XRESP" localSheetId="3">#REF!</definedName>
    <definedName name="XRESP" localSheetId="26">#REF!</definedName>
    <definedName name="XRESP">#REF!</definedName>
    <definedName name="XTITRES" localSheetId="7">#REF!</definedName>
    <definedName name="XTITRES" localSheetId="3">#REF!</definedName>
    <definedName name="XTITRES">#REF!</definedName>
    <definedName name="XV" localSheetId="7">#REF!</definedName>
    <definedName name="XV" localSheetId="3">#REF!</definedName>
    <definedName name="XV">#REF!</definedName>
    <definedName name="xx" localSheetId="7" hidden="1">#REF!</definedName>
    <definedName name="XX" localSheetId="3">#REF!</definedName>
    <definedName name="xx" localSheetId="0" hidden="1">#REF!</definedName>
    <definedName name="XX">#REF!</definedName>
    <definedName name="XXI" localSheetId="7">#REF!</definedName>
    <definedName name="XXI" localSheetId="3">#REF!</definedName>
    <definedName name="XXI">#REF!</definedName>
    <definedName name="XXII" localSheetId="7">#REF!</definedName>
    <definedName name="XXII" localSheetId="3">#REF!</definedName>
    <definedName name="XXII">#REF!</definedName>
    <definedName name="XXIII" localSheetId="7">#REF!</definedName>
    <definedName name="XXIII" localSheetId="3">#REF!</definedName>
    <definedName name="XXIII">#REF!</definedName>
    <definedName name="XXIV" localSheetId="7">#REF!</definedName>
    <definedName name="XXIV" localSheetId="3">#REF!</definedName>
    <definedName name="XXIV">#REF!</definedName>
    <definedName name="XXV" localSheetId="7">#REF!</definedName>
    <definedName name="XXV" localSheetId="3">#REF!</definedName>
    <definedName name="XXV">#REF!</definedName>
    <definedName name="XXX" localSheetId="24">#REF!</definedName>
    <definedName name="xxx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localSheetId="3">#REF!</definedName>
    <definedName name="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>#REF!</definedName>
    <definedName name="XXXI" localSheetId="7">#REF!</definedName>
    <definedName name="XXXI" localSheetId="9">#REF!</definedName>
    <definedName name="XXXI" localSheetId="3">#REF!</definedName>
    <definedName name="XXXI">#REF!</definedName>
    <definedName name="XXXII" localSheetId="7">#REF!</definedName>
    <definedName name="XXXII" localSheetId="3">#REF!</definedName>
    <definedName name="XXXII">#REF!</definedName>
    <definedName name="XXXIII" localSheetId="7">#REF!</definedName>
    <definedName name="XXXIII" localSheetId="3">#REF!</definedName>
    <definedName name="XXXIII">#REF!</definedName>
    <definedName name="XXXIV" localSheetId="7">#REF!</definedName>
    <definedName name="XXXIV" localSheetId="3">#REF!</definedName>
    <definedName name="XXXIV">#REF!</definedName>
    <definedName name="XXXIX" localSheetId="7">#REF!</definedName>
    <definedName name="XXXIX" localSheetId="3">#REF!</definedName>
    <definedName name="XXXIX">#REF!</definedName>
    <definedName name="XXXV" localSheetId="7">#REF!</definedName>
    <definedName name="XXXV" localSheetId="3">#REF!</definedName>
    <definedName name="XXXV">#REF!</definedName>
    <definedName name="XXXVI" localSheetId="7">#REF!</definedName>
    <definedName name="XXXVI" localSheetId="3">#REF!</definedName>
    <definedName name="XXXVI">#REF!</definedName>
    <definedName name="XXXVII" localSheetId="7">#REF!</definedName>
    <definedName name="XXXVII" localSheetId="3">#REF!</definedName>
    <definedName name="XXXVII">#REF!</definedName>
    <definedName name="XXXVIII" localSheetId="7">#REF!</definedName>
    <definedName name="XXXVIII" localSheetId="3">#REF!</definedName>
    <definedName name="XXXVIII">#REF!</definedName>
    <definedName name="xxxx" localSheetId="24">#REF!</definedName>
    <definedName name="xxxx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5">#REF!</definedName>
    <definedName name="xxxx" localSheetId="9">#REF!</definedName>
    <definedName name="xxxx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 localSheetId="2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7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9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1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26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 localSheetId="7" hidden="1">{"'Edit'!$A$1:$V$2277"}</definedName>
    <definedName name="xxxxxxxxxxxx" localSheetId="9" hidden="1">{"'Edit'!$A$1:$V$2277"}</definedName>
    <definedName name="xxxxxxxxxxxx" localSheetId="3">#REF!</definedName>
    <definedName name="xxxxxxxxxxxx" localSheetId="0" hidden="1">{"'Edit'!$A$1:$V$2277"}</definedName>
    <definedName name="xxxxxxxxxxxx">#REF!</definedName>
    <definedName name="xxxxxxxxxxxxxx" localSheetId="24" hidden="1">{#N/A,#N/A,FALSE,"Plan1";#N/A,#N/A,FALSE,"Plan2"}</definedName>
    <definedName name="xxxxxxxxxxxxxx" localSheetId="7" hidden="1">{#N/A,#N/A,FALSE,"Plan1";#N/A,#N/A,FALSE,"Plan2"}</definedName>
    <definedName name="xxxxxxxxxxxxxx" localSheetId="9" hidden="1">{#N/A,#N/A,FALSE,"Plan1";#N/A,#N/A,FALSE,"Plan2"}</definedName>
    <definedName name="xxxxxxxxxxxxxx" localSheetId="3" hidden="1">{#N/A,#N/A,FALSE,"Plan1";#N/A,#N/A,FALSE,"Plan2"}</definedName>
    <definedName name="xxxxxxxxxxxxxx" localSheetId="2" hidden="1">{#N/A,#N/A,FALSE,"Plan1";#N/A,#N/A,FALSE,"Plan2"}</definedName>
    <definedName name="xxxxxxxxxxxxxx" localSheetId="16" hidden="1">{#N/A,#N/A,FALSE,"Plan1";#N/A,#N/A,FALSE,"Plan2"}</definedName>
    <definedName name="xxxxxxxxxxxxxx" localSheetId="0" hidden="1">{#N/A,#N/A,FALSE,"Plan1";#N/A,#N/A,FALSE,"Plan2"}</definedName>
    <definedName name="xxxxxxxxxxxxxx" localSheetId="26" hidden="1">{#N/A,#N/A,FALSE,"Plan1";#N/A,#N/A,FALSE,"Plan2"}</definedName>
    <definedName name="xxxxxxxxxxxxxx" localSheetId="11" hidden="1">{#N/A,#N/A,FALSE,"Plan1";#N/A,#N/A,FALSE,"Plan2"}</definedName>
    <definedName name="xxxxxxxxxxxxxx" hidden="1">{#N/A,#N/A,FALSE,"Plan1";#N/A,#N/A,FALSE,"Plan2"}</definedName>
    <definedName name="xzfrt" localSheetId="24" hidden="1">{#N/A,#N/A,FALSE,"Plan1";#N/A,#N/A,FALSE,"Plan2"}</definedName>
    <definedName name="xzfrt" localSheetId="7" hidden="1">{#N/A,#N/A,FALSE,"Plan1";#N/A,#N/A,FALSE,"Plan2"}</definedName>
    <definedName name="xzfrt" localSheetId="9" hidden="1">{#N/A,#N/A,FALSE,"Plan1";#N/A,#N/A,FALSE,"Plan2"}</definedName>
    <definedName name="xzfrt" localSheetId="3" hidden="1">{#N/A,#N/A,FALSE,"Plan1";#N/A,#N/A,FALSE,"Plan2"}</definedName>
    <definedName name="xzfrt" localSheetId="2" hidden="1">{#N/A,#N/A,FALSE,"Plan1";#N/A,#N/A,FALSE,"Plan2"}</definedName>
    <definedName name="xzfrt" localSheetId="16" hidden="1">{#N/A,#N/A,FALSE,"Plan1";#N/A,#N/A,FALSE,"Plan2"}</definedName>
    <definedName name="xzfrt" localSheetId="0" hidden="1">{#N/A,#N/A,FALSE,"Plan1";#N/A,#N/A,FALSE,"Plan2"}</definedName>
    <definedName name="xzfrt" localSheetId="26" hidden="1">{#N/A,#N/A,FALSE,"Plan1";#N/A,#N/A,FALSE,"Plan2"}</definedName>
    <definedName name="xzfrt" localSheetId="11" hidden="1">{#N/A,#N/A,FALSE,"Plan1";#N/A,#N/A,FALSE,"Plan2"}</definedName>
    <definedName name="xzfrt" hidden="1">{#N/A,#N/A,FALSE,"Plan1";#N/A,#N/A,FALSE,"Plan2"}</definedName>
    <definedName name="yeitrtged" localSheetId="24" hidden="1">{#N/A,#N/A,FALSE,"Plan1";#N/A,#N/A,FALSE,"Plan2"}</definedName>
    <definedName name="yeitrtged" localSheetId="7" hidden="1">{#N/A,#N/A,FALSE,"Plan1";#N/A,#N/A,FALSE,"Plan2"}</definedName>
    <definedName name="yeitrtged" localSheetId="9" hidden="1">{#N/A,#N/A,FALSE,"Plan1";#N/A,#N/A,FALSE,"Plan2"}</definedName>
    <definedName name="yeitrtged" localSheetId="3" hidden="1">{#N/A,#N/A,FALSE,"Plan1";#N/A,#N/A,FALSE,"Plan2"}</definedName>
    <definedName name="yeitrtged" localSheetId="2" hidden="1">{#N/A,#N/A,FALSE,"Plan1";#N/A,#N/A,FALSE,"Plan2"}</definedName>
    <definedName name="yeitrtged" localSheetId="16" hidden="1">{#N/A,#N/A,FALSE,"Plan1";#N/A,#N/A,FALSE,"Plan2"}</definedName>
    <definedName name="yeitrtged" localSheetId="0" hidden="1">{#N/A,#N/A,FALSE,"Plan1";#N/A,#N/A,FALSE,"Plan2"}</definedName>
    <definedName name="yeitrtged" localSheetId="26" hidden="1">{#N/A,#N/A,FALSE,"Plan1";#N/A,#N/A,FALSE,"Plan2"}</definedName>
    <definedName name="yeitrtged" localSheetId="11" hidden="1">{#N/A,#N/A,FALSE,"Plan1";#N/A,#N/A,FALSE,"Plan2"}</definedName>
    <definedName name="yeitrtged" hidden="1">{#N/A,#N/A,FALSE,"Plan1";#N/A,#N/A,FALSE,"Plan2"}</definedName>
    <definedName name="yhdfiuygrui" localSheetId="24" hidden="1">{#N/A,#N/A,FALSE,"Plan1";#N/A,#N/A,FALSE,"Plan2"}</definedName>
    <definedName name="yhdfiuygrui" localSheetId="7" hidden="1">{#N/A,#N/A,FALSE,"Plan1";#N/A,#N/A,FALSE,"Plan2"}</definedName>
    <definedName name="yhdfiuygrui" localSheetId="9" hidden="1">{#N/A,#N/A,FALSE,"Plan1";#N/A,#N/A,FALSE,"Plan2"}</definedName>
    <definedName name="yhdfiuygrui" localSheetId="3" hidden="1">{#N/A,#N/A,FALSE,"Plan1";#N/A,#N/A,FALSE,"Plan2"}</definedName>
    <definedName name="yhdfiuygrui" localSheetId="2" hidden="1">{#N/A,#N/A,FALSE,"Plan1";#N/A,#N/A,FALSE,"Plan2"}</definedName>
    <definedName name="yhdfiuygrui" localSheetId="16" hidden="1">{#N/A,#N/A,FALSE,"Plan1";#N/A,#N/A,FALSE,"Plan2"}</definedName>
    <definedName name="yhdfiuygrui" localSheetId="0" hidden="1">{#N/A,#N/A,FALSE,"Plan1";#N/A,#N/A,FALSE,"Plan2"}</definedName>
    <definedName name="yhdfiuygrui" localSheetId="26" hidden="1">{#N/A,#N/A,FALSE,"Plan1";#N/A,#N/A,FALSE,"Plan2"}</definedName>
    <definedName name="yhdfiuygrui" localSheetId="11" hidden="1">{#N/A,#N/A,FALSE,"Plan1";#N/A,#N/A,FALSE,"Plan2"}</definedName>
    <definedName name="yhdfiuygrui" hidden="1">{#N/A,#N/A,FALSE,"Plan1";#N/A,#N/A,FALSE,"Plan2"}</definedName>
    <definedName name="YRGUYDRIY" localSheetId="24" hidden="1">{"Econ Consolidado",#N/A,FALSE,"Econ Consol";"Fluxo de Caixa",#N/A,FALSE,"Fluxo Caixa";"Investimentos",#N/A,FALSE,"Investimentos"}</definedName>
    <definedName name="YRGUYDRIY" localSheetId="7" hidden="1">{"Econ Consolidado",#N/A,FALSE,"Econ Consol";"Fluxo de Caixa",#N/A,FALSE,"Fluxo Caixa";"Investimentos",#N/A,FALSE,"Investimentos"}</definedName>
    <definedName name="YRGUYDRIY" localSheetId="9" hidden="1">{"Econ Consolidado",#N/A,FALSE,"Econ Consol";"Fluxo de Caixa",#N/A,FALSE,"Fluxo Caixa";"Investimentos",#N/A,FALSE,"Investimentos"}</definedName>
    <definedName name="YRGUYDRIY" localSheetId="3" hidden="1">{"Econ Consolidado",#N/A,FALSE,"Econ Consol";"Fluxo de Caixa",#N/A,FALSE,"Fluxo Caixa";"Investimentos",#N/A,FALSE,"Investimentos"}</definedName>
    <definedName name="YRGUYDRIY" localSheetId="2" hidden="1">{"Econ Consolidado",#N/A,FALSE,"Econ Consol";"Fluxo de Caixa",#N/A,FALSE,"Fluxo Caixa";"Investimentos",#N/A,FALSE,"Investimentos"}</definedName>
    <definedName name="YRGUYDRIY" localSheetId="16" hidden="1">{"Econ Consolidado",#N/A,FALSE,"Econ Consol";"Fluxo de Caixa",#N/A,FALSE,"Fluxo Caixa";"Investimentos",#N/A,FALSE,"Investimentos"}</definedName>
    <definedName name="YRGUYDRIY" localSheetId="0" hidden="1">{"Econ Consolidado",#N/A,FALSE,"Econ Consol";"Fluxo de Caixa",#N/A,FALSE,"Fluxo Caixa";"Investimentos",#N/A,FALSE,"Investimentos"}</definedName>
    <definedName name="YRGUYDRIY" localSheetId="26" hidden="1">{"Econ Consolidado",#N/A,FALSE,"Econ Consol";"Fluxo de Caixa",#N/A,FALSE,"Fluxo Caixa";"Investimentos",#N/A,FALSE,"Investimentos"}</definedName>
    <definedName name="YRGUYDRIY" localSheetId="11" hidden="1">{"Econ Consolidado",#N/A,FALSE,"Econ Consol";"Fluxo de Caixa",#N/A,FALSE,"Fluxo Caixa";"Investimentos",#N/A,FALSE,"Investimentos"}</definedName>
    <definedName name="YRGUYDRIY" hidden="1">{"Econ Consolidado",#N/A,FALSE,"Econ Consol";"Fluxo de Caixa",#N/A,FALSE,"Fluxo Caixa";"Investimentos",#N/A,FALSE,"Investimentos"}</definedName>
    <definedName name="ytdju" localSheetId="24">#REF!</definedName>
    <definedName name="ytdju" localSheetId="7">#REF!</definedName>
    <definedName name="ytdju" localSheetId="3">#REF!</definedName>
    <definedName name="ytdju" localSheetId="26">#REF!</definedName>
    <definedName name="ytdju">#REF!</definedName>
    <definedName name="yuegursdmksf" localSheetId="24" hidden="1">{#N/A,#N/A,FALSE,"Plan1";#N/A,#N/A,FALSE,"Plan2"}</definedName>
    <definedName name="yuegursdmksf" localSheetId="7" hidden="1">{#N/A,#N/A,FALSE,"Plan1";#N/A,#N/A,FALSE,"Plan2"}</definedName>
    <definedName name="yuegursdmksf" localSheetId="9" hidden="1">{#N/A,#N/A,FALSE,"Plan1";#N/A,#N/A,FALSE,"Plan2"}</definedName>
    <definedName name="yuegursdmksf" localSheetId="3" hidden="1">{#N/A,#N/A,FALSE,"Plan1";#N/A,#N/A,FALSE,"Plan2"}</definedName>
    <definedName name="yuegursdmksf" localSheetId="2" hidden="1">{#N/A,#N/A,FALSE,"Plan1";#N/A,#N/A,FALSE,"Plan2"}</definedName>
    <definedName name="yuegursdmksf" localSheetId="16" hidden="1">{#N/A,#N/A,FALSE,"Plan1";#N/A,#N/A,FALSE,"Plan2"}</definedName>
    <definedName name="yuegursdmksf" localSheetId="0" hidden="1">{#N/A,#N/A,FALSE,"Plan1";#N/A,#N/A,FALSE,"Plan2"}</definedName>
    <definedName name="yuegursdmksf" localSheetId="26" hidden="1">{#N/A,#N/A,FALSE,"Plan1";#N/A,#N/A,FALSE,"Plan2"}</definedName>
    <definedName name="yuegursdmksf" localSheetId="11" hidden="1">{#N/A,#N/A,FALSE,"Plan1";#N/A,#N/A,FALSE,"Plan2"}</definedName>
    <definedName name="yuegursdmksf" hidden="1">{#N/A,#N/A,FALSE,"Plan1";#N/A,#N/A,FALSE,"Plan2"}</definedName>
    <definedName name="yuekl4fr" localSheetId="24" hidden="1">{#N/A,#N/A,FALSE,"Plan1";#N/A,#N/A,FALSE,"Plan2"}</definedName>
    <definedName name="yuekl4fr" localSheetId="7" hidden="1">{#N/A,#N/A,FALSE,"Plan1";#N/A,#N/A,FALSE,"Plan2"}</definedName>
    <definedName name="yuekl4fr" localSheetId="9" hidden="1">{#N/A,#N/A,FALSE,"Plan1";#N/A,#N/A,FALSE,"Plan2"}</definedName>
    <definedName name="yuekl4fr" localSheetId="3" hidden="1">{#N/A,#N/A,FALSE,"Plan1";#N/A,#N/A,FALSE,"Plan2"}</definedName>
    <definedName name="yuekl4fr" localSheetId="2" hidden="1">{#N/A,#N/A,FALSE,"Plan1";#N/A,#N/A,FALSE,"Plan2"}</definedName>
    <definedName name="yuekl4fr" localSheetId="16" hidden="1">{#N/A,#N/A,FALSE,"Plan1";#N/A,#N/A,FALSE,"Plan2"}</definedName>
    <definedName name="yuekl4fr" localSheetId="0" hidden="1">{#N/A,#N/A,FALSE,"Plan1";#N/A,#N/A,FALSE,"Plan2"}</definedName>
    <definedName name="yuekl4fr" localSheetId="26" hidden="1">{#N/A,#N/A,FALSE,"Plan1";#N/A,#N/A,FALSE,"Plan2"}</definedName>
    <definedName name="yuekl4fr" localSheetId="11" hidden="1">{#N/A,#N/A,FALSE,"Plan1";#N/A,#N/A,FALSE,"Plan2"}</definedName>
    <definedName name="yuekl4fr" hidden="1">{#N/A,#N/A,FALSE,"Plan1";#N/A,#N/A,FALSE,"Plan2"}</definedName>
    <definedName name="yureytuyrea" localSheetId="24" hidden="1">{#N/A,#N/A,FALSE,"Plan1";#N/A,#N/A,FALSE,"Plan2"}</definedName>
    <definedName name="yureytuyrea" localSheetId="7" hidden="1">{#N/A,#N/A,FALSE,"Plan1";#N/A,#N/A,FALSE,"Plan2"}</definedName>
    <definedName name="yureytuyrea" localSheetId="9" hidden="1">{#N/A,#N/A,FALSE,"Plan1";#N/A,#N/A,FALSE,"Plan2"}</definedName>
    <definedName name="yureytuyrea" localSheetId="3" hidden="1">{#N/A,#N/A,FALSE,"Plan1";#N/A,#N/A,FALSE,"Plan2"}</definedName>
    <definedName name="yureytuyrea" localSheetId="2" hidden="1">{#N/A,#N/A,FALSE,"Plan1";#N/A,#N/A,FALSE,"Plan2"}</definedName>
    <definedName name="yureytuyrea" localSheetId="16" hidden="1">{#N/A,#N/A,FALSE,"Plan1";#N/A,#N/A,FALSE,"Plan2"}</definedName>
    <definedName name="yureytuyrea" localSheetId="0" hidden="1">{#N/A,#N/A,FALSE,"Plan1";#N/A,#N/A,FALSE,"Plan2"}</definedName>
    <definedName name="yureytuyrea" localSheetId="26" hidden="1">{#N/A,#N/A,FALSE,"Plan1";#N/A,#N/A,FALSE,"Plan2"}</definedName>
    <definedName name="yureytuyrea" localSheetId="11" hidden="1">{#N/A,#N/A,FALSE,"Plan1";#N/A,#N/A,FALSE,"Plan2"}</definedName>
    <definedName name="yureytuyrea" hidden="1">{#N/A,#N/A,FALSE,"Plan1";#N/A,#N/A,FALSE,"Plan2"}</definedName>
    <definedName name="z" localSheetId="24" hidden="1">{"'Estimativa de Lançamento-JAN'!$A$1:$AI$85"}</definedName>
    <definedName name="z" localSheetId="7" hidden="1">{"'Estimativa de Lançamento-JAN'!$A$1:$AI$85"}</definedName>
    <definedName name="z" localSheetId="9" hidden="1">{"'Estimativa de Lançamento-JAN'!$A$1:$AI$85"}</definedName>
    <definedName name="z" localSheetId="3" hidden="1">{"'Estimativa de Lançamento-JAN'!$A$1:$AI$85"}</definedName>
    <definedName name="z" localSheetId="2" hidden="1">{"'Estimativa de Lançamento-JAN'!$A$1:$AI$85"}</definedName>
    <definedName name="z" localSheetId="16" hidden="1">{"'Estimativa de Lançamento-JAN'!$A$1:$AI$85"}</definedName>
    <definedName name="z" localSheetId="0" hidden="1">{"'Estimativa de Lançamento-JAN'!$A$1:$AI$85"}</definedName>
    <definedName name="z" localSheetId="26" hidden="1">{"'Estimativa de Lançamento-JAN'!$A$1:$AI$85"}</definedName>
    <definedName name="z" localSheetId="11" hidden="1">{"'Estimativa de Lançamento-JAN'!$A$1:$AI$85"}</definedName>
    <definedName name="z" hidden="1">{"'Estimativa de Lançamento-JAN'!$A$1:$AI$85"}</definedName>
    <definedName name="z\djs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localSheetId="7" hidden="1">#REF!</definedName>
    <definedName name="Z_022B7420_7F94_427F_B370_84030F9B3342_.wvu.FilterData" localSheetId="3" hidden="1">#REF!</definedName>
    <definedName name="Z_022B7420_7F94_427F_B370_84030F9B3342_.wvu.FilterData" localSheetId="0" hidden="1">#REF!</definedName>
    <definedName name="Z_022B7420_7F94_427F_B370_84030F9B3342_.wvu.FilterData" hidden="1">#REF!</definedName>
    <definedName name="Z_04BC043C_175B_412D_8093_6F29CD74FBAE_.wvu.FilterData" localSheetId="0" hidden="1">#REF!</definedName>
    <definedName name="Z_04BC043C_175B_412D_8093_6F29CD74FBAE_.wvu.FilterData" hidden="1">#REF!</definedName>
    <definedName name="Z_058B9256_CB4D_4C39_834D_D693FEEB491F_.wvu.FilterData" localSheetId="0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 hidden="1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localSheetId="7" hidden="1">#REF!</definedName>
    <definedName name="Z_14D375AC_5615_46DE_8EE3_95915B2A8B54_.wvu.FilterData" localSheetId="3" hidden="1">#REF!</definedName>
    <definedName name="Z_14D375AC_5615_46DE_8EE3_95915B2A8B54_.wvu.FilterData" localSheetId="0" hidden="1">#REF!</definedName>
    <definedName name="Z_14D375AC_5615_46DE_8EE3_95915B2A8B54_.wvu.FilterData" hidden="1">#REF!</definedName>
    <definedName name="Z_15697660_066E_11D5_AF15_00010242ED40_.wvu.PrintArea" localSheetId="7" hidden="1">#REF!</definedName>
    <definedName name="Z_15697660_066E_11D5_AF15_00010242ED40_.wvu.PrintArea" localSheetId="3" hidden="1">#REF!</definedName>
    <definedName name="Z_15697660_066E_11D5_AF15_00010242ED40_.wvu.PrintArea" localSheetId="0" hidden="1">#REF!</definedName>
    <definedName name="Z_15697660_066E_11D5_AF15_00010242ED40_.wvu.PrintArea" hidden="1">#REF!</definedName>
    <definedName name="Z_15697660_066E_11D5_AF15_00010242ED40_.wvu.PrintTitles" hidden="1">#REF!</definedName>
    <definedName name="Z_15697660_066E_11D5_AF15_00010242ED40_.wvu.Rows" hidden="1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localSheetId="26" hidden="1">#REF!</definedName>
    <definedName name="Z_1D9C37CC_3E33_4D4D_B7CD_819F75C83D65_.wvu.FilterData" hidden="1">#REF!</definedName>
    <definedName name="Z_1DF9838C_880D_4C4E_BFFE_89B5894EC40F_.wvu.FilterData" localSheetId="26" hidden="1">#REF!</definedName>
    <definedName name="Z_1DF9838C_880D_4C4E_BFFE_89B5894EC40F_.wvu.FilterData" hidden="1">#REF!</definedName>
    <definedName name="Z_1EF42BFC_874B_4E01_B67D_1607E823ACD0_.wvu.FilterData" localSheetId="26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 hidden="1">#REF!</definedName>
    <definedName name="Z_4CA4BF7C_65C1_4E25_8563_22DF58586D2C_.wvu.PrintTitles" hidden="1">#REF!</definedName>
    <definedName name="Z_4CA4BF7C_65C1_4E25_8563_22DF58586D2C_.wvu.Rows" hidden="1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 localSheetId="7" hidden="1">#REF!,#REF!</definedName>
    <definedName name="Z_60DF8B29_1C1F_4B50_BDA8_B8E0C7DD04C3_.wvu.Cols" localSheetId="3" hidden="1">#REF!,#REF!</definedName>
    <definedName name="Z_60DF8B29_1C1F_4B50_BDA8_B8E0C7DD04C3_.wvu.Cols" localSheetId="0" hidden="1">#REF!,#REF!</definedName>
    <definedName name="Z_60DF8B29_1C1F_4B50_BDA8_B8E0C7DD04C3_.wvu.Cols" hidden="1">#REF!,#REF!</definedName>
    <definedName name="Z_60DF8B29_1C1F_4B50_BDA8_B8E0C7DD04C3_.wvu.FilterData" localSheetId="7" hidden="1">#REF!</definedName>
    <definedName name="Z_60DF8B29_1C1F_4B50_BDA8_B8E0C7DD04C3_.wvu.FilterData" localSheetId="3" hidden="1">#REF!</definedName>
    <definedName name="Z_60DF8B29_1C1F_4B50_BDA8_B8E0C7DD04C3_.wvu.FilterData" localSheetId="0" hidden="1">#REF!</definedName>
    <definedName name="Z_60DF8B29_1C1F_4B50_BDA8_B8E0C7DD04C3_.wvu.FilterData" hidden="1">#REF!</definedName>
    <definedName name="Z_615F4A4D_D5AB_4A04_81F5_F436484247A5_.wvu.FilterData" localSheetId="0" hidden="1">#REF!</definedName>
    <definedName name="Z_615F4A4D_D5AB_4A04_81F5_F436484247A5_.wvu.FilterData" hidden="1">#REF!</definedName>
    <definedName name="Z_616443B5_6F0D_4082_9223_F71B54305366_.wvu.FilterData" localSheetId="0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 hidden="1">#REF!</definedName>
    <definedName name="Z_9066F505_4944_4582_AAF9_B40B49D59413_.wvu.PrintTitles" hidden="1">#REF!</definedName>
    <definedName name="Z_9066F505_4944_4582_AAF9_B40B49D59413_.wvu.Rows" hidden="1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 hidden="1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 hidden="1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 localSheetId="7" hidden="1">#REF!,#REF!</definedName>
    <definedName name="Z_E3FFE9E0_6C4F_4FB4_A56E_FBE96871B5C8_.wvu.Cols" localSheetId="3" hidden="1">#REF!,#REF!</definedName>
    <definedName name="Z_E3FFE9E0_6C4F_4FB4_A56E_FBE96871B5C8_.wvu.Cols" localSheetId="0" hidden="1">#REF!,#REF!</definedName>
    <definedName name="Z_E3FFE9E0_6C4F_4FB4_A56E_FBE96871B5C8_.wvu.Cols" hidden="1">#REF!,#REF!</definedName>
    <definedName name="Z_E3FFE9E0_6C4F_4FB4_A56E_FBE96871B5C8_.wvu.FilterData" localSheetId="7" hidden="1">#REF!</definedName>
    <definedName name="Z_E3FFE9E0_6C4F_4FB4_A56E_FBE96871B5C8_.wvu.FilterData" localSheetId="3" hidden="1">#REF!</definedName>
    <definedName name="Z_E3FFE9E0_6C4F_4FB4_A56E_FBE96871B5C8_.wvu.FilterData" localSheetId="0" hidden="1">#REF!</definedName>
    <definedName name="Z_E3FFE9E0_6C4F_4FB4_A56E_FBE96871B5C8_.wvu.FilterData" hidden="1">#REF!</definedName>
    <definedName name="Z_E42D429F_E4E8_41D2_9176_83C726BAF8E3_.wvu.FilterData" localSheetId="0" hidden="1">#REF!</definedName>
    <definedName name="Z_E42D429F_E4E8_41D2_9176_83C726BAF8E3_.wvu.FilterData" hidden="1">#REF!</definedName>
    <definedName name="Z_E491B72F_902A_11D7_9C1E_0004231B06E7_.wvu.FilterData" localSheetId="0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 hidden="1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localSheetId="7" hidden="1">#REF!</definedName>
    <definedName name="Z_F9CB3A99_6D24_412C_93C4_575819594890_.wvu.FilterData" localSheetId="3" hidden="1">#REF!</definedName>
    <definedName name="Z_F9CB3A99_6D24_412C_93C4_575819594890_.wvu.FilterData" localSheetId="0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 localSheetId="24" hidden="1">{#N/A,#N/A,FALSE,"Plan1";#N/A,#N/A,FALSE,"Plan2"}</definedName>
    <definedName name="zcdçskld" localSheetId="7" hidden="1">{#N/A,#N/A,FALSE,"Plan1";#N/A,#N/A,FALSE,"Plan2"}</definedName>
    <definedName name="zcdçskld" localSheetId="9" hidden="1">{#N/A,#N/A,FALSE,"Plan1";#N/A,#N/A,FALSE,"Plan2"}</definedName>
    <definedName name="zcdçskld" localSheetId="3" hidden="1">{#N/A,#N/A,FALSE,"Plan1";#N/A,#N/A,FALSE,"Plan2"}</definedName>
    <definedName name="zcdçskld" localSheetId="2" hidden="1">{#N/A,#N/A,FALSE,"Plan1";#N/A,#N/A,FALSE,"Plan2"}</definedName>
    <definedName name="zcdçskld" localSheetId="16" hidden="1">{#N/A,#N/A,FALSE,"Plan1";#N/A,#N/A,FALSE,"Plan2"}</definedName>
    <definedName name="zcdçskld" localSheetId="0" hidden="1">{#N/A,#N/A,FALSE,"Plan1";#N/A,#N/A,FALSE,"Plan2"}</definedName>
    <definedName name="zcdçskld" localSheetId="26" hidden="1">{#N/A,#N/A,FALSE,"Plan1";#N/A,#N/A,FALSE,"Plan2"}</definedName>
    <definedName name="zcdçskld" localSheetId="11" hidden="1">{#N/A,#N/A,FALSE,"Plan1";#N/A,#N/A,FALSE,"Plan2"}</definedName>
    <definedName name="zcdçskld" hidden="1">{#N/A,#N/A,FALSE,"Plan1";#N/A,#N/A,FALSE,"Plan2"}</definedName>
    <definedName name="zcsdrfrt" localSheetId="24" hidden="1">{#N/A,#N/A,FALSE,"Plan1";#N/A,#N/A,FALSE,"Plan2"}</definedName>
    <definedName name="zcsdrfrt" localSheetId="7" hidden="1">{#N/A,#N/A,FALSE,"Plan1";#N/A,#N/A,FALSE,"Plan2"}</definedName>
    <definedName name="zcsdrfrt" localSheetId="9" hidden="1">{#N/A,#N/A,FALSE,"Plan1";#N/A,#N/A,FALSE,"Plan2"}</definedName>
    <definedName name="zcsdrfrt" localSheetId="3" hidden="1">{#N/A,#N/A,FALSE,"Plan1";#N/A,#N/A,FALSE,"Plan2"}</definedName>
    <definedName name="zcsdrfrt" localSheetId="2" hidden="1">{#N/A,#N/A,FALSE,"Plan1";#N/A,#N/A,FALSE,"Plan2"}</definedName>
    <definedName name="zcsdrfrt" localSheetId="16" hidden="1">{#N/A,#N/A,FALSE,"Plan1";#N/A,#N/A,FALSE,"Plan2"}</definedName>
    <definedName name="zcsdrfrt" localSheetId="0" hidden="1">{#N/A,#N/A,FALSE,"Plan1";#N/A,#N/A,FALSE,"Plan2"}</definedName>
    <definedName name="zcsdrfrt" localSheetId="26" hidden="1">{#N/A,#N/A,FALSE,"Plan1";#N/A,#N/A,FALSE,"Plan2"}</definedName>
    <definedName name="zcsdrfrt" localSheetId="11" hidden="1">{#N/A,#N/A,FALSE,"Plan1";#N/A,#N/A,FALSE,"Plan2"}</definedName>
    <definedName name="zcsdrfrt" hidden="1">{#N/A,#N/A,FALSE,"Plan1";#N/A,#N/A,FALSE,"Plan2"}</definedName>
    <definedName name="ZDRE" localSheetId="24" hidden="1">{#N/A,#N/A,FALSE,"Plan1";#N/A,#N/A,FALSE,"Plan2"}</definedName>
    <definedName name="ZDRE" localSheetId="7" hidden="1">{#N/A,#N/A,FALSE,"Plan1";#N/A,#N/A,FALSE,"Plan2"}</definedName>
    <definedName name="ZDRE" localSheetId="9" hidden="1">{#N/A,#N/A,FALSE,"Plan1";#N/A,#N/A,FALSE,"Plan2"}</definedName>
    <definedName name="ZDRE" localSheetId="3" hidden="1">{#N/A,#N/A,FALSE,"Plan1";#N/A,#N/A,FALSE,"Plan2"}</definedName>
    <definedName name="ZDRE" localSheetId="2" hidden="1">{#N/A,#N/A,FALSE,"Plan1";#N/A,#N/A,FALSE,"Plan2"}</definedName>
    <definedName name="ZDRE" localSheetId="16" hidden="1">{#N/A,#N/A,FALSE,"Plan1";#N/A,#N/A,FALSE,"Plan2"}</definedName>
    <definedName name="ZDRE" localSheetId="0" hidden="1">{#N/A,#N/A,FALSE,"Plan1";#N/A,#N/A,FALSE,"Plan2"}</definedName>
    <definedName name="ZDRE" localSheetId="26" hidden="1">{#N/A,#N/A,FALSE,"Plan1";#N/A,#N/A,FALSE,"Plan2"}</definedName>
    <definedName name="ZDRE" localSheetId="11" hidden="1">{#N/A,#N/A,FALSE,"Plan1";#N/A,#N/A,FALSE,"Plan2"}</definedName>
    <definedName name="ZDRE" hidden="1">{#N/A,#N/A,FALSE,"Plan1";#N/A,#N/A,FALSE,"Plan2"}</definedName>
    <definedName name="ZEZE" localSheetId="24">#REF!</definedName>
    <definedName name="ZEZE" localSheetId="7">#REF!</definedName>
    <definedName name="ZEZE" localSheetId="3">#REF!</definedName>
    <definedName name="ZEZE" localSheetId="26">#REF!</definedName>
    <definedName name="ZEZE">#REF!</definedName>
    <definedName name="ZIN" localSheetId="7">#REF!</definedName>
    <definedName name="ZIN" localSheetId="3">#REF!</definedName>
    <definedName name="ZIN">#REF!</definedName>
    <definedName name="ZINS" localSheetId="7">#REF!</definedName>
    <definedName name="ZINS" localSheetId="3">#REF!</definedName>
    <definedName name="ZINS">#REF!</definedName>
    <definedName name="ZSADF" localSheetId="24" hidden="1">{#N/A,#N/A,FALSE,"Plan1";#N/A,#N/A,FALSE,"Plan2"}</definedName>
    <definedName name="ZSADF" localSheetId="7" hidden="1">{#N/A,#N/A,FALSE,"Plan1";#N/A,#N/A,FALSE,"Plan2"}</definedName>
    <definedName name="ZSADF" localSheetId="9" hidden="1">{#N/A,#N/A,FALSE,"Plan1";#N/A,#N/A,FALSE,"Plan2"}</definedName>
    <definedName name="ZSADF" localSheetId="3" hidden="1">{#N/A,#N/A,FALSE,"Plan1";#N/A,#N/A,FALSE,"Plan2"}</definedName>
    <definedName name="ZSADF" localSheetId="2" hidden="1">{#N/A,#N/A,FALSE,"Plan1";#N/A,#N/A,FALSE,"Plan2"}</definedName>
    <definedName name="ZSADF" localSheetId="16" hidden="1">{#N/A,#N/A,FALSE,"Plan1";#N/A,#N/A,FALSE,"Plan2"}</definedName>
    <definedName name="ZSADF" localSheetId="0" hidden="1">{#N/A,#N/A,FALSE,"Plan1";#N/A,#N/A,FALSE,"Plan2"}</definedName>
    <definedName name="ZSADF" localSheetId="26" hidden="1">{#N/A,#N/A,FALSE,"Plan1";#N/A,#N/A,FALSE,"Plan2"}</definedName>
    <definedName name="ZSADF" localSheetId="11" hidden="1">{#N/A,#N/A,FALSE,"Plan1";#N/A,#N/A,FALSE,"Plan2"}</definedName>
    <definedName name="ZSADF" hidden="1">{#N/A,#N/A,FALSE,"Plan1";#N/A,#N/A,FALSE,"Plan2"}</definedName>
    <definedName name="zsads" localSheetId="24" hidden="1">{#N/A,#N/A,FALSE,"Plan1";#N/A,#N/A,FALSE,"Plan2"}</definedName>
    <definedName name="zsads" localSheetId="7" hidden="1">{#N/A,#N/A,FALSE,"Plan1";#N/A,#N/A,FALSE,"Plan2"}</definedName>
    <definedName name="zsads" localSheetId="9" hidden="1">{#N/A,#N/A,FALSE,"Plan1";#N/A,#N/A,FALSE,"Plan2"}</definedName>
    <definedName name="zsads" localSheetId="3" hidden="1">{#N/A,#N/A,FALSE,"Plan1";#N/A,#N/A,FALSE,"Plan2"}</definedName>
    <definedName name="zsads" localSheetId="2" hidden="1">{#N/A,#N/A,FALSE,"Plan1";#N/A,#N/A,FALSE,"Plan2"}</definedName>
    <definedName name="zsads" localSheetId="16" hidden="1">{#N/A,#N/A,FALSE,"Plan1";#N/A,#N/A,FALSE,"Plan2"}</definedName>
    <definedName name="zsads" localSheetId="0" hidden="1">{#N/A,#N/A,FALSE,"Plan1";#N/A,#N/A,FALSE,"Plan2"}</definedName>
    <definedName name="zsads" localSheetId="26" hidden="1">{#N/A,#N/A,FALSE,"Plan1";#N/A,#N/A,FALSE,"Plan2"}</definedName>
    <definedName name="zsads" localSheetId="11" hidden="1">{#N/A,#N/A,FALSE,"Plan1";#N/A,#N/A,FALSE,"Plan2"}</definedName>
    <definedName name="zsads" hidden="1">{#N/A,#N/A,FALSE,"Plan1";#N/A,#N/A,FALSE,"Plan2"}</definedName>
    <definedName name="ZSDFSETR" localSheetId="7" hidden="1">#REF!</definedName>
    <definedName name="ZSDFSETR" localSheetId="3" hidden="1">#REF!</definedName>
    <definedName name="ZSDFSETR" localSheetId="0" hidden="1">#REF!</definedName>
    <definedName name="ZSDFSETR" hidden="1">#REF!</definedName>
    <definedName name="zsdsf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localSheetId="24" hidden="1">{#N/A,#N/A,FALSE,"Plan1";#N/A,#N/A,FALSE,"Plan2"}</definedName>
    <definedName name="zxccdf" localSheetId="7" hidden="1">{#N/A,#N/A,FALSE,"Plan1";#N/A,#N/A,FALSE,"Plan2"}</definedName>
    <definedName name="zxccdf" localSheetId="9" hidden="1">{#N/A,#N/A,FALSE,"Plan1";#N/A,#N/A,FALSE,"Plan2"}</definedName>
    <definedName name="zxccdf" localSheetId="3" hidden="1">{#N/A,#N/A,FALSE,"Plan1";#N/A,#N/A,FALSE,"Plan2"}</definedName>
    <definedName name="zxccdf" localSheetId="2" hidden="1">{#N/A,#N/A,FALSE,"Plan1";#N/A,#N/A,FALSE,"Plan2"}</definedName>
    <definedName name="zxccdf" localSheetId="16" hidden="1">{#N/A,#N/A,FALSE,"Plan1";#N/A,#N/A,FALSE,"Plan2"}</definedName>
    <definedName name="zxccdf" localSheetId="0" hidden="1">{#N/A,#N/A,FALSE,"Plan1";#N/A,#N/A,FALSE,"Plan2"}</definedName>
    <definedName name="zxccdf" localSheetId="26" hidden="1">{#N/A,#N/A,FALSE,"Plan1";#N/A,#N/A,FALSE,"Plan2"}</definedName>
    <definedName name="zxccdf" localSheetId="11" hidden="1">{#N/A,#N/A,FALSE,"Plan1";#N/A,#N/A,FALSE,"Plan2"}</definedName>
    <definedName name="zxccdf" hidden="1">{#N/A,#N/A,FALSE,"Plan1";#N/A,#N/A,FALSE,"Plan2"}</definedName>
    <definedName name="zxcdsf" localSheetId="7" hidden="1">#REF!</definedName>
    <definedName name="zxcdsf" localSheetId="3" hidden="1">#REF!</definedName>
    <definedName name="zxcdsf" localSheetId="0" hidden="1">#REF!</definedName>
    <definedName name="zxcdsf" hidden="1">#REF!</definedName>
    <definedName name="zxcfdstrrt" localSheetId="24" hidden="1">{#N/A,#N/A,FALSE,"Plan1";#N/A,#N/A,FALSE,"Plan2"}</definedName>
    <definedName name="zxcfdstrrt" localSheetId="7" hidden="1">{#N/A,#N/A,FALSE,"Plan1";#N/A,#N/A,FALSE,"Plan2"}</definedName>
    <definedName name="zxcfdstrrt" localSheetId="9" hidden="1">{#N/A,#N/A,FALSE,"Plan1";#N/A,#N/A,FALSE,"Plan2"}</definedName>
    <definedName name="zxcfdstrrt" localSheetId="3" hidden="1">{#N/A,#N/A,FALSE,"Plan1";#N/A,#N/A,FALSE,"Plan2"}</definedName>
    <definedName name="zxcfdstrrt" localSheetId="2" hidden="1">{#N/A,#N/A,FALSE,"Plan1";#N/A,#N/A,FALSE,"Plan2"}</definedName>
    <definedName name="zxcfdstrrt" localSheetId="16" hidden="1">{#N/A,#N/A,FALSE,"Plan1";#N/A,#N/A,FALSE,"Plan2"}</definedName>
    <definedName name="zxcfdstrrt" localSheetId="0" hidden="1">{#N/A,#N/A,FALSE,"Plan1";#N/A,#N/A,FALSE,"Plan2"}</definedName>
    <definedName name="zxcfdstrrt" localSheetId="26" hidden="1">{#N/A,#N/A,FALSE,"Plan1";#N/A,#N/A,FALSE,"Plan2"}</definedName>
    <definedName name="zxcfdstrrt" localSheetId="11" hidden="1">{#N/A,#N/A,FALSE,"Plan1";#N/A,#N/A,FALSE,"Plan2"}</definedName>
    <definedName name="zxcfdstrrt" hidden="1">{#N/A,#N/A,FALSE,"Plan1";#N/A,#N/A,FALSE,"Plan2"}</definedName>
    <definedName name="zxcx" localSheetId="24" hidden="1">{#N/A,#N/A,FALSE,"Plan1";#N/A,#N/A,FALSE,"Plan2"}</definedName>
    <definedName name="zxcx" localSheetId="7" hidden="1">{#N/A,#N/A,FALSE,"Plan1";#N/A,#N/A,FALSE,"Plan2"}</definedName>
    <definedName name="zxcx" localSheetId="9" hidden="1">{#N/A,#N/A,FALSE,"Plan1";#N/A,#N/A,FALSE,"Plan2"}</definedName>
    <definedName name="zxcx" localSheetId="3" hidden="1">{#N/A,#N/A,FALSE,"Plan1";#N/A,#N/A,FALSE,"Plan2"}</definedName>
    <definedName name="zxcx" localSheetId="2" hidden="1">{#N/A,#N/A,FALSE,"Plan1";#N/A,#N/A,FALSE,"Plan2"}</definedName>
    <definedName name="zxcx" localSheetId="16" hidden="1">{#N/A,#N/A,FALSE,"Plan1";#N/A,#N/A,FALSE,"Plan2"}</definedName>
    <definedName name="zxcx" localSheetId="0" hidden="1">{#N/A,#N/A,FALSE,"Plan1";#N/A,#N/A,FALSE,"Plan2"}</definedName>
    <definedName name="zxcx" localSheetId="26" hidden="1">{#N/A,#N/A,FALSE,"Plan1";#N/A,#N/A,FALSE,"Plan2"}</definedName>
    <definedName name="zxcx" localSheetId="11" hidden="1">{#N/A,#N/A,FALSE,"Plan1";#N/A,#N/A,FALSE,"Plan2"}</definedName>
    <definedName name="zxcx" hidden="1">{#N/A,#N/A,FALSE,"Plan1";#N/A,#N/A,FALSE,"Plan2"}</definedName>
    <definedName name="ZXFCRF" localSheetId="2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7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1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2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localSheetId="24" hidden="1">{#N/A,#N/A,FALSE,"Plan1";#N/A,#N/A,FALSE,"Plan2"}</definedName>
    <definedName name="ZXFHDFRHDF" localSheetId="7" hidden="1">{#N/A,#N/A,FALSE,"Plan1";#N/A,#N/A,FALSE,"Plan2"}</definedName>
    <definedName name="ZXFHDFRHDF" localSheetId="9" hidden="1">{#N/A,#N/A,FALSE,"Plan1";#N/A,#N/A,FALSE,"Plan2"}</definedName>
    <definedName name="ZXFHDFRHDF" localSheetId="3" hidden="1">{#N/A,#N/A,FALSE,"Plan1";#N/A,#N/A,FALSE,"Plan2"}</definedName>
    <definedName name="ZXFHDFRHDF" localSheetId="2" hidden="1">{#N/A,#N/A,FALSE,"Plan1";#N/A,#N/A,FALSE,"Plan2"}</definedName>
    <definedName name="ZXFHDFRHDF" localSheetId="16" hidden="1">{#N/A,#N/A,FALSE,"Plan1";#N/A,#N/A,FALSE,"Plan2"}</definedName>
    <definedName name="ZXFHDFRHDF" localSheetId="0" hidden="1">{#N/A,#N/A,FALSE,"Plan1";#N/A,#N/A,FALSE,"Plan2"}</definedName>
    <definedName name="ZXFHDFRHDF" localSheetId="26" hidden="1">{#N/A,#N/A,FALSE,"Plan1";#N/A,#N/A,FALSE,"Plan2"}</definedName>
    <definedName name="ZXFHDFRHDF" localSheetId="11" hidden="1">{#N/A,#N/A,FALSE,"Plan1";#N/A,#N/A,FALSE,"Plan2"}</definedName>
    <definedName name="ZXFHDFRHDF" hidden="1">{#N/A,#N/A,FALSE,"Plan1";#N/A,#N/A,FALSE,"Plan2"}</definedName>
    <definedName name="ZZ" localSheetId="24">#REF!</definedName>
    <definedName name="ZZ" localSheetId="7">#REF!</definedName>
    <definedName name="ZZ" localSheetId="3">#REF!</definedName>
    <definedName name="ZZ" localSheetId="26">#REF!</definedName>
    <definedName name="ZZ">#REF!</definedName>
    <definedName name="zzdftr" localSheetId="24" hidden="1">{#N/A,#N/A,FALSE,"Plan1";#N/A,#N/A,FALSE,"Plan2"}</definedName>
    <definedName name="zzdftr" localSheetId="7" hidden="1">{#N/A,#N/A,FALSE,"Plan1";#N/A,#N/A,FALSE,"Plan2"}</definedName>
    <definedName name="zzdftr" localSheetId="9" hidden="1">{#N/A,#N/A,FALSE,"Plan1";#N/A,#N/A,FALSE,"Plan2"}</definedName>
    <definedName name="zzdftr" localSheetId="3" hidden="1">{#N/A,#N/A,FALSE,"Plan1";#N/A,#N/A,FALSE,"Plan2"}</definedName>
    <definedName name="zzdftr" localSheetId="2" hidden="1">{#N/A,#N/A,FALSE,"Plan1";#N/A,#N/A,FALSE,"Plan2"}</definedName>
    <definedName name="zzdftr" localSheetId="16" hidden="1">{#N/A,#N/A,FALSE,"Plan1";#N/A,#N/A,FALSE,"Plan2"}</definedName>
    <definedName name="zzdftr" localSheetId="0" hidden="1">{#N/A,#N/A,FALSE,"Plan1";#N/A,#N/A,FALSE,"Plan2"}</definedName>
    <definedName name="zzdftr" localSheetId="26" hidden="1">{#N/A,#N/A,FALSE,"Plan1";#N/A,#N/A,FALSE,"Plan2"}</definedName>
    <definedName name="zzdftr" localSheetId="11" hidden="1">{#N/A,#N/A,FALSE,"Plan1";#N/A,#N/A,FALSE,"Plan2"}</definedName>
    <definedName name="zzdftr" hidden="1">{#N/A,#N/A,FALSE,"Plan1";#N/A,#N/A,FALSE,"Plan2"}</definedName>
    <definedName name="zzz" localSheetId="7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localSheetId="9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localSheetId="3">#REF!</definedName>
    <definedName name="zzz" localSheetId="0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>#REF!</definedName>
    <definedName name="ㄱ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localSheetId="24" hidden="1">{"'장비'!$A$3:$M$12"}</definedName>
    <definedName name="ㄱㄷㄱㄷㄱㄱㅎㄺㄷ" localSheetId="7" hidden="1">{"'장비'!$A$3:$M$12"}</definedName>
    <definedName name="ㄱㄷㄱㄷㄱㄱㅎㄺㄷ" localSheetId="9" hidden="1">{"'장비'!$A$3:$M$12"}</definedName>
    <definedName name="ㄱㄷㄱㄷㄱㄱㅎㄺㄷ" localSheetId="3" hidden="1">{"'장비'!$A$3:$M$12"}</definedName>
    <definedName name="ㄱㄷㄱㄷㄱㄱㅎㄺㄷ" localSheetId="2" hidden="1">{"'장비'!$A$3:$M$12"}</definedName>
    <definedName name="ㄱㄷㄱㄷㄱㄱㅎㄺㄷ" localSheetId="16" hidden="1">{"'장비'!$A$3:$M$12"}</definedName>
    <definedName name="ㄱㄷㄱㄷㄱㄱㅎㄺㄷ" localSheetId="0" hidden="1">{"'장비'!$A$3:$M$12"}</definedName>
    <definedName name="ㄱㄷㄱㄷㄱㄱㅎㄺㄷ" localSheetId="26" hidden="1">{"'장비'!$A$3:$M$12"}</definedName>
    <definedName name="ㄱㄷㄱㄷㄱㄱㅎㄺㄷ" localSheetId="11" hidden="1">{"'장비'!$A$3:$M$12"}</definedName>
    <definedName name="ㄱㄷㄱㄷㄱㄱㅎㄺㄷ" hidden="1">{"'장비'!$A$3:$M$12"}</definedName>
    <definedName name="가나다" hidden="1">#REF!</definedName>
    <definedName name="검증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 localSheetId="24" hidden="1">#REF!</definedName>
    <definedName name="견적조건" localSheetId="7" hidden="1">#REF!</definedName>
    <definedName name="견적조건" localSheetId="0" hidden="1">#REF!</definedName>
    <definedName name="견적조건" localSheetId="26" hidden="1">#REF!</definedName>
    <definedName name="견적조건" hidden="1">#REF!</definedName>
    <definedName name="계약고햔황2" localSheetId="7" hidden="1">#REF!</definedName>
    <definedName name="계약고햔황2" localSheetId="3" hidden="1">#REF!</definedName>
    <definedName name="계약고햔황2" localSheetId="0" hidden="1">#REF!</definedName>
    <definedName name="계약고햔황2" hidden="1">#REF!</definedName>
    <definedName name="계약고현황2" localSheetId="0" hidden="1">#REF!</definedName>
    <definedName name="계약고현황2" hidden="1">#REF!</definedName>
    <definedName name="고문" localSheetId="24" hidden="1">{#N/A,#N/A,FALSE,"현장 NCR 분석";#N/A,#N/A,FALSE,"현장품질감사";#N/A,#N/A,FALSE,"현장품질감사"}</definedName>
    <definedName name="고문" localSheetId="7" hidden="1">{#N/A,#N/A,FALSE,"현장 NCR 분석";#N/A,#N/A,FALSE,"현장품질감사";#N/A,#N/A,FALSE,"현장품질감사"}</definedName>
    <definedName name="고문" localSheetId="9" hidden="1">{#N/A,#N/A,FALSE,"현장 NCR 분석";#N/A,#N/A,FALSE,"현장품질감사";#N/A,#N/A,FALSE,"현장품질감사"}</definedName>
    <definedName name="고문" localSheetId="3" hidden="1">{#N/A,#N/A,FALSE,"현장 NCR 분석";#N/A,#N/A,FALSE,"현장품질감사";#N/A,#N/A,FALSE,"현장품질감사"}</definedName>
    <definedName name="고문" localSheetId="2" hidden="1">{#N/A,#N/A,FALSE,"현장 NCR 분석";#N/A,#N/A,FALSE,"현장품질감사";#N/A,#N/A,FALSE,"현장품질감사"}</definedName>
    <definedName name="고문" localSheetId="16" hidden="1">{#N/A,#N/A,FALSE,"현장 NCR 분석";#N/A,#N/A,FALSE,"현장품질감사";#N/A,#N/A,FALSE,"현장품질감사"}</definedName>
    <definedName name="고문" localSheetId="0" hidden="1">{#N/A,#N/A,FALSE,"현장 NCR 분석";#N/A,#N/A,FALSE,"현장품질감사";#N/A,#N/A,FALSE,"현장품질감사"}</definedName>
    <definedName name="고문" localSheetId="26" hidden="1">{#N/A,#N/A,FALSE,"현장 NCR 분석";#N/A,#N/A,FALSE,"현장품질감사";#N/A,#N/A,FALSE,"현장품질감사"}</definedName>
    <definedName name="고문" localSheetId="11" hidden="1">{#N/A,#N/A,FALSE,"현장 NCR 분석";#N/A,#N/A,FALSE,"현장품질감사";#N/A,#N/A,FALSE,"현장품질감사"}</definedName>
    <definedName name="고문" hidden="1">{#N/A,#N/A,FALSE,"현장 NCR 분석";#N/A,#N/A,FALSE,"현장품질감사";#N/A,#N/A,FALSE,"현장품질감사"}</definedName>
    <definedName name="고문2" localSheetId="24" hidden="1">{#N/A,#N/A,FALSE,"현장 NCR 분석";#N/A,#N/A,FALSE,"현장품질감사";#N/A,#N/A,FALSE,"현장품질감사"}</definedName>
    <definedName name="고문2" localSheetId="7" hidden="1">{#N/A,#N/A,FALSE,"현장 NCR 분석";#N/A,#N/A,FALSE,"현장품질감사";#N/A,#N/A,FALSE,"현장품질감사"}</definedName>
    <definedName name="고문2" localSheetId="9" hidden="1">{#N/A,#N/A,FALSE,"현장 NCR 분석";#N/A,#N/A,FALSE,"현장품질감사";#N/A,#N/A,FALSE,"현장품질감사"}</definedName>
    <definedName name="고문2" localSheetId="3" hidden="1">{#N/A,#N/A,FALSE,"현장 NCR 분석";#N/A,#N/A,FALSE,"현장품질감사";#N/A,#N/A,FALSE,"현장품질감사"}</definedName>
    <definedName name="고문2" localSheetId="2" hidden="1">{#N/A,#N/A,FALSE,"현장 NCR 분석";#N/A,#N/A,FALSE,"현장품질감사";#N/A,#N/A,FALSE,"현장품질감사"}</definedName>
    <definedName name="고문2" localSheetId="16" hidden="1">{#N/A,#N/A,FALSE,"현장 NCR 분석";#N/A,#N/A,FALSE,"현장품질감사";#N/A,#N/A,FALSE,"현장품질감사"}</definedName>
    <definedName name="고문2" localSheetId="0" hidden="1">{#N/A,#N/A,FALSE,"현장 NCR 분석";#N/A,#N/A,FALSE,"현장품질감사";#N/A,#N/A,FALSE,"현장품질감사"}</definedName>
    <definedName name="고문2" localSheetId="26" hidden="1">{#N/A,#N/A,FALSE,"현장 NCR 분석";#N/A,#N/A,FALSE,"현장품질감사";#N/A,#N/A,FALSE,"현장품질감사"}</definedName>
    <definedName name="고문2" localSheetId="11" hidden="1">{#N/A,#N/A,FALSE,"현장 NCR 분석";#N/A,#N/A,FALSE,"현장품질감사";#N/A,#N/A,FALSE,"현장품질감사"}</definedName>
    <definedName name="고문2" hidden="1">{#N/A,#N/A,FALSE,"현장 NCR 분석";#N/A,#N/A,FALSE,"현장품질감사";#N/A,#N/A,FALSE,"현장품질감사"}</definedName>
    <definedName name="공공공표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localSheetId="24" hidden="1">{#N/A,#N/A,FALSE,"ENG'G(보호계전기)"}</definedName>
    <definedName name="공급구분표_수정" localSheetId="7" hidden="1">{#N/A,#N/A,FALSE,"ENG'G(보호계전기)"}</definedName>
    <definedName name="공급구분표_수정" localSheetId="9" hidden="1">{#N/A,#N/A,FALSE,"ENG'G(보호계전기)"}</definedName>
    <definedName name="공급구분표_수정" localSheetId="3" hidden="1">{#N/A,#N/A,FALSE,"ENG'G(보호계전기)"}</definedName>
    <definedName name="공급구분표_수정" localSheetId="2" hidden="1">{#N/A,#N/A,FALSE,"ENG'G(보호계전기)"}</definedName>
    <definedName name="공급구분표_수정" localSheetId="16" hidden="1">{#N/A,#N/A,FALSE,"ENG'G(보호계전기)"}</definedName>
    <definedName name="공급구분표_수정" localSheetId="0" hidden="1">{#N/A,#N/A,FALSE,"ENG'G(보호계전기)"}</definedName>
    <definedName name="공급구분표_수정" localSheetId="26" hidden="1">{#N/A,#N/A,FALSE,"ENG'G(보호계전기)"}</definedName>
    <definedName name="공급구분표_수정" localSheetId="11" hidden="1">{#N/A,#N/A,FALSE,"ENG'G(보호계전기)"}</definedName>
    <definedName name="공급구분표_수정" hidden="1">{#N/A,#N/A,FALSE,"ENG'G(보호계전기)"}</definedName>
    <definedName name="공급표표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 localSheetId="24" hidden="1">#REF!</definedName>
    <definedName name="ㄴㄴㄴㄴ" localSheetId="7" hidden="1">#REF!</definedName>
    <definedName name="ㄴㄴㄴㄴ" localSheetId="0" hidden="1">#REF!</definedName>
    <definedName name="ㄴㄴㄴㄴ" localSheetId="26" hidden="1">#REF!</definedName>
    <definedName name="ㄴㄴㄴㄴ" hidden="1">#REF!</definedName>
    <definedName name="내역" localSheetId="24" hidden="1">{#N/A,#N/A,FALSE,"CCTV"}</definedName>
    <definedName name="내역" localSheetId="7" hidden="1">{#N/A,#N/A,FALSE,"CCTV"}</definedName>
    <definedName name="내역" localSheetId="9" hidden="1">{#N/A,#N/A,FALSE,"CCTV"}</definedName>
    <definedName name="내역" localSheetId="3" hidden="1">{#N/A,#N/A,FALSE,"CCTV"}</definedName>
    <definedName name="내역" localSheetId="2" hidden="1">{#N/A,#N/A,FALSE,"CCTV"}</definedName>
    <definedName name="내역" localSheetId="16" hidden="1">{#N/A,#N/A,FALSE,"CCTV"}</definedName>
    <definedName name="내역" localSheetId="0" hidden="1">{#N/A,#N/A,FALSE,"CCTV"}</definedName>
    <definedName name="내역" localSheetId="26" hidden="1">{#N/A,#N/A,FALSE,"CCTV"}</definedName>
    <definedName name="내역" localSheetId="11" hidden="1">{#N/A,#N/A,FALSE,"CCTV"}</definedName>
    <definedName name="내역" hidden="1">{#N/A,#N/A,FALSE,"CCTV"}</definedName>
    <definedName name="ㄷㄳ" localSheetId="24" hidden="1">{"'장비'!$A$3:$M$12"}</definedName>
    <definedName name="ㄷㄳ" localSheetId="7" hidden="1">{"'장비'!$A$3:$M$12"}</definedName>
    <definedName name="ㄷㄳ" localSheetId="9" hidden="1">{"'장비'!$A$3:$M$12"}</definedName>
    <definedName name="ㄷㄳ" localSheetId="3" hidden="1">{"'장비'!$A$3:$M$12"}</definedName>
    <definedName name="ㄷㄳ" localSheetId="2" hidden="1">{"'장비'!$A$3:$M$12"}</definedName>
    <definedName name="ㄷㄳ" localSheetId="16" hidden="1">{"'장비'!$A$3:$M$12"}</definedName>
    <definedName name="ㄷㄳ" localSheetId="0" hidden="1">{"'장비'!$A$3:$M$12"}</definedName>
    <definedName name="ㄷㄳ" localSheetId="26" hidden="1">{"'장비'!$A$3:$M$12"}</definedName>
    <definedName name="ㄷㄳ" localSheetId="11" hidden="1">{"'장비'!$A$3:$M$12"}</definedName>
    <definedName name="ㄷㄳ" hidden="1">{"'장비'!$A$3:$M$12"}</definedName>
    <definedName name="ㄷㄷㄷㄷ" localSheetId="24" hidden="1">{"'장비'!$A$3:$M$12"}</definedName>
    <definedName name="ㄷㄷㄷㄷ" localSheetId="7" hidden="1">{"'장비'!$A$3:$M$12"}</definedName>
    <definedName name="ㄷㄷㄷㄷ" localSheetId="9" hidden="1">{"'장비'!$A$3:$M$12"}</definedName>
    <definedName name="ㄷㄷㄷㄷ" localSheetId="3" hidden="1">{"'장비'!$A$3:$M$12"}</definedName>
    <definedName name="ㄷㄷㄷㄷ" localSheetId="2" hidden="1">{"'장비'!$A$3:$M$12"}</definedName>
    <definedName name="ㄷㄷㄷㄷ" localSheetId="16" hidden="1">{"'장비'!$A$3:$M$12"}</definedName>
    <definedName name="ㄷㄷㄷㄷ" localSheetId="0" hidden="1">{"'장비'!$A$3:$M$12"}</definedName>
    <definedName name="ㄷㄷㄷㄷ" localSheetId="26" hidden="1">{"'장비'!$A$3:$M$12"}</definedName>
    <definedName name="ㄷㄷㄷㄷ" localSheetId="11" hidden="1">{"'장비'!$A$3:$M$12"}</definedName>
    <definedName name="ㄷㄷㄷㄷ" hidden="1">{"'장비'!$A$3:$M$12"}</definedName>
    <definedName name="ㄷㅈㅂㄷ" localSheetId="24" hidden="1">{"'장비'!$A$3:$M$12"}</definedName>
    <definedName name="ㄷㅈㅂㄷ" localSheetId="7" hidden="1">{"'장비'!$A$3:$M$12"}</definedName>
    <definedName name="ㄷㅈㅂㄷ" localSheetId="9" hidden="1">{"'장비'!$A$3:$M$12"}</definedName>
    <definedName name="ㄷㅈㅂㄷ" localSheetId="3" hidden="1">{"'장비'!$A$3:$M$12"}</definedName>
    <definedName name="ㄷㅈㅂㄷ" localSheetId="2" hidden="1">{"'장비'!$A$3:$M$12"}</definedName>
    <definedName name="ㄷㅈㅂㄷ" localSheetId="16" hidden="1">{"'장비'!$A$3:$M$12"}</definedName>
    <definedName name="ㄷㅈㅂㄷ" localSheetId="0" hidden="1">{"'장비'!$A$3:$M$12"}</definedName>
    <definedName name="ㄷㅈㅂㄷ" localSheetId="26" hidden="1">{"'장비'!$A$3:$M$12"}</definedName>
    <definedName name="ㄷㅈㅂㄷ" localSheetId="11" hidden="1">{"'장비'!$A$3:$M$12"}</definedName>
    <definedName name="ㄷㅈㅂㄷ" hidden="1">{"'장비'!$A$3:$M$12"}</definedName>
    <definedName name="당초계획" hidden="1">#REF!</definedName>
    <definedName name="도면외주" hidden="1">#REF!</definedName>
    <definedName name="도면용역비" hidden="1">#REF!</definedName>
    <definedName name="ㄹㄹ" localSheetId="24" hidden="1">{"'장비'!$A$3:$M$12"}</definedName>
    <definedName name="ㄹㄹ" localSheetId="7" hidden="1">{"'장비'!$A$3:$M$12"}</definedName>
    <definedName name="ㄹㄹ" localSheetId="9" hidden="1">{"'장비'!$A$3:$M$12"}</definedName>
    <definedName name="ㄹㄹ" localSheetId="3" hidden="1">{"'장비'!$A$3:$M$12"}</definedName>
    <definedName name="ㄹㄹ" localSheetId="2" hidden="1">{"'장비'!$A$3:$M$12"}</definedName>
    <definedName name="ㄹㄹ" localSheetId="16" hidden="1">{"'장비'!$A$3:$M$12"}</definedName>
    <definedName name="ㄹㄹ" localSheetId="0" hidden="1">{"'장비'!$A$3:$M$12"}</definedName>
    <definedName name="ㄹㄹ" localSheetId="26" hidden="1">{"'장비'!$A$3:$M$12"}</definedName>
    <definedName name="ㄹㄹ" localSheetId="11" hidden="1">{"'장비'!$A$3:$M$12"}</definedName>
    <definedName name="ㄹㄹ" hidden="1">{"'장비'!$A$3:$M$12"}</definedName>
    <definedName name="ㄹㄹㄹ" hidden="1">#REF!</definedName>
    <definedName name="랄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localSheetId="24" hidden="1">{#N/A,#N/A,FALSE,"현장 NCR 분석";#N/A,#N/A,FALSE,"현장품질감사";#N/A,#N/A,FALSE,"현장품질감사"}</definedName>
    <definedName name="러러러" localSheetId="7" hidden="1">{#N/A,#N/A,FALSE,"현장 NCR 분석";#N/A,#N/A,FALSE,"현장품질감사";#N/A,#N/A,FALSE,"현장품질감사"}</definedName>
    <definedName name="러러러" localSheetId="9" hidden="1">{#N/A,#N/A,FALSE,"현장 NCR 분석";#N/A,#N/A,FALSE,"현장품질감사";#N/A,#N/A,FALSE,"현장품질감사"}</definedName>
    <definedName name="러러러" localSheetId="3" hidden="1">{#N/A,#N/A,FALSE,"현장 NCR 분석";#N/A,#N/A,FALSE,"현장품질감사";#N/A,#N/A,FALSE,"현장품질감사"}</definedName>
    <definedName name="러러러" localSheetId="2" hidden="1">{#N/A,#N/A,FALSE,"현장 NCR 분석";#N/A,#N/A,FALSE,"현장품질감사";#N/A,#N/A,FALSE,"현장품질감사"}</definedName>
    <definedName name="러러러" localSheetId="16" hidden="1">{#N/A,#N/A,FALSE,"현장 NCR 분석";#N/A,#N/A,FALSE,"현장품질감사";#N/A,#N/A,FALSE,"현장품질감사"}</definedName>
    <definedName name="러러러" localSheetId="0" hidden="1">{#N/A,#N/A,FALSE,"현장 NCR 분석";#N/A,#N/A,FALSE,"현장품질감사";#N/A,#N/A,FALSE,"현장품질감사"}</definedName>
    <definedName name="러러러" localSheetId="26" hidden="1">{#N/A,#N/A,FALSE,"현장 NCR 분석";#N/A,#N/A,FALSE,"현장품질감사";#N/A,#N/A,FALSE,"현장품질감사"}</definedName>
    <definedName name="러러러" localSheetId="11" hidden="1">{#N/A,#N/A,FALSE,"현장 NCR 분석";#N/A,#N/A,FALSE,"현장품질감사";#N/A,#N/A,FALSE,"현장품질감사"}</definedName>
    <definedName name="러러러" hidden="1">{#N/A,#N/A,FALSE,"현장 NCR 분석";#N/A,#N/A,FALSE,"현장품질감사";#N/A,#N/A,FALSE,"현장품질감사"}</definedName>
    <definedName name="ㅁ" localSheetId="24" hidden="1">{#N/A,#N/A,FALSE,"명세표"}</definedName>
    <definedName name="ㅁ" localSheetId="7" hidden="1">{#N/A,#N/A,FALSE,"명세표"}</definedName>
    <definedName name="ㅁ" localSheetId="9" hidden="1">{#N/A,#N/A,FALSE,"명세표"}</definedName>
    <definedName name="ㅁ" localSheetId="3" hidden="1">{#N/A,#N/A,FALSE,"명세표"}</definedName>
    <definedName name="ㅁ" localSheetId="2" hidden="1">{#N/A,#N/A,FALSE,"명세표"}</definedName>
    <definedName name="ㅁ" localSheetId="16" hidden="1">{#N/A,#N/A,FALSE,"명세표"}</definedName>
    <definedName name="ㅁ" localSheetId="0" hidden="1">{#N/A,#N/A,FALSE,"명세표"}</definedName>
    <definedName name="ㅁ" localSheetId="26" hidden="1">{#N/A,#N/A,FALSE,"명세표"}</definedName>
    <definedName name="ㅁ" localSheetId="11" hidden="1">{#N/A,#N/A,FALSE,"명세표"}</definedName>
    <definedName name="ㅁ" hidden="1">{#N/A,#N/A,FALSE,"명세표"}</definedName>
    <definedName name="ㅁㄱ해ㅜ5" localSheetId="24" hidden="1">#REF!</definedName>
    <definedName name="ㅁㄱ해ㅜ5" localSheetId="7" hidden="1">#REF!</definedName>
    <definedName name="ㅁㄱ해ㅜ5" localSheetId="0" hidden="1">#REF!</definedName>
    <definedName name="ㅁㄱ해ㅜ5" localSheetId="26" hidden="1">#REF!</definedName>
    <definedName name="ㅁㄱ해ㅜ5" hidden="1">#REF!</definedName>
    <definedName name="ㅁㄴ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localSheetId="24" hidden="1">{#N/A,#N/A,FALSE,"명세표"}</definedName>
    <definedName name="ㅁㅁ" localSheetId="7" hidden="1">{#N/A,#N/A,FALSE,"명세표"}</definedName>
    <definedName name="ㅁㅁ" localSheetId="9" hidden="1">{#N/A,#N/A,FALSE,"명세표"}</definedName>
    <definedName name="ㅁㅁ" localSheetId="3" hidden="1">{#N/A,#N/A,FALSE,"명세표"}</definedName>
    <definedName name="ㅁㅁ" localSheetId="2" hidden="1">{#N/A,#N/A,FALSE,"명세표"}</definedName>
    <definedName name="ㅁㅁ" localSheetId="16" hidden="1">{#N/A,#N/A,FALSE,"명세표"}</definedName>
    <definedName name="ㅁㅁ" localSheetId="0" hidden="1">{#N/A,#N/A,FALSE,"명세표"}</definedName>
    <definedName name="ㅁㅁ" localSheetId="26" hidden="1">{#N/A,#N/A,FALSE,"명세표"}</definedName>
    <definedName name="ㅁㅁ" localSheetId="11" hidden="1">{#N/A,#N/A,FALSE,"명세표"}</definedName>
    <definedName name="ㅁㅁ" hidden="1">{#N/A,#N/A,FALSE,"명세표"}</definedName>
    <definedName name="ㅁㅁㅁ" localSheetId="7" hidden="1">#REF!</definedName>
    <definedName name="ㅁㅁㅁ" localSheetId="3" hidden="1">#REF!</definedName>
    <definedName name="ㅁㅁㅁ" localSheetId="0" hidden="1">#REF!</definedName>
    <definedName name="ㅁㅁㅁ" hidden="1">#REF!</definedName>
    <definedName name="ㅁㅁㅁㅁㅁㅁㅁㅁㅁㅁㅁㅁ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localSheetId="24" hidden="1">{#N/A,#N/A,FALSE,"명세표"}</definedName>
    <definedName name="머" localSheetId="7" hidden="1">{#N/A,#N/A,FALSE,"명세표"}</definedName>
    <definedName name="머" localSheetId="9" hidden="1">{#N/A,#N/A,FALSE,"명세표"}</definedName>
    <definedName name="머" localSheetId="3" hidden="1">{#N/A,#N/A,FALSE,"명세표"}</definedName>
    <definedName name="머" localSheetId="2" hidden="1">{#N/A,#N/A,FALSE,"명세표"}</definedName>
    <definedName name="머" localSheetId="16" hidden="1">{#N/A,#N/A,FALSE,"명세표"}</definedName>
    <definedName name="머" localSheetId="0" hidden="1">{#N/A,#N/A,FALSE,"명세표"}</definedName>
    <definedName name="머" localSheetId="26" hidden="1">{#N/A,#N/A,FALSE,"명세표"}</definedName>
    <definedName name="머" localSheetId="11" hidden="1">{#N/A,#N/A,FALSE,"명세표"}</definedName>
    <definedName name="머" hidden="1">{#N/A,#N/A,FALSE,"명세표"}</definedName>
    <definedName name="ㅂㅂㅂㅂ" localSheetId="24" hidden="1">{#N/A,#N/A,FALSE,"명세표"}</definedName>
    <definedName name="ㅂㅂㅂㅂ" localSheetId="7" hidden="1">{#N/A,#N/A,FALSE,"명세표"}</definedName>
    <definedName name="ㅂㅂㅂㅂ" localSheetId="9" hidden="1">{#N/A,#N/A,FALSE,"명세표"}</definedName>
    <definedName name="ㅂㅂㅂㅂ" localSheetId="3" hidden="1">{#N/A,#N/A,FALSE,"명세표"}</definedName>
    <definedName name="ㅂㅂㅂㅂ" localSheetId="2" hidden="1">{#N/A,#N/A,FALSE,"명세표"}</definedName>
    <definedName name="ㅂㅂㅂㅂ" localSheetId="16" hidden="1">{#N/A,#N/A,FALSE,"명세표"}</definedName>
    <definedName name="ㅂㅂㅂㅂ" localSheetId="0" hidden="1">{#N/A,#N/A,FALSE,"명세표"}</definedName>
    <definedName name="ㅂㅂㅂㅂ" localSheetId="26" hidden="1">{#N/A,#N/A,FALSE,"명세표"}</definedName>
    <definedName name="ㅂㅂㅂㅂ" localSheetId="11" hidden="1">{#N/A,#N/A,FALSE,"명세표"}</definedName>
    <definedName name="ㅂㅂㅂㅂ" hidden="1">{#N/A,#N/A,FALSE,"명세표"}</definedName>
    <definedName name="ㅂㅂㅂㅂㅂㅂㅂ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localSheetId="24" hidden="1">{"'장비'!$A$3:$M$12"}</definedName>
    <definedName name="ㅂㅈㄱㅂㅈㄷㄱ" localSheetId="7" hidden="1">{"'장비'!$A$3:$M$12"}</definedName>
    <definedName name="ㅂㅈㄱㅂㅈㄷㄱ" localSheetId="9" hidden="1">{"'장비'!$A$3:$M$12"}</definedName>
    <definedName name="ㅂㅈㄱㅂㅈㄷㄱ" localSheetId="3" hidden="1">{"'장비'!$A$3:$M$12"}</definedName>
    <definedName name="ㅂㅈㄱㅂㅈㄷㄱ" localSheetId="2" hidden="1">{"'장비'!$A$3:$M$12"}</definedName>
    <definedName name="ㅂㅈㄱㅂㅈㄷㄱ" localSheetId="16" hidden="1">{"'장비'!$A$3:$M$12"}</definedName>
    <definedName name="ㅂㅈㄱㅂㅈㄷㄱ" localSheetId="0" hidden="1">{"'장비'!$A$3:$M$12"}</definedName>
    <definedName name="ㅂㅈㄱㅂㅈㄷㄱ" localSheetId="26" hidden="1">{"'장비'!$A$3:$M$12"}</definedName>
    <definedName name="ㅂㅈㄱㅂㅈㄷㄱ" localSheetId="11" hidden="1">{"'장비'!$A$3:$M$12"}</definedName>
    <definedName name="ㅂㅈㄱㅂㅈㄷㄱ" hidden="1">{"'장비'!$A$3:$M$12"}</definedName>
    <definedName name="ㅂㅈㄷ" localSheetId="24" hidden="1">{"'장비'!$A$3:$M$12"}</definedName>
    <definedName name="ㅂㅈㄷ" localSheetId="7" hidden="1">{"'장비'!$A$3:$M$12"}</definedName>
    <definedName name="ㅂㅈㄷ" localSheetId="9" hidden="1">{"'장비'!$A$3:$M$12"}</definedName>
    <definedName name="ㅂㅈㄷ" localSheetId="3" hidden="1">{"'장비'!$A$3:$M$12"}</definedName>
    <definedName name="ㅂㅈㄷ" localSheetId="2" hidden="1">{"'장비'!$A$3:$M$12"}</definedName>
    <definedName name="ㅂㅈㄷ" localSheetId="16" hidden="1">{"'장비'!$A$3:$M$12"}</definedName>
    <definedName name="ㅂㅈㄷ" localSheetId="0" hidden="1">{"'장비'!$A$3:$M$12"}</definedName>
    <definedName name="ㅂㅈㄷ" localSheetId="26" hidden="1">{"'장비'!$A$3:$M$12"}</definedName>
    <definedName name="ㅂㅈㄷ" localSheetId="11" hidden="1">{"'장비'!$A$3:$M$12"}</definedName>
    <definedName name="ㅂㅈㄷ" hidden="1">{"'장비'!$A$3:$M$12"}</definedName>
    <definedName name="ㅂㅈㄷㄷㅂㅈㅈㅂ" localSheetId="24" hidden="1">{"'장비'!$A$3:$M$12"}</definedName>
    <definedName name="ㅂㅈㄷㄷㅂㅈㅈㅂ" localSheetId="7" hidden="1">{"'장비'!$A$3:$M$12"}</definedName>
    <definedName name="ㅂㅈㄷㄷㅂㅈㅈㅂ" localSheetId="9" hidden="1">{"'장비'!$A$3:$M$12"}</definedName>
    <definedName name="ㅂㅈㄷㄷㅂㅈㅈㅂ" localSheetId="3" hidden="1">{"'장비'!$A$3:$M$12"}</definedName>
    <definedName name="ㅂㅈㄷㄷㅂㅈㅈㅂ" localSheetId="2" hidden="1">{"'장비'!$A$3:$M$12"}</definedName>
    <definedName name="ㅂㅈㄷㄷㅂㅈㅈㅂ" localSheetId="16" hidden="1">{"'장비'!$A$3:$M$12"}</definedName>
    <definedName name="ㅂㅈㄷㄷㅂㅈㅈㅂ" localSheetId="0" hidden="1">{"'장비'!$A$3:$M$12"}</definedName>
    <definedName name="ㅂㅈㄷㄷㅂㅈㅈㅂ" localSheetId="26" hidden="1">{"'장비'!$A$3:$M$12"}</definedName>
    <definedName name="ㅂㅈㄷㄷㅂㅈㅈㅂ" localSheetId="11" hidden="1">{"'장비'!$A$3:$M$12"}</definedName>
    <definedName name="ㅂㅈㄷㄷㅂㅈㅈㅂ" hidden="1">{"'장비'!$A$3:$M$12"}</definedName>
    <definedName name="ㅂㅈㄷㅂㅈ" localSheetId="24" hidden="1">{"'장비'!$A$3:$M$12"}</definedName>
    <definedName name="ㅂㅈㄷㅂㅈ" localSheetId="7" hidden="1">{"'장비'!$A$3:$M$12"}</definedName>
    <definedName name="ㅂㅈㄷㅂㅈ" localSheetId="9" hidden="1">{"'장비'!$A$3:$M$12"}</definedName>
    <definedName name="ㅂㅈㄷㅂㅈ" localSheetId="3" hidden="1">{"'장비'!$A$3:$M$12"}</definedName>
    <definedName name="ㅂㅈㄷㅂㅈ" localSheetId="2" hidden="1">{"'장비'!$A$3:$M$12"}</definedName>
    <definedName name="ㅂㅈㄷㅂㅈ" localSheetId="16" hidden="1">{"'장비'!$A$3:$M$12"}</definedName>
    <definedName name="ㅂㅈㄷㅂㅈ" localSheetId="0" hidden="1">{"'장비'!$A$3:$M$12"}</definedName>
    <definedName name="ㅂㅈㄷㅂㅈ" localSheetId="26" hidden="1">{"'장비'!$A$3:$M$12"}</definedName>
    <definedName name="ㅂㅈㄷㅂㅈ" localSheetId="11" hidden="1">{"'장비'!$A$3:$M$12"}</definedName>
    <definedName name="ㅂㅈㄷㅂㅈ" hidden="1">{"'장비'!$A$3:$M$12"}</definedName>
    <definedName name="ㅂㅈㄷㅂㅈㅈㅂㄷ" localSheetId="24" hidden="1">{"'장비'!$A$3:$M$12"}</definedName>
    <definedName name="ㅂㅈㄷㅂㅈㅈㅂㄷ" localSheetId="7" hidden="1">{"'장비'!$A$3:$M$12"}</definedName>
    <definedName name="ㅂㅈㄷㅂㅈㅈㅂㄷ" localSheetId="9" hidden="1">{"'장비'!$A$3:$M$12"}</definedName>
    <definedName name="ㅂㅈㄷㅂㅈㅈㅂㄷ" localSheetId="3" hidden="1">{"'장비'!$A$3:$M$12"}</definedName>
    <definedName name="ㅂㅈㄷㅂㅈㅈㅂㄷ" localSheetId="2" hidden="1">{"'장비'!$A$3:$M$12"}</definedName>
    <definedName name="ㅂㅈㄷㅂㅈㅈㅂㄷ" localSheetId="16" hidden="1">{"'장비'!$A$3:$M$12"}</definedName>
    <definedName name="ㅂㅈㄷㅂㅈㅈㅂㄷ" localSheetId="0" hidden="1">{"'장비'!$A$3:$M$12"}</definedName>
    <definedName name="ㅂㅈㄷㅂㅈㅈㅂㄷ" localSheetId="26" hidden="1">{"'장비'!$A$3:$M$12"}</definedName>
    <definedName name="ㅂㅈㄷㅂㅈㅈㅂㄷ" localSheetId="11" hidden="1">{"'장비'!$A$3:$M$12"}</definedName>
    <definedName name="ㅂㅈㄷㅂㅈㅈㅂㄷ" hidden="1">{"'장비'!$A$3:$M$12"}</definedName>
    <definedName name="ㅂㅈㄷㅈㅂㄷ" localSheetId="24" hidden="1">{"'장비'!$A$3:$M$12"}</definedName>
    <definedName name="ㅂㅈㄷㅈㅂㄷ" localSheetId="7" hidden="1">{"'장비'!$A$3:$M$12"}</definedName>
    <definedName name="ㅂㅈㄷㅈㅂㄷ" localSheetId="9" hidden="1">{"'장비'!$A$3:$M$12"}</definedName>
    <definedName name="ㅂㅈㄷㅈㅂㄷ" localSheetId="3" hidden="1">{"'장비'!$A$3:$M$12"}</definedName>
    <definedName name="ㅂㅈㄷㅈㅂㄷ" localSheetId="2" hidden="1">{"'장비'!$A$3:$M$12"}</definedName>
    <definedName name="ㅂㅈㄷㅈㅂㄷ" localSheetId="16" hidden="1">{"'장비'!$A$3:$M$12"}</definedName>
    <definedName name="ㅂㅈㄷㅈㅂㄷ" localSheetId="0" hidden="1">{"'장비'!$A$3:$M$12"}</definedName>
    <definedName name="ㅂㅈㄷㅈㅂㄷ" localSheetId="26" hidden="1">{"'장비'!$A$3:$M$12"}</definedName>
    <definedName name="ㅂㅈㄷㅈㅂㄷ" localSheetId="11" hidden="1">{"'장비'!$A$3:$M$12"}</definedName>
    <definedName name="ㅂㅈㄷㅈㅂㄷ" hidden="1">{"'장비'!$A$3:$M$12"}</definedName>
    <definedName name="보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 localSheetId="7" hidden="1">#REF!</definedName>
    <definedName name="보충" localSheetId="3" hidden="1">#REF!</definedName>
    <definedName name="보충" localSheetId="0" hidden="1">#REF!</definedName>
    <definedName name="보충" hidden="1">#REF!</definedName>
    <definedName name="보호" localSheetId="24" hidden="1">{#N/A,#N/A,FALSE,"ENG'G(보호계전기)"}</definedName>
    <definedName name="보호" localSheetId="7" hidden="1">{#N/A,#N/A,FALSE,"ENG'G(보호계전기)"}</definedName>
    <definedName name="보호" localSheetId="9" hidden="1">{#N/A,#N/A,FALSE,"ENG'G(보호계전기)"}</definedName>
    <definedName name="보호" localSheetId="3" hidden="1">{#N/A,#N/A,FALSE,"ENG'G(보호계전기)"}</definedName>
    <definedName name="보호" localSheetId="2" hidden="1">{#N/A,#N/A,FALSE,"ENG'G(보호계전기)"}</definedName>
    <definedName name="보호" localSheetId="16" hidden="1">{#N/A,#N/A,FALSE,"ENG'G(보호계전기)"}</definedName>
    <definedName name="보호" localSheetId="0" hidden="1">{#N/A,#N/A,FALSE,"ENG'G(보호계전기)"}</definedName>
    <definedName name="보호" localSheetId="26" hidden="1">{#N/A,#N/A,FALSE,"ENG'G(보호계전기)"}</definedName>
    <definedName name="보호" localSheetId="11" hidden="1">{#N/A,#N/A,FALSE,"ENG'G(보호계전기)"}</definedName>
    <definedName name="보호" hidden="1">{#N/A,#N/A,FALSE,"ENG'G(보호계전기)"}</definedName>
    <definedName name="본공사공정표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localSheetId="7" hidden="1">#REF!</definedName>
    <definedName name="부대공사" localSheetId="3" hidden="1">#REF!</definedName>
    <definedName name="부대공사" localSheetId="0" hidden="1">#REF!</definedName>
    <definedName name="부대공사" hidden="1">#REF!</definedName>
    <definedName name="부손익" localSheetId="24" hidden="1">{#N/A,#N/A,FALSE,"현장 NCR 분석";#N/A,#N/A,FALSE,"현장품질감사";#N/A,#N/A,FALSE,"현장품질감사"}</definedName>
    <definedName name="부손익" localSheetId="7" hidden="1">{#N/A,#N/A,FALSE,"현장 NCR 분석";#N/A,#N/A,FALSE,"현장품질감사";#N/A,#N/A,FALSE,"현장품질감사"}</definedName>
    <definedName name="부손익" localSheetId="9" hidden="1">{#N/A,#N/A,FALSE,"현장 NCR 분석";#N/A,#N/A,FALSE,"현장품질감사";#N/A,#N/A,FALSE,"현장품질감사"}</definedName>
    <definedName name="부손익" localSheetId="3" hidden="1">{#N/A,#N/A,FALSE,"현장 NCR 분석";#N/A,#N/A,FALSE,"현장품질감사";#N/A,#N/A,FALSE,"현장품질감사"}</definedName>
    <definedName name="부손익" localSheetId="2" hidden="1">{#N/A,#N/A,FALSE,"현장 NCR 분석";#N/A,#N/A,FALSE,"현장품질감사";#N/A,#N/A,FALSE,"현장품질감사"}</definedName>
    <definedName name="부손익" localSheetId="16" hidden="1">{#N/A,#N/A,FALSE,"현장 NCR 분석";#N/A,#N/A,FALSE,"현장품질감사";#N/A,#N/A,FALSE,"현장품질감사"}</definedName>
    <definedName name="부손익" localSheetId="0" hidden="1">{#N/A,#N/A,FALSE,"현장 NCR 분석";#N/A,#N/A,FALSE,"현장품질감사";#N/A,#N/A,FALSE,"현장품질감사"}</definedName>
    <definedName name="부손익" localSheetId="26" hidden="1">{#N/A,#N/A,FALSE,"현장 NCR 분석";#N/A,#N/A,FALSE,"현장품질감사";#N/A,#N/A,FALSE,"현장품질감사"}</definedName>
    <definedName name="부손익" localSheetId="11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분야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localSheetId="24" hidden="1">{"'장비'!$A$3:$M$12"}</definedName>
    <definedName name="ㅅㄱㄱㄷ" localSheetId="7" hidden="1">{"'장비'!$A$3:$M$12"}</definedName>
    <definedName name="ㅅㄱㄱㄷ" localSheetId="9" hidden="1">{"'장비'!$A$3:$M$12"}</definedName>
    <definedName name="ㅅㄱㄱㄷ" localSheetId="3" hidden="1">{"'장비'!$A$3:$M$12"}</definedName>
    <definedName name="ㅅㄱㄱㄷ" localSheetId="2" hidden="1">{"'장비'!$A$3:$M$12"}</definedName>
    <definedName name="ㅅㄱㄱㄷ" localSheetId="16" hidden="1">{"'장비'!$A$3:$M$12"}</definedName>
    <definedName name="ㅅㄱㄱㄷ" localSheetId="0" hidden="1">{"'장비'!$A$3:$M$12"}</definedName>
    <definedName name="ㅅㄱㄱㄷ" localSheetId="26" hidden="1">{"'장비'!$A$3:$M$12"}</definedName>
    <definedName name="ㅅㄱㄱㄷ" localSheetId="11" hidden="1">{"'장비'!$A$3:$M$12"}</definedName>
    <definedName name="ㅅㄱㄱㄷ" hidden="1">{"'장비'!$A$3:$M$12"}</definedName>
    <definedName name="ㅅㅅㅅㅅㅅ" localSheetId="24" hidden="1">{"'장비'!$A$3:$M$12"}</definedName>
    <definedName name="ㅅㅅㅅㅅㅅ" localSheetId="7" hidden="1">{"'장비'!$A$3:$M$12"}</definedName>
    <definedName name="ㅅㅅㅅㅅㅅ" localSheetId="9" hidden="1">{"'장비'!$A$3:$M$12"}</definedName>
    <definedName name="ㅅㅅㅅㅅㅅ" localSheetId="3" hidden="1">{"'장비'!$A$3:$M$12"}</definedName>
    <definedName name="ㅅㅅㅅㅅㅅ" localSheetId="2" hidden="1">{"'장비'!$A$3:$M$12"}</definedName>
    <definedName name="ㅅㅅㅅㅅㅅ" localSheetId="16" hidden="1">{"'장비'!$A$3:$M$12"}</definedName>
    <definedName name="ㅅㅅㅅㅅㅅ" localSheetId="0" hidden="1">{"'장비'!$A$3:$M$12"}</definedName>
    <definedName name="ㅅㅅㅅㅅㅅ" localSheetId="26" hidden="1">{"'장비'!$A$3:$M$12"}</definedName>
    <definedName name="ㅅㅅㅅㅅㅅ" localSheetId="11" hidden="1">{"'장비'!$A$3:$M$12"}</definedName>
    <definedName name="ㅅㅅㅅㅅㅅ" hidden="1">{"'장비'!$A$3:$M$12"}</definedName>
    <definedName name="사업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 localSheetId="7" hidden="1">#REF!</definedName>
    <definedName name="사업계획수정" localSheetId="3" hidden="1">#REF!</definedName>
    <definedName name="사업계획수정" localSheetId="0" hidden="1">#REF!</definedName>
    <definedName name="사업계획수정" hidden="1">#REF!</definedName>
    <definedName name="사업관리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 localSheetId="7" hidden="1">#REF!</definedName>
    <definedName name="사업부양식2" localSheetId="3" hidden="1">#REF!</definedName>
    <definedName name="사업부양식2" localSheetId="0" hidden="1">#REF!</definedName>
    <definedName name="사업부양식2" hidden="1">#REF!</definedName>
    <definedName name="산출" localSheetId="0" hidden="1">#REF!</definedName>
    <definedName name="산출" hidden="1">#REF!</definedName>
    <definedName name="새안" localSheetId="24" hidden="1">{#N/A,#N/A,FALSE,"TABLE"}</definedName>
    <definedName name="새안" localSheetId="7" hidden="1">{#N/A,#N/A,FALSE,"TABLE"}</definedName>
    <definedName name="새안" localSheetId="9" hidden="1">{#N/A,#N/A,FALSE,"TABLE"}</definedName>
    <definedName name="새안" localSheetId="3" hidden="1">{#N/A,#N/A,FALSE,"TABLE"}</definedName>
    <definedName name="새안" localSheetId="2" hidden="1">{#N/A,#N/A,FALSE,"TABLE"}</definedName>
    <definedName name="새안" localSheetId="16" hidden="1">{#N/A,#N/A,FALSE,"TABLE"}</definedName>
    <definedName name="새안" localSheetId="0" hidden="1">{#N/A,#N/A,FALSE,"TABLE"}</definedName>
    <definedName name="새안" localSheetId="26" hidden="1">{#N/A,#N/A,FALSE,"TABLE"}</definedName>
    <definedName name="새안" localSheetId="11" hidden="1">{#N/A,#N/A,FALSE,"TABLE"}</definedName>
    <definedName name="새안" hidden="1">{#N/A,#N/A,FALSE,"TABLE"}</definedName>
    <definedName name="석항" localSheetId="24" hidden="1">{#N/A,#N/A,FALSE,"명세표"}</definedName>
    <definedName name="석항" localSheetId="7" hidden="1">{#N/A,#N/A,FALSE,"명세표"}</definedName>
    <definedName name="석항" localSheetId="9" hidden="1">{#N/A,#N/A,FALSE,"명세표"}</definedName>
    <definedName name="석항" localSheetId="3" hidden="1">{#N/A,#N/A,FALSE,"명세표"}</definedName>
    <definedName name="석항" localSheetId="2" hidden="1">{#N/A,#N/A,FALSE,"명세표"}</definedName>
    <definedName name="석항" localSheetId="16" hidden="1">{#N/A,#N/A,FALSE,"명세표"}</definedName>
    <definedName name="석항" localSheetId="0" hidden="1">{#N/A,#N/A,FALSE,"명세표"}</definedName>
    <definedName name="석항" localSheetId="26" hidden="1">{#N/A,#N/A,FALSE,"명세표"}</definedName>
    <definedName name="석항" localSheetId="11" hidden="1">{#N/A,#N/A,FALSE,"명세표"}</definedName>
    <definedName name="석항" hidden="1">{#N/A,#N/A,FALSE,"명세표"}</definedName>
    <definedName name="설계현황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 localSheetId="7" hidden="1">#REF!</definedName>
    <definedName name="손익계산서" localSheetId="3" hidden="1">#REF!</definedName>
    <definedName name="손익계산서" localSheetId="0" hidden="1">#REF!</definedName>
    <definedName name="손익계산서" hidden="1">#REF!</definedName>
    <definedName name="쇼ㅗㅎ로" localSheetId="24" hidden="1">{"'장비'!$A$3:$M$12"}</definedName>
    <definedName name="쇼ㅗㅎ로" localSheetId="7" hidden="1">{"'장비'!$A$3:$M$12"}</definedName>
    <definedName name="쇼ㅗㅎ로" localSheetId="9" hidden="1">{"'장비'!$A$3:$M$12"}</definedName>
    <definedName name="쇼ㅗㅎ로" localSheetId="3" hidden="1">{"'장비'!$A$3:$M$12"}</definedName>
    <definedName name="쇼ㅗㅎ로" localSheetId="2" hidden="1">{"'장비'!$A$3:$M$12"}</definedName>
    <definedName name="쇼ㅗㅎ로" localSheetId="16" hidden="1">{"'장비'!$A$3:$M$12"}</definedName>
    <definedName name="쇼ㅗㅎ로" localSheetId="0" hidden="1">{"'장비'!$A$3:$M$12"}</definedName>
    <definedName name="쇼ㅗㅎ로" localSheetId="26" hidden="1">{"'장비'!$A$3:$M$12"}</definedName>
    <definedName name="쇼ㅗㅎ로" localSheetId="11" hidden="1">{"'장비'!$A$3:$M$12"}</definedName>
    <definedName name="쇼ㅗㅎ로" hidden="1">{"'장비'!$A$3:$M$12"}</definedName>
    <definedName name="수" hidden="1">#REF!</definedName>
    <definedName name="수당" hidden="1">#N/A</definedName>
    <definedName name="신설" localSheetId="24" hidden="1">{#N/A,#N/A,FALSE,"명세표"}</definedName>
    <definedName name="신설" localSheetId="7" hidden="1">{#N/A,#N/A,FALSE,"명세표"}</definedName>
    <definedName name="신설" localSheetId="9" hidden="1">{#N/A,#N/A,FALSE,"명세표"}</definedName>
    <definedName name="신설" localSheetId="3" hidden="1">{#N/A,#N/A,FALSE,"명세표"}</definedName>
    <definedName name="신설" localSheetId="2" hidden="1">{#N/A,#N/A,FALSE,"명세표"}</definedName>
    <definedName name="신설" localSheetId="16" hidden="1">{#N/A,#N/A,FALSE,"명세표"}</definedName>
    <definedName name="신설" localSheetId="0" hidden="1">{#N/A,#N/A,FALSE,"명세표"}</definedName>
    <definedName name="신설" localSheetId="26" hidden="1">{#N/A,#N/A,FALSE,"명세표"}</definedName>
    <definedName name="신설" localSheetId="11" hidden="1">{#N/A,#N/A,FALSE,"명세표"}</definedName>
    <definedName name="신설" hidden="1">{#N/A,#N/A,FALSE,"명세표"}</definedName>
    <definedName name="실적총괄1" localSheetId="7" hidden="1">#REF!</definedName>
    <definedName name="실적총괄1" localSheetId="3" hidden="1">#REF!</definedName>
    <definedName name="실적총괄1" localSheetId="0" hidden="1">#REF!</definedName>
    <definedName name="실적총괄1" hidden="1">#REF!</definedName>
    <definedName name="실총" localSheetId="0" hidden="1">#REF!</definedName>
    <definedName name="실총" hidden="1">#REF!</definedName>
    <definedName name="ㅇㄹㄹ" localSheetId="0" hidden="1">#REF!</definedName>
    <definedName name="ㅇㄹㄹ" hidden="1">#REF!</definedName>
    <definedName name="ㅇㅇ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 localSheetId="24" hidden="1">#REF!</definedName>
    <definedName name="ㅇㅇㅇㅇ" localSheetId="7" hidden="1">#REF!</definedName>
    <definedName name="ㅇㅇㅇㅇ" localSheetId="0" hidden="1">#REF!</definedName>
    <definedName name="ㅇㅇㅇㅇ" localSheetId="26" hidden="1">#REF!</definedName>
    <definedName name="ㅇㅇㅇㅇ" hidden="1">#REF!</definedName>
    <definedName name="양식변경123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 localSheetId="7" hidden="1">#REF!</definedName>
    <definedName name="이월" localSheetId="3" hidden="1">#REF!</definedName>
    <definedName name="이월" localSheetId="0" hidden="1">#REF!</definedName>
    <definedName name="이월" hidden="1">#REF!</definedName>
    <definedName name="이이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localSheetId="24" hidden="1">{#N/A,#N/A,FALSE,"명세표"}</definedName>
    <definedName name="ㅈ" localSheetId="7" hidden="1">{#N/A,#N/A,FALSE,"명세표"}</definedName>
    <definedName name="ㅈ" localSheetId="9" hidden="1">{#N/A,#N/A,FALSE,"명세표"}</definedName>
    <definedName name="ㅈ" localSheetId="3" hidden="1">{#N/A,#N/A,FALSE,"명세표"}</definedName>
    <definedName name="ㅈ" localSheetId="2" hidden="1">{#N/A,#N/A,FALSE,"명세표"}</definedName>
    <definedName name="ㅈ" localSheetId="16" hidden="1">{#N/A,#N/A,FALSE,"명세표"}</definedName>
    <definedName name="ㅈ" localSheetId="0" hidden="1">{#N/A,#N/A,FALSE,"명세표"}</definedName>
    <definedName name="ㅈ" localSheetId="26" hidden="1">{#N/A,#N/A,FALSE,"명세표"}</definedName>
    <definedName name="ㅈ" localSheetId="11" hidden="1">{#N/A,#N/A,FALSE,"명세표"}</definedName>
    <definedName name="ㅈ" hidden="1">{#N/A,#N/A,FALSE,"명세표"}</definedName>
    <definedName name="ㅈㅈㅈㅈ" localSheetId="24" hidden="1">{#N/A,#N/A,FALSE,"명세표"}</definedName>
    <definedName name="ㅈㅈㅈㅈ" localSheetId="7" hidden="1">{#N/A,#N/A,FALSE,"명세표"}</definedName>
    <definedName name="ㅈㅈㅈㅈ" localSheetId="9" hidden="1">{#N/A,#N/A,FALSE,"명세표"}</definedName>
    <definedName name="ㅈㅈㅈㅈ" localSheetId="3" hidden="1">{#N/A,#N/A,FALSE,"명세표"}</definedName>
    <definedName name="ㅈㅈㅈㅈ" localSheetId="2" hidden="1">{#N/A,#N/A,FALSE,"명세표"}</definedName>
    <definedName name="ㅈㅈㅈㅈ" localSheetId="16" hidden="1">{#N/A,#N/A,FALSE,"명세표"}</definedName>
    <definedName name="ㅈㅈㅈㅈ" localSheetId="0" hidden="1">{#N/A,#N/A,FALSE,"명세표"}</definedName>
    <definedName name="ㅈㅈㅈㅈ" localSheetId="26" hidden="1">{#N/A,#N/A,FALSE,"명세표"}</definedName>
    <definedName name="ㅈㅈㅈㅈ" localSheetId="11" hidden="1">{#N/A,#N/A,FALSE,"명세표"}</definedName>
    <definedName name="ㅈㅈㅈㅈ" hidden="1">{#N/A,#N/A,FALSE,"명세표"}</definedName>
    <definedName name="자미" localSheetId="24" hidden="1">{#N/A,#N/A,FALSE,"명세표"}</definedName>
    <definedName name="자미" localSheetId="7" hidden="1">{#N/A,#N/A,FALSE,"명세표"}</definedName>
    <definedName name="자미" localSheetId="9" hidden="1">{#N/A,#N/A,FALSE,"명세표"}</definedName>
    <definedName name="자미" localSheetId="3" hidden="1">{#N/A,#N/A,FALSE,"명세표"}</definedName>
    <definedName name="자미" localSheetId="2" hidden="1">{#N/A,#N/A,FALSE,"명세표"}</definedName>
    <definedName name="자미" localSheetId="16" hidden="1">{#N/A,#N/A,FALSE,"명세표"}</definedName>
    <definedName name="자미" localSheetId="0" hidden="1">{#N/A,#N/A,FALSE,"명세표"}</definedName>
    <definedName name="자미" localSheetId="26" hidden="1">{#N/A,#N/A,FALSE,"명세표"}</definedName>
    <definedName name="자미" localSheetId="11" hidden="1">{#N/A,#N/A,FALSE,"명세표"}</definedName>
    <definedName name="자미" hidden="1">{#N/A,#N/A,FALSE,"명세표"}</definedName>
    <definedName name="자운" localSheetId="7" hidden="1">#REF!</definedName>
    <definedName name="자운" localSheetId="3" hidden="1">#REF!</definedName>
    <definedName name="자운" localSheetId="0" hidden="1">#REF!</definedName>
    <definedName name="자운" hidden="1">#REF!</definedName>
    <definedName name="자재3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 localSheetId="7" hidden="1">#REF!</definedName>
    <definedName name="전계장금액" localSheetId="3" hidden="1">#REF!</definedName>
    <definedName name="전계장금액" localSheetId="0" hidden="1">#REF!</definedName>
    <definedName name="전계장금액" hidden="1">#REF!</definedName>
    <definedName name="전기사양_SAMPLE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 localSheetId="7" hidden="1">#REF!</definedName>
    <definedName name="전선조장" localSheetId="3" hidden="1">#REF!</definedName>
    <definedName name="전선조장" localSheetId="0" hidden="1">#REF!</definedName>
    <definedName name="전선조장" hidden="1">#REF!</definedName>
    <definedName name="조직표현장" localSheetId="7" hidden="1">#REF!</definedName>
    <definedName name="조직표현장" localSheetId="3" hidden="1">#REF!</definedName>
    <definedName name="조직표현장" localSheetId="0" hidden="1">#REF!</definedName>
    <definedName name="조직표현장" hidden="1">#REF!</definedName>
    <definedName name="종합1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localSheetId="24" hidden="1">{#N/A,#N/A,FALSE,"ENG'G(보호계전기)"}</definedName>
    <definedName name="중량비교검토" localSheetId="7" hidden="1">{#N/A,#N/A,FALSE,"ENG'G(보호계전기)"}</definedName>
    <definedName name="중량비교검토" localSheetId="9" hidden="1">{#N/A,#N/A,FALSE,"ENG'G(보호계전기)"}</definedName>
    <definedName name="중량비교검토" localSheetId="3" hidden="1">{#N/A,#N/A,FALSE,"ENG'G(보호계전기)"}</definedName>
    <definedName name="중량비교검토" localSheetId="2" hidden="1">{#N/A,#N/A,FALSE,"ENG'G(보호계전기)"}</definedName>
    <definedName name="중량비교검토" localSheetId="16" hidden="1">{#N/A,#N/A,FALSE,"ENG'G(보호계전기)"}</definedName>
    <definedName name="중량비교검토" localSheetId="0" hidden="1">{#N/A,#N/A,FALSE,"ENG'G(보호계전기)"}</definedName>
    <definedName name="중량비교검토" localSheetId="26" hidden="1">{#N/A,#N/A,FALSE,"ENG'G(보호계전기)"}</definedName>
    <definedName name="중량비교검토" localSheetId="11" hidden="1">{#N/A,#N/A,FALSE,"ENG'G(보호계전기)"}</definedName>
    <definedName name="중량비교검토" hidden="1">{#N/A,#N/A,FALSE,"ENG'G(보호계전기)"}</definedName>
    <definedName name="집계" localSheetId="24" hidden="1">{#N/A,#N/A,FALSE,"명세표"}</definedName>
    <definedName name="집계" localSheetId="7" hidden="1">{#N/A,#N/A,FALSE,"명세표"}</definedName>
    <definedName name="집계" localSheetId="9" hidden="1">{#N/A,#N/A,FALSE,"명세표"}</definedName>
    <definedName name="집계" localSheetId="3" hidden="1">{#N/A,#N/A,FALSE,"명세표"}</definedName>
    <definedName name="집계" localSheetId="2" hidden="1">{#N/A,#N/A,FALSE,"명세표"}</definedName>
    <definedName name="집계" localSheetId="16" hidden="1">{#N/A,#N/A,FALSE,"명세표"}</definedName>
    <definedName name="집계" localSheetId="0" hidden="1">{#N/A,#N/A,FALSE,"명세표"}</definedName>
    <definedName name="집계" localSheetId="26" hidden="1">{#N/A,#N/A,FALSE,"명세표"}</definedName>
    <definedName name="집계" localSheetId="11" hidden="1">{#N/A,#N/A,FALSE,"명세표"}</definedName>
    <definedName name="집계" hidden="1">{#N/A,#N/A,FALSE,"명세표"}</definedName>
    <definedName name="철골공정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localSheetId="24" hidden="1">{#N/A,#N/A,FALSE,"명세표"}</definedName>
    <definedName name="ㅋㅁ" localSheetId="7" hidden="1">{#N/A,#N/A,FALSE,"명세표"}</definedName>
    <definedName name="ㅋㅁ" localSheetId="9" hidden="1">{#N/A,#N/A,FALSE,"명세표"}</definedName>
    <definedName name="ㅋㅁ" localSheetId="3" hidden="1">{#N/A,#N/A,FALSE,"명세표"}</definedName>
    <definedName name="ㅋㅁ" localSheetId="2" hidden="1">{#N/A,#N/A,FALSE,"명세표"}</definedName>
    <definedName name="ㅋㅁ" localSheetId="16" hidden="1">{#N/A,#N/A,FALSE,"명세표"}</definedName>
    <definedName name="ㅋㅁ" localSheetId="0" hidden="1">{#N/A,#N/A,FALSE,"명세표"}</definedName>
    <definedName name="ㅋㅁ" localSheetId="26" hidden="1">{#N/A,#N/A,FALSE,"명세표"}</definedName>
    <definedName name="ㅋㅁ" localSheetId="11" hidden="1">{#N/A,#N/A,FALSE,"명세표"}</definedName>
    <definedName name="ㅋㅁ" hidden="1">{#N/A,#N/A,FALSE,"명세표"}</definedName>
    <definedName name="ㅋㅋㅋ" localSheetId="24" hidden="1">{#N/A,#N/A,FALSE,"명세표"}</definedName>
    <definedName name="ㅋㅋㅋ" localSheetId="7" hidden="1">{#N/A,#N/A,FALSE,"명세표"}</definedName>
    <definedName name="ㅋㅋㅋ" localSheetId="9" hidden="1">{#N/A,#N/A,FALSE,"명세표"}</definedName>
    <definedName name="ㅋㅋㅋ" localSheetId="3" hidden="1">{#N/A,#N/A,FALSE,"명세표"}</definedName>
    <definedName name="ㅋㅋㅋ" localSheetId="2" hidden="1">{#N/A,#N/A,FALSE,"명세표"}</definedName>
    <definedName name="ㅋㅋㅋ" localSheetId="16" hidden="1">{#N/A,#N/A,FALSE,"명세표"}</definedName>
    <definedName name="ㅋㅋㅋ" localSheetId="0" hidden="1">{#N/A,#N/A,FALSE,"명세표"}</definedName>
    <definedName name="ㅋㅋㅋ" localSheetId="26" hidden="1">{#N/A,#N/A,FALSE,"명세표"}</definedName>
    <definedName name="ㅋㅋㅋ" localSheetId="11" hidden="1">{#N/A,#N/A,FALSE,"명세표"}</definedName>
    <definedName name="ㅋㅋㅋ" hidden="1">{#N/A,#N/A,FALSE,"명세표"}</definedName>
    <definedName name="ㅌㅌ" localSheetId="24" hidden="1">{#N/A,#N/A,FALSE,"명세표"}</definedName>
    <definedName name="ㅌㅌ" localSheetId="7" hidden="1">{#N/A,#N/A,FALSE,"명세표"}</definedName>
    <definedName name="ㅌㅌ" localSheetId="9" hidden="1">{#N/A,#N/A,FALSE,"명세표"}</definedName>
    <definedName name="ㅌㅌ" localSheetId="3" hidden="1">{#N/A,#N/A,FALSE,"명세표"}</definedName>
    <definedName name="ㅌㅌ" localSheetId="2" hidden="1">{#N/A,#N/A,FALSE,"명세표"}</definedName>
    <definedName name="ㅌㅌ" localSheetId="16" hidden="1">{#N/A,#N/A,FALSE,"명세표"}</definedName>
    <definedName name="ㅌㅌ" localSheetId="0" hidden="1">{#N/A,#N/A,FALSE,"명세표"}</definedName>
    <definedName name="ㅌㅌ" localSheetId="26" hidden="1">{#N/A,#N/A,FALSE,"명세표"}</definedName>
    <definedName name="ㅌㅌ" localSheetId="11" hidden="1">{#N/A,#N/A,FALSE,"명세표"}</definedName>
    <definedName name="ㅌㅌ" hidden="1">{#N/A,#N/A,FALSE,"명세표"}</definedName>
    <definedName name="토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localSheetId="24" hidden="1">{"'장비'!$A$3:$M$12"}</definedName>
    <definedName name="ㅎㅎㅎㅎ" localSheetId="7" hidden="1">{"'장비'!$A$3:$M$12"}</definedName>
    <definedName name="ㅎㅎㅎㅎ" localSheetId="9" hidden="1">{"'장비'!$A$3:$M$12"}</definedName>
    <definedName name="ㅎㅎㅎㅎ" localSheetId="3" hidden="1">{"'장비'!$A$3:$M$12"}</definedName>
    <definedName name="ㅎㅎㅎㅎ" localSheetId="2" hidden="1">{"'장비'!$A$3:$M$12"}</definedName>
    <definedName name="ㅎㅎㅎㅎ" localSheetId="16" hidden="1">{"'장비'!$A$3:$M$12"}</definedName>
    <definedName name="ㅎㅎㅎㅎ" localSheetId="0" hidden="1">{"'장비'!$A$3:$M$12"}</definedName>
    <definedName name="ㅎㅎㅎㅎ" localSheetId="26" hidden="1">{"'장비'!$A$3:$M$12"}</definedName>
    <definedName name="ㅎㅎㅎㅎ" localSheetId="11" hidden="1">{"'장비'!$A$3:$M$12"}</definedName>
    <definedName name="ㅎㅎㅎㅎ" hidden="1">{"'장비'!$A$3:$M$12"}</definedName>
    <definedName name="하하하" localSheetId="24" hidden="1">{#N/A,#N/A,FALSE,"명세표"}</definedName>
    <definedName name="하하하" localSheetId="7" hidden="1">{#N/A,#N/A,FALSE,"명세표"}</definedName>
    <definedName name="하하하" localSheetId="9" hidden="1">{#N/A,#N/A,FALSE,"명세표"}</definedName>
    <definedName name="하하하" localSheetId="3" hidden="1">{#N/A,#N/A,FALSE,"명세표"}</definedName>
    <definedName name="하하하" localSheetId="2" hidden="1">{#N/A,#N/A,FALSE,"명세표"}</definedName>
    <definedName name="하하하" localSheetId="16" hidden="1">{#N/A,#N/A,FALSE,"명세표"}</definedName>
    <definedName name="하하하" localSheetId="0" hidden="1">{#N/A,#N/A,FALSE,"명세표"}</definedName>
    <definedName name="하하하" localSheetId="26" hidden="1">{#N/A,#N/A,FALSE,"명세표"}</definedName>
    <definedName name="하하하" localSheetId="11" hidden="1">{#N/A,#N/A,FALSE,"명세표"}</definedName>
    <definedName name="하하하" hidden="1">{#N/A,#N/A,FALSE,"명세표"}</definedName>
    <definedName name="한국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localSheetId="24" hidden="1">{#N/A,#N/A,FALSE,"명세표"}</definedName>
    <definedName name="호호호" localSheetId="7" hidden="1">{#N/A,#N/A,FALSE,"명세표"}</definedName>
    <definedName name="호호호" localSheetId="9" hidden="1">{#N/A,#N/A,FALSE,"명세표"}</definedName>
    <definedName name="호호호" localSheetId="3" hidden="1">{#N/A,#N/A,FALSE,"명세표"}</definedName>
    <definedName name="호호호" localSheetId="2" hidden="1">{#N/A,#N/A,FALSE,"명세표"}</definedName>
    <definedName name="호호호" localSheetId="16" hidden="1">{#N/A,#N/A,FALSE,"명세표"}</definedName>
    <definedName name="호호호" localSheetId="0" hidden="1">{#N/A,#N/A,FALSE,"명세표"}</definedName>
    <definedName name="호호호" localSheetId="26" hidden="1">{#N/A,#N/A,FALSE,"명세표"}</definedName>
    <definedName name="호호호" localSheetId="11" hidden="1">{#N/A,#N/A,FALSE,"명세표"}</definedName>
    <definedName name="호호호" hidden="1">{#N/A,#N/A,FALSE,"명세표"}</definedName>
    <definedName name="ㅏㅏㅏ" localSheetId="24" hidden="1">{#N/A,#N/A,FALSE,"명세표"}</definedName>
    <definedName name="ㅏㅏㅏ" localSheetId="7" hidden="1">{#N/A,#N/A,FALSE,"명세표"}</definedName>
    <definedName name="ㅏㅏㅏ" localSheetId="9" hidden="1">{#N/A,#N/A,FALSE,"명세표"}</definedName>
    <definedName name="ㅏㅏㅏ" localSheetId="3" hidden="1">{#N/A,#N/A,FALSE,"명세표"}</definedName>
    <definedName name="ㅏㅏㅏ" localSheetId="2" hidden="1">{#N/A,#N/A,FALSE,"명세표"}</definedName>
    <definedName name="ㅏㅏㅏ" localSheetId="16" hidden="1">{#N/A,#N/A,FALSE,"명세표"}</definedName>
    <definedName name="ㅏㅏㅏ" localSheetId="0" hidden="1">{#N/A,#N/A,FALSE,"명세표"}</definedName>
    <definedName name="ㅏㅏㅏ" localSheetId="26" hidden="1">{#N/A,#N/A,FALSE,"명세표"}</definedName>
    <definedName name="ㅏㅏㅏ" localSheetId="11" hidden="1">{#N/A,#N/A,FALSE,"명세표"}</definedName>
    <definedName name="ㅏㅏㅏ" hidden="1">{#N/A,#N/A,FALSE,"명세표"}</definedName>
    <definedName name="ㅔㅔ" localSheetId="24" hidden="1">{#N/A,#N/A,FALSE,"명세표"}</definedName>
    <definedName name="ㅔㅔ" localSheetId="7" hidden="1">{#N/A,#N/A,FALSE,"명세표"}</definedName>
    <definedName name="ㅔㅔ" localSheetId="9" hidden="1">{#N/A,#N/A,FALSE,"명세표"}</definedName>
    <definedName name="ㅔㅔ" localSheetId="3" hidden="1">{#N/A,#N/A,FALSE,"명세표"}</definedName>
    <definedName name="ㅔㅔ" localSheetId="2" hidden="1">{#N/A,#N/A,FALSE,"명세표"}</definedName>
    <definedName name="ㅔㅔ" localSheetId="16" hidden="1">{#N/A,#N/A,FALSE,"명세표"}</definedName>
    <definedName name="ㅔㅔ" localSheetId="0" hidden="1">{#N/A,#N/A,FALSE,"명세표"}</definedName>
    <definedName name="ㅔㅔ" localSheetId="26" hidden="1">{#N/A,#N/A,FALSE,"명세표"}</definedName>
    <definedName name="ㅔㅔ" localSheetId="11" hidden="1">{#N/A,#N/A,FALSE,"명세표"}</definedName>
    <definedName name="ㅔㅔ" hidden="1">{#N/A,#N/A,FALSE,"명세표"}</definedName>
    <definedName name="ㅔㅔㅔㅔㅔ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localSheetId="24" hidden="1">{"'장비'!$A$3:$M$12"}</definedName>
    <definedName name="ㅗ홓ㅎ로" localSheetId="7" hidden="1">{"'장비'!$A$3:$M$12"}</definedName>
    <definedName name="ㅗ홓ㅎ로" localSheetId="9" hidden="1">{"'장비'!$A$3:$M$12"}</definedName>
    <definedName name="ㅗ홓ㅎ로" localSheetId="3" hidden="1">{"'장비'!$A$3:$M$12"}</definedName>
    <definedName name="ㅗ홓ㅎ로" localSheetId="2" hidden="1">{"'장비'!$A$3:$M$12"}</definedName>
    <definedName name="ㅗ홓ㅎ로" localSheetId="16" hidden="1">{"'장비'!$A$3:$M$12"}</definedName>
    <definedName name="ㅗ홓ㅎ로" localSheetId="0" hidden="1">{"'장비'!$A$3:$M$12"}</definedName>
    <definedName name="ㅗ홓ㅎ로" localSheetId="26" hidden="1">{"'장비'!$A$3:$M$12"}</definedName>
    <definedName name="ㅗ홓ㅎ로" localSheetId="11" hidden="1">{"'장비'!$A$3:$M$12"}</definedName>
    <definedName name="ㅗ홓ㅎ로" hidden="1">{"'장비'!$A$3:$M$12"}</definedName>
    <definedName name="ㅗㅗ" localSheetId="24" hidden="1">{#N/A,#N/A,FALSE,"명세표"}</definedName>
    <definedName name="ㅗㅗ" localSheetId="7" hidden="1">{#N/A,#N/A,FALSE,"명세표"}</definedName>
    <definedName name="ㅗㅗ" localSheetId="9" hidden="1">{#N/A,#N/A,FALSE,"명세표"}</definedName>
    <definedName name="ㅗㅗ" localSheetId="3" hidden="1">{#N/A,#N/A,FALSE,"명세표"}</definedName>
    <definedName name="ㅗㅗ" localSheetId="2" hidden="1">{#N/A,#N/A,FALSE,"명세표"}</definedName>
    <definedName name="ㅗㅗ" localSheetId="16" hidden="1">{#N/A,#N/A,FALSE,"명세표"}</definedName>
    <definedName name="ㅗㅗ" localSheetId="0" hidden="1">{#N/A,#N/A,FALSE,"명세표"}</definedName>
    <definedName name="ㅗㅗ" localSheetId="26" hidden="1">{#N/A,#N/A,FALSE,"명세표"}</definedName>
    <definedName name="ㅗㅗ" localSheetId="11" hidden="1">{#N/A,#N/A,FALSE,"명세표"}</definedName>
    <definedName name="ㅗㅗ" hidden="1">{#N/A,#N/A,FALSE,"명세표"}</definedName>
    <definedName name="ㅗㅗㅗㅗㅗ" localSheetId="24" hidden="1">{"'장비'!$A$3:$M$12"}</definedName>
    <definedName name="ㅗㅗㅗㅗㅗ" localSheetId="7" hidden="1">{"'장비'!$A$3:$M$12"}</definedName>
    <definedName name="ㅗㅗㅗㅗㅗ" localSheetId="9" hidden="1">{"'장비'!$A$3:$M$12"}</definedName>
    <definedName name="ㅗㅗㅗㅗㅗ" localSheetId="3" hidden="1">{"'장비'!$A$3:$M$12"}</definedName>
    <definedName name="ㅗㅗㅗㅗㅗ" localSheetId="2" hidden="1">{"'장비'!$A$3:$M$12"}</definedName>
    <definedName name="ㅗㅗㅗㅗㅗ" localSheetId="16" hidden="1">{"'장비'!$A$3:$M$12"}</definedName>
    <definedName name="ㅗㅗㅗㅗㅗ" localSheetId="0" hidden="1">{"'장비'!$A$3:$M$12"}</definedName>
    <definedName name="ㅗㅗㅗㅗㅗ" localSheetId="26" hidden="1">{"'장비'!$A$3:$M$12"}</definedName>
    <definedName name="ㅗㅗㅗㅗㅗ" localSheetId="11" hidden="1">{"'장비'!$A$3:$M$12"}</definedName>
    <definedName name="ㅗㅗㅗㅗㅗ" hidden="1">{"'장비'!$A$3:$M$12"}</definedName>
    <definedName name="ㅛ" localSheetId="24" hidden="1">{"'장비'!$A$3:$M$12"}</definedName>
    <definedName name="ㅛ" localSheetId="7" hidden="1">{"'장비'!$A$3:$M$12"}</definedName>
    <definedName name="ㅛ" localSheetId="9" hidden="1">{"'장비'!$A$3:$M$12"}</definedName>
    <definedName name="ㅛ" localSheetId="3" hidden="1">{"'장비'!$A$3:$M$12"}</definedName>
    <definedName name="ㅛ" localSheetId="2" hidden="1">{"'장비'!$A$3:$M$12"}</definedName>
    <definedName name="ㅛ" localSheetId="16" hidden="1">{"'장비'!$A$3:$M$12"}</definedName>
    <definedName name="ㅛ" localSheetId="0" hidden="1">{"'장비'!$A$3:$M$12"}</definedName>
    <definedName name="ㅛ" localSheetId="26" hidden="1">{"'장비'!$A$3:$M$12"}</definedName>
    <definedName name="ㅛ" localSheetId="11" hidden="1">{"'장비'!$A$3:$M$12"}</definedName>
    <definedName name="ㅛ" hidden="1">{"'장비'!$A$3:$M$12"}</definedName>
    <definedName name="ㅛㅕㅛㅕㅛ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localSheetId="24" hidden="1">{"'장비'!$A$3:$M$12"}</definedName>
    <definedName name="ㅛㅛㅛ" localSheetId="7" hidden="1">{"'장비'!$A$3:$M$12"}</definedName>
    <definedName name="ㅛㅛㅛ" localSheetId="9" hidden="1">{"'장비'!$A$3:$M$12"}</definedName>
    <definedName name="ㅛㅛㅛ" localSheetId="3" hidden="1">{"'장비'!$A$3:$M$12"}</definedName>
    <definedName name="ㅛㅛㅛ" localSheetId="2" hidden="1">{"'장비'!$A$3:$M$12"}</definedName>
    <definedName name="ㅛㅛㅛ" localSheetId="16" hidden="1">{"'장비'!$A$3:$M$12"}</definedName>
    <definedName name="ㅛㅛㅛ" localSheetId="0" hidden="1">{"'장비'!$A$3:$M$12"}</definedName>
    <definedName name="ㅛㅛㅛ" localSheetId="26" hidden="1">{"'장비'!$A$3:$M$12"}</definedName>
    <definedName name="ㅛㅛㅛ" localSheetId="11" hidden="1">{"'장비'!$A$3:$M$12"}</definedName>
    <definedName name="ㅛㅛㅛ" hidden="1">{"'장비'!$A$3:$M$12"}</definedName>
    <definedName name="ㅜ" localSheetId="24" hidden="1">{#N/A,#N/A,FALSE,"명세표"}</definedName>
    <definedName name="ㅜ" localSheetId="7" hidden="1">{#N/A,#N/A,FALSE,"명세표"}</definedName>
    <definedName name="ㅜ" localSheetId="9" hidden="1">{#N/A,#N/A,FALSE,"명세표"}</definedName>
    <definedName name="ㅜ" localSheetId="3" hidden="1">{#N/A,#N/A,FALSE,"명세표"}</definedName>
    <definedName name="ㅜ" localSheetId="2" hidden="1">{#N/A,#N/A,FALSE,"명세표"}</definedName>
    <definedName name="ㅜ" localSheetId="16" hidden="1">{#N/A,#N/A,FALSE,"명세표"}</definedName>
    <definedName name="ㅜ" localSheetId="0" hidden="1">{#N/A,#N/A,FALSE,"명세표"}</definedName>
    <definedName name="ㅜ" localSheetId="26" hidden="1">{#N/A,#N/A,FALSE,"명세표"}</definedName>
    <definedName name="ㅜ" localSheetId="11" hidden="1">{#N/A,#N/A,FALSE,"명세표"}</definedName>
    <definedName name="ㅜ" hidden="1">{#N/A,#N/A,FALSE,"명세표"}</definedName>
    <definedName name="ㅠㅠ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7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1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2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localSheetId="24" hidden="1">{#N/A,#N/A,FALSE,"명세표"}</definedName>
    <definedName name="ㅡㅡ" localSheetId="7" hidden="1">{#N/A,#N/A,FALSE,"명세표"}</definedName>
    <definedName name="ㅡㅡ" localSheetId="9" hidden="1">{#N/A,#N/A,FALSE,"명세표"}</definedName>
    <definedName name="ㅡㅡ" localSheetId="3" hidden="1">{#N/A,#N/A,FALSE,"명세표"}</definedName>
    <definedName name="ㅡㅡ" localSheetId="2" hidden="1">{#N/A,#N/A,FALSE,"명세표"}</definedName>
    <definedName name="ㅡㅡ" localSheetId="16" hidden="1">{#N/A,#N/A,FALSE,"명세표"}</definedName>
    <definedName name="ㅡㅡ" localSheetId="0" hidden="1">{#N/A,#N/A,FALSE,"명세표"}</definedName>
    <definedName name="ㅡㅡ" localSheetId="26" hidden="1">{#N/A,#N/A,FALSE,"명세표"}</definedName>
    <definedName name="ㅡㅡ" localSheetId="11" hidden="1">{#N/A,#N/A,FALSE,"명세표"}</definedName>
    <definedName name="ㅡㅡ" hidden="1">{#N/A,#N/A,FALSE,"명세표"}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48" i="436" l="1"/>
  <c r="L832" i="436"/>
  <c r="N832" i="436"/>
  <c r="L815" i="436"/>
  <c r="N815" i="436"/>
  <c r="L1285" i="436"/>
  <c r="N1285" i="436"/>
  <c r="L1262" i="436"/>
  <c r="N1262" i="436"/>
  <c r="L1239" i="436"/>
  <c r="N1239" i="436"/>
  <c r="L1222" i="436"/>
  <c r="N1222" i="436"/>
  <c r="L922" i="436"/>
  <c r="N922" i="436" s="1"/>
  <c r="L931" i="436" l="1"/>
  <c r="M715" i="436"/>
  <c r="N715" i="436" s="1"/>
  <c r="D34" i="476"/>
  <c r="D20" i="476"/>
  <c r="D31" i="476"/>
  <c r="C31" i="476"/>
  <c r="D19" i="476"/>
  <c r="D33" i="476"/>
  <c r="D32" i="476"/>
  <c r="C29" i="476"/>
  <c r="C28" i="476"/>
  <c r="C27" i="476"/>
  <c r="C26" i="476"/>
  <c r="C25" i="476"/>
  <c r="C24" i="476"/>
  <c r="D22" i="476"/>
  <c r="C21" i="476"/>
  <c r="C30" i="476" s="1"/>
  <c r="E19" i="476" l="1"/>
  <c r="C15" i="476" l="1"/>
  <c r="C14" i="476"/>
  <c r="C13" i="476"/>
  <c r="E34" i="476"/>
  <c r="E33" i="476"/>
  <c r="E32" i="476"/>
  <c r="E20" i="476"/>
  <c r="M714" i="436" s="1"/>
  <c r="N714" i="436" s="1"/>
  <c r="E18" i="476" l="1"/>
  <c r="M711" i="436" l="1"/>
  <c r="F62" i="474"/>
  <c r="F26" i="474"/>
  <c r="F44" i="474"/>
  <c r="F43" i="474"/>
  <c r="F42" i="474"/>
  <c r="F41" i="474"/>
  <c r="F40" i="474"/>
  <c r="F39" i="474"/>
  <c r="F38" i="474"/>
  <c r="F37" i="474"/>
  <c r="E35" i="474"/>
  <c r="E36" i="474" s="1"/>
  <c r="F34" i="474"/>
  <c r="F33" i="474"/>
  <c r="F32" i="474"/>
  <c r="F31" i="474"/>
  <c r="F30" i="474"/>
  <c r="F29" i="474"/>
  <c r="F46" i="474"/>
  <c r="F8" i="474"/>
  <c r="F61" i="474"/>
  <c r="F60" i="474"/>
  <c r="F59" i="474"/>
  <c r="F58" i="474"/>
  <c r="F57" i="474"/>
  <c r="F56" i="474"/>
  <c r="F54" i="474"/>
  <c r="F53" i="474"/>
  <c r="F52" i="474"/>
  <c r="F51" i="474"/>
  <c r="F50" i="474"/>
  <c r="F49" i="474"/>
  <c r="F36" i="474" l="1"/>
  <c r="F35" i="474"/>
  <c r="M1350" i="436"/>
  <c r="L1349" i="436"/>
  <c r="N1349" i="436" s="1"/>
  <c r="L1350" i="436"/>
  <c r="N1350" i="436" s="1"/>
  <c r="L1345" i="436"/>
  <c r="N1345" i="436" s="1"/>
  <c r="E1351" i="436"/>
  <c r="E1352" i="436" s="1"/>
  <c r="E1346" i="436"/>
  <c r="E1347" i="436" s="1"/>
  <c r="E1344" i="436"/>
  <c r="E1345" i="436" s="1"/>
  <c r="F45" i="474" l="1"/>
  <c r="F55" i="474"/>
  <c r="L1347" i="436"/>
  <c r="N1347" i="436" s="1"/>
  <c r="L1352" i="436" l="1"/>
  <c r="N1352" i="436" s="1"/>
  <c r="F63" i="474"/>
  <c r="L1132" i="436" l="1"/>
  <c r="L1148" i="436"/>
  <c r="L1162" i="436"/>
  <c r="L1163" i="436"/>
  <c r="L1149" i="436"/>
  <c r="L1133" i="436"/>
  <c r="L847" i="436"/>
  <c r="L831" i="436"/>
  <c r="L814" i="436"/>
  <c r="L58" i="436"/>
  <c r="L57" i="436"/>
  <c r="M112" i="446" l="1"/>
  <c r="M108" i="446"/>
  <c r="M32" i="446" l="1"/>
  <c r="N32" i="446" s="1"/>
  <c r="M712" i="436"/>
  <c r="F24" i="474"/>
  <c r="F23" i="474"/>
  <c r="F22" i="474"/>
  <c r="F21" i="474"/>
  <c r="F20" i="474"/>
  <c r="F19" i="474"/>
  <c r="F18" i="474"/>
  <c r="F16" i="474"/>
  <c r="F15" i="474"/>
  <c r="F14" i="474"/>
  <c r="F13" i="474"/>
  <c r="F12" i="474"/>
  <c r="F11" i="474"/>
  <c r="F17" i="474" l="1"/>
  <c r="F25" i="474" s="1"/>
  <c r="O5" i="446" l="1"/>
  <c r="N46" i="446"/>
  <c r="N52" i="446"/>
  <c r="N51" i="446"/>
  <c r="N50" i="446"/>
  <c r="N29" i="446"/>
  <c r="L421" i="436" l="1"/>
  <c r="L163" i="436"/>
  <c r="D1257" i="447" l="1"/>
  <c r="D1250" i="447"/>
  <c r="D1243" i="447"/>
  <c r="D1236" i="447"/>
  <c r="D1229" i="447"/>
  <c r="D1222" i="447"/>
  <c r="D1208" i="447"/>
  <c r="D1201" i="447"/>
  <c r="D1194" i="447"/>
  <c r="D1187" i="447"/>
  <c r="D1180" i="447"/>
  <c r="D1173" i="447"/>
  <c r="D1166" i="447"/>
  <c r="L838" i="436"/>
  <c r="N838" i="436" s="1"/>
  <c r="L821" i="436"/>
  <c r="N821" i="436" s="1"/>
  <c r="H1165" i="447" a="1"/>
  <c r="H1165" i="447" s="1"/>
  <c r="N831" i="436"/>
  <c r="E830" i="436"/>
  <c r="E831" i="436" s="1"/>
  <c r="E832" i="436" s="1"/>
  <c r="E813" i="436"/>
  <c r="E814" i="436" s="1"/>
  <c r="E815" i="436" s="1"/>
  <c r="P28" i="401"/>
  <c r="N814" i="436" l="1"/>
  <c r="L65" i="446"/>
  <c r="L64" i="446"/>
  <c r="L63" i="446"/>
  <c r="L62" i="446"/>
  <c r="L61" i="446"/>
  <c r="L60" i="446"/>
  <c r="L59" i="446"/>
  <c r="L56" i="446"/>
  <c r="L71" i="446"/>
  <c r="L80" i="446"/>
  <c r="L81" i="446"/>
  <c r="L82" i="446"/>
  <c r="L83" i="446"/>
  <c r="L79" i="446"/>
  <c r="L97" i="446"/>
  <c r="L104" i="446"/>
  <c r="L103" i="446"/>
  <c r="M122" i="446"/>
  <c r="D15" i="434"/>
  <c r="D14" i="434"/>
  <c r="L119" i="446"/>
  <c r="N110" i="446"/>
  <c r="L113" i="446"/>
  <c r="N113" i="446" s="1"/>
  <c r="N1307" i="436" l="1"/>
  <c r="E1306" i="436"/>
  <c r="E1307" i="436" s="1"/>
  <c r="L1212" i="436" l="1"/>
  <c r="N1212" i="436"/>
  <c r="L1189" i="436"/>
  <c r="N1189" i="436" l="1"/>
  <c r="G1394" i="447"/>
  <c r="H1364" i="447"/>
  <c r="L1202" i="436" s="1"/>
  <c r="N1202" i="436" s="1"/>
  <c r="G1364" i="447"/>
  <c r="G1348" i="447"/>
  <c r="K7" i="442"/>
  <c r="D91" i="442"/>
  <c r="C91" i="442"/>
  <c r="M706" i="436"/>
  <c r="M692" i="436"/>
  <c r="M678" i="436"/>
  <c r="M664" i="436"/>
  <c r="M650" i="436"/>
  <c r="M636" i="436"/>
  <c r="M622" i="436"/>
  <c r="H75" i="444" l="1"/>
  <c r="H76" i="444"/>
  <c r="O9" i="459"/>
  <c r="L98" i="449"/>
  <c r="F763" i="471"/>
  <c r="H763" i="471" s="1"/>
  <c r="E268" i="436" l="1"/>
  <c r="E269" i="436" s="1"/>
  <c r="D268" i="436"/>
  <c r="D269" i="436" s="1"/>
  <c r="C268" i="436"/>
  <c r="C269" i="436" s="1"/>
  <c r="B268" i="436"/>
  <c r="B269" i="436" s="1"/>
  <c r="E259" i="436"/>
  <c r="E260" i="436" s="1"/>
  <c r="D259" i="436"/>
  <c r="D260" i="436" s="1"/>
  <c r="C259" i="436"/>
  <c r="C260" i="436" s="1"/>
  <c r="B259" i="436"/>
  <c r="B260" i="436" s="1"/>
  <c r="E251" i="436"/>
  <c r="E252" i="436" s="1"/>
  <c r="D251" i="436"/>
  <c r="D252" i="436" s="1"/>
  <c r="C251" i="436"/>
  <c r="C252" i="436" s="1"/>
  <c r="B251" i="436"/>
  <c r="E243" i="436"/>
  <c r="E244" i="436" s="1"/>
  <c r="E235" i="436"/>
  <c r="E236" i="436" s="1"/>
  <c r="E227" i="436"/>
  <c r="E228" i="436" s="1"/>
  <c r="M265" i="436"/>
  <c r="M266" i="436" s="1"/>
  <c r="M257" i="436"/>
  <c r="M258" i="436" s="1"/>
  <c r="M249" i="436"/>
  <c r="M250" i="436" s="1"/>
  <c r="M241" i="436"/>
  <c r="M242" i="436" s="1"/>
  <c r="M233" i="436"/>
  <c r="M234" i="436" s="1"/>
  <c r="M225" i="436"/>
  <c r="M226" i="436" s="1"/>
  <c r="I58" i="441"/>
  <c r="L58" i="441" s="1"/>
  <c r="I57" i="441"/>
  <c r="L57" i="441"/>
  <c r="L56" i="441"/>
  <c r="I53" i="441"/>
  <c r="L53" i="441" s="1"/>
  <c r="I52" i="441"/>
  <c r="L52" i="441" s="1"/>
  <c r="L51" i="441"/>
  <c r="I48" i="441"/>
  <c r="L48" i="441" s="1"/>
  <c r="I47" i="441"/>
  <c r="L47" i="441" s="1"/>
  <c r="L46" i="441"/>
  <c r="L44" i="441"/>
  <c r="L42" i="441"/>
  <c r="L43" i="441"/>
  <c r="L41" i="441"/>
  <c r="I43" i="441"/>
  <c r="I42" i="441"/>
  <c r="D112" i="441"/>
  <c r="D99" i="441"/>
  <c r="D86" i="441"/>
  <c r="D73" i="441"/>
  <c r="D61" i="441"/>
  <c r="D49" i="441"/>
  <c r="C112" i="441"/>
  <c r="C99" i="441"/>
  <c r="C86" i="441"/>
  <c r="C73" i="441"/>
  <c r="C61" i="441"/>
  <c r="C49" i="441"/>
  <c r="M52" i="436"/>
  <c r="I251" i="436" l="1"/>
  <c r="I269" i="436"/>
  <c r="I268" i="436"/>
  <c r="I260" i="436"/>
  <c r="I259" i="436"/>
  <c r="B252" i="436"/>
  <c r="I252" i="436" s="1"/>
  <c r="L59" i="441"/>
  <c r="L54" i="441"/>
  <c r="L49" i="441"/>
  <c r="M73" i="436"/>
  <c r="L1013" i="436" l="1"/>
  <c r="L973" i="436"/>
  <c r="L957" i="436"/>
  <c r="L918" i="436"/>
  <c r="H764" i="447"/>
  <c r="H765" i="447" a="1"/>
  <c r="H765" i="447" s="1"/>
  <c r="L1180" i="436"/>
  <c r="L1167" i="436"/>
  <c r="L1152" i="436"/>
  <c r="L1119" i="436"/>
  <c r="L1102" i="436"/>
  <c r="L1085" i="436"/>
  <c r="L1067" i="436"/>
  <c r="L901" i="436"/>
  <c r="L903" i="436" s="1"/>
  <c r="N903" i="436" s="1"/>
  <c r="E902" i="436"/>
  <c r="E903" i="436" s="1"/>
  <c r="E900" i="436"/>
  <c r="E901" i="436" s="1"/>
  <c r="E895" i="436"/>
  <c r="E896" i="436" s="1"/>
  <c r="E893" i="436"/>
  <c r="E894" i="436" s="1"/>
  <c r="H1297" i="447"/>
  <c r="H1296" i="447"/>
  <c r="L1136" i="436" s="1"/>
  <c r="H788" i="447" a="1"/>
  <c r="H788" i="447" s="1"/>
  <c r="H787" i="447"/>
  <c r="H662" i="447"/>
  <c r="L894" i="436" s="1"/>
  <c r="L896" i="436" s="1"/>
  <c r="N896" i="436" s="1"/>
  <c r="N901" i="436" l="1"/>
  <c r="L938" i="436"/>
  <c r="L993" i="436"/>
  <c r="N894" i="436"/>
  <c r="N28" i="433" l="1"/>
  <c r="M28" i="433"/>
  <c r="M1370" i="436" l="1"/>
  <c r="M1229" i="436" l="1"/>
  <c r="M1228" i="436"/>
  <c r="M1248" i="436"/>
  <c r="M1247" i="436"/>
  <c r="M1246" i="436"/>
  <c r="M1245" i="436"/>
  <c r="M1271" i="436"/>
  <c r="M1270" i="436"/>
  <c r="M1269" i="436"/>
  <c r="M1268" i="436"/>
  <c r="M1292" i="436"/>
  <c r="M1291" i="436"/>
  <c r="M1290" i="436"/>
  <c r="M1289" i="436"/>
  <c r="N116" i="446" l="1"/>
  <c r="E112" i="441"/>
  <c r="E99" i="441"/>
  <c r="E86" i="441"/>
  <c r="E73" i="441"/>
  <c r="E61" i="441"/>
  <c r="E49" i="441"/>
  <c r="B111" i="441"/>
  <c r="B105" i="441"/>
  <c r="B106" i="441"/>
  <c r="B107" i="441"/>
  <c r="B108" i="441"/>
  <c r="B109" i="441"/>
  <c r="B110" i="441"/>
  <c r="B104" i="441"/>
  <c r="H1694" i="447"/>
  <c r="H1693" i="447"/>
  <c r="H1675" i="447"/>
  <c r="H1674" i="447"/>
  <c r="H1428" i="447"/>
  <c r="H1426" i="447"/>
  <c r="H1403" i="447"/>
  <c r="H1393" i="447"/>
  <c r="H1346" i="447"/>
  <c r="H1427" i="447" l="1"/>
  <c r="K13" i="344" l="1"/>
  <c r="M1339" i="436" l="1"/>
  <c r="N1339" i="436" s="1"/>
  <c r="E1338" i="436"/>
  <c r="E1339" i="436" s="1"/>
  <c r="M1337" i="436"/>
  <c r="M1332" i="436"/>
  <c r="N1332" i="436" s="1"/>
  <c r="M1330" i="436"/>
  <c r="E1331" i="436"/>
  <c r="E1332" i="436" s="1"/>
  <c r="M1325" i="436"/>
  <c r="N1325" i="436" s="1"/>
  <c r="E1324" i="436"/>
  <c r="E1325" i="436" s="1"/>
  <c r="M1323" i="436"/>
  <c r="M1318" i="436"/>
  <c r="M1316" i="436"/>
  <c r="M1314" i="436"/>
  <c r="M1311" i="436"/>
  <c r="E64" i="473"/>
  <c r="F64" i="473" s="1"/>
  <c r="E63" i="473"/>
  <c r="F63" i="473" s="1"/>
  <c r="E62" i="473"/>
  <c r="F62" i="473" s="1"/>
  <c r="E61" i="473"/>
  <c r="F61" i="473" s="1"/>
  <c r="D119" i="473" s="1"/>
  <c r="F119" i="473" s="1"/>
  <c r="E60" i="473"/>
  <c r="F60" i="473" s="1"/>
  <c r="D118" i="473" s="1"/>
  <c r="F118" i="473" s="1"/>
  <c r="E59" i="473"/>
  <c r="F59" i="473" s="1"/>
  <c r="D117" i="473" s="1"/>
  <c r="F117" i="473" s="1"/>
  <c r="E58" i="473"/>
  <c r="F58" i="473" s="1"/>
  <c r="D114" i="473" s="1"/>
  <c r="F114" i="473" s="1"/>
  <c r="F72" i="473"/>
  <c r="F71" i="473"/>
  <c r="F70" i="473"/>
  <c r="F69" i="473"/>
  <c r="D129" i="473" s="1"/>
  <c r="F129" i="473" s="1"/>
  <c r="F68" i="473"/>
  <c r="D128" i="473" s="1"/>
  <c r="F128" i="473" s="1"/>
  <c r="F67" i="473"/>
  <c r="D127" i="473" s="1"/>
  <c r="F127" i="473" s="1"/>
  <c r="F66" i="473"/>
  <c r="D124" i="473" s="1"/>
  <c r="F124" i="473" s="1"/>
  <c r="F80" i="473"/>
  <c r="F79" i="473"/>
  <c r="F78" i="473"/>
  <c r="F77" i="473"/>
  <c r="D139" i="473" s="1"/>
  <c r="F139" i="473" s="1"/>
  <c r="F76" i="473"/>
  <c r="D138" i="473" s="1"/>
  <c r="F138" i="473" s="1"/>
  <c r="F75" i="473"/>
  <c r="D137" i="473" s="1"/>
  <c r="F137" i="473" s="1"/>
  <c r="F74" i="473"/>
  <c r="D134" i="473" s="1"/>
  <c r="F134" i="473" s="1"/>
  <c r="D56" i="473"/>
  <c r="F56" i="473" s="1"/>
  <c r="F55" i="473"/>
  <c r="F54" i="473"/>
  <c r="F53" i="473"/>
  <c r="F52" i="473"/>
  <c r="D46" i="473"/>
  <c r="F46" i="473" s="1"/>
  <c r="D51" i="473"/>
  <c r="F51" i="473" s="1"/>
  <c r="F50" i="473"/>
  <c r="F49" i="473"/>
  <c r="F48" i="473"/>
  <c r="F47" i="473"/>
  <c r="F45" i="473"/>
  <c r="F44" i="473"/>
  <c r="F43" i="473"/>
  <c r="F42" i="473"/>
  <c r="F41" i="473"/>
  <c r="F40" i="473"/>
  <c r="F39" i="473"/>
  <c r="F38" i="473"/>
  <c r="F37" i="473"/>
  <c r="D95" i="473" s="1"/>
  <c r="F95" i="473" s="1"/>
  <c r="F36" i="473"/>
  <c r="D105" i="473" s="1"/>
  <c r="F105" i="473" s="1"/>
  <c r="F35" i="473"/>
  <c r="D99" i="473" s="1"/>
  <c r="F99" i="473" s="1"/>
  <c r="F34" i="473"/>
  <c r="F33" i="473"/>
  <c r="D107" i="473" s="1"/>
  <c r="F107" i="473" s="1"/>
  <c r="F32" i="473"/>
  <c r="D93" i="473" s="1"/>
  <c r="F93" i="473" s="1"/>
  <c r="D27" i="473"/>
  <c r="F27" i="473" s="1"/>
  <c r="F31" i="473"/>
  <c r="F30" i="473"/>
  <c r="F29" i="473"/>
  <c r="F28" i="473"/>
  <c r="F26" i="473"/>
  <c r="F25" i="473"/>
  <c r="D21" i="473"/>
  <c r="F21" i="473" s="1"/>
  <c r="F24" i="473"/>
  <c r="F23" i="473"/>
  <c r="F22" i="473"/>
  <c r="D4" i="473"/>
  <c r="D2" i="473"/>
  <c r="D1" i="473"/>
  <c r="F20" i="473"/>
  <c r="F19" i="473"/>
  <c r="F18" i="473"/>
  <c r="F17" i="473"/>
  <c r="F16" i="473"/>
  <c r="F15" i="473"/>
  <c r="F14" i="473"/>
  <c r="F13" i="473"/>
  <c r="F12" i="473"/>
  <c r="F10" i="473"/>
  <c r="F9" i="473"/>
  <c r="D86" i="473" s="1"/>
  <c r="F8" i="473"/>
  <c r="D85" i="473" l="1"/>
  <c r="F85" i="473" s="1"/>
  <c r="D98" i="473"/>
  <c r="F98" i="473" s="1"/>
  <c r="D106" i="473"/>
  <c r="F106" i="473" s="1"/>
  <c r="D100" i="473"/>
  <c r="F100" i="473" s="1"/>
  <c r="D92" i="473"/>
  <c r="F92" i="473" s="1"/>
  <c r="D126" i="473"/>
  <c r="F126" i="473" s="1"/>
  <c r="F130" i="473" s="1"/>
  <c r="D91" i="473"/>
  <c r="F91" i="473" s="1"/>
  <c r="D104" i="473"/>
  <c r="F104" i="473" s="1"/>
  <c r="D136" i="473"/>
  <c r="F136" i="473" s="1"/>
  <c r="F140" i="473" s="1"/>
  <c r="D103" i="473"/>
  <c r="F103" i="473" s="1"/>
  <c r="D102" i="473"/>
  <c r="F102" i="473" s="1"/>
  <c r="D101" i="473"/>
  <c r="F101" i="473" s="1"/>
  <c r="D116" i="473"/>
  <c r="F116" i="473" s="1"/>
  <c r="F120" i="473" s="1"/>
  <c r="D97" i="473"/>
  <c r="F97" i="473" s="1"/>
  <c r="D94" i="473"/>
  <c r="F94" i="473" s="1"/>
  <c r="D109" i="473"/>
  <c r="F109" i="473" s="1"/>
  <c r="F110" i="473" s="1"/>
  <c r="F86" i="473"/>
  <c r="F135" i="473"/>
  <c r="F125" i="473"/>
  <c r="F115" i="473"/>
  <c r="F81" i="473"/>
  <c r="F87" i="473" l="1"/>
  <c r="F108" i="473"/>
  <c r="F96" i="473"/>
  <c r="M489" i="436" l="1"/>
  <c r="M441" i="436"/>
  <c r="F644" i="471"/>
  <c r="H644" i="471" s="1"/>
  <c r="F631" i="471"/>
  <c r="H631" i="471" s="1"/>
  <c r="F591" i="471"/>
  <c r="H591" i="471" s="1"/>
  <c r="F507" i="471"/>
  <c r="H507" i="471" s="1"/>
  <c r="F425" i="471"/>
  <c r="H425" i="471" s="1"/>
  <c r="F352" i="471"/>
  <c r="H352" i="471" s="1"/>
  <c r="F250" i="471"/>
  <c r="H250" i="471" s="1"/>
  <c r="F62" i="471"/>
  <c r="H62" i="471" s="1"/>
  <c r="J3" i="471"/>
  <c r="J4" i="471"/>
  <c r="J5" i="471"/>
  <c r="J6" i="471"/>
  <c r="J7" i="471"/>
  <c r="J9" i="471"/>
  <c r="J11" i="471"/>
  <c r="J12" i="471"/>
  <c r="J13" i="471"/>
  <c r="J14" i="471"/>
  <c r="J15" i="471"/>
  <c r="J16" i="471"/>
  <c r="J19" i="471"/>
  <c r="J20" i="471"/>
  <c r="J21" i="471"/>
  <c r="J32" i="471"/>
  <c r="J33" i="471"/>
  <c r="J35" i="471"/>
  <c r="J36" i="471"/>
  <c r="J37" i="471"/>
  <c r="J38" i="471"/>
  <c r="J39" i="471"/>
  <c r="J40" i="471"/>
  <c r="J41" i="471"/>
  <c r="J42" i="471"/>
  <c r="J43" i="471"/>
  <c r="J44" i="471"/>
  <c r="J46" i="471"/>
  <c r="J47" i="471"/>
  <c r="J48" i="471"/>
  <c r="J49" i="471"/>
  <c r="J50" i="471"/>
  <c r="J51" i="471"/>
  <c r="J52" i="471"/>
  <c r="J53" i="471"/>
  <c r="J54" i="471"/>
  <c r="J55" i="471"/>
  <c r="J56" i="471"/>
  <c r="J57" i="471"/>
  <c r="J61" i="471"/>
  <c r="J63" i="471"/>
  <c r="J64" i="471"/>
  <c r="J65" i="471"/>
  <c r="J67" i="471"/>
  <c r="J72" i="471"/>
  <c r="J73" i="471"/>
  <c r="J74" i="471"/>
  <c r="J75" i="471"/>
  <c r="J76" i="471"/>
  <c r="J77" i="471"/>
  <c r="J78" i="471"/>
  <c r="J79" i="471"/>
  <c r="J80" i="471"/>
  <c r="J81" i="471"/>
  <c r="J82" i="471"/>
  <c r="J83" i="471"/>
  <c r="J84" i="471"/>
  <c r="J85" i="471"/>
  <c r="J86" i="471"/>
  <c r="J87" i="471"/>
  <c r="J88" i="471"/>
  <c r="J90" i="471"/>
  <c r="J91" i="471"/>
  <c r="J92" i="471"/>
  <c r="J93" i="471"/>
  <c r="J94" i="471"/>
  <c r="J95" i="471"/>
  <c r="J96" i="471"/>
  <c r="J97" i="471"/>
  <c r="J98" i="471"/>
  <c r="J99" i="471"/>
  <c r="J100" i="471"/>
  <c r="J101" i="471"/>
  <c r="J103" i="471"/>
  <c r="J104" i="471"/>
  <c r="J105" i="471"/>
  <c r="J106" i="471"/>
  <c r="J107" i="471"/>
  <c r="J108" i="471"/>
  <c r="J109" i="471"/>
  <c r="J110" i="471"/>
  <c r="J111" i="471"/>
  <c r="J112" i="471"/>
  <c r="J113" i="471"/>
  <c r="J114" i="471"/>
  <c r="J116" i="471"/>
  <c r="J117" i="471"/>
  <c r="J118" i="471"/>
  <c r="J120" i="471"/>
  <c r="J126" i="471"/>
  <c r="J127" i="471"/>
  <c r="J128" i="471"/>
  <c r="J129" i="471"/>
  <c r="J130" i="471"/>
  <c r="J131" i="471"/>
  <c r="J132" i="471"/>
  <c r="J133" i="471"/>
  <c r="J134" i="471"/>
  <c r="J135" i="471"/>
  <c r="J136" i="471"/>
  <c r="J137" i="471"/>
  <c r="J138" i="471"/>
  <c r="J139" i="471"/>
  <c r="J140" i="471"/>
  <c r="J142" i="471"/>
  <c r="J143" i="471"/>
  <c r="J144" i="471"/>
  <c r="J145" i="471"/>
  <c r="J146" i="471"/>
  <c r="J147" i="471"/>
  <c r="J149" i="471"/>
  <c r="J150" i="471"/>
  <c r="J151" i="471"/>
  <c r="J152" i="471"/>
  <c r="J153" i="471"/>
  <c r="J154" i="471"/>
  <c r="J155" i="471"/>
  <c r="J156" i="471"/>
  <c r="J157" i="471"/>
  <c r="J158" i="471"/>
  <c r="J159" i="471"/>
  <c r="J161" i="471"/>
  <c r="J162" i="471"/>
  <c r="J163" i="471"/>
  <c r="J165" i="471"/>
  <c r="J170" i="471"/>
  <c r="J171" i="471"/>
  <c r="J172" i="471"/>
  <c r="J173" i="471"/>
  <c r="J174" i="471"/>
  <c r="J175" i="471"/>
  <c r="J176" i="471"/>
  <c r="J177" i="471"/>
  <c r="J178" i="471"/>
  <c r="J179" i="471"/>
  <c r="J180" i="471"/>
  <c r="J181" i="471"/>
  <c r="J182" i="471"/>
  <c r="J183" i="471"/>
  <c r="J185" i="471"/>
  <c r="J186" i="471"/>
  <c r="J187" i="471"/>
  <c r="J188" i="471"/>
  <c r="J189" i="471"/>
  <c r="J190" i="471"/>
  <c r="J191" i="471"/>
  <c r="J192" i="471"/>
  <c r="J193" i="471"/>
  <c r="J194" i="471"/>
  <c r="J195" i="471"/>
  <c r="J197" i="471"/>
  <c r="J198" i="471"/>
  <c r="J199" i="471"/>
  <c r="J200" i="471"/>
  <c r="J201" i="471"/>
  <c r="J202" i="471"/>
  <c r="J203" i="471"/>
  <c r="J204" i="471"/>
  <c r="J205" i="471"/>
  <c r="J206" i="471"/>
  <c r="J207" i="471"/>
  <c r="J208" i="471"/>
  <c r="J210" i="471"/>
  <c r="J211" i="471"/>
  <c r="J213" i="471"/>
  <c r="J215" i="471"/>
  <c r="J221" i="471"/>
  <c r="J222" i="471"/>
  <c r="J223" i="471"/>
  <c r="J224" i="471"/>
  <c r="J225" i="471"/>
  <c r="J227" i="471"/>
  <c r="J228" i="471"/>
  <c r="J229" i="471"/>
  <c r="J230" i="471"/>
  <c r="J231" i="471"/>
  <c r="J232" i="471"/>
  <c r="J233" i="471"/>
  <c r="J234" i="471"/>
  <c r="J235" i="471"/>
  <c r="J237" i="471"/>
  <c r="J238" i="471"/>
  <c r="J239" i="471"/>
  <c r="J240" i="471"/>
  <c r="J241" i="471"/>
  <c r="J242" i="471"/>
  <c r="J243" i="471"/>
  <c r="J244" i="471"/>
  <c r="J245" i="471"/>
  <c r="J246" i="471"/>
  <c r="J247" i="471"/>
  <c r="J248" i="471"/>
  <c r="J251" i="471"/>
  <c r="J252" i="471"/>
  <c r="J253" i="471"/>
  <c r="J254" i="471"/>
  <c r="J255" i="471"/>
  <c r="J256" i="471"/>
  <c r="J259" i="471"/>
  <c r="J260" i="471"/>
  <c r="J261" i="471"/>
  <c r="J262" i="471"/>
  <c r="J266" i="471"/>
  <c r="J267" i="471"/>
  <c r="J274" i="471"/>
  <c r="J275" i="471"/>
  <c r="J280" i="471"/>
  <c r="J281" i="471"/>
  <c r="J282" i="471"/>
  <c r="J283" i="471"/>
  <c r="J284" i="471"/>
  <c r="J285" i="471"/>
  <c r="J286" i="471"/>
  <c r="J287" i="471"/>
  <c r="J288" i="471"/>
  <c r="J289" i="471"/>
  <c r="J290" i="471"/>
  <c r="J291" i="471"/>
  <c r="J292" i="471"/>
  <c r="J293" i="471"/>
  <c r="J294" i="471"/>
  <c r="J295" i="471"/>
  <c r="J296" i="471"/>
  <c r="J297" i="471"/>
  <c r="J298" i="471"/>
  <c r="J299" i="471"/>
  <c r="J300" i="471"/>
  <c r="J301" i="471"/>
  <c r="J302" i="471"/>
  <c r="J303" i="471"/>
  <c r="J304" i="471"/>
  <c r="J305" i="471"/>
  <c r="J306" i="471"/>
  <c r="J307" i="471"/>
  <c r="J308" i="471"/>
  <c r="J309" i="471"/>
  <c r="J310" i="471"/>
  <c r="J311" i="471"/>
  <c r="J312" i="471"/>
  <c r="J313" i="471"/>
  <c r="J314" i="471"/>
  <c r="J315" i="471"/>
  <c r="J316" i="471"/>
  <c r="J318" i="471"/>
  <c r="J319" i="471"/>
  <c r="J320" i="471"/>
  <c r="J321" i="471"/>
  <c r="J322" i="471"/>
  <c r="J323" i="471"/>
  <c r="J324" i="471"/>
  <c r="J325" i="471"/>
  <c r="J326" i="471"/>
  <c r="J327" i="471"/>
  <c r="J328" i="471"/>
  <c r="J329" i="471"/>
  <c r="J330" i="471"/>
  <c r="J331" i="471"/>
  <c r="J333" i="471"/>
  <c r="J334" i="471"/>
  <c r="J335" i="471"/>
  <c r="J336" i="471"/>
  <c r="J337" i="471"/>
  <c r="J338" i="471"/>
  <c r="J339" i="471"/>
  <c r="J341" i="471"/>
  <c r="J342" i="471"/>
  <c r="J343" i="471"/>
  <c r="J345" i="471"/>
  <c r="J346" i="471"/>
  <c r="J347" i="471"/>
  <c r="J348" i="471"/>
  <c r="J353" i="471"/>
  <c r="J354" i="471"/>
  <c r="J355" i="471"/>
  <c r="J356" i="471"/>
  <c r="J359" i="471"/>
  <c r="J360" i="471"/>
  <c r="J361" i="471"/>
  <c r="J362" i="471"/>
  <c r="J363" i="471"/>
  <c r="J367" i="471"/>
  <c r="J374" i="471"/>
  <c r="J375" i="471"/>
  <c r="J380" i="471"/>
  <c r="J381" i="471"/>
  <c r="J382" i="471"/>
  <c r="J383" i="471"/>
  <c r="J384" i="471"/>
  <c r="J385" i="471"/>
  <c r="J386" i="471"/>
  <c r="J387" i="471"/>
  <c r="J388" i="471"/>
  <c r="J389" i="471"/>
  <c r="J390" i="471"/>
  <c r="J391" i="471"/>
  <c r="J392" i="471"/>
  <c r="J393" i="471"/>
  <c r="J394" i="471"/>
  <c r="J395" i="471"/>
  <c r="J396" i="471"/>
  <c r="J397" i="471"/>
  <c r="J398" i="471"/>
  <c r="J399" i="471"/>
  <c r="J400" i="471"/>
  <c r="J401" i="471"/>
  <c r="J402" i="471"/>
  <c r="J404" i="471"/>
  <c r="J405" i="471"/>
  <c r="J406" i="471"/>
  <c r="J407" i="471"/>
  <c r="J408" i="471"/>
  <c r="J409" i="471"/>
  <c r="J411" i="471"/>
  <c r="J412" i="471"/>
  <c r="J413" i="471"/>
  <c r="J414" i="471"/>
  <c r="J416" i="471"/>
  <c r="J417" i="471"/>
  <c r="J420" i="471"/>
  <c r="J421" i="471"/>
  <c r="J422" i="471"/>
  <c r="J426" i="471"/>
  <c r="J427" i="471"/>
  <c r="J428" i="471"/>
  <c r="J429" i="471"/>
  <c r="J432" i="471"/>
  <c r="J433" i="471"/>
  <c r="J434" i="471"/>
  <c r="J435" i="471"/>
  <c r="J436" i="471"/>
  <c r="J439" i="471"/>
  <c r="J441" i="471"/>
  <c r="J442" i="471"/>
  <c r="J450" i="471"/>
  <c r="J451" i="471"/>
  <c r="J456" i="471"/>
  <c r="J457" i="471"/>
  <c r="J458" i="471"/>
  <c r="J459" i="471"/>
  <c r="J460" i="471"/>
  <c r="J461" i="471"/>
  <c r="J462" i="471"/>
  <c r="J463" i="471"/>
  <c r="J464" i="471"/>
  <c r="J465" i="471"/>
  <c r="J466" i="471"/>
  <c r="J467" i="471"/>
  <c r="J468" i="471"/>
  <c r="J469" i="471"/>
  <c r="J470" i="471"/>
  <c r="J471" i="471"/>
  <c r="J472" i="471"/>
  <c r="J473" i="471"/>
  <c r="J474" i="471"/>
  <c r="J475" i="471"/>
  <c r="J476" i="471"/>
  <c r="J477" i="471"/>
  <c r="J478" i="471"/>
  <c r="J479" i="471"/>
  <c r="J480" i="471"/>
  <c r="J481" i="471"/>
  <c r="J482" i="471"/>
  <c r="J483" i="471"/>
  <c r="J484" i="471"/>
  <c r="J485" i="471"/>
  <c r="J486" i="471"/>
  <c r="J487" i="471"/>
  <c r="J488" i="471"/>
  <c r="J489" i="471"/>
  <c r="J490" i="471"/>
  <c r="J492" i="471"/>
  <c r="J493" i="471"/>
  <c r="J494" i="471"/>
  <c r="J495" i="471"/>
  <c r="J496" i="471"/>
  <c r="J498" i="471"/>
  <c r="J499" i="471"/>
  <c r="J502" i="471"/>
  <c r="J503" i="471"/>
  <c r="J504" i="471"/>
  <c r="J508" i="471"/>
  <c r="J509" i="471"/>
  <c r="J510" i="471"/>
  <c r="J511" i="471"/>
  <c r="J514" i="471"/>
  <c r="J515" i="471"/>
  <c r="J516" i="471"/>
  <c r="J517" i="471"/>
  <c r="J518" i="471"/>
  <c r="J519" i="471"/>
  <c r="J523" i="471"/>
  <c r="J524" i="471"/>
  <c r="J532" i="471"/>
  <c r="J533" i="471"/>
  <c r="J538" i="471"/>
  <c r="J539" i="471"/>
  <c r="J540" i="471"/>
  <c r="J541" i="471"/>
  <c r="J542" i="471"/>
  <c r="J543" i="471"/>
  <c r="J544" i="471"/>
  <c r="J545" i="471"/>
  <c r="J546" i="471"/>
  <c r="J547" i="471"/>
  <c r="J548" i="471"/>
  <c r="J549" i="471"/>
  <c r="J550" i="471"/>
  <c r="J551" i="471"/>
  <c r="J552" i="471"/>
  <c r="J553" i="471"/>
  <c r="J554" i="471"/>
  <c r="J555" i="471"/>
  <c r="J556" i="471"/>
  <c r="J557" i="471"/>
  <c r="J558" i="471"/>
  <c r="J559" i="471"/>
  <c r="J560" i="471"/>
  <c r="J561" i="471"/>
  <c r="J562" i="471"/>
  <c r="J563" i="471"/>
  <c r="J564" i="471"/>
  <c r="J565" i="471"/>
  <c r="J566" i="471"/>
  <c r="J567" i="471"/>
  <c r="J568" i="471"/>
  <c r="J569" i="471"/>
  <c r="J570" i="471"/>
  <c r="J571" i="471"/>
  <c r="J572" i="471"/>
  <c r="J573" i="471"/>
  <c r="J574" i="471"/>
  <c r="J575" i="471"/>
  <c r="J577" i="471"/>
  <c r="J578" i="471"/>
  <c r="J579" i="471"/>
  <c r="J581" i="471"/>
  <c r="J582" i="471"/>
  <c r="J585" i="471"/>
  <c r="J586" i="471"/>
  <c r="J587" i="471"/>
  <c r="J592" i="471"/>
  <c r="J593" i="471"/>
  <c r="J596" i="471"/>
  <c r="J597" i="471"/>
  <c r="J598" i="471"/>
  <c r="J599" i="471"/>
  <c r="J602" i="471"/>
  <c r="J605" i="471"/>
  <c r="J606" i="471"/>
  <c r="J607" i="471"/>
  <c r="J608" i="471"/>
  <c r="J609" i="471"/>
  <c r="J610" i="471"/>
  <c r="J611" i="471"/>
  <c r="J612" i="471"/>
  <c r="J614" i="471"/>
  <c r="J615" i="471"/>
  <c r="J616" i="471"/>
  <c r="J617" i="471"/>
  <c r="J618" i="471"/>
  <c r="J619" i="471"/>
  <c r="J620" i="471"/>
  <c r="J622" i="471"/>
  <c r="J623" i="471"/>
  <c r="J625" i="471"/>
  <c r="J626" i="471"/>
  <c r="J627" i="471"/>
  <c r="J628" i="471"/>
  <c r="J632" i="471"/>
  <c r="J633" i="471"/>
  <c r="J634" i="471"/>
  <c r="J635" i="471"/>
  <c r="J636" i="471"/>
  <c r="J637" i="471"/>
  <c r="J638" i="471"/>
  <c r="J639" i="471"/>
  <c r="J640" i="471"/>
  <c r="J641" i="471"/>
  <c r="J642" i="471"/>
  <c r="J643" i="471"/>
  <c r="J645" i="471"/>
  <c r="J646" i="471"/>
  <c r="J647" i="471"/>
  <c r="J648" i="471"/>
  <c r="J649" i="471"/>
  <c r="J650" i="471"/>
  <c r="J651" i="471"/>
  <c r="J653" i="471"/>
  <c r="J655" i="471"/>
  <c r="J657" i="471"/>
  <c r="J658" i="471"/>
  <c r="J659" i="471"/>
  <c r="J660" i="471"/>
  <c r="J661" i="471"/>
  <c r="J662" i="471"/>
  <c r="J663" i="471"/>
  <c r="J664" i="471"/>
  <c r="J665" i="471"/>
  <c r="J666" i="471"/>
  <c r="J667" i="471"/>
  <c r="J668" i="471"/>
  <c r="J669" i="471"/>
  <c r="J670" i="471"/>
  <c r="J671" i="471"/>
  <c r="J672" i="471"/>
  <c r="J673" i="471"/>
  <c r="J674" i="471"/>
  <c r="J675" i="471"/>
  <c r="J676" i="471"/>
  <c r="J677" i="471"/>
  <c r="J678" i="471"/>
  <c r="J679" i="471"/>
  <c r="J680" i="471"/>
  <c r="J681" i="471"/>
  <c r="J682" i="471"/>
  <c r="J683" i="471"/>
  <c r="J684" i="471"/>
  <c r="J685" i="471"/>
  <c r="J686" i="471"/>
  <c r="J687" i="471"/>
  <c r="J688" i="471"/>
  <c r="J689" i="471"/>
  <c r="J690" i="471"/>
  <c r="J691" i="471"/>
  <c r="J692" i="471"/>
  <c r="J693" i="471"/>
  <c r="J694" i="471"/>
  <c r="J695" i="471"/>
  <c r="J696" i="471"/>
  <c r="J701" i="471"/>
  <c r="J702" i="471"/>
  <c r="J703" i="471"/>
  <c r="J704" i="471"/>
  <c r="J705" i="471"/>
  <c r="J710" i="471"/>
  <c r="J711" i="471"/>
  <c r="J712" i="471"/>
  <c r="J713" i="471"/>
  <c r="J714" i="471"/>
  <c r="J715" i="471"/>
  <c r="J716" i="471"/>
  <c r="J717" i="471"/>
  <c r="J718" i="471"/>
  <c r="J719" i="471"/>
  <c r="J720" i="471"/>
  <c r="J721" i="471"/>
  <c r="J723" i="471"/>
  <c r="J728" i="471"/>
  <c r="J729" i="471"/>
  <c r="J730" i="471"/>
  <c r="J732" i="471"/>
  <c r="J733" i="471"/>
  <c r="J734" i="471"/>
  <c r="J735" i="471"/>
  <c r="J739" i="471"/>
  <c r="J740" i="471"/>
  <c r="J742" i="471"/>
  <c r="J743" i="471"/>
  <c r="J744" i="471"/>
  <c r="J761" i="471"/>
  <c r="J762" i="471"/>
  <c r="J2" i="471"/>
  <c r="N154" i="471"/>
  <c r="J624" i="471" s="1"/>
  <c r="N146" i="471"/>
  <c r="J419" i="471" s="1"/>
  <c r="N132" i="471"/>
  <c r="N131" i="471"/>
  <c r="J580" i="471" s="1"/>
  <c r="N236" i="471"/>
  <c r="J746" i="471" s="1"/>
  <c r="N235" i="471"/>
  <c r="J745" i="471" s="1"/>
  <c r="N243" i="471"/>
  <c r="J753" i="471" s="1"/>
  <c r="N241" i="471"/>
  <c r="J751" i="471" s="1"/>
  <c r="N240" i="471"/>
  <c r="J750" i="471" s="1"/>
  <c r="N239" i="471"/>
  <c r="J749" i="471" s="1"/>
  <c r="N238" i="471"/>
  <c r="J748" i="471" s="1"/>
  <c r="N237" i="471"/>
  <c r="J747" i="471" s="1"/>
  <c r="N247" i="471"/>
  <c r="J760" i="471" s="1"/>
  <c r="N246" i="471"/>
  <c r="J759" i="471" s="1"/>
  <c r="N245" i="471"/>
  <c r="J758" i="471" s="1"/>
  <c r="J491" i="471" l="1"/>
  <c r="J621" i="471"/>
  <c r="J410" i="471"/>
  <c r="J340" i="471"/>
  <c r="J415" i="471"/>
  <c r="J497" i="471"/>
  <c r="J500" i="471"/>
  <c r="J583" i="471"/>
  <c r="J344" i="471"/>
  <c r="J418" i="471"/>
  <c r="J741" i="471"/>
  <c r="J148" i="471"/>
  <c r="J196" i="471"/>
  <c r="J236" i="471"/>
  <c r="J45" i="471"/>
  <c r="J102" i="471"/>
  <c r="J584" i="471"/>
  <c r="J576" i="471"/>
  <c r="J501" i="471"/>
  <c r="J332" i="471"/>
  <c r="J752" i="471" l="1"/>
  <c r="J756" i="471"/>
  <c r="J737" i="471"/>
  <c r="J736" i="471"/>
  <c r="J731" i="471"/>
  <c r="J29" i="471"/>
  <c r="J652" i="471"/>
  <c r="J726" i="471"/>
  <c r="J722" i="471"/>
  <c r="J700" i="471"/>
  <c r="J699" i="471"/>
  <c r="J698" i="471"/>
  <c r="J697" i="471"/>
  <c r="J709" i="471"/>
  <c r="F3" i="471"/>
  <c r="H3" i="471" s="1"/>
  <c r="K3" i="471" s="1"/>
  <c r="F4" i="471"/>
  <c r="H4" i="471" s="1"/>
  <c r="K4" i="471" s="1"/>
  <c r="F5" i="471"/>
  <c r="H5" i="471" s="1"/>
  <c r="K5" i="471" s="1"/>
  <c r="F6" i="471"/>
  <c r="H6" i="471" s="1"/>
  <c r="K6" i="471" s="1"/>
  <c r="F7" i="471"/>
  <c r="H7" i="471" s="1"/>
  <c r="K7" i="471" s="1"/>
  <c r="F8" i="471"/>
  <c r="H8" i="471" s="1"/>
  <c r="F9" i="471"/>
  <c r="H9" i="471" s="1"/>
  <c r="K9" i="471" s="1"/>
  <c r="F10" i="471"/>
  <c r="H10" i="471" s="1"/>
  <c r="F11" i="471"/>
  <c r="H11" i="471" s="1"/>
  <c r="K11" i="471" s="1"/>
  <c r="F12" i="471"/>
  <c r="H12" i="471" s="1"/>
  <c r="K12" i="471" s="1"/>
  <c r="F13" i="471"/>
  <c r="H13" i="471" s="1"/>
  <c r="K13" i="471" s="1"/>
  <c r="F14" i="471"/>
  <c r="H14" i="471" s="1"/>
  <c r="K14" i="471" s="1"/>
  <c r="F15" i="471"/>
  <c r="H15" i="471" s="1"/>
  <c r="K15" i="471" s="1"/>
  <c r="F16" i="471"/>
  <c r="H16" i="471" s="1"/>
  <c r="K16" i="471" s="1"/>
  <c r="F17" i="471"/>
  <c r="H17" i="471" s="1"/>
  <c r="F18" i="471"/>
  <c r="H18" i="471" s="1"/>
  <c r="F19" i="471"/>
  <c r="H19" i="471" s="1"/>
  <c r="K19" i="471" s="1"/>
  <c r="F20" i="471"/>
  <c r="H20" i="471" s="1"/>
  <c r="K20" i="471" s="1"/>
  <c r="F21" i="471"/>
  <c r="H21" i="471" s="1"/>
  <c r="K21" i="471" s="1"/>
  <c r="F22" i="471"/>
  <c r="H22" i="471" s="1"/>
  <c r="F23" i="471"/>
  <c r="H23" i="471" s="1"/>
  <c r="F24" i="471"/>
  <c r="H24" i="471" s="1"/>
  <c r="F25" i="471"/>
  <c r="H25" i="471" s="1"/>
  <c r="F26" i="471"/>
  <c r="H26" i="471" s="1"/>
  <c r="F27" i="471"/>
  <c r="H27" i="471" s="1"/>
  <c r="F28" i="471"/>
  <c r="H28" i="471" s="1"/>
  <c r="F29" i="471"/>
  <c r="H29" i="471" s="1"/>
  <c r="F30" i="471"/>
  <c r="H30" i="471" s="1"/>
  <c r="F31" i="471"/>
  <c r="H31" i="471" s="1"/>
  <c r="F32" i="471"/>
  <c r="H32" i="471" s="1"/>
  <c r="K32" i="471" s="1"/>
  <c r="F33" i="471"/>
  <c r="H33" i="471" s="1"/>
  <c r="K33" i="471" s="1"/>
  <c r="F34" i="471"/>
  <c r="H34" i="471" s="1"/>
  <c r="F35" i="471"/>
  <c r="H35" i="471" s="1"/>
  <c r="K35" i="471" s="1"/>
  <c r="F36" i="471"/>
  <c r="H36" i="471" s="1"/>
  <c r="K36" i="471" s="1"/>
  <c r="F37" i="471"/>
  <c r="H37" i="471" s="1"/>
  <c r="K37" i="471" s="1"/>
  <c r="F38" i="471"/>
  <c r="H38" i="471" s="1"/>
  <c r="K38" i="471" s="1"/>
  <c r="F39" i="471"/>
  <c r="H39" i="471" s="1"/>
  <c r="K39" i="471" s="1"/>
  <c r="F40" i="471"/>
  <c r="H40" i="471" s="1"/>
  <c r="K40" i="471" s="1"/>
  <c r="F41" i="471"/>
  <c r="H41" i="471" s="1"/>
  <c r="K41" i="471" s="1"/>
  <c r="F42" i="471"/>
  <c r="H42" i="471" s="1"/>
  <c r="K42" i="471" s="1"/>
  <c r="F43" i="471"/>
  <c r="H43" i="471" s="1"/>
  <c r="K43" i="471" s="1"/>
  <c r="F44" i="471"/>
  <c r="H44" i="471" s="1"/>
  <c r="K44" i="471" s="1"/>
  <c r="F45" i="471"/>
  <c r="H45" i="471" s="1"/>
  <c r="K45" i="471" s="1"/>
  <c r="F46" i="471"/>
  <c r="H46" i="471" s="1"/>
  <c r="K46" i="471" s="1"/>
  <c r="F47" i="471"/>
  <c r="H47" i="471" s="1"/>
  <c r="K47" i="471" s="1"/>
  <c r="F48" i="471"/>
  <c r="H48" i="471" s="1"/>
  <c r="K48" i="471" s="1"/>
  <c r="F49" i="471"/>
  <c r="H49" i="471" s="1"/>
  <c r="K49" i="471" s="1"/>
  <c r="F50" i="471"/>
  <c r="H50" i="471" s="1"/>
  <c r="K50" i="471" s="1"/>
  <c r="F51" i="471"/>
  <c r="H51" i="471" s="1"/>
  <c r="K51" i="471" s="1"/>
  <c r="F52" i="471"/>
  <c r="H52" i="471" s="1"/>
  <c r="K52" i="471" s="1"/>
  <c r="F53" i="471"/>
  <c r="H53" i="471" s="1"/>
  <c r="K53" i="471" s="1"/>
  <c r="F54" i="471"/>
  <c r="H54" i="471" s="1"/>
  <c r="K54" i="471" s="1"/>
  <c r="F55" i="471"/>
  <c r="H55" i="471" s="1"/>
  <c r="K55" i="471" s="1"/>
  <c r="F56" i="471"/>
  <c r="H56" i="471" s="1"/>
  <c r="K56" i="471" s="1"/>
  <c r="F57" i="471"/>
  <c r="H57" i="471" s="1"/>
  <c r="K57" i="471" s="1"/>
  <c r="F58" i="471"/>
  <c r="H58" i="471" s="1"/>
  <c r="F59" i="471"/>
  <c r="H59" i="471" s="1"/>
  <c r="F60" i="471"/>
  <c r="H60" i="471" s="1"/>
  <c r="F61" i="471"/>
  <c r="H61" i="471" s="1"/>
  <c r="K61" i="471" s="1"/>
  <c r="F63" i="471"/>
  <c r="H63" i="471" s="1"/>
  <c r="K63" i="471" s="1"/>
  <c r="F64" i="471"/>
  <c r="H64" i="471" s="1"/>
  <c r="K64" i="471" s="1"/>
  <c r="F65" i="471"/>
  <c r="H65" i="471" s="1"/>
  <c r="K65" i="471" s="1"/>
  <c r="F66" i="471"/>
  <c r="H66" i="471" s="1"/>
  <c r="F67" i="471"/>
  <c r="H67" i="471" s="1"/>
  <c r="K67" i="471" s="1"/>
  <c r="F68" i="471"/>
  <c r="H68" i="471" s="1"/>
  <c r="F69" i="471"/>
  <c r="H69" i="471" s="1"/>
  <c r="F70" i="471"/>
  <c r="H70" i="471" s="1"/>
  <c r="F71" i="471"/>
  <c r="H71" i="471" s="1"/>
  <c r="F72" i="471"/>
  <c r="H72" i="471" s="1"/>
  <c r="K72" i="471" s="1"/>
  <c r="F73" i="471"/>
  <c r="H73" i="471" s="1"/>
  <c r="K73" i="471" s="1"/>
  <c r="F74" i="471"/>
  <c r="H74" i="471" s="1"/>
  <c r="K74" i="471" s="1"/>
  <c r="F75" i="471"/>
  <c r="H75" i="471" s="1"/>
  <c r="K75" i="471" s="1"/>
  <c r="F76" i="471"/>
  <c r="H76" i="471" s="1"/>
  <c r="K76" i="471" s="1"/>
  <c r="F77" i="471"/>
  <c r="H77" i="471" s="1"/>
  <c r="K77" i="471" s="1"/>
  <c r="F78" i="471"/>
  <c r="H78" i="471" s="1"/>
  <c r="K78" i="471" s="1"/>
  <c r="F79" i="471"/>
  <c r="H79" i="471" s="1"/>
  <c r="K79" i="471" s="1"/>
  <c r="F80" i="471"/>
  <c r="H80" i="471" s="1"/>
  <c r="K80" i="471" s="1"/>
  <c r="F81" i="471"/>
  <c r="H81" i="471" s="1"/>
  <c r="K81" i="471" s="1"/>
  <c r="F82" i="471"/>
  <c r="H82" i="471" s="1"/>
  <c r="K82" i="471" s="1"/>
  <c r="F83" i="471"/>
  <c r="H83" i="471" s="1"/>
  <c r="K83" i="471" s="1"/>
  <c r="F84" i="471"/>
  <c r="H84" i="471" s="1"/>
  <c r="K84" i="471" s="1"/>
  <c r="F85" i="471"/>
  <c r="H85" i="471" s="1"/>
  <c r="K85" i="471" s="1"/>
  <c r="F86" i="471"/>
  <c r="H86" i="471" s="1"/>
  <c r="K86" i="471" s="1"/>
  <c r="F87" i="471"/>
  <c r="H87" i="471" s="1"/>
  <c r="K87" i="471" s="1"/>
  <c r="F88" i="471"/>
  <c r="H88" i="471" s="1"/>
  <c r="K88" i="471" s="1"/>
  <c r="F89" i="471"/>
  <c r="H89" i="471" s="1"/>
  <c r="F90" i="471"/>
  <c r="H90" i="471" s="1"/>
  <c r="K90" i="471" s="1"/>
  <c r="F91" i="471"/>
  <c r="H91" i="471" s="1"/>
  <c r="K91" i="471" s="1"/>
  <c r="F92" i="471"/>
  <c r="H92" i="471" s="1"/>
  <c r="K92" i="471" s="1"/>
  <c r="F93" i="471"/>
  <c r="H93" i="471" s="1"/>
  <c r="K93" i="471" s="1"/>
  <c r="F94" i="471"/>
  <c r="H94" i="471" s="1"/>
  <c r="K94" i="471" s="1"/>
  <c r="F95" i="471"/>
  <c r="H95" i="471" s="1"/>
  <c r="K95" i="471" s="1"/>
  <c r="F96" i="471"/>
  <c r="H96" i="471" s="1"/>
  <c r="K96" i="471" s="1"/>
  <c r="F97" i="471"/>
  <c r="H97" i="471" s="1"/>
  <c r="K97" i="471" s="1"/>
  <c r="F98" i="471"/>
  <c r="H98" i="471" s="1"/>
  <c r="K98" i="471" s="1"/>
  <c r="F99" i="471"/>
  <c r="H99" i="471" s="1"/>
  <c r="K99" i="471" s="1"/>
  <c r="F100" i="471"/>
  <c r="H100" i="471" s="1"/>
  <c r="K100" i="471" s="1"/>
  <c r="F101" i="471"/>
  <c r="H101" i="471" s="1"/>
  <c r="K101" i="471" s="1"/>
  <c r="F102" i="471"/>
  <c r="H102" i="471" s="1"/>
  <c r="K102" i="471" s="1"/>
  <c r="F103" i="471"/>
  <c r="H103" i="471" s="1"/>
  <c r="K103" i="471" s="1"/>
  <c r="F104" i="471"/>
  <c r="H104" i="471" s="1"/>
  <c r="K104" i="471" s="1"/>
  <c r="F105" i="471"/>
  <c r="H105" i="471" s="1"/>
  <c r="K105" i="471" s="1"/>
  <c r="F106" i="471"/>
  <c r="H106" i="471" s="1"/>
  <c r="K106" i="471" s="1"/>
  <c r="F107" i="471"/>
  <c r="H107" i="471" s="1"/>
  <c r="K107" i="471" s="1"/>
  <c r="F108" i="471"/>
  <c r="H108" i="471" s="1"/>
  <c r="K108" i="471" s="1"/>
  <c r="F109" i="471"/>
  <c r="H109" i="471" s="1"/>
  <c r="K109" i="471" s="1"/>
  <c r="F110" i="471"/>
  <c r="H110" i="471" s="1"/>
  <c r="K110" i="471" s="1"/>
  <c r="F111" i="471"/>
  <c r="H111" i="471" s="1"/>
  <c r="K111" i="471" s="1"/>
  <c r="F112" i="471"/>
  <c r="H112" i="471" s="1"/>
  <c r="K112" i="471" s="1"/>
  <c r="F113" i="471"/>
  <c r="H113" i="471" s="1"/>
  <c r="K113" i="471" s="1"/>
  <c r="F114" i="471"/>
  <c r="H114" i="471" s="1"/>
  <c r="K114" i="471" s="1"/>
  <c r="F115" i="471"/>
  <c r="H115" i="471" s="1"/>
  <c r="F116" i="471"/>
  <c r="H116" i="471" s="1"/>
  <c r="K116" i="471" s="1"/>
  <c r="F117" i="471"/>
  <c r="H117" i="471" s="1"/>
  <c r="K117" i="471" s="1"/>
  <c r="F118" i="471"/>
  <c r="H118" i="471" s="1"/>
  <c r="K118" i="471" s="1"/>
  <c r="F119" i="471"/>
  <c r="H119" i="471" s="1"/>
  <c r="F120" i="471"/>
  <c r="H120" i="471" s="1"/>
  <c r="K120" i="471" s="1"/>
  <c r="F121" i="471"/>
  <c r="H121" i="471" s="1"/>
  <c r="F122" i="471"/>
  <c r="H122" i="471" s="1"/>
  <c r="F123" i="471"/>
  <c r="H123" i="471" s="1"/>
  <c r="F124" i="471"/>
  <c r="H124" i="471" s="1"/>
  <c r="F125" i="471"/>
  <c r="H125" i="471" s="1"/>
  <c r="F126" i="471"/>
  <c r="H126" i="471" s="1"/>
  <c r="K126" i="471" s="1"/>
  <c r="F127" i="471"/>
  <c r="H127" i="471" s="1"/>
  <c r="K127" i="471" s="1"/>
  <c r="F128" i="471"/>
  <c r="H128" i="471" s="1"/>
  <c r="K128" i="471" s="1"/>
  <c r="F129" i="471"/>
  <c r="H129" i="471" s="1"/>
  <c r="K129" i="471" s="1"/>
  <c r="F130" i="471"/>
  <c r="H130" i="471" s="1"/>
  <c r="K130" i="471" s="1"/>
  <c r="F131" i="471"/>
  <c r="H131" i="471" s="1"/>
  <c r="K131" i="471" s="1"/>
  <c r="F132" i="471"/>
  <c r="H132" i="471" s="1"/>
  <c r="K132" i="471" s="1"/>
  <c r="F133" i="471"/>
  <c r="H133" i="471" s="1"/>
  <c r="K133" i="471" s="1"/>
  <c r="F134" i="471"/>
  <c r="H134" i="471" s="1"/>
  <c r="K134" i="471" s="1"/>
  <c r="F135" i="471"/>
  <c r="H135" i="471" s="1"/>
  <c r="K135" i="471" s="1"/>
  <c r="F136" i="471"/>
  <c r="H136" i="471" s="1"/>
  <c r="K136" i="471" s="1"/>
  <c r="F137" i="471"/>
  <c r="H137" i="471" s="1"/>
  <c r="K137" i="471" s="1"/>
  <c r="F138" i="471"/>
  <c r="H138" i="471" s="1"/>
  <c r="K138" i="471" s="1"/>
  <c r="F139" i="471"/>
  <c r="H139" i="471" s="1"/>
  <c r="K139" i="471" s="1"/>
  <c r="F140" i="471"/>
  <c r="H140" i="471" s="1"/>
  <c r="K140" i="471" s="1"/>
  <c r="F141" i="471"/>
  <c r="H141" i="471" s="1"/>
  <c r="F142" i="471"/>
  <c r="H142" i="471" s="1"/>
  <c r="K142" i="471" s="1"/>
  <c r="F143" i="471"/>
  <c r="H143" i="471" s="1"/>
  <c r="K143" i="471" s="1"/>
  <c r="F144" i="471"/>
  <c r="H144" i="471" s="1"/>
  <c r="K144" i="471" s="1"/>
  <c r="F145" i="471"/>
  <c r="H145" i="471" s="1"/>
  <c r="K145" i="471" s="1"/>
  <c r="F146" i="471"/>
  <c r="H146" i="471" s="1"/>
  <c r="K146" i="471" s="1"/>
  <c r="F147" i="471"/>
  <c r="H147" i="471" s="1"/>
  <c r="K147" i="471" s="1"/>
  <c r="F148" i="471"/>
  <c r="H148" i="471" s="1"/>
  <c r="K148" i="471" s="1"/>
  <c r="F149" i="471"/>
  <c r="H149" i="471" s="1"/>
  <c r="K149" i="471" s="1"/>
  <c r="F150" i="471"/>
  <c r="H150" i="471" s="1"/>
  <c r="K150" i="471" s="1"/>
  <c r="F151" i="471"/>
  <c r="H151" i="471" s="1"/>
  <c r="K151" i="471" s="1"/>
  <c r="F152" i="471"/>
  <c r="H152" i="471" s="1"/>
  <c r="K152" i="471" s="1"/>
  <c r="F153" i="471"/>
  <c r="H153" i="471" s="1"/>
  <c r="K153" i="471" s="1"/>
  <c r="F154" i="471"/>
  <c r="H154" i="471" s="1"/>
  <c r="K154" i="471" s="1"/>
  <c r="F155" i="471"/>
  <c r="H155" i="471" s="1"/>
  <c r="K155" i="471" s="1"/>
  <c r="F156" i="471"/>
  <c r="H156" i="471" s="1"/>
  <c r="K156" i="471" s="1"/>
  <c r="F157" i="471"/>
  <c r="H157" i="471" s="1"/>
  <c r="K157" i="471" s="1"/>
  <c r="F158" i="471"/>
  <c r="H158" i="471" s="1"/>
  <c r="K158" i="471" s="1"/>
  <c r="F159" i="471"/>
  <c r="H159" i="471" s="1"/>
  <c r="K159" i="471" s="1"/>
  <c r="F160" i="471"/>
  <c r="H160" i="471" s="1"/>
  <c r="F161" i="471"/>
  <c r="H161" i="471" s="1"/>
  <c r="K161" i="471" s="1"/>
  <c r="F162" i="471"/>
  <c r="H162" i="471" s="1"/>
  <c r="K162" i="471" s="1"/>
  <c r="F163" i="471"/>
  <c r="H163" i="471" s="1"/>
  <c r="K163" i="471" s="1"/>
  <c r="F164" i="471"/>
  <c r="H164" i="471" s="1"/>
  <c r="F165" i="471"/>
  <c r="H165" i="471" s="1"/>
  <c r="K165" i="471" s="1"/>
  <c r="F166" i="471"/>
  <c r="H166" i="471" s="1"/>
  <c r="F167" i="471"/>
  <c r="H167" i="471" s="1"/>
  <c r="F168" i="471"/>
  <c r="H168" i="471" s="1"/>
  <c r="F169" i="471"/>
  <c r="H169" i="471" s="1"/>
  <c r="F170" i="471"/>
  <c r="H170" i="471" s="1"/>
  <c r="K170" i="471" s="1"/>
  <c r="F171" i="471"/>
  <c r="H171" i="471" s="1"/>
  <c r="K171" i="471" s="1"/>
  <c r="F172" i="471"/>
  <c r="H172" i="471" s="1"/>
  <c r="K172" i="471" s="1"/>
  <c r="F173" i="471"/>
  <c r="H173" i="471" s="1"/>
  <c r="K173" i="471" s="1"/>
  <c r="F174" i="471"/>
  <c r="H174" i="471" s="1"/>
  <c r="K174" i="471" s="1"/>
  <c r="F175" i="471"/>
  <c r="H175" i="471" s="1"/>
  <c r="K175" i="471" s="1"/>
  <c r="F176" i="471"/>
  <c r="H176" i="471" s="1"/>
  <c r="K176" i="471" s="1"/>
  <c r="F177" i="471"/>
  <c r="H177" i="471" s="1"/>
  <c r="K177" i="471" s="1"/>
  <c r="F178" i="471"/>
  <c r="H178" i="471" s="1"/>
  <c r="K178" i="471" s="1"/>
  <c r="F179" i="471"/>
  <c r="H179" i="471" s="1"/>
  <c r="K179" i="471" s="1"/>
  <c r="F180" i="471"/>
  <c r="H180" i="471" s="1"/>
  <c r="K180" i="471" s="1"/>
  <c r="F181" i="471"/>
  <c r="H181" i="471" s="1"/>
  <c r="K181" i="471" s="1"/>
  <c r="F182" i="471"/>
  <c r="H182" i="471" s="1"/>
  <c r="K182" i="471" s="1"/>
  <c r="F183" i="471"/>
  <c r="H183" i="471" s="1"/>
  <c r="K183" i="471" s="1"/>
  <c r="F184" i="471"/>
  <c r="H184" i="471" s="1"/>
  <c r="F185" i="471"/>
  <c r="H185" i="471" s="1"/>
  <c r="K185" i="471" s="1"/>
  <c r="F186" i="471"/>
  <c r="H186" i="471" s="1"/>
  <c r="K186" i="471" s="1"/>
  <c r="F187" i="471"/>
  <c r="H187" i="471" s="1"/>
  <c r="K187" i="471" s="1"/>
  <c r="F188" i="471"/>
  <c r="H188" i="471" s="1"/>
  <c r="K188" i="471" s="1"/>
  <c r="F189" i="471"/>
  <c r="H189" i="471" s="1"/>
  <c r="K189" i="471" s="1"/>
  <c r="F190" i="471"/>
  <c r="H190" i="471" s="1"/>
  <c r="K190" i="471" s="1"/>
  <c r="F191" i="471"/>
  <c r="H191" i="471" s="1"/>
  <c r="K191" i="471" s="1"/>
  <c r="F192" i="471"/>
  <c r="H192" i="471" s="1"/>
  <c r="K192" i="471" s="1"/>
  <c r="F193" i="471"/>
  <c r="H193" i="471" s="1"/>
  <c r="K193" i="471" s="1"/>
  <c r="F194" i="471"/>
  <c r="H194" i="471" s="1"/>
  <c r="K194" i="471" s="1"/>
  <c r="F195" i="471"/>
  <c r="H195" i="471" s="1"/>
  <c r="K195" i="471" s="1"/>
  <c r="F196" i="471"/>
  <c r="H196" i="471" s="1"/>
  <c r="K196" i="471" s="1"/>
  <c r="F197" i="471"/>
  <c r="H197" i="471" s="1"/>
  <c r="K197" i="471" s="1"/>
  <c r="F198" i="471"/>
  <c r="H198" i="471" s="1"/>
  <c r="K198" i="471" s="1"/>
  <c r="F199" i="471"/>
  <c r="H199" i="471" s="1"/>
  <c r="K199" i="471" s="1"/>
  <c r="F200" i="471"/>
  <c r="H200" i="471" s="1"/>
  <c r="K200" i="471" s="1"/>
  <c r="F201" i="471"/>
  <c r="H201" i="471" s="1"/>
  <c r="K201" i="471" s="1"/>
  <c r="F202" i="471"/>
  <c r="H202" i="471" s="1"/>
  <c r="K202" i="471" s="1"/>
  <c r="F203" i="471"/>
  <c r="H203" i="471" s="1"/>
  <c r="K203" i="471" s="1"/>
  <c r="F204" i="471"/>
  <c r="H204" i="471" s="1"/>
  <c r="K204" i="471" s="1"/>
  <c r="F205" i="471"/>
  <c r="H205" i="471" s="1"/>
  <c r="K205" i="471" s="1"/>
  <c r="F206" i="471"/>
  <c r="H206" i="471" s="1"/>
  <c r="K206" i="471" s="1"/>
  <c r="F207" i="471"/>
  <c r="H207" i="471" s="1"/>
  <c r="K207" i="471" s="1"/>
  <c r="F208" i="471"/>
  <c r="H208" i="471" s="1"/>
  <c r="K208" i="471" s="1"/>
  <c r="F209" i="471"/>
  <c r="H209" i="471" s="1"/>
  <c r="F210" i="471"/>
  <c r="H210" i="471" s="1"/>
  <c r="K210" i="471" s="1"/>
  <c r="F211" i="471"/>
  <c r="H211" i="471" s="1"/>
  <c r="K211" i="471" s="1"/>
  <c r="F212" i="471"/>
  <c r="H212" i="471" s="1"/>
  <c r="F213" i="471"/>
  <c r="H213" i="471" s="1"/>
  <c r="K213" i="471" s="1"/>
  <c r="F214" i="471"/>
  <c r="H214" i="471" s="1"/>
  <c r="F215" i="471"/>
  <c r="H215" i="471" s="1"/>
  <c r="K215" i="471" s="1"/>
  <c r="F216" i="471"/>
  <c r="H216" i="471" s="1"/>
  <c r="F217" i="471"/>
  <c r="H217" i="471" s="1"/>
  <c r="F218" i="471"/>
  <c r="H218" i="471" s="1"/>
  <c r="F219" i="471"/>
  <c r="H219" i="471" s="1"/>
  <c r="F220" i="471"/>
  <c r="H220" i="471" s="1"/>
  <c r="F221" i="471"/>
  <c r="H221" i="471" s="1"/>
  <c r="K221" i="471" s="1"/>
  <c r="F222" i="471"/>
  <c r="H222" i="471" s="1"/>
  <c r="K222" i="471" s="1"/>
  <c r="F223" i="471"/>
  <c r="H223" i="471" s="1"/>
  <c r="K223" i="471" s="1"/>
  <c r="F224" i="471"/>
  <c r="H224" i="471" s="1"/>
  <c r="K224" i="471" s="1"/>
  <c r="F225" i="471"/>
  <c r="H225" i="471" s="1"/>
  <c r="K225" i="471" s="1"/>
  <c r="F226" i="471"/>
  <c r="H226" i="471" s="1"/>
  <c r="F227" i="471"/>
  <c r="H227" i="471" s="1"/>
  <c r="K227" i="471" s="1"/>
  <c r="F228" i="471"/>
  <c r="H228" i="471" s="1"/>
  <c r="K228" i="471" s="1"/>
  <c r="F229" i="471"/>
  <c r="H229" i="471" s="1"/>
  <c r="K229" i="471" s="1"/>
  <c r="F230" i="471"/>
  <c r="H230" i="471" s="1"/>
  <c r="K230" i="471" s="1"/>
  <c r="F231" i="471"/>
  <c r="H231" i="471" s="1"/>
  <c r="K231" i="471" s="1"/>
  <c r="F232" i="471"/>
  <c r="H232" i="471" s="1"/>
  <c r="K232" i="471" s="1"/>
  <c r="F233" i="471"/>
  <c r="H233" i="471" s="1"/>
  <c r="K233" i="471" s="1"/>
  <c r="F234" i="471"/>
  <c r="H234" i="471" s="1"/>
  <c r="K234" i="471" s="1"/>
  <c r="F235" i="471"/>
  <c r="H235" i="471" s="1"/>
  <c r="K235" i="471" s="1"/>
  <c r="F236" i="471"/>
  <c r="H236" i="471" s="1"/>
  <c r="K236" i="471" s="1"/>
  <c r="F237" i="471"/>
  <c r="H237" i="471" s="1"/>
  <c r="K237" i="471" s="1"/>
  <c r="F238" i="471"/>
  <c r="H238" i="471" s="1"/>
  <c r="K238" i="471" s="1"/>
  <c r="F239" i="471"/>
  <c r="H239" i="471" s="1"/>
  <c r="K239" i="471" s="1"/>
  <c r="F240" i="471"/>
  <c r="H240" i="471" s="1"/>
  <c r="K240" i="471" s="1"/>
  <c r="F241" i="471"/>
  <c r="H241" i="471" s="1"/>
  <c r="K241" i="471" s="1"/>
  <c r="F242" i="471"/>
  <c r="H242" i="471" s="1"/>
  <c r="K242" i="471" s="1"/>
  <c r="F243" i="471"/>
  <c r="H243" i="471" s="1"/>
  <c r="K243" i="471" s="1"/>
  <c r="F244" i="471"/>
  <c r="H244" i="471" s="1"/>
  <c r="K244" i="471" s="1"/>
  <c r="F245" i="471"/>
  <c r="H245" i="471" s="1"/>
  <c r="K245" i="471" s="1"/>
  <c r="F246" i="471"/>
  <c r="H246" i="471" s="1"/>
  <c r="K246" i="471" s="1"/>
  <c r="F247" i="471"/>
  <c r="H247" i="471" s="1"/>
  <c r="K247" i="471" s="1"/>
  <c r="F248" i="471"/>
  <c r="H248" i="471" s="1"/>
  <c r="K248" i="471" s="1"/>
  <c r="F249" i="471"/>
  <c r="H249" i="471" s="1"/>
  <c r="F251" i="471"/>
  <c r="H251" i="471" s="1"/>
  <c r="K251" i="471" s="1"/>
  <c r="F252" i="471"/>
  <c r="H252" i="471" s="1"/>
  <c r="K252" i="471" s="1"/>
  <c r="F253" i="471"/>
  <c r="H253" i="471" s="1"/>
  <c r="K253" i="471" s="1"/>
  <c r="F254" i="471"/>
  <c r="H254" i="471" s="1"/>
  <c r="K254" i="471" s="1"/>
  <c r="F255" i="471"/>
  <c r="H255" i="471" s="1"/>
  <c r="K255" i="471" s="1"/>
  <c r="F256" i="471"/>
  <c r="H256" i="471" s="1"/>
  <c r="K256" i="471" s="1"/>
  <c r="F257" i="471"/>
  <c r="H257" i="471" s="1"/>
  <c r="F258" i="471"/>
  <c r="H258" i="471" s="1"/>
  <c r="F259" i="471"/>
  <c r="H259" i="471" s="1"/>
  <c r="K259" i="471" s="1"/>
  <c r="F260" i="471"/>
  <c r="H260" i="471" s="1"/>
  <c r="K260" i="471" s="1"/>
  <c r="F261" i="471"/>
  <c r="H261" i="471" s="1"/>
  <c r="K261" i="471" s="1"/>
  <c r="F262" i="471"/>
  <c r="H262" i="471" s="1"/>
  <c r="K262" i="471" s="1"/>
  <c r="F263" i="471"/>
  <c r="H263" i="471" s="1"/>
  <c r="F264" i="471"/>
  <c r="H264" i="471" s="1"/>
  <c r="F265" i="471"/>
  <c r="H265" i="471" s="1"/>
  <c r="F266" i="471"/>
  <c r="H266" i="471" s="1"/>
  <c r="K266" i="471" s="1"/>
  <c r="F267" i="471"/>
  <c r="H267" i="471" s="1"/>
  <c r="K267" i="471" s="1"/>
  <c r="F268" i="471"/>
  <c r="H268" i="471" s="1"/>
  <c r="F269" i="471"/>
  <c r="H269" i="471" s="1"/>
  <c r="F270" i="471"/>
  <c r="H270" i="471" s="1"/>
  <c r="F271" i="471"/>
  <c r="H271" i="471" s="1"/>
  <c r="F272" i="471"/>
  <c r="H272" i="471" s="1"/>
  <c r="F273" i="471"/>
  <c r="H273" i="471" s="1"/>
  <c r="F274" i="471"/>
  <c r="H274" i="471" s="1"/>
  <c r="K274" i="471" s="1"/>
  <c r="F275" i="471"/>
  <c r="H275" i="471" s="1"/>
  <c r="K275" i="471" s="1"/>
  <c r="F276" i="471"/>
  <c r="H276" i="471" s="1"/>
  <c r="F277" i="471"/>
  <c r="H277" i="471" s="1"/>
  <c r="F278" i="471"/>
  <c r="H278" i="471" s="1"/>
  <c r="F279" i="471"/>
  <c r="H279" i="471" s="1"/>
  <c r="F280" i="471"/>
  <c r="H280" i="471" s="1"/>
  <c r="K280" i="471" s="1"/>
  <c r="F281" i="471"/>
  <c r="H281" i="471" s="1"/>
  <c r="K281" i="471" s="1"/>
  <c r="F282" i="471"/>
  <c r="H282" i="471" s="1"/>
  <c r="K282" i="471" s="1"/>
  <c r="F283" i="471"/>
  <c r="H283" i="471" s="1"/>
  <c r="K283" i="471" s="1"/>
  <c r="F284" i="471"/>
  <c r="H284" i="471" s="1"/>
  <c r="K284" i="471" s="1"/>
  <c r="F285" i="471"/>
  <c r="H285" i="471" s="1"/>
  <c r="K285" i="471" s="1"/>
  <c r="F286" i="471"/>
  <c r="H286" i="471" s="1"/>
  <c r="K286" i="471" s="1"/>
  <c r="F287" i="471"/>
  <c r="H287" i="471" s="1"/>
  <c r="K287" i="471" s="1"/>
  <c r="F288" i="471"/>
  <c r="H288" i="471" s="1"/>
  <c r="K288" i="471" s="1"/>
  <c r="F289" i="471"/>
  <c r="H289" i="471" s="1"/>
  <c r="K289" i="471" s="1"/>
  <c r="F290" i="471"/>
  <c r="H290" i="471" s="1"/>
  <c r="K290" i="471" s="1"/>
  <c r="F291" i="471"/>
  <c r="H291" i="471" s="1"/>
  <c r="K291" i="471" s="1"/>
  <c r="F292" i="471"/>
  <c r="H292" i="471" s="1"/>
  <c r="K292" i="471" s="1"/>
  <c r="F293" i="471"/>
  <c r="H293" i="471" s="1"/>
  <c r="K293" i="471" s="1"/>
  <c r="F294" i="471"/>
  <c r="H294" i="471" s="1"/>
  <c r="K294" i="471" s="1"/>
  <c r="F295" i="471"/>
  <c r="H295" i="471" s="1"/>
  <c r="K295" i="471" s="1"/>
  <c r="F296" i="471"/>
  <c r="H296" i="471" s="1"/>
  <c r="K296" i="471" s="1"/>
  <c r="F297" i="471"/>
  <c r="H297" i="471" s="1"/>
  <c r="K297" i="471" s="1"/>
  <c r="F298" i="471"/>
  <c r="H298" i="471" s="1"/>
  <c r="K298" i="471" s="1"/>
  <c r="F299" i="471"/>
  <c r="H299" i="471" s="1"/>
  <c r="K299" i="471" s="1"/>
  <c r="F300" i="471"/>
  <c r="H300" i="471" s="1"/>
  <c r="K300" i="471" s="1"/>
  <c r="F301" i="471"/>
  <c r="H301" i="471" s="1"/>
  <c r="K301" i="471" s="1"/>
  <c r="F302" i="471"/>
  <c r="H302" i="471" s="1"/>
  <c r="K302" i="471" s="1"/>
  <c r="F303" i="471"/>
  <c r="H303" i="471" s="1"/>
  <c r="K303" i="471" s="1"/>
  <c r="F304" i="471"/>
  <c r="H304" i="471" s="1"/>
  <c r="K304" i="471" s="1"/>
  <c r="F305" i="471"/>
  <c r="H305" i="471" s="1"/>
  <c r="K305" i="471" s="1"/>
  <c r="F306" i="471"/>
  <c r="H306" i="471" s="1"/>
  <c r="K306" i="471" s="1"/>
  <c r="F307" i="471"/>
  <c r="H307" i="471" s="1"/>
  <c r="K307" i="471" s="1"/>
  <c r="F308" i="471"/>
  <c r="H308" i="471" s="1"/>
  <c r="K308" i="471" s="1"/>
  <c r="F309" i="471"/>
  <c r="H309" i="471" s="1"/>
  <c r="K309" i="471" s="1"/>
  <c r="F310" i="471"/>
  <c r="H310" i="471" s="1"/>
  <c r="K310" i="471" s="1"/>
  <c r="F311" i="471"/>
  <c r="H311" i="471" s="1"/>
  <c r="K311" i="471" s="1"/>
  <c r="F312" i="471"/>
  <c r="H312" i="471" s="1"/>
  <c r="K312" i="471" s="1"/>
  <c r="F313" i="471"/>
  <c r="H313" i="471" s="1"/>
  <c r="K313" i="471" s="1"/>
  <c r="F314" i="471"/>
  <c r="H314" i="471" s="1"/>
  <c r="K314" i="471" s="1"/>
  <c r="F315" i="471"/>
  <c r="H315" i="471" s="1"/>
  <c r="K315" i="471" s="1"/>
  <c r="F316" i="471"/>
  <c r="H316" i="471" s="1"/>
  <c r="K316" i="471" s="1"/>
  <c r="F317" i="471"/>
  <c r="H317" i="471" s="1"/>
  <c r="F318" i="471"/>
  <c r="H318" i="471" s="1"/>
  <c r="K318" i="471" s="1"/>
  <c r="F319" i="471"/>
  <c r="H319" i="471" s="1"/>
  <c r="K319" i="471" s="1"/>
  <c r="F320" i="471"/>
  <c r="H320" i="471" s="1"/>
  <c r="K320" i="471" s="1"/>
  <c r="F321" i="471"/>
  <c r="H321" i="471" s="1"/>
  <c r="K321" i="471" s="1"/>
  <c r="F322" i="471"/>
  <c r="H322" i="471" s="1"/>
  <c r="K322" i="471" s="1"/>
  <c r="F323" i="471"/>
  <c r="H323" i="471" s="1"/>
  <c r="K323" i="471" s="1"/>
  <c r="F324" i="471"/>
  <c r="H324" i="471" s="1"/>
  <c r="K324" i="471" s="1"/>
  <c r="F325" i="471"/>
  <c r="H325" i="471" s="1"/>
  <c r="K325" i="471" s="1"/>
  <c r="F326" i="471"/>
  <c r="H326" i="471" s="1"/>
  <c r="K326" i="471" s="1"/>
  <c r="F327" i="471"/>
  <c r="H327" i="471" s="1"/>
  <c r="K327" i="471" s="1"/>
  <c r="F328" i="471"/>
  <c r="H328" i="471" s="1"/>
  <c r="K328" i="471" s="1"/>
  <c r="F329" i="471"/>
  <c r="H329" i="471" s="1"/>
  <c r="K329" i="471" s="1"/>
  <c r="F330" i="471"/>
  <c r="H330" i="471" s="1"/>
  <c r="K330" i="471" s="1"/>
  <c r="F331" i="471"/>
  <c r="H331" i="471" s="1"/>
  <c r="K331" i="471" s="1"/>
  <c r="F332" i="471"/>
  <c r="H332" i="471" s="1"/>
  <c r="K332" i="471" s="1"/>
  <c r="F333" i="471"/>
  <c r="H333" i="471" s="1"/>
  <c r="K333" i="471" s="1"/>
  <c r="F334" i="471"/>
  <c r="H334" i="471" s="1"/>
  <c r="K334" i="471" s="1"/>
  <c r="F335" i="471"/>
  <c r="H335" i="471" s="1"/>
  <c r="K335" i="471" s="1"/>
  <c r="F336" i="471"/>
  <c r="H336" i="471" s="1"/>
  <c r="K336" i="471" s="1"/>
  <c r="F337" i="471"/>
  <c r="H337" i="471" s="1"/>
  <c r="K337" i="471" s="1"/>
  <c r="F338" i="471"/>
  <c r="H338" i="471" s="1"/>
  <c r="K338" i="471" s="1"/>
  <c r="F339" i="471"/>
  <c r="H339" i="471" s="1"/>
  <c r="K339" i="471" s="1"/>
  <c r="F340" i="471"/>
  <c r="H340" i="471" s="1"/>
  <c r="K340" i="471" s="1"/>
  <c r="F341" i="471"/>
  <c r="H341" i="471" s="1"/>
  <c r="K341" i="471" s="1"/>
  <c r="F342" i="471"/>
  <c r="H342" i="471" s="1"/>
  <c r="K342" i="471" s="1"/>
  <c r="F343" i="471"/>
  <c r="H343" i="471" s="1"/>
  <c r="K343" i="471" s="1"/>
  <c r="F344" i="471"/>
  <c r="H344" i="471" s="1"/>
  <c r="K344" i="471" s="1"/>
  <c r="F345" i="471"/>
  <c r="H345" i="471" s="1"/>
  <c r="K345" i="471" s="1"/>
  <c r="F346" i="471"/>
  <c r="H346" i="471" s="1"/>
  <c r="K346" i="471" s="1"/>
  <c r="F347" i="471"/>
  <c r="H347" i="471" s="1"/>
  <c r="K347" i="471" s="1"/>
  <c r="F348" i="471"/>
  <c r="H348" i="471" s="1"/>
  <c r="K348" i="471" s="1"/>
  <c r="F349" i="471"/>
  <c r="H349" i="471" s="1"/>
  <c r="F350" i="471"/>
  <c r="H350" i="471" s="1"/>
  <c r="F351" i="471"/>
  <c r="H351" i="471" s="1"/>
  <c r="F353" i="471"/>
  <c r="H353" i="471" s="1"/>
  <c r="K353" i="471" s="1"/>
  <c r="F354" i="471"/>
  <c r="H354" i="471" s="1"/>
  <c r="K354" i="471" s="1"/>
  <c r="F355" i="471"/>
  <c r="H355" i="471" s="1"/>
  <c r="K355" i="471" s="1"/>
  <c r="F356" i="471"/>
  <c r="H356" i="471" s="1"/>
  <c r="K356" i="471" s="1"/>
  <c r="F357" i="471"/>
  <c r="H357" i="471" s="1"/>
  <c r="F358" i="471"/>
  <c r="H358" i="471" s="1"/>
  <c r="F359" i="471"/>
  <c r="H359" i="471" s="1"/>
  <c r="K359" i="471" s="1"/>
  <c r="F360" i="471"/>
  <c r="H360" i="471" s="1"/>
  <c r="K360" i="471" s="1"/>
  <c r="F361" i="471"/>
  <c r="H361" i="471" s="1"/>
  <c r="K361" i="471" s="1"/>
  <c r="F362" i="471"/>
  <c r="H362" i="471" s="1"/>
  <c r="K362" i="471" s="1"/>
  <c r="F363" i="471"/>
  <c r="H363" i="471" s="1"/>
  <c r="K363" i="471" s="1"/>
  <c r="F364" i="471"/>
  <c r="H364" i="471" s="1"/>
  <c r="F365" i="471"/>
  <c r="H365" i="471" s="1"/>
  <c r="F366" i="471"/>
  <c r="H366" i="471" s="1"/>
  <c r="F367" i="471"/>
  <c r="H367" i="471" s="1"/>
  <c r="K367" i="471" s="1"/>
  <c r="F368" i="471"/>
  <c r="H368" i="471" s="1"/>
  <c r="F369" i="471"/>
  <c r="H369" i="471" s="1"/>
  <c r="F370" i="471"/>
  <c r="H370" i="471" s="1"/>
  <c r="F371" i="471"/>
  <c r="H371" i="471" s="1"/>
  <c r="F372" i="471"/>
  <c r="H372" i="471" s="1"/>
  <c r="F373" i="471"/>
  <c r="H373" i="471" s="1"/>
  <c r="F374" i="471"/>
  <c r="H374" i="471" s="1"/>
  <c r="K374" i="471" s="1"/>
  <c r="F375" i="471"/>
  <c r="H375" i="471" s="1"/>
  <c r="K375" i="471" s="1"/>
  <c r="F376" i="471"/>
  <c r="H376" i="471" s="1"/>
  <c r="F377" i="471"/>
  <c r="H377" i="471" s="1"/>
  <c r="F378" i="471"/>
  <c r="H378" i="471" s="1"/>
  <c r="F379" i="471"/>
  <c r="H379" i="471" s="1"/>
  <c r="F380" i="471"/>
  <c r="H380" i="471" s="1"/>
  <c r="K380" i="471" s="1"/>
  <c r="F381" i="471"/>
  <c r="H381" i="471" s="1"/>
  <c r="K381" i="471" s="1"/>
  <c r="F382" i="471"/>
  <c r="H382" i="471" s="1"/>
  <c r="K382" i="471" s="1"/>
  <c r="F383" i="471"/>
  <c r="H383" i="471" s="1"/>
  <c r="K383" i="471" s="1"/>
  <c r="F384" i="471"/>
  <c r="H384" i="471" s="1"/>
  <c r="K384" i="471" s="1"/>
  <c r="F385" i="471"/>
  <c r="H385" i="471" s="1"/>
  <c r="K385" i="471" s="1"/>
  <c r="F386" i="471"/>
  <c r="H386" i="471" s="1"/>
  <c r="K386" i="471" s="1"/>
  <c r="F387" i="471"/>
  <c r="H387" i="471" s="1"/>
  <c r="K387" i="471" s="1"/>
  <c r="F388" i="471"/>
  <c r="H388" i="471" s="1"/>
  <c r="K388" i="471" s="1"/>
  <c r="F389" i="471"/>
  <c r="H389" i="471" s="1"/>
  <c r="K389" i="471" s="1"/>
  <c r="F390" i="471"/>
  <c r="H390" i="471" s="1"/>
  <c r="K390" i="471" s="1"/>
  <c r="F391" i="471"/>
  <c r="H391" i="471" s="1"/>
  <c r="K391" i="471" s="1"/>
  <c r="F392" i="471"/>
  <c r="H392" i="471" s="1"/>
  <c r="K392" i="471" s="1"/>
  <c r="F393" i="471"/>
  <c r="H393" i="471" s="1"/>
  <c r="K393" i="471" s="1"/>
  <c r="F394" i="471"/>
  <c r="H394" i="471" s="1"/>
  <c r="K394" i="471" s="1"/>
  <c r="F395" i="471"/>
  <c r="H395" i="471" s="1"/>
  <c r="K395" i="471" s="1"/>
  <c r="F396" i="471"/>
  <c r="H396" i="471" s="1"/>
  <c r="K396" i="471" s="1"/>
  <c r="F397" i="471"/>
  <c r="H397" i="471" s="1"/>
  <c r="K397" i="471" s="1"/>
  <c r="F398" i="471"/>
  <c r="H398" i="471" s="1"/>
  <c r="K398" i="471" s="1"/>
  <c r="F399" i="471"/>
  <c r="H399" i="471" s="1"/>
  <c r="K399" i="471" s="1"/>
  <c r="F400" i="471"/>
  <c r="H400" i="471" s="1"/>
  <c r="K400" i="471" s="1"/>
  <c r="F401" i="471"/>
  <c r="H401" i="471" s="1"/>
  <c r="K401" i="471" s="1"/>
  <c r="F402" i="471"/>
  <c r="H402" i="471" s="1"/>
  <c r="K402" i="471" s="1"/>
  <c r="F403" i="471"/>
  <c r="H403" i="471" s="1"/>
  <c r="F404" i="471"/>
  <c r="H404" i="471" s="1"/>
  <c r="K404" i="471" s="1"/>
  <c r="F405" i="471"/>
  <c r="H405" i="471" s="1"/>
  <c r="K405" i="471" s="1"/>
  <c r="F406" i="471"/>
  <c r="H406" i="471" s="1"/>
  <c r="K406" i="471" s="1"/>
  <c r="F407" i="471"/>
  <c r="H407" i="471" s="1"/>
  <c r="K407" i="471" s="1"/>
  <c r="F408" i="471"/>
  <c r="H408" i="471" s="1"/>
  <c r="K408" i="471" s="1"/>
  <c r="F409" i="471"/>
  <c r="H409" i="471" s="1"/>
  <c r="K409" i="471" s="1"/>
  <c r="F410" i="471"/>
  <c r="H410" i="471" s="1"/>
  <c r="K410" i="471" s="1"/>
  <c r="F411" i="471"/>
  <c r="H411" i="471" s="1"/>
  <c r="K411" i="471" s="1"/>
  <c r="F412" i="471"/>
  <c r="H412" i="471" s="1"/>
  <c r="K412" i="471" s="1"/>
  <c r="F413" i="471"/>
  <c r="H413" i="471" s="1"/>
  <c r="K413" i="471" s="1"/>
  <c r="F414" i="471"/>
  <c r="H414" i="471" s="1"/>
  <c r="K414" i="471" s="1"/>
  <c r="F415" i="471"/>
  <c r="H415" i="471" s="1"/>
  <c r="K415" i="471" s="1"/>
  <c r="F416" i="471"/>
  <c r="H416" i="471" s="1"/>
  <c r="K416" i="471" s="1"/>
  <c r="F417" i="471"/>
  <c r="H417" i="471" s="1"/>
  <c r="K417" i="471" s="1"/>
  <c r="F418" i="471"/>
  <c r="H418" i="471" s="1"/>
  <c r="K418" i="471" s="1"/>
  <c r="F419" i="471"/>
  <c r="H419" i="471" s="1"/>
  <c r="K419" i="471" s="1"/>
  <c r="F420" i="471"/>
  <c r="H420" i="471" s="1"/>
  <c r="K420" i="471" s="1"/>
  <c r="F421" i="471"/>
  <c r="H421" i="471" s="1"/>
  <c r="K421" i="471" s="1"/>
  <c r="F422" i="471"/>
  <c r="H422" i="471" s="1"/>
  <c r="K422" i="471" s="1"/>
  <c r="F423" i="471"/>
  <c r="H423" i="471" s="1"/>
  <c r="F424" i="471"/>
  <c r="H424" i="471" s="1"/>
  <c r="F426" i="471"/>
  <c r="H426" i="471" s="1"/>
  <c r="K426" i="471" s="1"/>
  <c r="F427" i="471"/>
  <c r="H427" i="471" s="1"/>
  <c r="K427" i="471" s="1"/>
  <c r="F428" i="471"/>
  <c r="H428" i="471" s="1"/>
  <c r="K428" i="471" s="1"/>
  <c r="F429" i="471"/>
  <c r="H429" i="471" s="1"/>
  <c r="K429" i="471" s="1"/>
  <c r="F430" i="471"/>
  <c r="H430" i="471" s="1"/>
  <c r="F431" i="471"/>
  <c r="H431" i="471" s="1"/>
  <c r="F432" i="471"/>
  <c r="H432" i="471" s="1"/>
  <c r="K432" i="471" s="1"/>
  <c r="F433" i="471"/>
  <c r="H433" i="471" s="1"/>
  <c r="K433" i="471" s="1"/>
  <c r="F434" i="471"/>
  <c r="H434" i="471" s="1"/>
  <c r="K434" i="471" s="1"/>
  <c r="F435" i="471"/>
  <c r="H435" i="471" s="1"/>
  <c r="K435" i="471" s="1"/>
  <c r="F436" i="471"/>
  <c r="H436" i="471" s="1"/>
  <c r="K436" i="471" s="1"/>
  <c r="F437" i="471"/>
  <c r="H437" i="471" s="1"/>
  <c r="F438" i="471"/>
  <c r="H438" i="471" s="1"/>
  <c r="F439" i="471"/>
  <c r="H439" i="471" s="1"/>
  <c r="K439" i="471" s="1"/>
  <c r="F440" i="471"/>
  <c r="H440" i="471" s="1"/>
  <c r="F441" i="471"/>
  <c r="H441" i="471" s="1"/>
  <c r="K441" i="471" s="1"/>
  <c r="F442" i="471"/>
  <c r="H442" i="471" s="1"/>
  <c r="K442" i="471" s="1"/>
  <c r="F443" i="471"/>
  <c r="H443" i="471" s="1"/>
  <c r="F444" i="471"/>
  <c r="H444" i="471" s="1"/>
  <c r="F445" i="471"/>
  <c r="H445" i="471" s="1"/>
  <c r="F446" i="471"/>
  <c r="H446" i="471" s="1"/>
  <c r="F447" i="471"/>
  <c r="H447" i="471" s="1"/>
  <c r="F448" i="471"/>
  <c r="H448" i="471" s="1"/>
  <c r="F449" i="471"/>
  <c r="H449" i="471" s="1"/>
  <c r="F450" i="471"/>
  <c r="H450" i="471" s="1"/>
  <c r="K450" i="471" s="1"/>
  <c r="F451" i="471"/>
  <c r="H451" i="471" s="1"/>
  <c r="K451" i="471" s="1"/>
  <c r="F452" i="471"/>
  <c r="H452" i="471" s="1"/>
  <c r="F453" i="471"/>
  <c r="H453" i="471" s="1"/>
  <c r="F454" i="471"/>
  <c r="H454" i="471" s="1"/>
  <c r="F455" i="471"/>
  <c r="H455" i="471" s="1"/>
  <c r="F456" i="471"/>
  <c r="H456" i="471" s="1"/>
  <c r="K456" i="471" s="1"/>
  <c r="F457" i="471"/>
  <c r="H457" i="471" s="1"/>
  <c r="K457" i="471" s="1"/>
  <c r="F458" i="471"/>
  <c r="H458" i="471" s="1"/>
  <c r="K458" i="471" s="1"/>
  <c r="F459" i="471"/>
  <c r="H459" i="471" s="1"/>
  <c r="K459" i="471" s="1"/>
  <c r="F460" i="471"/>
  <c r="H460" i="471" s="1"/>
  <c r="K460" i="471" s="1"/>
  <c r="F461" i="471"/>
  <c r="H461" i="471" s="1"/>
  <c r="K461" i="471" s="1"/>
  <c r="F462" i="471"/>
  <c r="H462" i="471" s="1"/>
  <c r="K462" i="471" s="1"/>
  <c r="F463" i="471"/>
  <c r="H463" i="471" s="1"/>
  <c r="K463" i="471" s="1"/>
  <c r="F464" i="471"/>
  <c r="H464" i="471" s="1"/>
  <c r="K464" i="471" s="1"/>
  <c r="F465" i="471"/>
  <c r="H465" i="471" s="1"/>
  <c r="K465" i="471" s="1"/>
  <c r="F466" i="471"/>
  <c r="H466" i="471" s="1"/>
  <c r="K466" i="471" s="1"/>
  <c r="F467" i="471"/>
  <c r="H467" i="471" s="1"/>
  <c r="K467" i="471" s="1"/>
  <c r="F468" i="471"/>
  <c r="H468" i="471" s="1"/>
  <c r="K468" i="471" s="1"/>
  <c r="F469" i="471"/>
  <c r="H469" i="471" s="1"/>
  <c r="K469" i="471" s="1"/>
  <c r="F470" i="471"/>
  <c r="H470" i="471" s="1"/>
  <c r="K470" i="471" s="1"/>
  <c r="F471" i="471"/>
  <c r="H471" i="471" s="1"/>
  <c r="K471" i="471" s="1"/>
  <c r="F472" i="471"/>
  <c r="H472" i="471" s="1"/>
  <c r="K472" i="471" s="1"/>
  <c r="F473" i="471"/>
  <c r="H473" i="471" s="1"/>
  <c r="K473" i="471" s="1"/>
  <c r="F474" i="471"/>
  <c r="H474" i="471" s="1"/>
  <c r="K474" i="471" s="1"/>
  <c r="F475" i="471"/>
  <c r="H475" i="471" s="1"/>
  <c r="K475" i="471" s="1"/>
  <c r="F476" i="471"/>
  <c r="H476" i="471" s="1"/>
  <c r="K476" i="471" s="1"/>
  <c r="F477" i="471"/>
  <c r="H477" i="471" s="1"/>
  <c r="K477" i="471" s="1"/>
  <c r="F478" i="471"/>
  <c r="H478" i="471" s="1"/>
  <c r="K478" i="471" s="1"/>
  <c r="F479" i="471"/>
  <c r="H479" i="471" s="1"/>
  <c r="K479" i="471" s="1"/>
  <c r="F480" i="471"/>
  <c r="H480" i="471" s="1"/>
  <c r="K480" i="471" s="1"/>
  <c r="F481" i="471"/>
  <c r="H481" i="471" s="1"/>
  <c r="K481" i="471" s="1"/>
  <c r="F482" i="471"/>
  <c r="H482" i="471" s="1"/>
  <c r="K482" i="471" s="1"/>
  <c r="F483" i="471"/>
  <c r="H483" i="471" s="1"/>
  <c r="K483" i="471" s="1"/>
  <c r="F484" i="471"/>
  <c r="H484" i="471" s="1"/>
  <c r="K484" i="471" s="1"/>
  <c r="F485" i="471"/>
  <c r="H485" i="471" s="1"/>
  <c r="K485" i="471" s="1"/>
  <c r="F486" i="471"/>
  <c r="H486" i="471" s="1"/>
  <c r="K486" i="471" s="1"/>
  <c r="F487" i="471"/>
  <c r="H487" i="471" s="1"/>
  <c r="K487" i="471" s="1"/>
  <c r="F488" i="471"/>
  <c r="H488" i="471" s="1"/>
  <c r="K488" i="471" s="1"/>
  <c r="F489" i="471"/>
  <c r="H489" i="471" s="1"/>
  <c r="K489" i="471" s="1"/>
  <c r="F490" i="471"/>
  <c r="H490" i="471" s="1"/>
  <c r="K490" i="471" s="1"/>
  <c r="F491" i="471"/>
  <c r="H491" i="471" s="1"/>
  <c r="K491" i="471" s="1"/>
  <c r="F492" i="471"/>
  <c r="H492" i="471" s="1"/>
  <c r="K492" i="471" s="1"/>
  <c r="F493" i="471"/>
  <c r="H493" i="471" s="1"/>
  <c r="K493" i="471" s="1"/>
  <c r="F494" i="471"/>
  <c r="H494" i="471" s="1"/>
  <c r="K494" i="471" s="1"/>
  <c r="F495" i="471"/>
  <c r="H495" i="471" s="1"/>
  <c r="K495" i="471" s="1"/>
  <c r="F496" i="471"/>
  <c r="H496" i="471" s="1"/>
  <c r="K496" i="471" s="1"/>
  <c r="F497" i="471"/>
  <c r="H497" i="471" s="1"/>
  <c r="K497" i="471" s="1"/>
  <c r="F498" i="471"/>
  <c r="H498" i="471" s="1"/>
  <c r="K498" i="471" s="1"/>
  <c r="F499" i="471"/>
  <c r="H499" i="471" s="1"/>
  <c r="K499" i="471" s="1"/>
  <c r="F500" i="471"/>
  <c r="H500" i="471" s="1"/>
  <c r="K500" i="471" s="1"/>
  <c r="F501" i="471"/>
  <c r="H501" i="471" s="1"/>
  <c r="K501" i="471" s="1"/>
  <c r="F502" i="471"/>
  <c r="H502" i="471" s="1"/>
  <c r="K502" i="471" s="1"/>
  <c r="F503" i="471"/>
  <c r="H503" i="471" s="1"/>
  <c r="K503" i="471" s="1"/>
  <c r="F504" i="471"/>
  <c r="H504" i="471" s="1"/>
  <c r="K504" i="471" s="1"/>
  <c r="F505" i="471"/>
  <c r="H505" i="471" s="1"/>
  <c r="F506" i="471"/>
  <c r="H506" i="471" s="1"/>
  <c r="F508" i="471"/>
  <c r="H508" i="471" s="1"/>
  <c r="K508" i="471" s="1"/>
  <c r="F509" i="471"/>
  <c r="H509" i="471" s="1"/>
  <c r="K509" i="471" s="1"/>
  <c r="F510" i="471"/>
  <c r="H510" i="471" s="1"/>
  <c r="K510" i="471" s="1"/>
  <c r="F511" i="471"/>
  <c r="H511" i="471" s="1"/>
  <c r="K511" i="471" s="1"/>
  <c r="F512" i="471"/>
  <c r="H512" i="471" s="1"/>
  <c r="F513" i="471"/>
  <c r="H513" i="471" s="1"/>
  <c r="F514" i="471"/>
  <c r="H514" i="471" s="1"/>
  <c r="K514" i="471" s="1"/>
  <c r="F515" i="471"/>
  <c r="H515" i="471" s="1"/>
  <c r="K515" i="471" s="1"/>
  <c r="F516" i="471"/>
  <c r="H516" i="471" s="1"/>
  <c r="K516" i="471" s="1"/>
  <c r="F517" i="471"/>
  <c r="H517" i="471" s="1"/>
  <c r="K517" i="471" s="1"/>
  <c r="F518" i="471"/>
  <c r="H518" i="471" s="1"/>
  <c r="K518" i="471" s="1"/>
  <c r="F519" i="471"/>
  <c r="H519" i="471" s="1"/>
  <c r="K519" i="471" s="1"/>
  <c r="F520" i="471"/>
  <c r="H520" i="471" s="1"/>
  <c r="F521" i="471"/>
  <c r="H521" i="471" s="1"/>
  <c r="F522" i="471"/>
  <c r="H522" i="471" s="1"/>
  <c r="F523" i="471"/>
  <c r="H523" i="471" s="1"/>
  <c r="K523" i="471" s="1"/>
  <c r="F524" i="471"/>
  <c r="H524" i="471" s="1"/>
  <c r="K524" i="471" s="1"/>
  <c r="F525" i="471"/>
  <c r="H525" i="471" s="1"/>
  <c r="F526" i="471"/>
  <c r="H526" i="471" s="1"/>
  <c r="F527" i="471"/>
  <c r="H527" i="471" s="1"/>
  <c r="F528" i="471"/>
  <c r="H528" i="471" s="1"/>
  <c r="F529" i="471"/>
  <c r="H529" i="471" s="1"/>
  <c r="F530" i="471"/>
  <c r="H530" i="471" s="1"/>
  <c r="F531" i="471"/>
  <c r="H531" i="471" s="1"/>
  <c r="F532" i="471"/>
  <c r="H532" i="471" s="1"/>
  <c r="K532" i="471" s="1"/>
  <c r="F533" i="471"/>
  <c r="H533" i="471" s="1"/>
  <c r="K533" i="471" s="1"/>
  <c r="F534" i="471"/>
  <c r="H534" i="471" s="1"/>
  <c r="F535" i="471"/>
  <c r="H535" i="471" s="1"/>
  <c r="F536" i="471"/>
  <c r="H536" i="471" s="1"/>
  <c r="F537" i="471"/>
  <c r="H537" i="471" s="1"/>
  <c r="F538" i="471"/>
  <c r="H538" i="471" s="1"/>
  <c r="K538" i="471" s="1"/>
  <c r="F539" i="471"/>
  <c r="H539" i="471" s="1"/>
  <c r="K539" i="471" s="1"/>
  <c r="F540" i="471"/>
  <c r="H540" i="471" s="1"/>
  <c r="K540" i="471" s="1"/>
  <c r="F541" i="471"/>
  <c r="H541" i="471" s="1"/>
  <c r="K541" i="471" s="1"/>
  <c r="F542" i="471"/>
  <c r="H542" i="471" s="1"/>
  <c r="K542" i="471" s="1"/>
  <c r="F543" i="471"/>
  <c r="H543" i="471" s="1"/>
  <c r="K543" i="471" s="1"/>
  <c r="F544" i="471"/>
  <c r="H544" i="471" s="1"/>
  <c r="K544" i="471" s="1"/>
  <c r="F545" i="471"/>
  <c r="H545" i="471" s="1"/>
  <c r="K545" i="471" s="1"/>
  <c r="F546" i="471"/>
  <c r="H546" i="471" s="1"/>
  <c r="K546" i="471" s="1"/>
  <c r="F547" i="471"/>
  <c r="H547" i="471" s="1"/>
  <c r="K547" i="471" s="1"/>
  <c r="F548" i="471"/>
  <c r="H548" i="471" s="1"/>
  <c r="K548" i="471" s="1"/>
  <c r="F549" i="471"/>
  <c r="H549" i="471" s="1"/>
  <c r="K549" i="471" s="1"/>
  <c r="F550" i="471"/>
  <c r="H550" i="471" s="1"/>
  <c r="K550" i="471" s="1"/>
  <c r="F551" i="471"/>
  <c r="H551" i="471" s="1"/>
  <c r="K551" i="471" s="1"/>
  <c r="F552" i="471"/>
  <c r="H552" i="471" s="1"/>
  <c r="K552" i="471" s="1"/>
  <c r="F553" i="471"/>
  <c r="H553" i="471" s="1"/>
  <c r="K553" i="471" s="1"/>
  <c r="F554" i="471"/>
  <c r="H554" i="471" s="1"/>
  <c r="K554" i="471" s="1"/>
  <c r="F555" i="471"/>
  <c r="H555" i="471" s="1"/>
  <c r="K555" i="471" s="1"/>
  <c r="F556" i="471"/>
  <c r="H556" i="471" s="1"/>
  <c r="K556" i="471" s="1"/>
  <c r="F557" i="471"/>
  <c r="H557" i="471" s="1"/>
  <c r="K557" i="471" s="1"/>
  <c r="F558" i="471"/>
  <c r="H558" i="471" s="1"/>
  <c r="K558" i="471" s="1"/>
  <c r="F559" i="471"/>
  <c r="H559" i="471" s="1"/>
  <c r="K559" i="471" s="1"/>
  <c r="F560" i="471"/>
  <c r="H560" i="471" s="1"/>
  <c r="K560" i="471" s="1"/>
  <c r="F561" i="471"/>
  <c r="H561" i="471" s="1"/>
  <c r="K561" i="471" s="1"/>
  <c r="F562" i="471"/>
  <c r="H562" i="471" s="1"/>
  <c r="K562" i="471" s="1"/>
  <c r="F563" i="471"/>
  <c r="H563" i="471" s="1"/>
  <c r="K563" i="471" s="1"/>
  <c r="F564" i="471"/>
  <c r="H564" i="471" s="1"/>
  <c r="K564" i="471" s="1"/>
  <c r="F565" i="471"/>
  <c r="H565" i="471" s="1"/>
  <c r="K565" i="471" s="1"/>
  <c r="F566" i="471"/>
  <c r="H566" i="471" s="1"/>
  <c r="K566" i="471" s="1"/>
  <c r="F567" i="471"/>
  <c r="H567" i="471" s="1"/>
  <c r="K567" i="471" s="1"/>
  <c r="F568" i="471"/>
  <c r="H568" i="471" s="1"/>
  <c r="K568" i="471" s="1"/>
  <c r="F569" i="471"/>
  <c r="H569" i="471" s="1"/>
  <c r="K569" i="471" s="1"/>
  <c r="F570" i="471"/>
  <c r="H570" i="471" s="1"/>
  <c r="K570" i="471" s="1"/>
  <c r="F571" i="471"/>
  <c r="H571" i="471" s="1"/>
  <c r="K571" i="471" s="1"/>
  <c r="F572" i="471"/>
  <c r="H572" i="471" s="1"/>
  <c r="K572" i="471" s="1"/>
  <c r="F573" i="471"/>
  <c r="H573" i="471" s="1"/>
  <c r="K573" i="471" s="1"/>
  <c r="F574" i="471"/>
  <c r="H574" i="471" s="1"/>
  <c r="K574" i="471" s="1"/>
  <c r="F575" i="471"/>
  <c r="H575" i="471" s="1"/>
  <c r="K575" i="471" s="1"/>
  <c r="F576" i="471"/>
  <c r="H576" i="471" s="1"/>
  <c r="K576" i="471" s="1"/>
  <c r="F577" i="471"/>
  <c r="H577" i="471" s="1"/>
  <c r="K577" i="471" s="1"/>
  <c r="F578" i="471"/>
  <c r="H578" i="471" s="1"/>
  <c r="K578" i="471" s="1"/>
  <c r="F579" i="471"/>
  <c r="H579" i="471" s="1"/>
  <c r="K579" i="471" s="1"/>
  <c r="F580" i="471"/>
  <c r="H580" i="471" s="1"/>
  <c r="K580" i="471" s="1"/>
  <c r="F581" i="471"/>
  <c r="H581" i="471" s="1"/>
  <c r="K581" i="471" s="1"/>
  <c r="F582" i="471"/>
  <c r="H582" i="471" s="1"/>
  <c r="K582" i="471" s="1"/>
  <c r="F583" i="471"/>
  <c r="H583" i="471" s="1"/>
  <c r="K583" i="471" s="1"/>
  <c r="F584" i="471"/>
  <c r="H584" i="471" s="1"/>
  <c r="K584" i="471" s="1"/>
  <c r="F585" i="471"/>
  <c r="H585" i="471" s="1"/>
  <c r="K585" i="471" s="1"/>
  <c r="F586" i="471"/>
  <c r="H586" i="471" s="1"/>
  <c r="K586" i="471" s="1"/>
  <c r="F587" i="471"/>
  <c r="H587" i="471" s="1"/>
  <c r="K587" i="471" s="1"/>
  <c r="F588" i="471"/>
  <c r="H588" i="471" s="1"/>
  <c r="F589" i="471"/>
  <c r="H589" i="471" s="1"/>
  <c r="F590" i="471"/>
  <c r="H590" i="471" s="1"/>
  <c r="F592" i="471"/>
  <c r="H592" i="471" s="1"/>
  <c r="K592" i="471" s="1"/>
  <c r="F593" i="471"/>
  <c r="H593" i="471" s="1"/>
  <c r="K593" i="471" s="1"/>
  <c r="F594" i="471"/>
  <c r="H594" i="471" s="1"/>
  <c r="F595" i="471"/>
  <c r="H595" i="471" s="1"/>
  <c r="F596" i="471"/>
  <c r="H596" i="471" s="1"/>
  <c r="K596" i="471" s="1"/>
  <c r="F597" i="471"/>
  <c r="H597" i="471" s="1"/>
  <c r="K597" i="471" s="1"/>
  <c r="F598" i="471"/>
  <c r="H598" i="471" s="1"/>
  <c r="K598" i="471" s="1"/>
  <c r="F599" i="471"/>
  <c r="H599" i="471" s="1"/>
  <c r="K599" i="471" s="1"/>
  <c r="F600" i="471"/>
  <c r="H600" i="471" s="1"/>
  <c r="F601" i="471"/>
  <c r="H601" i="471" s="1"/>
  <c r="F602" i="471"/>
  <c r="H602" i="471" s="1"/>
  <c r="K602" i="471" s="1"/>
  <c r="F603" i="471"/>
  <c r="H603" i="471" s="1"/>
  <c r="F604" i="471"/>
  <c r="H604" i="471" s="1"/>
  <c r="F605" i="471"/>
  <c r="H605" i="471" s="1"/>
  <c r="K605" i="471" s="1"/>
  <c r="F606" i="471"/>
  <c r="H606" i="471" s="1"/>
  <c r="K606" i="471" s="1"/>
  <c r="F607" i="471"/>
  <c r="H607" i="471" s="1"/>
  <c r="K607" i="471" s="1"/>
  <c r="F608" i="471"/>
  <c r="H608" i="471" s="1"/>
  <c r="K608" i="471" s="1"/>
  <c r="F609" i="471"/>
  <c r="H609" i="471" s="1"/>
  <c r="K609" i="471" s="1"/>
  <c r="F610" i="471"/>
  <c r="H610" i="471" s="1"/>
  <c r="K610" i="471" s="1"/>
  <c r="F611" i="471"/>
  <c r="H611" i="471" s="1"/>
  <c r="K611" i="471" s="1"/>
  <c r="F612" i="471"/>
  <c r="H612" i="471" s="1"/>
  <c r="K612" i="471" s="1"/>
  <c r="F613" i="471"/>
  <c r="H613" i="471" s="1"/>
  <c r="F614" i="471"/>
  <c r="H614" i="471" s="1"/>
  <c r="K614" i="471" s="1"/>
  <c r="F615" i="471"/>
  <c r="H615" i="471" s="1"/>
  <c r="K615" i="471" s="1"/>
  <c r="F616" i="471"/>
  <c r="H616" i="471" s="1"/>
  <c r="K616" i="471" s="1"/>
  <c r="F617" i="471"/>
  <c r="H617" i="471" s="1"/>
  <c r="K617" i="471" s="1"/>
  <c r="F618" i="471"/>
  <c r="H618" i="471" s="1"/>
  <c r="K618" i="471" s="1"/>
  <c r="F619" i="471"/>
  <c r="H619" i="471" s="1"/>
  <c r="K619" i="471" s="1"/>
  <c r="F620" i="471"/>
  <c r="H620" i="471" s="1"/>
  <c r="K620" i="471" s="1"/>
  <c r="F621" i="471"/>
  <c r="H621" i="471" s="1"/>
  <c r="K621" i="471" s="1"/>
  <c r="F622" i="471"/>
  <c r="H622" i="471" s="1"/>
  <c r="K622" i="471" s="1"/>
  <c r="F623" i="471"/>
  <c r="H623" i="471" s="1"/>
  <c r="K623" i="471" s="1"/>
  <c r="F624" i="471"/>
  <c r="H624" i="471" s="1"/>
  <c r="K624" i="471" s="1"/>
  <c r="F625" i="471"/>
  <c r="H625" i="471" s="1"/>
  <c r="K625" i="471" s="1"/>
  <c r="F626" i="471"/>
  <c r="H626" i="471" s="1"/>
  <c r="K626" i="471" s="1"/>
  <c r="F627" i="471"/>
  <c r="H627" i="471" s="1"/>
  <c r="K627" i="471" s="1"/>
  <c r="F628" i="471"/>
  <c r="H628" i="471" s="1"/>
  <c r="K628" i="471" s="1"/>
  <c r="F629" i="471"/>
  <c r="H629" i="471" s="1"/>
  <c r="F630" i="471"/>
  <c r="H630" i="471" s="1"/>
  <c r="F632" i="471"/>
  <c r="H632" i="471" s="1"/>
  <c r="K632" i="471" s="1"/>
  <c r="F633" i="471"/>
  <c r="H633" i="471" s="1"/>
  <c r="K633" i="471" s="1"/>
  <c r="F634" i="471"/>
  <c r="H634" i="471" s="1"/>
  <c r="K634" i="471" s="1"/>
  <c r="F635" i="471"/>
  <c r="H635" i="471" s="1"/>
  <c r="K635" i="471" s="1"/>
  <c r="F636" i="471"/>
  <c r="H636" i="471" s="1"/>
  <c r="K636" i="471" s="1"/>
  <c r="F637" i="471"/>
  <c r="H637" i="471" s="1"/>
  <c r="K637" i="471" s="1"/>
  <c r="F638" i="471"/>
  <c r="H638" i="471" s="1"/>
  <c r="K638" i="471" s="1"/>
  <c r="F639" i="471"/>
  <c r="H639" i="471" s="1"/>
  <c r="K639" i="471" s="1"/>
  <c r="F640" i="471"/>
  <c r="H640" i="471" s="1"/>
  <c r="K640" i="471" s="1"/>
  <c r="F641" i="471"/>
  <c r="H641" i="471" s="1"/>
  <c r="K641" i="471" s="1"/>
  <c r="F642" i="471"/>
  <c r="H642" i="471" s="1"/>
  <c r="K642" i="471" s="1"/>
  <c r="F643" i="471"/>
  <c r="H643" i="471" s="1"/>
  <c r="K643" i="471" s="1"/>
  <c r="F645" i="471"/>
  <c r="H645" i="471" s="1"/>
  <c r="K645" i="471" s="1"/>
  <c r="F646" i="471"/>
  <c r="H646" i="471" s="1"/>
  <c r="K646" i="471" s="1"/>
  <c r="F647" i="471"/>
  <c r="H647" i="471" s="1"/>
  <c r="K647" i="471" s="1"/>
  <c r="F648" i="471"/>
  <c r="H648" i="471" s="1"/>
  <c r="K648" i="471" s="1"/>
  <c r="F649" i="471"/>
  <c r="H649" i="471" s="1"/>
  <c r="K649" i="471" s="1"/>
  <c r="F650" i="471"/>
  <c r="H650" i="471" s="1"/>
  <c r="K650" i="471" s="1"/>
  <c r="F651" i="471"/>
  <c r="H651" i="471" s="1"/>
  <c r="K651" i="471" s="1"/>
  <c r="F652" i="471"/>
  <c r="H652" i="471" s="1"/>
  <c r="F653" i="471"/>
  <c r="H653" i="471" s="1"/>
  <c r="K653" i="471" s="1"/>
  <c r="F654" i="471"/>
  <c r="H654" i="471" s="1"/>
  <c r="F655" i="471"/>
  <c r="H655" i="471" s="1"/>
  <c r="K655" i="471" s="1"/>
  <c r="F656" i="471"/>
  <c r="H656" i="471" s="1"/>
  <c r="F657" i="471"/>
  <c r="H657" i="471" s="1"/>
  <c r="K657" i="471" s="1"/>
  <c r="F658" i="471"/>
  <c r="H658" i="471" s="1"/>
  <c r="K658" i="471" s="1"/>
  <c r="F659" i="471"/>
  <c r="H659" i="471" s="1"/>
  <c r="K659" i="471" s="1"/>
  <c r="F660" i="471"/>
  <c r="H660" i="471" s="1"/>
  <c r="K660" i="471" s="1"/>
  <c r="F661" i="471"/>
  <c r="H661" i="471" s="1"/>
  <c r="K661" i="471" s="1"/>
  <c r="F662" i="471"/>
  <c r="H662" i="471" s="1"/>
  <c r="K662" i="471" s="1"/>
  <c r="F663" i="471"/>
  <c r="H663" i="471" s="1"/>
  <c r="K663" i="471" s="1"/>
  <c r="F664" i="471"/>
  <c r="H664" i="471" s="1"/>
  <c r="K664" i="471" s="1"/>
  <c r="F665" i="471"/>
  <c r="H665" i="471" s="1"/>
  <c r="K665" i="471" s="1"/>
  <c r="F666" i="471"/>
  <c r="H666" i="471" s="1"/>
  <c r="K666" i="471" s="1"/>
  <c r="F667" i="471"/>
  <c r="H667" i="471" s="1"/>
  <c r="K667" i="471" s="1"/>
  <c r="F668" i="471"/>
  <c r="H668" i="471" s="1"/>
  <c r="K668" i="471" s="1"/>
  <c r="F669" i="471"/>
  <c r="H669" i="471" s="1"/>
  <c r="K669" i="471" s="1"/>
  <c r="F670" i="471"/>
  <c r="H670" i="471" s="1"/>
  <c r="K670" i="471" s="1"/>
  <c r="F671" i="471"/>
  <c r="H671" i="471" s="1"/>
  <c r="K671" i="471" s="1"/>
  <c r="F672" i="471"/>
  <c r="H672" i="471" s="1"/>
  <c r="K672" i="471" s="1"/>
  <c r="F673" i="471"/>
  <c r="H673" i="471" s="1"/>
  <c r="K673" i="471" s="1"/>
  <c r="F674" i="471"/>
  <c r="H674" i="471" s="1"/>
  <c r="K674" i="471" s="1"/>
  <c r="F675" i="471"/>
  <c r="H675" i="471" s="1"/>
  <c r="K675" i="471" s="1"/>
  <c r="F676" i="471"/>
  <c r="H676" i="471" s="1"/>
  <c r="K676" i="471" s="1"/>
  <c r="F677" i="471"/>
  <c r="H677" i="471" s="1"/>
  <c r="K677" i="471" s="1"/>
  <c r="F678" i="471"/>
  <c r="H678" i="471" s="1"/>
  <c r="K678" i="471" s="1"/>
  <c r="F679" i="471"/>
  <c r="H679" i="471" s="1"/>
  <c r="K679" i="471" s="1"/>
  <c r="F680" i="471"/>
  <c r="H680" i="471" s="1"/>
  <c r="K680" i="471" s="1"/>
  <c r="F681" i="471"/>
  <c r="H681" i="471" s="1"/>
  <c r="K681" i="471" s="1"/>
  <c r="F682" i="471"/>
  <c r="H682" i="471" s="1"/>
  <c r="K682" i="471" s="1"/>
  <c r="F683" i="471"/>
  <c r="H683" i="471" s="1"/>
  <c r="K683" i="471" s="1"/>
  <c r="F684" i="471"/>
  <c r="H684" i="471" s="1"/>
  <c r="K684" i="471" s="1"/>
  <c r="F685" i="471"/>
  <c r="H685" i="471" s="1"/>
  <c r="K685" i="471" s="1"/>
  <c r="F686" i="471"/>
  <c r="H686" i="471" s="1"/>
  <c r="K686" i="471" s="1"/>
  <c r="F687" i="471"/>
  <c r="H687" i="471" s="1"/>
  <c r="K687" i="471" s="1"/>
  <c r="F688" i="471"/>
  <c r="H688" i="471" s="1"/>
  <c r="K688" i="471" s="1"/>
  <c r="F689" i="471"/>
  <c r="H689" i="471" s="1"/>
  <c r="K689" i="471" s="1"/>
  <c r="F690" i="471"/>
  <c r="H690" i="471" s="1"/>
  <c r="K690" i="471" s="1"/>
  <c r="F691" i="471"/>
  <c r="H691" i="471" s="1"/>
  <c r="K691" i="471" s="1"/>
  <c r="F692" i="471"/>
  <c r="H692" i="471" s="1"/>
  <c r="K692" i="471" s="1"/>
  <c r="F693" i="471"/>
  <c r="H693" i="471" s="1"/>
  <c r="K693" i="471" s="1"/>
  <c r="F694" i="471"/>
  <c r="H694" i="471" s="1"/>
  <c r="K694" i="471" s="1"/>
  <c r="F695" i="471"/>
  <c r="H695" i="471" s="1"/>
  <c r="K695" i="471" s="1"/>
  <c r="F696" i="471"/>
  <c r="H696" i="471" s="1"/>
  <c r="K696" i="471" s="1"/>
  <c r="F697" i="471"/>
  <c r="H697" i="471" s="1"/>
  <c r="F698" i="471"/>
  <c r="H698" i="471" s="1"/>
  <c r="F699" i="471"/>
  <c r="H699" i="471" s="1"/>
  <c r="F700" i="471"/>
  <c r="H700" i="471" s="1"/>
  <c r="F701" i="471"/>
  <c r="H701" i="471" s="1"/>
  <c r="K701" i="471" s="1"/>
  <c r="F702" i="471"/>
  <c r="H702" i="471" s="1"/>
  <c r="K702" i="471" s="1"/>
  <c r="F703" i="471"/>
  <c r="H703" i="471" s="1"/>
  <c r="K703" i="471" s="1"/>
  <c r="F704" i="471"/>
  <c r="H704" i="471" s="1"/>
  <c r="K704" i="471" s="1"/>
  <c r="F705" i="471"/>
  <c r="H705" i="471" s="1"/>
  <c r="K705" i="471" s="1"/>
  <c r="F706" i="471"/>
  <c r="H706" i="471" s="1"/>
  <c r="F707" i="471"/>
  <c r="H707" i="471" s="1"/>
  <c r="F708" i="471"/>
  <c r="H708" i="471" s="1"/>
  <c r="F709" i="471"/>
  <c r="H709" i="471" s="1"/>
  <c r="F710" i="471"/>
  <c r="H710" i="471" s="1"/>
  <c r="K710" i="471" s="1"/>
  <c r="F711" i="471"/>
  <c r="H711" i="471" s="1"/>
  <c r="K711" i="471" s="1"/>
  <c r="F712" i="471"/>
  <c r="H712" i="471" s="1"/>
  <c r="K712" i="471" s="1"/>
  <c r="F713" i="471"/>
  <c r="H713" i="471" s="1"/>
  <c r="K713" i="471" s="1"/>
  <c r="F714" i="471"/>
  <c r="H714" i="471" s="1"/>
  <c r="K714" i="471" s="1"/>
  <c r="F715" i="471"/>
  <c r="H715" i="471" s="1"/>
  <c r="K715" i="471" s="1"/>
  <c r="F716" i="471"/>
  <c r="H716" i="471" s="1"/>
  <c r="K716" i="471" s="1"/>
  <c r="F717" i="471"/>
  <c r="H717" i="471" s="1"/>
  <c r="K717" i="471" s="1"/>
  <c r="F718" i="471"/>
  <c r="H718" i="471" s="1"/>
  <c r="K718" i="471" s="1"/>
  <c r="F719" i="471"/>
  <c r="H719" i="471" s="1"/>
  <c r="K719" i="471" s="1"/>
  <c r="F720" i="471"/>
  <c r="H720" i="471" s="1"/>
  <c r="K720" i="471" s="1"/>
  <c r="F721" i="471"/>
  <c r="H721" i="471" s="1"/>
  <c r="K721" i="471" s="1"/>
  <c r="F722" i="471"/>
  <c r="H722" i="471" s="1"/>
  <c r="F723" i="471"/>
  <c r="H723" i="471" s="1"/>
  <c r="K723" i="471" s="1"/>
  <c r="F724" i="471"/>
  <c r="H724" i="471" s="1"/>
  <c r="F725" i="471"/>
  <c r="H725" i="471" s="1"/>
  <c r="F726" i="471"/>
  <c r="H726" i="471" s="1"/>
  <c r="F727" i="471"/>
  <c r="H727" i="471" s="1"/>
  <c r="F728" i="471"/>
  <c r="H728" i="471" s="1"/>
  <c r="K728" i="471" s="1"/>
  <c r="F729" i="471"/>
  <c r="H729" i="471" s="1"/>
  <c r="K729" i="471" s="1"/>
  <c r="F730" i="471"/>
  <c r="H730" i="471" s="1"/>
  <c r="K730" i="471" s="1"/>
  <c r="F731" i="471"/>
  <c r="H731" i="471" s="1"/>
  <c r="F732" i="471"/>
  <c r="H732" i="471" s="1"/>
  <c r="K732" i="471" s="1"/>
  <c r="F733" i="471"/>
  <c r="H733" i="471" s="1"/>
  <c r="K733" i="471" s="1"/>
  <c r="F734" i="471"/>
  <c r="H734" i="471" s="1"/>
  <c r="K734" i="471" s="1"/>
  <c r="F735" i="471"/>
  <c r="H735" i="471" s="1"/>
  <c r="K735" i="471" s="1"/>
  <c r="F736" i="471"/>
  <c r="H736" i="471" s="1"/>
  <c r="F737" i="471"/>
  <c r="H737" i="471" s="1"/>
  <c r="F738" i="471"/>
  <c r="H738" i="471" s="1"/>
  <c r="F739" i="471"/>
  <c r="H739" i="471" s="1"/>
  <c r="K739" i="471" s="1"/>
  <c r="F740" i="471"/>
  <c r="H740" i="471" s="1"/>
  <c r="K740" i="471" s="1"/>
  <c r="F741" i="471"/>
  <c r="H741" i="471" s="1"/>
  <c r="K741" i="471" s="1"/>
  <c r="F742" i="471"/>
  <c r="H742" i="471" s="1"/>
  <c r="K742" i="471" s="1"/>
  <c r="F743" i="471"/>
  <c r="H743" i="471" s="1"/>
  <c r="K743" i="471" s="1"/>
  <c r="F744" i="471"/>
  <c r="H744" i="471" s="1"/>
  <c r="K744" i="471" s="1"/>
  <c r="F745" i="471"/>
  <c r="H745" i="471" s="1"/>
  <c r="K745" i="471" s="1"/>
  <c r="F746" i="471"/>
  <c r="H746" i="471" s="1"/>
  <c r="K746" i="471" s="1"/>
  <c r="F747" i="471"/>
  <c r="H747" i="471" s="1"/>
  <c r="K747" i="471" s="1"/>
  <c r="F748" i="471"/>
  <c r="H748" i="471" s="1"/>
  <c r="K748" i="471" s="1"/>
  <c r="F749" i="471"/>
  <c r="H749" i="471" s="1"/>
  <c r="K749" i="471" s="1"/>
  <c r="F750" i="471"/>
  <c r="H750" i="471" s="1"/>
  <c r="K750" i="471" s="1"/>
  <c r="F751" i="471"/>
  <c r="H751" i="471" s="1"/>
  <c r="K751" i="471" s="1"/>
  <c r="F752" i="471"/>
  <c r="H752" i="471" s="1"/>
  <c r="F753" i="471"/>
  <c r="H753" i="471" s="1"/>
  <c r="K753" i="471" s="1"/>
  <c r="F754" i="471"/>
  <c r="H754" i="471" s="1"/>
  <c r="F755" i="471"/>
  <c r="H755" i="471" s="1"/>
  <c r="F756" i="471"/>
  <c r="H756" i="471" s="1"/>
  <c r="F757" i="471"/>
  <c r="H757" i="471" s="1"/>
  <c r="F758" i="471"/>
  <c r="H758" i="471" s="1"/>
  <c r="K758" i="471" s="1"/>
  <c r="F759" i="471"/>
  <c r="H759" i="471" s="1"/>
  <c r="K759" i="471" s="1"/>
  <c r="F760" i="471"/>
  <c r="H760" i="471" s="1"/>
  <c r="K760" i="471" s="1"/>
  <c r="F761" i="471"/>
  <c r="H761" i="471" s="1"/>
  <c r="K761" i="471" s="1"/>
  <c r="F762" i="471"/>
  <c r="H762" i="471" s="1"/>
  <c r="K762" i="471" s="1"/>
  <c r="F2" i="471"/>
  <c r="H2" i="471" s="1"/>
  <c r="K2" i="471" s="1"/>
  <c r="F165" i="463"/>
  <c r="G165" i="463" s="1"/>
  <c r="F167" i="463"/>
  <c r="G167" i="463" s="1"/>
  <c r="F168" i="463"/>
  <c r="G168" i="463" s="1"/>
  <c r="F169" i="463"/>
  <c r="G169" i="463" s="1"/>
  <c r="F170" i="463"/>
  <c r="G170" i="463" s="1"/>
  <c r="F172" i="463"/>
  <c r="G172" i="463" s="1"/>
  <c r="F175" i="463"/>
  <c r="G175" i="463" s="1"/>
  <c r="F176" i="463"/>
  <c r="G176" i="463" s="1"/>
  <c r="F177" i="463"/>
  <c r="G177" i="463" s="1"/>
  <c r="F178" i="463"/>
  <c r="G178" i="463" s="1"/>
  <c r="F179" i="463"/>
  <c r="G179" i="463" s="1"/>
  <c r="F180" i="463"/>
  <c r="G180" i="463" s="1"/>
  <c r="F181" i="463"/>
  <c r="G181" i="463" s="1"/>
  <c r="F182" i="463"/>
  <c r="G182" i="463" s="1"/>
  <c r="F183" i="463"/>
  <c r="G183" i="463" s="1"/>
  <c r="F187" i="463"/>
  <c r="G187" i="463" s="1"/>
  <c r="F188" i="463"/>
  <c r="G188" i="463" s="1"/>
  <c r="F189" i="463"/>
  <c r="G189" i="463" s="1"/>
  <c r="F190" i="463"/>
  <c r="G190" i="463" s="1"/>
  <c r="F191" i="463"/>
  <c r="G191" i="463" s="1"/>
  <c r="F192" i="463"/>
  <c r="G192" i="463" s="1"/>
  <c r="F193" i="463"/>
  <c r="G193" i="463" s="1"/>
  <c r="F194" i="463"/>
  <c r="G194" i="463" s="1"/>
  <c r="F195" i="463"/>
  <c r="G195" i="463" s="1"/>
  <c r="F196" i="463"/>
  <c r="G196" i="463" s="1"/>
  <c r="F197" i="463"/>
  <c r="G197" i="463" s="1"/>
  <c r="F164" i="463"/>
  <c r="G164" i="463" s="1"/>
  <c r="F154" i="463"/>
  <c r="G154" i="463" s="1"/>
  <c r="F155" i="463"/>
  <c r="G155" i="463" s="1"/>
  <c r="F156" i="463"/>
  <c r="G156" i="463" s="1"/>
  <c r="F157" i="463"/>
  <c r="G157" i="463" s="1"/>
  <c r="F158" i="463"/>
  <c r="G158" i="463" s="1"/>
  <c r="F159" i="463"/>
  <c r="G159" i="463" s="1"/>
  <c r="F160" i="463"/>
  <c r="G160" i="463" s="1"/>
  <c r="F153" i="463"/>
  <c r="G153" i="463" s="1"/>
  <c r="F135" i="463"/>
  <c r="G135" i="463" s="1"/>
  <c r="F136" i="463"/>
  <c r="G136" i="463" s="1"/>
  <c r="F138" i="463"/>
  <c r="G138" i="463" s="1"/>
  <c r="F144" i="463"/>
  <c r="G144" i="463" s="1"/>
  <c r="F145" i="463"/>
  <c r="G145" i="463" s="1"/>
  <c r="F146" i="463"/>
  <c r="G146" i="463" s="1"/>
  <c r="F147" i="463"/>
  <c r="G147" i="463" s="1"/>
  <c r="F148" i="463"/>
  <c r="G148" i="463" s="1"/>
  <c r="F149" i="463"/>
  <c r="G149" i="463" s="1"/>
  <c r="F134" i="463"/>
  <c r="G134" i="463" s="1"/>
  <c r="F111" i="463"/>
  <c r="F112" i="463"/>
  <c r="F113" i="463"/>
  <c r="F117" i="463"/>
  <c r="F118" i="463"/>
  <c r="G118" i="463" s="1"/>
  <c r="F119" i="463"/>
  <c r="F120" i="463"/>
  <c r="F121" i="463"/>
  <c r="F123" i="463"/>
  <c r="F128" i="463"/>
  <c r="F129" i="463"/>
  <c r="F110" i="463"/>
  <c r="F74" i="463"/>
  <c r="F75" i="463"/>
  <c r="F76" i="463"/>
  <c r="F77" i="463"/>
  <c r="F78" i="463"/>
  <c r="G78" i="463" s="1"/>
  <c r="F79" i="463"/>
  <c r="F80" i="463"/>
  <c r="G80" i="463" s="1"/>
  <c r="F81" i="463"/>
  <c r="F82" i="463"/>
  <c r="G82" i="463" s="1"/>
  <c r="F83" i="463"/>
  <c r="F84" i="463"/>
  <c r="F85" i="463"/>
  <c r="F86" i="463"/>
  <c r="F87" i="463"/>
  <c r="F88" i="463"/>
  <c r="G88" i="463" s="1"/>
  <c r="F89" i="463"/>
  <c r="F91" i="463"/>
  <c r="F92" i="463"/>
  <c r="F93" i="463"/>
  <c r="F94" i="463"/>
  <c r="F95" i="463"/>
  <c r="F96" i="463"/>
  <c r="G96" i="463" s="1"/>
  <c r="F97" i="463"/>
  <c r="F98" i="463"/>
  <c r="G98" i="463" s="1"/>
  <c r="F99" i="463"/>
  <c r="F100" i="463"/>
  <c r="F102" i="463"/>
  <c r="F103" i="463"/>
  <c r="F104" i="463"/>
  <c r="G104" i="463" s="1"/>
  <c r="F105" i="463"/>
  <c r="F106" i="463"/>
  <c r="G106" i="463" s="1"/>
  <c r="F62" i="463"/>
  <c r="F63" i="463"/>
  <c r="F64" i="463"/>
  <c r="F65" i="463"/>
  <c r="F66" i="463"/>
  <c r="G66" i="463" s="1"/>
  <c r="F67" i="463"/>
  <c r="F68" i="463"/>
  <c r="G68" i="463" s="1"/>
  <c r="F61" i="463"/>
  <c r="F45" i="463"/>
  <c r="F46" i="463"/>
  <c r="F47" i="463"/>
  <c r="G47" i="463" s="1"/>
  <c r="F48" i="463"/>
  <c r="F49" i="463"/>
  <c r="G49" i="463" s="1"/>
  <c r="F50" i="463"/>
  <c r="F51" i="463"/>
  <c r="F52" i="463"/>
  <c r="F53" i="463"/>
  <c r="G53" i="463" s="1"/>
  <c r="F54" i="463"/>
  <c r="F56" i="463"/>
  <c r="G56" i="463" s="1"/>
  <c r="F57" i="463"/>
  <c r="G57" i="463" s="1"/>
  <c r="F30" i="463"/>
  <c r="F32" i="463"/>
  <c r="F33" i="463"/>
  <c r="F34" i="463"/>
  <c r="G34" i="463" s="1"/>
  <c r="F35" i="463"/>
  <c r="F36" i="463"/>
  <c r="G36" i="463" s="1"/>
  <c r="F37" i="463"/>
  <c r="F38" i="463"/>
  <c r="F29" i="463"/>
  <c r="F4" i="463"/>
  <c r="F5" i="463"/>
  <c r="F6" i="463"/>
  <c r="F7" i="463"/>
  <c r="F8" i="463"/>
  <c r="F9" i="463"/>
  <c r="F10" i="463"/>
  <c r="F11" i="463"/>
  <c r="F12" i="463"/>
  <c r="F13" i="463"/>
  <c r="F14" i="463"/>
  <c r="F15" i="463"/>
  <c r="F16" i="463"/>
  <c r="F17" i="463"/>
  <c r="F18" i="463"/>
  <c r="F19" i="463"/>
  <c r="F20" i="463"/>
  <c r="F21" i="463"/>
  <c r="F22" i="463"/>
  <c r="F23" i="463"/>
  <c r="F24" i="463"/>
  <c r="F25" i="463"/>
  <c r="F3" i="463"/>
  <c r="O46" i="463"/>
  <c r="O45" i="463"/>
  <c r="F171" i="463"/>
  <c r="G171" i="463" s="1"/>
  <c r="F127" i="463"/>
  <c r="F126" i="463"/>
  <c r="G126" i="463" s="1"/>
  <c r="F116" i="463"/>
  <c r="G116" i="463" s="1"/>
  <c r="F115" i="463"/>
  <c r="F114" i="463"/>
  <c r="F166" i="463"/>
  <c r="G166" i="463" s="1"/>
  <c r="F55" i="463"/>
  <c r="G55" i="463" s="1"/>
  <c r="O68" i="463"/>
  <c r="F101" i="463"/>
  <c r="F42" i="463"/>
  <c r="H11" i="458"/>
  <c r="H12" i="458"/>
  <c r="F12" i="458"/>
  <c r="F44" i="463"/>
  <c r="F43" i="463"/>
  <c r="F186" i="463"/>
  <c r="G186" i="463" s="1"/>
  <c r="F184" i="463"/>
  <c r="G184" i="463" s="1"/>
  <c r="F185" i="463"/>
  <c r="G185" i="463" s="1"/>
  <c r="F130" i="463"/>
  <c r="F90" i="463"/>
  <c r="G90" i="463" s="1"/>
  <c r="F31" i="463"/>
  <c r="F137" i="463"/>
  <c r="G137" i="463" s="1"/>
  <c r="F73" i="463"/>
  <c r="F72" i="463"/>
  <c r="F125" i="463"/>
  <c r="F124" i="463"/>
  <c r="G124" i="463" s="1"/>
  <c r="F122" i="463"/>
  <c r="O124" i="463"/>
  <c r="O59" i="463"/>
  <c r="O58" i="463"/>
  <c r="O29" i="463"/>
  <c r="F143" i="463"/>
  <c r="G143" i="463" s="1"/>
  <c r="F142" i="463"/>
  <c r="G142" i="463" s="1"/>
  <c r="F141" i="463"/>
  <c r="G141" i="463" s="1"/>
  <c r="F140" i="463"/>
  <c r="G140" i="463" s="1"/>
  <c r="F139" i="463"/>
  <c r="G139" i="463" s="1"/>
  <c r="E165" i="463"/>
  <c r="E166" i="463"/>
  <c r="E167" i="463"/>
  <c r="E168" i="463"/>
  <c r="E169" i="463"/>
  <c r="E170" i="463"/>
  <c r="E171" i="463"/>
  <c r="E172" i="463"/>
  <c r="E173" i="463"/>
  <c r="E174" i="463"/>
  <c r="E175" i="463"/>
  <c r="E176" i="463"/>
  <c r="E177" i="463"/>
  <c r="E178" i="463"/>
  <c r="E179" i="463"/>
  <c r="E180" i="463"/>
  <c r="E181" i="463"/>
  <c r="E182" i="463"/>
  <c r="E183" i="463"/>
  <c r="E184" i="463"/>
  <c r="E185" i="463"/>
  <c r="E186" i="463"/>
  <c r="E187" i="463"/>
  <c r="E188" i="463"/>
  <c r="E189" i="463"/>
  <c r="E190" i="463"/>
  <c r="E191" i="463"/>
  <c r="E192" i="463"/>
  <c r="E193" i="463"/>
  <c r="E194" i="463"/>
  <c r="E195" i="463"/>
  <c r="E196" i="463"/>
  <c r="E197" i="463"/>
  <c r="E164" i="463"/>
  <c r="J68" i="455"/>
  <c r="J69" i="455"/>
  <c r="G68" i="455"/>
  <c r="G69" i="455"/>
  <c r="E154" i="463"/>
  <c r="E155" i="463"/>
  <c r="E156" i="463"/>
  <c r="E157" i="463"/>
  <c r="E158" i="463"/>
  <c r="E159" i="463"/>
  <c r="E160" i="463"/>
  <c r="E153" i="463"/>
  <c r="E135" i="463"/>
  <c r="E136" i="463"/>
  <c r="E137" i="463"/>
  <c r="E138" i="463"/>
  <c r="E139" i="463"/>
  <c r="E140" i="463"/>
  <c r="E141" i="463"/>
  <c r="E142" i="463"/>
  <c r="E143" i="463"/>
  <c r="E144" i="463"/>
  <c r="E145" i="463"/>
  <c r="E146" i="463"/>
  <c r="E147" i="463"/>
  <c r="E148" i="463"/>
  <c r="E149" i="463"/>
  <c r="E134" i="463"/>
  <c r="E121" i="463"/>
  <c r="E122" i="463"/>
  <c r="E123" i="463"/>
  <c r="E124" i="463"/>
  <c r="E125" i="463"/>
  <c r="E126" i="463"/>
  <c r="E127" i="463"/>
  <c r="E128" i="463"/>
  <c r="E129" i="463"/>
  <c r="E130" i="463"/>
  <c r="E111" i="463"/>
  <c r="E112" i="463"/>
  <c r="E113" i="463"/>
  <c r="E114" i="463"/>
  <c r="E115" i="463"/>
  <c r="E116" i="463"/>
  <c r="E117" i="463"/>
  <c r="E118" i="463"/>
  <c r="E119" i="463"/>
  <c r="E120" i="463"/>
  <c r="E110" i="463"/>
  <c r="E73" i="463"/>
  <c r="E74" i="463"/>
  <c r="E75" i="463"/>
  <c r="E76" i="463"/>
  <c r="E77" i="463"/>
  <c r="E78" i="463"/>
  <c r="E79" i="463"/>
  <c r="E80" i="463"/>
  <c r="E81" i="463"/>
  <c r="E82" i="463"/>
  <c r="E83" i="463"/>
  <c r="E84" i="463"/>
  <c r="E85" i="463"/>
  <c r="E86" i="463"/>
  <c r="E87" i="463"/>
  <c r="E88" i="463"/>
  <c r="E89" i="463"/>
  <c r="E90" i="463"/>
  <c r="E91" i="463"/>
  <c r="E92" i="463"/>
  <c r="E93" i="463"/>
  <c r="E94" i="463"/>
  <c r="E95" i="463"/>
  <c r="E96" i="463"/>
  <c r="E97" i="463"/>
  <c r="E98" i="463"/>
  <c r="E99" i="463"/>
  <c r="E100" i="463"/>
  <c r="E101" i="463"/>
  <c r="E102" i="463"/>
  <c r="E103" i="463"/>
  <c r="E104" i="463"/>
  <c r="E105" i="463"/>
  <c r="E106" i="463"/>
  <c r="E72" i="463"/>
  <c r="E62" i="463"/>
  <c r="E63" i="463"/>
  <c r="E64" i="463"/>
  <c r="E65" i="463"/>
  <c r="E66" i="463"/>
  <c r="E67" i="463"/>
  <c r="E68" i="463"/>
  <c r="E61" i="463"/>
  <c r="E43" i="463"/>
  <c r="E44" i="463"/>
  <c r="E45" i="463"/>
  <c r="E46" i="463"/>
  <c r="E47" i="463"/>
  <c r="E48" i="463"/>
  <c r="E49" i="463"/>
  <c r="E50" i="463"/>
  <c r="E51" i="463"/>
  <c r="E52" i="463"/>
  <c r="E54" i="463"/>
  <c r="E55" i="463"/>
  <c r="E57" i="463"/>
  <c r="E42" i="463"/>
  <c r="E30" i="463"/>
  <c r="E31" i="463"/>
  <c r="E32" i="463"/>
  <c r="E33" i="463"/>
  <c r="E34" i="463"/>
  <c r="E35" i="463"/>
  <c r="E36" i="463"/>
  <c r="E37" i="463"/>
  <c r="E38" i="463"/>
  <c r="E29" i="463"/>
  <c r="E25" i="463"/>
  <c r="E24" i="463"/>
  <c r="E23" i="463"/>
  <c r="E22" i="463"/>
  <c r="E21" i="463"/>
  <c r="E20" i="463"/>
  <c r="E19" i="463"/>
  <c r="E18" i="463"/>
  <c r="E17" i="463"/>
  <c r="E16" i="463"/>
  <c r="E15" i="463"/>
  <c r="E14" i="463"/>
  <c r="E13" i="463"/>
  <c r="E12" i="463"/>
  <c r="E11" i="463"/>
  <c r="E10" i="463"/>
  <c r="E9" i="463"/>
  <c r="E8" i="463"/>
  <c r="E7" i="463"/>
  <c r="E6" i="463"/>
  <c r="E5" i="463"/>
  <c r="E4" i="463"/>
  <c r="E3" i="463"/>
  <c r="M745" i="436"/>
  <c r="L745" i="436"/>
  <c r="M743" i="436"/>
  <c r="M739" i="436"/>
  <c r="L739" i="436"/>
  <c r="M737" i="436"/>
  <c r="M733" i="436"/>
  <c r="L733" i="436"/>
  <c r="M731" i="436"/>
  <c r="M725" i="436"/>
  <c r="O12" i="459"/>
  <c r="O10" i="459"/>
  <c r="O11" i="459"/>
  <c r="O8" i="459"/>
  <c r="M728" i="436"/>
  <c r="L728" i="436"/>
  <c r="M724" i="436"/>
  <c r="M721" i="436"/>
  <c r="N721" i="436" s="1"/>
  <c r="E720" i="436"/>
  <c r="E721" i="436" s="1"/>
  <c r="D719" i="436"/>
  <c r="D720" i="436" s="1"/>
  <c r="D721" i="436" s="1"/>
  <c r="K5" i="459"/>
  <c r="K6" i="459"/>
  <c r="K9" i="459"/>
  <c r="K10" i="459"/>
  <c r="K11" i="459"/>
  <c r="K12" i="459"/>
  <c r="K13" i="459"/>
  <c r="K14" i="459"/>
  <c r="K21" i="459"/>
  <c r="K22" i="459"/>
  <c r="K23" i="459"/>
  <c r="K24" i="459"/>
  <c r="K80" i="459"/>
  <c r="K81" i="459"/>
  <c r="K28" i="459"/>
  <c r="K29" i="459"/>
  <c r="K30" i="459"/>
  <c r="K31" i="459"/>
  <c r="K32" i="459"/>
  <c r="K33" i="459"/>
  <c r="K39" i="459"/>
  <c r="K40" i="459"/>
  <c r="K41" i="459"/>
  <c r="K42" i="459"/>
  <c r="K83" i="459"/>
  <c r="K84" i="459"/>
  <c r="K43" i="459"/>
  <c r="K46" i="459"/>
  <c r="K47" i="459"/>
  <c r="K48" i="459"/>
  <c r="K49" i="459"/>
  <c r="K50" i="459"/>
  <c r="K51" i="459"/>
  <c r="K52" i="459"/>
  <c r="K53" i="459"/>
  <c r="K58" i="459"/>
  <c r="K59" i="459"/>
  <c r="K86" i="459"/>
  <c r="K87" i="459"/>
  <c r="K63" i="459"/>
  <c r="K64" i="459"/>
  <c r="K65" i="459"/>
  <c r="K66" i="459"/>
  <c r="K67" i="459"/>
  <c r="K68" i="459"/>
  <c r="K69" i="459"/>
  <c r="K70" i="459"/>
  <c r="K72" i="459"/>
  <c r="K73" i="459"/>
  <c r="K89" i="459"/>
  <c r="K90" i="459"/>
  <c r="K74" i="459"/>
  <c r="R21" i="459"/>
  <c r="K25" i="459" s="1"/>
  <c r="R16" i="459"/>
  <c r="K36" i="459" s="1"/>
  <c r="R14" i="459"/>
  <c r="K34" i="459" s="1"/>
  <c r="R15" i="459"/>
  <c r="K35" i="459" s="1"/>
  <c r="R6" i="459"/>
  <c r="K27" i="459" s="1"/>
  <c r="R3" i="459"/>
  <c r="K57" i="459" s="1"/>
  <c r="R2" i="459"/>
  <c r="K19" i="459" s="1"/>
  <c r="R1" i="459"/>
  <c r="K16" i="459" s="1"/>
  <c r="N728" i="436" l="1"/>
  <c r="K644" i="471"/>
  <c r="J18" i="471"/>
  <c r="K18" i="471" s="1"/>
  <c r="J365" i="471"/>
  <c r="K365" i="471" s="1"/>
  <c r="J438" i="471"/>
  <c r="K438" i="471" s="1"/>
  <c r="J601" i="471"/>
  <c r="K601" i="471" s="1"/>
  <c r="J707" i="471"/>
  <c r="K707" i="471" s="1"/>
  <c r="J521" i="471"/>
  <c r="K521" i="471" s="1"/>
  <c r="J27" i="471"/>
  <c r="K27" i="471" s="1"/>
  <c r="J272" i="471"/>
  <c r="K272" i="471" s="1"/>
  <c r="J372" i="471"/>
  <c r="K372" i="471" s="1"/>
  <c r="J448" i="471"/>
  <c r="K448" i="471" s="1"/>
  <c r="J530" i="471"/>
  <c r="K530" i="471" s="1"/>
  <c r="K726" i="471"/>
  <c r="J31" i="471"/>
  <c r="K31" i="471" s="1"/>
  <c r="J738" i="471"/>
  <c r="K738" i="471" s="1"/>
  <c r="J590" i="471"/>
  <c r="K590" i="471" s="1"/>
  <c r="J755" i="471"/>
  <c r="K755" i="471" s="1"/>
  <c r="J351" i="471"/>
  <c r="K351" i="471" s="1"/>
  <c r="J264" i="471"/>
  <c r="K264" i="471" s="1"/>
  <c r="J708" i="471"/>
  <c r="K708" i="471" s="1"/>
  <c r="J219" i="471"/>
  <c r="K219" i="471" s="1"/>
  <c r="J124" i="471"/>
  <c r="K124" i="471" s="1"/>
  <c r="J28" i="471"/>
  <c r="K28" i="471" s="1"/>
  <c r="J70" i="471"/>
  <c r="K70" i="471" s="1"/>
  <c r="J168" i="471"/>
  <c r="K168" i="471" s="1"/>
  <c r="J273" i="471"/>
  <c r="K273" i="471" s="1"/>
  <c r="J373" i="471"/>
  <c r="K373" i="471" s="1"/>
  <c r="J449" i="471"/>
  <c r="K449" i="471" s="1"/>
  <c r="J531" i="471"/>
  <c r="K531" i="471" s="1"/>
  <c r="J604" i="471"/>
  <c r="K604" i="471" s="1"/>
  <c r="J8" i="471"/>
  <c r="K8" i="471" s="1"/>
  <c r="J594" i="471"/>
  <c r="K594" i="471" s="1"/>
  <c r="J654" i="471"/>
  <c r="K654" i="471" s="1"/>
  <c r="J58" i="471"/>
  <c r="K58" i="471" s="1"/>
  <c r="J115" i="471"/>
  <c r="K115" i="471" s="1"/>
  <c r="J160" i="471"/>
  <c r="K160" i="471" s="1"/>
  <c r="J349" i="471"/>
  <c r="K349" i="471" s="1"/>
  <c r="J423" i="471"/>
  <c r="K423" i="471" s="1"/>
  <c r="J505" i="471"/>
  <c r="K505" i="471" s="1"/>
  <c r="J209" i="471"/>
  <c r="K209" i="471" s="1"/>
  <c r="J249" i="471"/>
  <c r="K249" i="471" s="1"/>
  <c r="J588" i="471"/>
  <c r="K588" i="471" s="1"/>
  <c r="J629" i="471"/>
  <c r="K629" i="471" s="1"/>
  <c r="J529" i="471"/>
  <c r="K529" i="471" s="1"/>
  <c r="J725" i="471"/>
  <c r="K725" i="471" s="1"/>
  <c r="K709" i="471"/>
  <c r="J226" i="471"/>
  <c r="K226" i="471" s="1"/>
  <c r="J34" i="471"/>
  <c r="K34" i="471" s="1"/>
  <c r="J317" i="471"/>
  <c r="K317" i="471" s="1"/>
  <c r="J141" i="471"/>
  <c r="K141" i="471" s="1"/>
  <c r="J184" i="471"/>
  <c r="K184" i="471" s="1"/>
  <c r="J403" i="471"/>
  <c r="K403" i="471" s="1"/>
  <c r="J89" i="471"/>
  <c r="K89" i="471" s="1"/>
  <c r="J613" i="471"/>
  <c r="K613" i="471" s="1"/>
  <c r="J66" i="471"/>
  <c r="K66" i="471" s="1"/>
  <c r="J10" i="471"/>
  <c r="K10" i="471" s="1"/>
  <c r="J164" i="471"/>
  <c r="K164" i="471" s="1"/>
  <c r="J212" i="471"/>
  <c r="K212" i="471" s="1"/>
  <c r="J119" i="471"/>
  <c r="K119" i="471" s="1"/>
  <c r="J257" i="471"/>
  <c r="K257" i="471" s="1"/>
  <c r="J656" i="471"/>
  <c r="K656" i="471" s="1"/>
  <c r="J357" i="471"/>
  <c r="K357" i="471" s="1"/>
  <c r="J430" i="471"/>
  <c r="K430" i="471" s="1"/>
  <c r="J512" i="471"/>
  <c r="K512" i="471" s="1"/>
  <c r="J595" i="471"/>
  <c r="K595" i="471" s="1"/>
  <c r="J59" i="471"/>
  <c r="K59" i="471" s="1"/>
  <c r="J589" i="471"/>
  <c r="K589" i="471" s="1"/>
  <c r="J630" i="471"/>
  <c r="K630" i="471" s="1"/>
  <c r="J754" i="471"/>
  <c r="K754" i="471" s="1"/>
  <c r="J350" i="471"/>
  <c r="K350" i="471" s="1"/>
  <c r="J424" i="471"/>
  <c r="K424" i="471" s="1"/>
  <c r="J506" i="471"/>
  <c r="K506" i="471" s="1"/>
  <c r="K731" i="471"/>
  <c r="J265" i="471"/>
  <c r="K265" i="471" s="1"/>
  <c r="J366" i="471"/>
  <c r="K366" i="471" s="1"/>
  <c r="J440" i="471"/>
  <c r="K440" i="471" s="1"/>
  <c r="J522" i="471"/>
  <c r="K522" i="471" s="1"/>
  <c r="K697" i="471"/>
  <c r="J358" i="471"/>
  <c r="K358" i="471" s="1"/>
  <c r="J431" i="471"/>
  <c r="K431" i="471" s="1"/>
  <c r="J513" i="471"/>
  <c r="K513" i="471" s="1"/>
  <c r="J258" i="471"/>
  <c r="K258" i="471" s="1"/>
  <c r="J60" i="471"/>
  <c r="K60" i="471" s="1"/>
  <c r="J757" i="471"/>
  <c r="K757" i="471" s="1"/>
  <c r="K736" i="471"/>
  <c r="J122" i="471"/>
  <c r="K122" i="471" s="1"/>
  <c r="J268" i="471"/>
  <c r="K268" i="471" s="1"/>
  <c r="J23" i="471"/>
  <c r="K23" i="471" s="1"/>
  <c r="J444" i="471"/>
  <c r="K444" i="471" s="1"/>
  <c r="J525" i="471"/>
  <c r="K525" i="471" s="1"/>
  <c r="J217" i="471"/>
  <c r="K217" i="471" s="1"/>
  <c r="J368" i="471"/>
  <c r="K368" i="471" s="1"/>
  <c r="K698" i="471"/>
  <c r="K652" i="471"/>
  <c r="J269" i="471"/>
  <c r="K269" i="471" s="1"/>
  <c r="J445" i="471"/>
  <c r="K445" i="471" s="1"/>
  <c r="J526" i="471"/>
  <c r="K526" i="471" s="1"/>
  <c r="J603" i="471"/>
  <c r="K603" i="471" s="1"/>
  <c r="J369" i="471"/>
  <c r="K369" i="471" s="1"/>
  <c r="K737" i="471"/>
  <c r="J218" i="471"/>
  <c r="K218" i="471" s="1"/>
  <c r="J123" i="471"/>
  <c r="K123" i="471" s="1"/>
  <c r="J69" i="471"/>
  <c r="K69" i="471" s="1"/>
  <c r="J270" i="471"/>
  <c r="K270" i="471" s="1"/>
  <c r="J167" i="471"/>
  <c r="K167" i="471" s="1"/>
  <c r="J24" i="471"/>
  <c r="K24" i="471" s="1"/>
  <c r="J446" i="471"/>
  <c r="K446" i="471" s="1"/>
  <c r="J527" i="471"/>
  <c r="K527" i="471" s="1"/>
  <c r="J370" i="471"/>
  <c r="K370" i="471" s="1"/>
  <c r="K699" i="471"/>
  <c r="J22" i="471"/>
  <c r="K22" i="471" s="1"/>
  <c r="J216" i="471"/>
  <c r="K216" i="471" s="1"/>
  <c r="J443" i="471"/>
  <c r="K443" i="471" s="1"/>
  <c r="J276" i="471"/>
  <c r="K276" i="471" s="1"/>
  <c r="J452" i="471"/>
  <c r="K452" i="471" s="1"/>
  <c r="J534" i="471"/>
  <c r="K534" i="471" s="1"/>
  <c r="J376" i="471"/>
  <c r="K376" i="471" s="1"/>
  <c r="K756" i="471"/>
  <c r="J25" i="471"/>
  <c r="K25" i="471" s="1"/>
  <c r="J271" i="471"/>
  <c r="K271" i="471" s="1"/>
  <c r="J371" i="471"/>
  <c r="K371" i="471" s="1"/>
  <c r="J447" i="471"/>
  <c r="K447" i="471" s="1"/>
  <c r="J528" i="471"/>
  <c r="K528" i="471" s="1"/>
  <c r="J724" i="471"/>
  <c r="K724" i="471" s="1"/>
  <c r="K700" i="471"/>
  <c r="K29" i="471"/>
  <c r="J277" i="471"/>
  <c r="K277" i="471" s="1"/>
  <c r="J453" i="471"/>
  <c r="K453" i="471" s="1"/>
  <c r="J535" i="471"/>
  <c r="K535" i="471" s="1"/>
  <c r="J377" i="471"/>
  <c r="K377" i="471" s="1"/>
  <c r="K752" i="471"/>
  <c r="J17" i="471"/>
  <c r="K17" i="471" s="1"/>
  <c r="J68" i="471"/>
  <c r="K68" i="471" s="1"/>
  <c r="J166" i="471"/>
  <c r="K166" i="471" s="1"/>
  <c r="J214" i="471"/>
  <c r="K214" i="471" s="1"/>
  <c r="J263" i="471"/>
  <c r="K263" i="471" s="1"/>
  <c r="J364" i="471"/>
  <c r="K364" i="471" s="1"/>
  <c r="J437" i="471"/>
  <c r="K437" i="471" s="1"/>
  <c r="J600" i="471"/>
  <c r="K600" i="471" s="1"/>
  <c r="J706" i="471"/>
  <c r="K706" i="471" s="1"/>
  <c r="J121" i="471"/>
  <c r="K121" i="471" s="1"/>
  <c r="J520" i="471"/>
  <c r="K520" i="471" s="1"/>
  <c r="J26" i="471"/>
  <c r="K26" i="471" s="1"/>
  <c r="J727" i="471"/>
  <c r="K727" i="471" s="1"/>
  <c r="K722" i="471"/>
  <c r="J220" i="471"/>
  <c r="K220" i="471" s="1"/>
  <c r="J125" i="471"/>
  <c r="K125" i="471" s="1"/>
  <c r="J278" i="471"/>
  <c r="K278" i="471" s="1"/>
  <c r="J30" i="471"/>
  <c r="K30" i="471" s="1"/>
  <c r="J71" i="471"/>
  <c r="K71" i="471" s="1"/>
  <c r="J169" i="471"/>
  <c r="K169" i="471" s="1"/>
  <c r="J454" i="471"/>
  <c r="K454" i="471" s="1"/>
  <c r="J536" i="471"/>
  <c r="K536" i="471" s="1"/>
  <c r="J378" i="471"/>
  <c r="K378" i="471" s="1"/>
  <c r="J279" i="471"/>
  <c r="K279" i="471" s="1"/>
  <c r="J379" i="471"/>
  <c r="K379" i="471" s="1"/>
  <c r="J455" i="471"/>
  <c r="K455" i="471" s="1"/>
  <c r="J537" i="471"/>
  <c r="K537" i="471" s="1"/>
  <c r="G161" i="463"/>
  <c r="G4" i="463"/>
  <c r="G150" i="463"/>
  <c r="F174" i="463"/>
  <c r="G174" i="463" s="1"/>
  <c r="F173" i="463"/>
  <c r="G173" i="463" s="1"/>
  <c r="G17" i="463"/>
  <c r="G31" i="463"/>
  <c r="G25" i="463"/>
  <c r="G29" i="463"/>
  <c r="G37" i="463"/>
  <c r="G74" i="463"/>
  <c r="G35" i="463"/>
  <c r="G48" i="463"/>
  <c r="G67" i="463"/>
  <c r="G105" i="463"/>
  <c r="G97" i="463"/>
  <c r="G89" i="463"/>
  <c r="G81" i="463"/>
  <c r="G73" i="463"/>
  <c r="G125" i="463"/>
  <c r="G117" i="463"/>
  <c r="G33" i="463"/>
  <c r="G54" i="463"/>
  <c r="G46" i="463"/>
  <c r="G65" i="463"/>
  <c r="G103" i="463"/>
  <c r="G95" i="463"/>
  <c r="G87" i="463"/>
  <c r="G79" i="463"/>
  <c r="G110" i="463"/>
  <c r="G123" i="463"/>
  <c r="G115" i="463"/>
  <c r="G32" i="463"/>
  <c r="G45" i="463"/>
  <c r="G64" i="463"/>
  <c r="G102" i="463"/>
  <c r="G94" i="463"/>
  <c r="G86" i="463"/>
  <c r="G130" i="463"/>
  <c r="G122" i="463"/>
  <c r="G114" i="463"/>
  <c r="G52" i="463"/>
  <c r="G44" i="463"/>
  <c r="G63" i="463"/>
  <c r="G101" i="463"/>
  <c r="G93" i="463"/>
  <c r="G85" i="463"/>
  <c r="G77" i="463"/>
  <c r="G129" i="463"/>
  <c r="G121" i="463"/>
  <c r="G113" i="463"/>
  <c r="G38" i="463"/>
  <c r="G51" i="463"/>
  <c r="G43" i="463"/>
  <c r="G62" i="463"/>
  <c r="G100" i="463"/>
  <c r="G92" i="463"/>
  <c r="G84" i="463"/>
  <c r="G76" i="463"/>
  <c r="G128" i="463"/>
  <c r="G120" i="463"/>
  <c r="G112" i="463"/>
  <c r="G42" i="463"/>
  <c r="G50" i="463"/>
  <c r="G61" i="463"/>
  <c r="G72" i="463"/>
  <c r="G99" i="463"/>
  <c r="G91" i="463"/>
  <c r="G83" i="463"/>
  <c r="G75" i="463"/>
  <c r="G127" i="463"/>
  <c r="G119" i="463"/>
  <c r="G111" i="463"/>
  <c r="G24" i="463"/>
  <c r="G10" i="463"/>
  <c r="G18" i="463"/>
  <c r="G30" i="463"/>
  <c r="G13" i="463"/>
  <c r="G6" i="463"/>
  <c r="G14" i="463"/>
  <c r="G12" i="463"/>
  <c r="G20" i="463"/>
  <c r="G22" i="463"/>
  <c r="G7" i="463"/>
  <c r="G23" i="463"/>
  <c r="G11" i="463"/>
  <c r="G19" i="463"/>
  <c r="G3" i="463"/>
  <c r="G9" i="463"/>
  <c r="G8" i="463"/>
  <c r="G5" i="463"/>
  <c r="G15" i="463"/>
  <c r="G21" i="463"/>
  <c r="G16" i="463"/>
  <c r="K56" i="459"/>
  <c r="K71" i="459"/>
  <c r="K18" i="459"/>
  <c r="K62" i="459"/>
  <c r="K55" i="459"/>
  <c r="K17" i="459"/>
  <c r="K2" i="459"/>
  <c r="K60" i="459"/>
  <c r="K54" i="459"/>
  <c r="K8" i="459"/>
  <c r="K45" i="459"/>
  <c r="K38" i="459"/>
  <c r="K15" i="459"/>
  <c r="K37" i="459"/>
  <c r="K4" i="459"/>
  <c r="K20" i="459"/>
  <c r="K3" i="459"/>
  <c r="K763" i="471" l="1"/>
  <c r="M469" i="436" s="1"/>
  <c r="K631" i="471"/>
  <c r="M464" i="436" s="1"/>
  <c r="K591" i="471"/>
  <c r="M459" i="436" s="1"/>
  <c r="K507" i="471"/>
  <c r="M454" i="436" s="1"/>
  <c r="K425" i="471"/>
  <c r="M449" i="436" s="1"/>
  <c r="K352" i="471"/>
  <c r="M444" i="436" s="1"/>
  <c r="K250" i="471"/>
  <c r="M439" i="436" s="1"/>
  <c r="K62" i="471"/>
  <c r="M434" i="436" s="1"/>
  <c r="G198" i="463"/>
  <c r="G69" i="463"/>
  <c r="G39" i="463"/>
  <c r="G26" i="463"/>
  <c r="G58" i="463"/>
  <c r="G131" i="463"/>
  <c r="G107" i="463"/>
  <c r="I3" i="459"/>
  <c r="L3" i="459" s="1"/>
  <c r="I4" i="459"/>
  <c r="L4" i="459" s="1"/>
  <c r="I5" i="459"/>
  <c r="L5" i="459" s="1"/>
  <c r="I6" i="459"/>
  <c r="L6" i="459" s="1"/>
  <c r="I8" i="459"/>
  <c r="L8" i="459" s="1"/>
  <c r="I9" i="459"/>
  <c r="L9" i="459" s="1"/>
  <c r="I10" i="459"/>
  <c r="L10" i="459" s="1"/>
  <c r="I11" i="459"/>
  <c r="L11" i="459" s="1"/>
  <c r="I12" i="459"/>
  <c r="L12" i="459" s="1"/>
  <c r="I13" i="459"/>
  <c r="L13" i="459" s="1"/>
  <c r="I14" i="459"/>
  <c r="L14" i="459" s="1"/>
  <c r="I15" i="459"/>
  <c r="L15" i="459" s="1"/>
  <c r="I16" i="459"/>
  <c r="L16" i="459" s="1"/>
  <c r="I17" i="459"/>
  <c r="L17" i="459" s="1"/>
  <c r="I18" i="459"/>
  <c r="L18" i="459" s="1"/>
  <c r="I19" i="459"/>
  <c r="L19" i="459" s="1"/>
  <c r="I20" i="459"/>
  <c r="L20" i="459" s="1"/>
  <c r="I21" i="459"/>
  <c r="L21" i="459" s="1"/>
  <c r="I22" i="459"/>
  <c r="L22" i="459" s="1"/>
  <c r="I23" i="459"/>
  <c r="L23" i="459" s="1"/>
  <c r="I24" i="459"/>
  <c r="L24" i="459" s="1"/>
  <c r="I80" i="459"/>
  <c r="L80" i="459" s="1"/>
  <c r="I81" i="459"/>
  <c r="L81" i="459" s="1"/>
  <c r="I25" i="459"/>
  <c r="L25" i="459" s="1"/>
  <c r="I27" i="459"/>
  <c r="L27" i="459" s="1"/>
  <c r="I28" i="459"/>
  <c r="L28" i="459" s="1"/>
  <c r="I29" i="459"/>
  <c r="L29" i="459" s="1"/>
  <c r="I30" i="459"/>
  <c r="L30" i="459" s="1"/>
  <c r="I31" i="459"/>
  <c r="L31" i="459" s="1"/>
  <c r="I32" i="459"/>
  <c r="L32" i="459" s="1"/>
  <c r="I33" i="459"/>
  <c r="L33" i="459" s="1"/>
  <c r="I34" i="459"/>
  <c r="L34" i="459" s="1"/>
  <c r="I35" i="459"/>
  <c r="L35" i="459" s="1"/>
  <c r="I36" i="459"/>
  <c r="L36" i="459" s="1"/>
  <c r="I37" i="459"/>
  <c r="L37" i="459" s="1"/>
  <c r="I38" i="459"/>
  <c r="L38" i="459" s="1"/>
  <c r="I39" i="459"/>
  <c r="L39" i="459" s="1"/>
  <c r="I40" i="459"/>
  <c r="L40" i="459" s="1"/>
  <c r="I41" i="459"/>
  <c r="L41" i="459" s="1"/>
  <c r="I42" i="459"/>
  <c r="L42" i="459" s="1"/>
  <c r="I83" i="459"/>
  <c r="L83" i="459" s="1"/>
  <c r="I84" i="459"/>
  <c r="L84" i="459" s="1"/>
  <c r="I43" i="459"/>
  <c r="L43" i="459" s="1"/>
  <c r="I45" i="459"/>
  <c r="L45" i="459" s="1"/>
  <c r="I46" i="459"/>
  <c r="L46" i="459" s="1"/>
  <c r="I47" i="459"/>
  <c r="L47" i="459" s="1"/>
  <c r="I48" i="459"/>
  <c r="L48" i="459" s="1"/>
  <c r="I49" i="459"/>
  <c r="L49" i="459" s="1"/>
  <c r="I50" i="459"/>
  <c r="L50" i="459" s="1"/>
  <c r="I51" i="459"/>
  <c r="L51" i="459" s="1"/>
  <c r="I52" i="459"/>
  <c r="L52" i="459" s="1"/>
  <c r="I53" i="459"/>
  <c r="L53" i="459" s="1"/>
  <c r="I54" i="459"/>
  <c r="L54" i="459" s="1"/>
  <c r="I55" i="459"/>
  <c r="L55" i="459" s="1"/>
  <c r="I56" i="459"/>
  <c r="L56" i="459" s="1"/>
  <c r="I57" i="459"/>
  <c r="L57" i="459" s="1"/>
  <c r="I58" i="459"/>
  <c r="L58" i="459" s="1"/>
  <c r="I59" i="459"/>
  <c r="L59" i="459" s="1"/>
  <c r="I86" i="459"/>
  <c r="L86" i="459" s="1"/>
  <c r="I87" i="459"/>
  <c r="L87" i="459" s="1"/>
  <c r="I60" i="459"/>
  <c r="L60" i="459" s="1"/>
  <c r="I62" i="459"/>
  <c r="L62" i="459" s="1"/>
  <c r="I63" i="459"/>
  <c r="L63" i="459" s="1"/>
  <c r="I64" i="459"/>
  <c r="L64" i="459" s="1"/>
  <c r="I65" i="459"/>
  <c r="L65" i="459" s="1"/>
  <c r="I66" i="459"/>
  <c r="L66" i="459" s="1"/>
  <c r="I67" i="459"/>
  <c r="L67" i="459" s="1"/>
  <c r="I68" i="459"/>
  <c r="L68" i="459" s="1"/>
  <c r="I69" i="459"/>
  <c r="L69" i="459" s="1"/>
  <c r="I70" i="459"/>
  <c r="L70" i="459" s="1"/>
  <c r="I71" i="459"/>
  <c r="L71" i="459" s="1"/>
  <c r="I72" i="459"/>
  <c r="L72" i="459" s="1"/>
  <c r="I73" i="459"/>
  <c r="L73" i="459" s="1"/>
  <c r="I89" i="459"/>
  <c r="L89" i="459" s="1"/>
  <c r="I90" i="459"/>
  <c r="L90" i="459" s="1"/>
  <c r="I74" i="459"/>
  <c r="L74" i="459" s="1"/>
  <c r="I2" i="459"/>
  <c r="L2" i="459" s="1"/>
  <c r="I20" i="458"/>
  <c r="I19" i="458"/>
  <c r="I18" i="458"/>
  <c r="I16" i="458"/>
  <c r="I17" i="458"/>
  <c r="I15" i="458"/>
  <c r="I14" i="458"/>
  <c r="F3" i="458"/>
  <c r="H3" i="458" s="1"/>
  <c r="F4" i="458"/>
  <c r="H4" i="458" s="1"/>
  <c r="F5" i="458"/>
  <c r="F6" i="458"/>
  <c r="F7" i="458"/>
  <c r="H7" i="458" s="1"/>
  <c r="F8" i="458"/>
  <c r="H8" i="458" s="1"/>
  <c r="F9" i="458"/>
  <c r="H9" i="458" s="1"/>
  <c r="F10" i="458"/>
  <c r="H10" i="458" s="1"/>
  <c r="F2" i="458"/>
  <c r="H2" i="458" s="1"/>
  <c r="I62" i="455"/>
  <c r="J62" i="455" s="1"/>
  <c r="J60" i="455"/>
  <c r="J61" i="455"/>
  <c r="I59" i="455"/>
  <c r="J58" i="455"/>
  <c r="J53" i="455"/>
  <c r="J37" i="455"/>
  <c r="J44" i="455"/>
  <c r="J50" i="455"/>
  <c r="J52" i="455"/>
  <c r="G36" i="455"/>
  <c r="J36" i="455" s="1"/>
  <c r="G37" i="455"/>
  <c r="G38" i="455"/>
  <c r="G39" i="455"/>
  <c r="G40" i="455"/>
  <c r="G41" i="455"/>
  <c r="G42" i="455"/>
  <c r="J42" i="455" s="1"/>
  <c r="G43" i="455"/>
  <c r="J43" i="455"/>
  <c r="J41" i="455"/>
  <c r="J40" i="455"/>
  <c r="J39" i="455"/>
  <c r="G44" i="455"/>
  <c r="G45" i="455"/>
  <c r="J45" i="455" s="1"/>
  <c r="G46" i="455"/>
  <c r="J46" i="455" s="1"/>
  <c r="G47" i="455"/>
  <c r="J47" i="455" s="1"/>
  <c r="G48" i="455"/>
  <c r="J48" i="455" s="1"/>
  <c r="G49" i="455"/>
  <c r="J49" i="455" s="1"/>
  <c r="G50" i="455"/>
  <c r="G51" i="455"/>
  <c r="J51" i="455" s="1"/>
  <c r="G52" i="455"/>
  <c r="G53" i="455"/>
  <c r="G54" i="455"/>
  <c r="G55" i="455"/>
  <c r="G56" i="455"/>
  <c r="G57" i="455"/>
  <c r="G58" i="455"/>
  <c r="G59" i="455"/>
  <c r="G60" i="455"/>
  <c r="G61" i="455"/>
  <c r="G62" i="455"/>
  <c r="G63" i="455"/>
  <c r="J63" i="455" s="1"/>
  <c r="G64" i="455"/>
  <c r="J64" i="455" s="1"/>
  <c r="G65" i="455"/>
  <c r="J65" i="455" s="1"/>
  <c r="G66" i="455"/>
  <c r="G67" i="455"/>
  <c r="L50" i="453"/>
  <c r="L49" i="453"/>
  <c r="J49" i="453"/>
  <c r="I4" i="455"/>
  <c r="J4" i="455" s="1"/>
  <c r="I5" i="455"/>
  <c r="J5" i="455" s="1"/>
  <c r="I6" i="455"/>
  <c r="J6" i="455" s="1"/>
  <c r="I8" i="455"/>
  <c r="J8" i="455" s="1"/>
  <c r="I9" i="455"/>
  <c r="J9" i="455" s="1"/>
  <c r="I10" i="455"/>
  <c r="J10" i="455" s="1"/>
  <c r="I11" i="455"/>
  <c r="J11" i="455" s="1"/>
  <c r="I12" i="455"/>
  <c r="J12" i="455" s="1"/>
  <c r="I13" i="455"/>
  <c r="J13" i="455" s="1"/>
  <c r="I14" i="455"/>
  <c r="J14" i="455" s="1"/>
  <c r="I15" i="455"/>
  <c r="J15" i="455" s="1"/>
  <c r="I17" i="455"/>
  <c r="J17" i="455" s="1"/>
  <c r="I18" i="455"/>
  <c r="J18" i="455" s="1"/>
  <c r="I19" i="455"/>
  <c r="J19" i="455" s="1"/>
  <c r="I21" i="455"/>
  <c r="J21" i="455" s="1"/>
  <c r="I22" i="455"/>
  <c r="J22" i="455" s="1"/>
  <c r="I24" i="455"/>
  <c r="J24" i="455" s="1"/>
  <c r="J26" i="455" s="1"/>
  <c r="I25" i="455"/>
  <c r="J25" i="455" s="1"/>
  <c r="I27" i="455"/>
  <c r="J27" i="455" s="1"/>
  <c r="I28" i="455"/>
  <c r="J28" i="455" s="1"/>
  <c r="I30" i="455"/>
  <c r="J30" i="455" s="1"/>
  <c r="J31" i="455" s="1"/>
  <c r="L20" i="449"/>
  <c r="I20" i="449"/>
  <c r="I21" i="449"/>
  <c r="I22" i="449"/>
  <c r="I23" i="449"/>
  <c r="P2" i="455"/>
  <c r="I3" i="455" s="1"/>
  <c r="J3" i="455" s="1"/>
  <c r="G19" i="453"/>
  <c r="J19" i="453" s="1"/>
  <c r="K19" i="453"/>
  <c r="K3" i="453"/>
  <c r="K4" i="453"/>
  <c r="K5" i="453"/>
  <c r="K8" i="453"/>
  <c r="K9" i="453"/>
  <c r="K10" i="453"/>
  <c r="K11" i="453"/>
  <c r="K12" i="453"/>
  <c r="K13" i="453"/>
  <c r="K14" i="453"/>
  <c r="K15" i="453"/>
  <c r="K16" i="453"/>
  <c r="K20" i="453"/>
  <c r="K21" i="453"/>
  <c r="K24" i="453"/>
  <c r="K25" i="453"/>
  <c r="K28" i="453"/>
  <c r="K29" i="453"/>
  <c r="K32" i="453"/>
  <c r="K33" i="453"/>
  <c r="K36" i="453"/>
  <c r="K37" i="453"/>
  <c r="K38" i="453"/>
  <c r="K39" i="453"/>
  <c r="K40" i="453"/>
  <c r="K41" i="453"/>
  <c r="K42" i="453"/>
  <c r="K43" i="453"/>
  <c r="K44" i="453"/>
  <c r="K45" i="453"/>
  <c r="K46" i="453"/>
  <c r="K47" i="453"/>
  <c r="K48" i="453"/>
  <c r="K2" i="453"/>
  <c r="G36" i="453"/>
  <c r="J36" i="453" s="1"/>
  <c r="G40" i="453"/>
  <c r="J40" i="453" s="1"/>
  <c r="G41" i="453"/>
  <c r="J41" i="453" s="1"/>
  <c r="G42" i="453"/>
  <c r="J42" i="453" s="1"/>
  <c r="G3" i="453"/>
  <c r="J3" i="453" s="1"/>
  <c r="G4" i="453"/>
  <c r="J4" i="453" s="1"/>
  <c r="G8" i="453"/>
  <c r="J8" i="453" s="1"/>
  <c r="G10" i="453"/>
  <c r="J10" i="453" s="1"/>
  <c r="G12" i="453"/>
  <c r="J12" i="453" s="1"/>
  <c r="G14" i="453"/>
  <c r="J14" i="453" s="1"/>
  <c r="G15" i="453"/>
  <c r="J15" i="453" s="1"/>
  <c r="G20" i="453"/>
  <c r="J20" i="453" s="1"/>
  <c r="G24" i="453"/>
  <c r="J24" i="453" s="1"/>
  <c r="G28" i="453"/>
  <c r="J28" i="453" s="1"/>
  <c r="G32" i="453"/>
  <c r="J32" i="453" s="1"/>
  <c r="G37" i="453"/>
  <c r="J37" i="453" s="1"/>
  <c r="G38" i="453"/>
  <c r="J38" i="453" s="1"/>
  <c r="G43" i="453"/>
  <c r="J43" i="453" s="1"/>
  <c r="G44" i="453"/>
  <c r="J44" i="453" s="1"/>
  <c r="G45" i="453"/>
  <c r="J45" i="453" s="1"/>
  <c r="G46" i="453"/>
  <c r="J46" i="453" s="1"/>
  <c r="G47" i="453"/>
  <c r="J47" i="453" s="1"/>
  <c r="G5" i="453"/>
  <c r="J5" i="453" s="1"/>
  <c r="G9" i="453"/>
  <c r="J9" i="453" s="1"/>
  <c r="G11" i="453"/>
  <c r="J11" i="453" s="1"/>
  <c r="G13" i="453"/>
  <c r="J13" i="453" s="1"/>
  <c r="G16" i="453"/>
  <c r="J16" i="453" s="1"/>
  <c r="G21" i="453"/>
  <c r="J21" i="453" s="1"/>
  <c r="G25" i="453"/>
  <c r="J25" i="453" s="1"/>
  <c r="G29" i="453"/>
  <c r="J29" i="453" s="1"/>
  <c r="G33" i="453"/>
  <c r="J33" i="453" s="1"/>
  <c r="G39" i="453"/>
  <c r="J39" i="453" s="1"/>
  <c r="G48" i="453"/>
  <c r="J48" i="453" s="1"/>
  <c r="G2" i="453"/>
  <c r="J2" i="453" s="1"/>
  <c r="E703" i="436"/>
  <c r="E704" i="436" s="1"/>
  <c r="R51" i="449"/>
  <c r="H5" i="458" l="1"/>
  <c r="H6" i="458"/>
  <c r="J54" i="455"/>
  <c r="J55" i="455"/>
  <c r="M668" i="436"/>
  <c r="J56" i="455"/>
  <c r="J66" i="455"/>
  <c r="M696" i="436"/>
  <c r="J57" i="455"/>
  <c r="J67" i="455"/>
  <c r="J29" i="455"/>
  <c r="J38" i="455"/>
  <c r="J59" i="455"/>
  <c r="L7" i="459"/>
  <c r="L75" i="459"/>
  <c r="L61" i="459"/>
  <c r="L44" i="459"/>
  <c r="L26" i="459"/>
  <c r="M682" i="436"/>
  <c r="J7" i="455"/>
  <c r="J16" i="455"/>
  <c r="J20" i="455"/>
  <c r="J23" i="455"/>
  <c r="L19" i="453"/>
  <c r="L38" i="453"/>
  <c r="L11" i="453"/>
  <c r="L9" i="453"/>
  <c r="L21" i="453"/>
  <c r="L12" i="453"/>
  <c r="L42" i="453"/>
  <c r="L45" i="453"/>
  <c r="L46" i="453"/>
  <c r="L24" i="453"/>
  <c r="L15" i="453"/>
  <c r="L2" i="453"/>
  <c r="L41" i="453"/>
  <c r="L29" i="453"/>
  <c r="L14" i="453"/>
  <c r="L4" i="453"/>
  <c r="L5" i="453"/>
  <c r="L48" i="453"/>
  <c r="L40" i="453"/>
  <c r="L28" i="453"/>
  <c r="L13" i="453"/>
  <c r="L3" i="453"/>
  <c r="L32" i="453"/>
  <c r="L47" i="453"/>
  <c r="L39" i="453"/>
  <c r="L25" i="453"/>
  <c r="L37" i="453"/>
  <c r="L10" i="453"/>
  <c r="L16" i="453"/>
  <c r="L8" i="453"/>
  <c r="L44" i="453"/>
  <c r="L36" i="453"/>
  <c r="L20" i="453"/>
  <c r="L43" i="453"/>
  <c r="L33" i="453"/>
  <c r="K90" i="449"/>
  <c r="L90" i="449" s="1"/>
  <c r="K91" i="449"/>
  <c r="L91" i="449" s="1"/>
  <c r="K74" i="449"/>
  <c r="L74" i="449" s="1"/>
  <c r="K75" i="449"/>
  <c r="L75" i="449" s="1"/>
  <c r="K58" i="449"/>
  <c r="K59" i="449"/>
  <c r="K42" i="449"/>
  <c r="K43" i="449"/>
  <c r="L22" i="449"/>
  <c r="L23" i="449"/>
  <c r="K21" i="449"/>
  <c r="K19" i="449"/>
  <c r="R39" i="449"/>
  <c r="R37" i="449"/>
  <c r="R35" i="449"/>
  <c r="R34" i="449"/>
  <c r="R33" i="449"/>
  <c r="R32" i="449"/>
  <c r="R29" i="449"/>
  <c r="R28" i="449"/>
  <c r="R27" i="449"/>
  <c r="R26" i="449"/>
  <c r="R18" i="449"/>
  <c r="R12" i="449"/>
  <c r="R13" i="449"/>
  <c r="R14" i="449"/>
  <c r="R15" i="449"/>
  <c r="R16" i="449"/>
  <c r="R11" i="449"/>
  <c r="R9" i="449"/>
  <c r="R6" i="449"/>
  <c r="R7" i="449"/>
  <c r="R5" i="449"/>
  <c r="R2" i="449"/>
  <c r="R3" i="449"/>
  <c r="R1" i="449"/>
  <c r="H13" i="458" l="1"/>
  <c r="H17" i="458" s="1"/>
  <c r="M660" i="436" s="1"/>
  <c r="J70" i="455"/>
  <c r="J32" i="455"/>
  <c r="K23" i="455" s="1"/>
  <c r="K7" i="455"/>
  <c r="M626" i="436"/>
  <c r="M654" i="436"/>
  <c r="M640" i="436"/>
  <c r="M612" i="436"/>
  <c r="L22" i="453"/>
  <c r="M644" i="436" s="1"/>
  <c r="L34" i="453"/>
  <c r="M686" i="436" s="1"/>
  <c r="L26" i="453"/>
  <c r="M658" i="436" s="1"/>
  <c r="L30" i="453"/>
  <c r="M672" i="436" s="1"/>
  <c r="L17" i="453"/>
  <c r="M630" i="436" s="1"/>
  <c r="L6" i="453"/>
  <c r="M616" i="436" s="1"/>
  <c r="H16" i="458" l="1"/>
  <c r="M646" i="436" s="1"/>
  <c r="H14" i="458"/>
  <c r="M618" i="436" s="1"/>
  <c r="H15" i="458"/>
  <c r="M632" i="436" s="1"/>
  <c r="H20" i="458"/>
  <c r="M702" i="436" s="1"/>
  <c r="H19" i="458"/>
  <c r="M688" i="436" s="1"/>
  <c r="H18" i="458"/>
  <c r="M674" i="436" s="1"/>
  <c r="J71" i="455"/>
  <c r="M614" i="436" s="1"/>
  <c r="J74" i="455"/>
  <c r="M656" i="436" s="1"/>
  <c r="K31" i="455"/>
  <c r="J77" i="455" s="1"/>
  <c r="M698" i="436" s="1"/>
  <c r="K26" i="455"/>
  <c r="J75" i="455" s="1"/>
  <c r="M670" i="436" s="1"/>
  <c r="K16" i="455"/>
  <c r="J72" i="455" s="1"/>
  <c r="M628" i="436" s="1"/>
  <c r="K29" i="455"/>
  <c r="J76" i="455" s="1"/>
  <c r="M684" i="436" s="1"/>
  <c r="K20" i="455"/>
  <c r="J73" i="455" s="1"/>
  <c r="M642" i="436" s="1"/>
  <c r="M700" i="436"/>
  <c r="L52" i="453"/>
  <c r="G26" i="449" l="1"/>
  <c r="I26" i="449" s="1"/>
  <c r="K26" i="449"/>
  <c r="I90" i="449"/>
  <c r="I91" i="449"/>
  <c r="I74" i="449"/>
  <c r="I75" i="449"/>
  <c r="G47" i="449"/>
  <c r="I47" i="449" s="1"/>
  <c r="G48" i="449"/>
  <c r="I48" i="449" s="1"/>
  <c r="G49" i="449"/>
  <c r="I49" i="449" s="1"/>
  <c r="G50" i="449"/>
  <c r="I50" i="449" s="1"/>
  <c r="G51" i="449"/>
  <c r="I51" i="449" s="1"/>
  <c r="G52" i="449"/>
  <c r="I52" i="449" s="1"/>
  <c r="G53" i="449"/>
  <c r="I53" i="449" s="1"/>
  <c r="G54" i="449"/>
  <c r="I54" i="449" s="1"/>
  <c r="G55" i="449"/>
  <c r="G56" i="449"/>
  <c r="I56" i="449" s="1"/>
  <c r="G57" i="449"/>
  <c r="I57" i="449" s="1"/>
  <c r="G58" i="449"/>
  <c r="G59" i="449"/>
  <c r="G46" i="449"/>
  <c r="I46" i="449" s="1"/>
  <c r="G33" i="449"/>
  <c r="I33" i="449" s="1"/>
  <c r="G34" i="449"/>
  <c r="I34" i="449" s="1"/>
  <c r="G35" i="449"/>
  <c r="I35" i="449" s="1"/>
  <c r="G36" i="449"/>
  <c r="I36" i="449" s="1"/>
  <c r="G37" i="449"/>
  <c r="I37" i="449" s="1"/>
  <c r="G38" i="449"/>
  <c r="I38" i="449" s="1"/>
  <c r="G39" i="449"/>
  <c r="I39" i="449" s="1"/>
  <c r="G40" i="449"/>
  <c r="I40" i="449" s="1"/>
  <c r="G41" i="449"/>
  <c r="I41" i="449" s="1"/>
  <c r="G42" i="449"/>
  <c r="G43" i="449"/>
  <c r="G32" i="449"/>
  <c r="I32" i="449" s="1"/>
  <c r="G27" i="449"/>
  <c r="I27" i="449" s="1"/>
  <c r="G28" i="449"/>
  <c r="I28" i="449" s="1"/>
  <c r="G29" i="449"/>
  <c r="I29" i="449" s="1"/>
  <c r="G3" i="449"/>
  <c r="I3" i="449" s="1"/>
  <c r="G4" i="449"/>
  <c r="I4" i="449" s="1"/>
  <c r="G5" i="449"/>
  <c r="I5" i="449" s="1"/>
  <c r="G6" i="449"/>
  <c r="I6" i="449" s="1"/>
  <c r="G7" i="449"/>
  <c r="I7" i="449" s="1"/>
  <c r="G8" i="449"/>
  <c r="I8" i="449" s="1"/>
  <c r="G9" i="449"/>
  <c r="I9" i="449" s="1"/>
  <c r="G10" i="449"/>
  <c r="I10" i="449" s="1"/>
  <c r="G11" i="449"/>
  <c r="I11" i="449" s="1"/>
  <c r="G12" i="449"/>
  <c r="I12" i="449" s="1"/>
  <c r="G13" i="449"/>
  <c r="I13" i="449" s="1"/>
  <c r="G14" i="449"/>
  <c r="I14" i="449" s="1"/>
  <c r="G15" i="449"/>
  <c r="I15" i="449" s="1"/>
  <c r="G16" i="449"/>
  <c r="I16" i="449" s="1"/>
  <c r="G17" i="449"/>
  <c r="I17" i="449" s="1"/>
  <c r="G18" i="449"/>
  <c r="I18" i="449" s="1"/>
  <c r="G19" i="449"/>
  <c r="G21" i="449"/>
  <c r="G2" i="449"/>
  <c r="I2" i="449" s="1"/>
  <c r="I55" i="449"/>
  <c r="I62" i="449"/>
  <c r="I63" i="449"/>
  <c r="I64" i="449"/>
  <c r="I65" i="449"/>
  <c r="I66" i="449"/>
  <c r="I67" i="449"/>
  <c r="I68" i="449"/>
  <c r="I69" i="449"/>
  <c r="I70" i="449"/>
  <c r="I71" i="449"/>
  <c r="I72" i="449"/>
  <c r="I73" i="449"/>
  <c r="I78" i="449"/>
  <c r="I79" i="449"/>
  <c r="I80" i="449"/>
  <c r="I81" i="449"/>
  <c r="I82" i="449"/>
  <c r="I83" i="449"/>
  <c r="I84" i="449"/>
  <c r="I85" i="449"/>
  <c r="I86" i="449"/>
  <c r="I87" i="449"/>
  <c r="I88" i="449"/>
  <c r="I89" i="449"/>
  <c r="I94" i="449"/>
  <c r="D2" i="448"/>
  <c r="L21" i="449" l="1"/>
  <c r="I19" i="449"/>
  <c r="L19" i="449"/>
  <c r="I59" i="449"/>
  <c r="L59" i="449"/>
  <c r="I42" i="449"/>
  <c r="L42" i="449"/>
  <c r="I58" i="449"/>
  <c r="L58" i="449"/>
  <c r="I43" i="449"/>
  <c r="L43" i="449"/>
  <c r="L26" i="449"/>
  <c r="K2" i="449" l="1"/>
  <c r="L2" i="449" s="1"/>
  <c r="K15" i="449"/>
  <c r="L15" i="449" s="1"/>
  <c r="K16" i="449"/>
  <c r="L16" i="449" s="1"/>
  <c r="K17" i="449"/>
  <c r="L17" i="449" s="1"/>
  <c r="K18" i="449"/>
  <c r="L18" i="449" s="1"/>
  <c r="K27" i="449"/>
  <c r="L27" i="449" s="1"/>
  <c r="K28" i="449"/>
  <c r="L28" i="449" s="1"/>
  <c r="K29" i="449"/>
  <c r="L29" i="449" s="1"/>
  <c r="K32" i="449"/>
  <c r="L32" i="449" s="1"/>
  <c r="K33" i="449"/>
  <c r="L33" i="449" s="1"/>
  <c r="K34" i="449"/>
  <c r="L34" i="449" s="1"/>
  <c r="K35" i="449"/>
  <c r="L35" i="449" s="1"/>
  <c r="K36" i="449"/>
  <c r="L36" i="449" s="1"/>
  <c r="K37" i="449"/>
  <c r="L37" i="449" s="1"/>
  <c r="K38" i="449"/>
  <c r="L38" i="449" s="1"/>
  <c r="K39" i="449"/>
  <c r="L39" i="449" s="1"/>
  <c r="K40" i="449"/>
  <c r="L40" i="449" s="1"/>
  <c r="K41" i="449"/>
  <c r="L41" i="449" s="1"/>
  <c r="K46" i="449"/>
  <c r="L46" i="449" s="1"/>
  <c r="K47" i="449"/>
  <c r="L47" i="449" s="1"/>
  <c r="K48" i="449"/>
  <c r="L48" i="449" s="1"/>
  <c r="K49" i="449"/>
  <c r="L49" i="449" s="1"/>
  <c r="K50" i="449"/>
  <c r="L50" i="449" s="1"/>
  <c r="K51" i="449"/>
  <c r="L51" i="449" s="1"/>
  <c r="K52" i="449"/>
  <c r="L52" i="449" s="1"/>
  <c r="K53" i="449"/>
  <c r="L53" i="449" s="1"/>
  <c r="K54" i="449"/>
  <c r="L54" i="449" s="1"/>
  <c r="K55" i="449"/>
  <c r="L55" i="449" s="1"/>
  <c r="K56" i="449"/>
  <c r="L56" i="449" s="1"/>
  <c r="K57" i="449"/>
  <c r="L57" i="449" s="1"/>
  <c r="K62" i="449"/>
  <c r="L62" i="449" s="1"/>
  <c r="K63" i="449"/>
  <c r="L63" i="449" s="1"/>
  <c r="K64" i="449"/>
  <c r="L64" i="449" s="1"/>
  <c r="K65" i="449"/>
  <c r="L65" i="449" s="1"/>
  <c r="K66" i="449"/>
  <c r="L66" i="449" s="1"/>
  <c r="K67" i="449"/>
  <c r="L67" i="449" s="1"/>
  <c r="K68" i="449"/>
  <c r="L68" i="449" s="1"/>
  <c r="K69" i="449"/>
  <c r="L69" i="449" s="1"/>
  <c r="K70" i="449"/>
  <c r="L70" i="449" s="1"/>
  <c r="K71" i="449"/>
  <c r="L71" i="449" s="1"/>
  <c r="K72" i="449"/>
  <c r="L72" i="449" s="1"/>
  <c r="K73" i="449"/>
  <c r="L73" i="449" s="1"/>
  <c r="K78" i="449"/>
  <c r="L78" i="449" s="1"/>
  <c r="K79" i="449"/>
  <c r="L79" i="449" s="1"/>
  <c r="K80" i="449"/>
  <c r="L80" i="449" s="1"/>
  <c r="K81" i="449"/>
  <c r="L81" i="449" s="1"/>
  <c r="K82" i="449"/>
  <c r="L82" i="449" s="1"/>
  <c r="K83" i="449"/>
  <c r="L83" i="449" s="1"/>
  <c r="K84" i="449"/>
  <c r="L84" i="449" s="1"/>
  <c r="K85" i="449"/>
  <c r="L85" i="449" s="1"/>
  <c r="K86" i="449"/>
  <c r="L86" i="449" s="1"/>
  <c r="K87" i="449"/>
  <c r="L87" i="449" s="1"/>
  <c r="K88" i="449"/>
  <c r="L88" i="449" s="1"/>
  <c r="K89" i="449"/>
  <c r="L89" i="449" s="1"/>
  <c r="K94" i="449"/>
  <c r="L94" i="449" s="1"/>
  <c r="L95" i="449" s="1"/>
  <c r="M704" i="436" s="1"/>
  <c r="N704" i="436" s="1"/>
  <c r="K3" i="449"/>
  <c r="L3" i="449" s="1"/>
  <c r="K4" i="449"/>
  <c r="L4" i="449" s="1"/>
  <c r="K5" i="449"/>
  <c r="L5" i="449" s="1"/>
  <c r="K6" i="449"/>
  <c r="L6" i="449" s="1"/>
  <c r="K7" i="449"/>
  <c r="L7" i="449" s="1"/>
  <c r="K8" i="449"/>
  <c r="L8" i="449" s="1"/>
  <c r="K9" i="449"/>
  <c r="L9" i="449" s="1"/>
  <c r="K10" i="449"/>
  <c r="L10" i="449" s="1"/>
  <c r="K11" i="449"/>
  <c r="L11" i="449" s="1"/>
  <c r="K12" i="449"/>
  <c r="L12" i="449" s="1"/>
  <c r="K13" i="449"/>
  <c r="L13" i="449" s="1"/>
  <c r="K14" i="449"/>
  <c r="L14" i="449" s="1"/>
  <c r="L1361" i="436"/>
  <c r="L1363" i="436" s="1"/>
  <c r="L1359" i="436"/>
  <c r="L1357" i="436"/>
  <c r="L1356" i="436"/>
  <c r="L1305" i="436"/>
  <c r="N1305" i="436" s="1"/>
  <c r="E1304" i="436"/>
  <c r="E1305" i="436" s="1"/>
  <c r="L1300" i="436"/>
  <c r="N1300" i="436" s="1"/>
  <c r="L1298" i="436"/>
  <c r="N1298" i="436" s="1"/>
  <c r="E1299" i="436"/>
  <c r="E1300" i="436" s="1"/>
  <c r="E1297" i="436"/>
  <c r="E1298" i="436" s="1"/>
  <c r="L1281" i="436"/>
  <c r="N1281" i="436" s="1"/>
  <c r="L1279" i="436"/>
  <c r="N1279" i="436" s="1"/>
  <c r="E1280" i="436"/>
  <c r="E1281" i="436" s="1"/>
  <c r="E1278" i="436"/>
  <c r="E1279" i="436" s="1"/>
  <c r="E1257" i="436"/>
  <c r="E1258" i="436" s="1"/>
  <c r="E1255" i="436"/>
  <c r="E1256" i="436" s="1"/>
  <c r="H1874" i="447"/>
  <c r="L1256" i="436" s="1"/>
  <c r="N1256" i="436" s="1"/>
  <c r="H1872" i="447"/>
  <c r="L1258" i="436" s="1"/>
  <c r="N1258" i="436" s="1"/>
  <c r="L1235" i="436"/>
  <c r="N1235" i="436" s="1"/>
  <c r="E1234" i="436"/>
  <c r="E1235" i="436" s="1"/>
  <c r="L1218" i="436"/>
  <c r="N1218" i="436" s="1"/>
  <c r="E1217" i="436"/>
  <c r="E1218" i="436" s="1"/>
  <c r="E1207" i="436"/>
  <c r="E1208" i="436" s="1"/>
  <c r="H1857" i="447"/>
  <c r="L1208" i="436" s="1"/>
  <c r="N1208" i="436" s="1"/>
  <c r="L1198" i="436"/>
  <c r="N1198" i="436" s="1"/>
  <c r="L1197" i="436"/>
  <c r="N1197" i="436" s="1"/>
  <c r="E1196" i="436"/>
  <c r="E1197" i="436" s="1"/>
  <c r="E1198" i="436" s="1"/>
  <c r="N1294" i="436"/>
  <c r="E1293" i="436"/>
  <c r="E1294" i="436" s="1"/>
  <c r="L1292" i="436"/>
  <c r="N1292" i="436" s="1"/>
  <c r="L1291" i="436"/>
  <c r="L1290" i="436"/>
  <c r="L1289" i="436"/>
  <c r="L1252" i="436"/>
  <c r="L1271" i="436"/>
  <c r="N1271" i="436" s="1"/>
  <c r="L1270" i="436"/>
  <c r="L1269" i="436"/>
  <c r="L1268" i="436"/>
  <c r="E1232" i="436"/>
  <c r="E1233" i="436" s="1"/>
  <c r="L1229" i="436"/>
  <c r="N1229" i="436" s="1"/>
  <c r="L1228" i="436"/>
  <c r="N1228" i="436" s="1"/>
  <c r="E1227" i="436"/>
  <c r="E1228" i="436" s="1"/>
  <c r="E1229" i="436" s="1"/>
  <c r="L1231" i="436"/>
  <c r="L1216" i="436"/>
  <c r="L1195" i="436"/>
  <c r="H1738" i="447"/>
  <c r="L1248" i="436" s="1"/>
  <c r="N1248" i="436" s="1"/>
  <c r="H1737" i="447"/>
  <c r="L1247" i="436" s="1"/>
  <c r="N1247" i="436" s="1"/>
  <c r="H1736" i="447"/>
  <c r="L1246" i="436" s="1"/>
  <c r="H1735" i="447"/>
  <c r="L1245" i="436" s="1"/>
  <c r="H1733" i="447"/>
  <c r="L1250" i="436" s="1"/>
  <c r="H1716" i="447"/>
  <c r="L1206" i="436" s="1"/>
  <c r="M1264" i="436"/>
  <c r="E1263" i="436"/>
  <c r="E1264" i="436" s="1"/>
  <c r="M1241" i="436"/>
  <c r="E1240" i="436"/>
  <c r="E1241" i="436" s="1"/>
  <c r="M1224" i="436"/>
  <c r="E1223" i="436"/>
  <c r="E1224" i="436" s="1"/>
  <c r="M1214" i="436"/>
  <c r="E1213" i="436"/>
  <c r="E1214" i="436" s="1"/>
  <c r="M1204" i="436"/>
  <c r="E1203" i="436"/>
  <c r="E1204" i="436" s="1"/>
  <c r="E1192" i="436"/>
  <c r="E1193" i="436" s="1"/>
  <c r="M1191" i="436"/>
  <c r="G1709" i="447"/>
  <c r="H1709" i="447"/>
  <c r="L1303" i="436" s="1"/>
  <c r="G1708" i="447"/>
  <c r="L1287" i="436"/>
  <c r="L1284" i="436"/>
  <c r="G1693" i="447"/>
  <c r="G1692" i="447"/>
  <c r="L1261" i="436"/>
  <c r="L1266" i="436"/>
  <c r="G1674" i="447"/>
  <c r="H1673" i="447"/>
  <c r="L1264" i="436" s="1"/>
  <c r="G1673" i="447"/>
  <c r="L1243" i="436"/>
  <c r="L1241" i="436"/>
  <c r="L1238" i="436"/>
  <c r="G1427" i="447"/>
  <c r="G1426" i="447"/>
  <c r="L1221" i="436"/>
  <c r="H1404" i="447"/>
  <c r="L1226" i="436" s="1"/>
  <c r="G1403" i="447"/>
  <c r="H1402" i="447"/>
  <c r="L1224" i="436" s="1"/>
  <c r="G1402" i="447"/>
  <c r="L1211" i="436"/>
  <c r="H1392" i="447"/>
  <c r="L1214" i="436" s="1"/>
  <c r="G1393" i="447"/>
  <c r="G1392" i="447"/>
  <c r="H1363" i="447"/>
  <c r="L1201" i="436" s="1"/>
  <c r="H1362" i="447"/>
  <c r="L1204" i="436" s="1"/>
  <c r="G1363" i="447"/>
  <c r="G1362" i="447"/>
  <c r="H1347" i="447"/>
  <c r="L1193" i="436" s="1"/>
  <c r="G1347" i="447"/>
  <c r="L1188" i="436"/>
  <c r="G1346" i="447"/>
  <c r="H1345" i="447"/>
  <c r="L1191" i="436" s="1"/>
  <c r="G1345" i="447"/>
  <c r="L76" i="449" l="1"/>
  <c r="M676" i="436" s="1"/>
  <c r="L30" i="449"/>
  <c r="M634" i="436" s="1"/>
  <c r="L92" i="449"/>
  <c r="M690" i="436" s="1"/>
  <c r="L60" i="449"/>
  <c r="M662" i="436" s="1"/>
  <c r="L44" i="449"/>
  <c r="M648" i="436" s="1"/>
  <c r="L24" i="449"/>
  <c r="M620" i="436" s="1"/>
  <c r="L1362" i="436"/>
  <c r="L1296" i="436"/>
  <c r="L1277" i="436"/>
  <c r="L1254" i="436"/>
  <c r="L1233" i="436"/>
  <c r="N1233" i="436" s="1"/>
  <c r="N1241" i="436"/>
  <c r="N1264" i="436"/>
  <c r="N1224" i="436"/>
  <c r="N1214" i="436"/>
  <c r="N1204" i="436"/>
  <c r="L97" i="449" l="1"/>
  <c r="M1193" i="436"/>
  <c r="N1193" i="436" s="1"/>
  <c r="L96" i="449" l="1"/>
  <c r="M707" i="436" s="1"/>
  <c r="N707" i="436" s="1"/>
  <c r="L93" i="449"/>
  <c r="M693" i="436" s="1"/>
  <c r="L61" i="449"/>
  <c r="M665" i="436" s="1"/>
  <c r="L77" i="449"/>
  <c r="M679" i="436" s="1"/>
  <c r="L31" i="449"/>
  <c r="M637" i="436" s="1"/>
  <c r="L45" i="449"/>
  <c r="M651" i="436" s="1"/>
  <c r="L99" i="449"/>
  <c r="M99" i="449" s="1"/>
  <c r="L25" i="449"/>
  <c r="M623" i="436" s="1"/>
  <c r="M1243" i="436"/>
  <c r="M1287" i="436"/>
  <c r="M1226" i="436"/>
  <c r="M1266" i="436"/>
  <c r="C2" i="448" a="1"/>
  <c r="L1169" i="436"/>
  <c r="N1169" i="436" s="1"/>
  <c r="L1155" i="436"/>
  <c r="L1122" i="436"/>
  <c r="L1105" i="436"/>
  <c r="L1070" i="436"/>
  <c r="L1173" i="436"/>
  <c r="N1173" i="436" s="1"/>
  <c r="L1142" i="436"/>
  <c r="L1108" i="436"/>
  <c r="L1091" i="436"/>
  <c r="N1091" i="436" s="1"/>
  <c r="L1074" i="436"/>
  <c r="L1178" i="436"/>
  <c r="L1177" i="436"/>
  <c r="L1182" i="436" s="1"/>
  <c r="L1176" i="436"/>
  <c r="L1165" i="436"/>
  <c r="N1165" i="436" s="1"/>
  <c r="L1164" i="436"/>
  <c r="L1170" i="436"/>
  <c r="L1150" i="436"/>
  <c r="L1156" i="436"/>
  <c r="L1117" i="436"/>
  <c r="L1125" i="436" s="1"/>
  <c r="L1116" i="436"/>
  <c r="L1124" i="436" s="1"/>
  <c r="L1115" i="436"/>
  <c r="L1114" i="436"/>
  <c r="L1123" i="436" s="1"/>
  <c r="L1113" i="436"/>
  <c r="L1100" i="436"/>
  <c r="L1107" i="436" s="1"/>
  <c r="L1099" i="436"/>
  <c r="L1106" i="436" s="1"/>
  <c r="L1098" i="436"/>
  <c r="L1097" i="436"/>
  <c r="L1065" i="436"/>
  <c r="L1064" i="436"/>
  <c r="L1072" i="436" s="1"/>
  <c r="L1063" i="436"/>
  <c r="N1063" i="436" s="1"/>
  <c r="L1062" i="436"/>
  <c r="L1071" i="436" s="1"/>
  <c r="L1061" i="436"/>
  <c r="H1133" i="447" a="1"/>
  <c r="H1133" i="447" s="1"/>
  <c r="L1083" i="436" s="1"/>
  <c r="L1090" i="436" s="1"/>
  <c r="N1090" i="436" s="1"/>
  <c r="L1145" i="436"/>
  <c r="L1154" i="436" s="1"/>
  <c r="H1095" i="447"/>
  <c r="L1129" i="436" s="1"/>
  <c r="L1138" i="436" s="1"/>
  <c r="N1138" i="436" s="1"/>
  <c r="L1111" i="436"/>
  <c r="L1121" i="436" s="1"/>
  <c r="L1095" i="436"/>
  <c r="L1094" i="436"/>
  <c r="H1081" i="447" a="1"/>
  <c r="H1081" i="447" s="1"/>
  <c r="L1077" i="436" s="1"/>
  <c r="L1059" i="436"/>
  <c r="L1058" i="436"/>
  <c r="L944" i="436"/>
  <c r="N944" i="436" s="1"/>
  <c r="E943" i="436"/>
  <c r="E944" i="436" s="1"/>
  <c r="L1040" i="436"/>
  <c r="L1039" i="436"/>
  <c r="L1021" i="436"/>
  <c r="L1020" i="436"/>
  <c r="H1029" i="447" a="1"/>
  <c r="H1029" i="447" s="1"/>
  <c r="L1000" i="436" s="1"/>
  <c r="L1006" i="436" s="1"/>
  <c r="L981" i="436"/>
  <c r="L980" i="436"/>
  <c r="L986" i="436" s="1"/>
  <c r="L961" i="436"/>
  <c r="N961" i="436" s="1"/>
  <c r="E960" i="436"/>
  <c r="E961" i="436" s="1"/>
  <c r="E941" i="436"/>
  <c r="E942" i="436" s="1"/>
  <c r="H1020" i="447"/>
  <c r="L942" i="436" s="1"/>
  <c r="N942" i="436" s="1"/>
  <c r="L925" i="436"/>
  <c r="N925" i="436" s="1"/>
  <c r="L924" i="436"/>
  <c r="L1037" i="436"/>
  <c r="L1018" i="436"/>
  <c r="L998" i="436"/>
  <c r="L978" i="436"/>
  <c r="N978" i="436" s="1"/>
  <c r="L976" i="436"/>
  <c r="E977" i="436"/>
  <c r="E978" i="436" s="1"/>
  <c r="L1035" i="436"/>
  <c r="L1034" i="436"/>
  <c r="L1016" i="436"/>
  <c r="L1015" i="436"/>
  <c r="H875" i="447" a="1"/>
  <c r="H875" i="447" s="1"/>
  <c r="L975" i="436"/>
  <c r="L959" i="436"/>
  <c r="N959" i="436" s="1"/>
  <c r="E958" i="436"/>
  <c r="E959" i="436" s="1"/>
  <c r="H856" i="447" a="1"/>
  <c r="H856" i="447" s="1"/>
  <c r="E939" i="436"/>
  <c r="E940" i="436" s="1"/>
  <c r="L921" i="436"/>
  <c r="N931" i="436" s="1"/>
  <c r="L920" i="436"/>
  <c r="L1051" i="436"/>
  <c r="N1051" i="436" s="1"/>
  <c r="E1050" i="436"/>
  <c r="E1051" i="436" s="1"/>
  <c r="L1032" i="436"/>
  <c r="N1032" i="436" s="1"/>
  <c r="E1031" i="436"/>
  <c r="E1032" i="436" s="1"/>
  <c r="N1013" i="436"/>
  <c r="E1012" i="436"/>
  <c r="E1013" i="436" s="1"/>
  <c r="N993" i="436"/>
  <c r="E992" i="436"/>
  <c r="E993" i="436" s="1"/>
  <c r="N973" i="436"/>
  <c r="E972" i="436"/>
  <c r="E973" i="436" s="1"/>
  <c r="N957" i="436"/>
  <c r="L956" i="436"/>
  <c r="N938" i="436"/>
  <c r="L1370" i="436"/>
  <c r="N1370" i="436" s="1"/>
  <c r="N918" i="436"/>
  <c r="L917" i="436"/>
  <c r="L1049" i="436"/>
  <c r="L1053" i="436" s="1"/>
  <c r="L1030" i="436"/>
  <c r="L1042" i="436" s="1"/>
  <c r="L1011" i="436"/>
  <c r="L1010" i="436"/>
  <c r="H711" i="447" a="1"/>
  <c r="H711" i="447" s="1"/>
  <c r="L990" i="436" s="1"/>
  <c r="L971" i="436"/>
  <c r="L970" i="436"/>
  <c r="N970" i="436" s="1"/>
  <c r="L954" i="436"/>
  <c r="H700" i="447"/>
  <c r="L935" i="436" s="1"/>
  <c r="L946" i="436" s="1"/>
  <c r="L915" i="436"/>
  <c r="L883" i="436"/>
  <c r="N883" i="436" s="1"/>
  <c r="E882" i="436"/>
  <c r="E883" i="436" s="1"/>
  <c r="L909" i="436"/>
  <c r="L887" i="436"/>
  <c r="N887" i="436" s="1"/>
  <c r="E888" i="436"/>
  <c r="E889" i="436" s="1"/>
  <c r="E886" i="436"/>
  <c r="E887" i="436" s="1"/>
  <c r="L878" i="436"/>
  <c r="L873" i="436"/>
  <c r="L868" i="436"/>
  <c r="L906" i="436"/>
  <c r="L899" i="436"/>
  <c r="H619" i="447"/>
  <c r="L892" i="436" s="1"/>
  <c r="L885" i="436"/>
  <c r="L850" i="436"/>
  <c r="L834" i="436"/>
  <c r="H586" i="447"/>
  <c r="L817" i="436" s="1"/>
  <c r="L800" i="436"/>
  <c r="L785" i="436"/>
  <c r="E771" i="436"/>
  <c r="E772" i="436" s="1"/>
  <c r="H578" i="447"/>
  <c r="L772" i="436" s="1"/>
  <c r="N772" i="436" s="1"/>
  <c r="L758" i="436"/>
  <c r="L798" i="436"/>
  <c r="L756" i="436"/>
  <c r="L861" i="436"/>
  <c r="L860" i="436"/>
  <c r="L845" i="436"/>
  <c r="L844" i="436"/>
  <c r="L829" i="436"/>
  <c r="L828" i="436"/>
  <c r="L267" i="436"/>
  <c r="N267" i="436" s="1"/>
  <c r="H15" i="441"/>
  <c r="I15" i="441"/>
  <c r="J15" i="441"/>
  <c r="H505" i="447"/>
  <c r="L812" i="436" s="1"/>
  <c r="H458" i="447"/>
  <c r="L811" i="436" s="1"/>
  <c r="L796" i="436"/>
  <c r="L795" i="436"/>
  <c r="L783" i="436"/>
  <c r="L782" i="436"/>
  <c r="H495" i="447"/>
  <c r="L770" i="436" s="1"/>
  <c r="H448" i="447"/>
  <c r="L769" i="436" s="1"/>
  <c r="L754" i="436"/>
  <c r="L753" i="436"/>
  <c r="L858" i="436"/>
  <c r="L842" i="436"/>
  <c r="L826" i="436"/>
  <c r="L825" i="436"/>
  <c r="H397" i="447" a="1"/>
  <c r="H397" i="447" s="1"/>
  <c r="L809" i="436" s="1"/>
  <c r="L793" i="436"/>
  <c r="L792" i="436"/>
  <c r="L780" i="436"/>
  <c r="L779" i="436"/>
  <c r="H382" i="447" a="1"/>
  <c r="H382" i="447" s="1"/>
  <c r="L767" i="436" s="1"/>
  <c r="L751" i="436"/>
  <c r="L750" i="436"/>
  <c r="L425" i="436"/>
  <c r="L423" i="436"/>
  <c r="L404" i="436"/>
  <c r="H365" i="447"/>
  <c r="L409" i="436" s="1"/>
  <c r="H364" i="447"/>
  <c r="L411" i="436" s="1"/>
  <c r="H363" i="447"/>
  <c r="L407" i="436" s="1"/>
  <c r="H356" i="447"/>
  <c r="L397" i="436" s="1"/>
  <c r="H355" i="447"/>
  <c r="L395" i="436" s="1"/>
  <c r="L384" i="436"/>
  <c r="N384" i="436" s="1"/>
  <c r="E383" i="436"/>
  <c r="E384" i="436" s="1"/>
  <c r="H251" i="447"/>
  <c r="L382" i="436" s="1"/>
  <c r="H242" i="447"/>
  <c r="L369" i="436" s="1"/>
  <c r="H241" i="447"/>
  <c r="L367" i="436" s="1"/>
  <c r="L356" i="436"/>
  <c r="L360" i="436" s="1"/>
  <c r="N360" i="436" s="1"/>
  <c r="E338" i="436"/>
  <c r="E339" i="436" s="1"/>
  <c r="H237" i="447"/>
  <c r="L358" i="436" s="1"/>
  <c r="L361" i="436" s="1"/>
  <c r="N361" i="436" s="1"/>
  <c r="H233" i="447"/>
  <c r="L350" i="436" s="1"/>
  <c r="N350" i="436" s="1"/>
  <c r="H229" i="447"/>
  <c r="L339" i="436" s="1"/>
  <c r="N339" i="436" s="1"/>
  <c r="H228" i="447"/>
  <c r="L337" i="436" s="1"/>
  <c r="L335" i="436"/>
  <c r="L420" i="436"/>
  <c r="L405" i="436"/>
  <c r="L393" i="436"/>
  <c r="L378" i="436"/>
  <c r="L387" i="436" s="1"/>
  <c r="N387" i="436" s="1"/>
  <c r="H190" i="447"/>
  <c r="L377" i="436" s="1"/>
  <c r="N377" i="436" s="1"/>
  <c r="L365" i="436"/>
  <c r="L364" i="436"/>
  <c r="E359" i="436"/>
  <c r="E360" i="436" s="1"/>
  <c r="E361" i="436" s="1"/>
  <c r="E357" i="436"/>
  <c r="E358" i="436" s="1"/>
  <c r="E355" i="436"/>
  <c r="E356" i="436" s="1"/>
  <c r="D354" i="436"/>
  <c r="D355" i="436" s="1"/>
  <c r="D356" i="436" s="1"/>
  <c r="D357" i="436" s="1"/>
  <c r="D358" i="436" s="1"/>
  <c r="D359" i="436" s="1"/>
  <c r="D360" i="436" s="1"/>
  <c r="D361" i="436" s="1"/>
  <c r="H178" i="447"/>
  <c r="L348" i="436" s="1"/>
  <c r="N348" i="436" s="1"/>
  <c r="E351" i="436"/>
  <c r="E352" i="436" s="1"/>
  <c r="E353" i="436" s="1"/>
  <c r="E354" i="436" s="1"/>
  <c r="E349" i="436"/>
  <c r="E350" i="436" s="1"/>
  <c r="E347" i="436"/>
  <c r="E348" i="436" s="1"/>
  <c r="D346" i="436"/>
  <c r="D347" i="436" s="1"/>
  <c r="D348" i="436" s="1"/>
  <c r="D349" i="436" s="1"/>
  <c r="D350" i="436" s="1"/>
  <c r="D351" i="436" s="1"/>
  <c r="D352" i="436" s="1"/>
  <c r="D353" i="436" s="1"/>
  <c r="L333" i="436"/>
  <c r="N333" i="436" s="1"/>
  <c r="L332" i="436"/>
  <c r="L341" i="436" s="1"/>
  <c r="L325" i="436"/>
  <c r="D320" i="436"/>
  <c r="L315" i="436"/>
  <c r="L313" i="436"/>
  <c r="L302" i="436"/>
  <c r="L291" i="436"/>
  <c r="L280" i="436"/>
  <c r="F2423" i="447"/>
  <c r="H2395" i="447"/>
  <c r="L317" i="436" s="1"/>
  <c r="H2384" i="447"/>
  <c r="L306" i="436" s="1"/>
  <c r="H2351" i="447"/>
  <c r="L295" i="436" s="1"/>
  <c r="H2333" i="447"/>
  <c r="L284" i="436" s="1"/>
  <c r="H144" i="447"/>
  <c r="L322" i="436" s="1"/>
  <c r="L304" i="436"/>
  <c r="L293" i="436"/>
  <c r="L1157" i="436" l="1"/>
  <c r="L1147" i="436"/>
  <c r="L1172" i="436"/>
  <c r="N1172" i="436" s="1"/>
  <c r="L1161" i="436"/>
  <c r="E46" i="448"/>
  <c r="E27" i="448"/>
  <c r="E44" i="448"/>
  <c r="E26" i="448"/>
  <c r="E29" i="448"/>
  <c r="E43" i="448"/>
  <c r="E25" i="448"/>
  <c r="E42" i="448"/>
  <c r="E24" i="448"/>
  <c r="E40" i="448"/>
  <c r="E41" i="448"/>
  <c r="E23" i="448"/>
  <c r="E47" i="448"/>
  <c r="E28" i="448"/>
  <c r="E9" i="448"/>
  <c r="E21" i="448"/>
  <c r="E39" i="448"/>
  <c r="E10" i="448"/>
  <c r="E31" i="448"/>
  <c r="E20" i="448"/>
  <c r="E17" i="448"/>
  <c r="E38" i="448"/>
  <c r="E12" i="448"/>
  <c r="E48" i="448"/>
  <c r="E13" i="448"/>
  <c r="E15" i="448"/>
  <c r="E33" i="448"/>
  <c r="E11" i="448"/>
  <c r="E19" i="448"/>
  <c r="E37" i="448"/>
  <c r="E50" i="448"/>
  <c r="E16" i="448"/>
  <c r="E49" i="448"/>
  <c r="E32" i="448"/>
  <c r="E22" i="448"/>
  <c r="E35" i="448"/>
  <c r="E45" i="448"/>
  <c r="E30" i="448"/>
  <c r="E34" i="448"/>
  <c r="E14" i="448"/>
  <c r="E36" i="448"/>
  <c r="E18" i="448"/>
  <c r="C2" i="448"/>
  <c r="E6" i="448"/>
  <c r="E3" i="448"/>
  <c r="E8" i="448"/>
  <c r="E7" i="448"/>
  <c r="E5" i="448"/>
  <c r="E4" i="448"/>
  <c r="L1140" i="436"/>
  <c r="N1140" i="436" s="1"/>
  <c r="L1088" i="436"/>
  <c r="N1088" i="436" s="1"/>
  <c r="L1080" i="436"/>
  <c r="L1134" i="436"/>
  <c r="L1081" i="436"/>
  <c r="L1139" i="436"/>
  <c r="N1139" i="436" s="1"/>
  <c r="L1082" i="436"/>
  <c r="L1089" i="436" s="1"/>
  <c r="N1089" i="436" s="1"/>
  <c r="L1104" i="436"/>
  <c r="N1170" i="436"/>
  <c r="L1171" i="436"/>
  <c r="N1171" i="436" s="1"/>
  <c r="N1142" i="436"/>
  <c r="L1069" i="436"/>
  <c r="L1025" i="436"/>
  <c r="L1078" i="436"/>
  <c r="L1087" i="436" s="1"/>
  <c r="N1087" i="436" s="1"/>
  <c r="L1044" i="436"/>
  <c r="L1043" i="436"/>
  <c r="L1054" i="436"/>
  <c r="L1023" i="436"/>
  <c r="L1024" i="436"/>
  <c r="L930" i="436"/>
  <c r="L950" i="436"/>
  <c r="N950" i="436" s="1"/>
  <c r="L1004" i="436"/>
  <c r="N1004" i="436" s="1"/>
  <c r="L985" i="436"/>
  <c r="L966" i="436"/>
  <c r="N966" i="436" s="1"/>
  <c r="L967" i="436"/>
  <c r="N967" i="436" s="1"/>
  <c r="L983" i="436"/>
  <c r="L951" i="436"/>
  <c r="N951" i="436" s="1"/>
  <c r="L984" i="436"/>
  <c r="N984" i="436" s="1"/>
  <c r="L965" i="436"/>
  <c r="N965" i="436" s="1"/>
  <c r="L929" i="436"/>
  <c r="N929" i="436" s="1"/>
  <c r="L932" i="436"/>
  <c r="L948" i="436"/>
  <c r="L1001" i="436"/>
  <c r="L1007" i="436" s="1"/>
  <c r="L996" i="436"/>
  <c r="L940" i="436"/>
  <c r="L949" i="436" s="1"/>
  <c r="L995" i="436"/>
  <c r="L937" i="436"/>
  <c r="L991" i="436"/>
  <c r="L1003" i="436" s="1"/>
  <c r="L889" i="436"/>
  <c r="N889" i="436" s="1"/>
  <c r="L776" i="436"/>
  <c r="N776" i="436" s="1"/>
  <c r="L808" i="436"/>
  <c r="L766" i="436"/>
  <c r="L386" i="436"/>
  <c r="H250" i="447"/>
  <c r="L380" i="436" s="1"/>
  <c r="L390" i="436"/>
  <c r="N390" i="436" s="1"/>
  <c r="N356" i="436"/>
  <c r="N358" i="436"/>
  <c r="L345" i="436"/>
  <c r="N345" i="436" s="1"/>
  <c r="L352" i="436"/>
  <c r="N352" i="436" s="1"/>
  <c r="L353" i="436"/>
  <c r="N353" i="436" s="1"/>
  <c r="L342" i="436"/>
  <c r="N342" i="436" s="1"/>
  <c r="L282" i="436"/>
  <c r="L283" i="436" s="1"/>
  <c r="L311" i="436"/>
  <c r="L300" i="436"/>
  <c r="L305" i="436" s="1"/>
  <c r="L289" i="436"/>
  <c r="L294" i="436" s="1"/>
  <c r="L278" i="436"/>
  <c r="E240" i="436"/>
  <c r="E241" i="436" s="1"/>
  <c r="E242" i="436" s="1"/>
  <c r="E245" i="436" s="1"/>
  <c r="H67" i="447" a="1"/>
  <c r="H67" i="447" s="1"/>
  <c r="L263" i="436" s="1"/>
  <c r="L269" i="436" s="1"/>
  <c r="N269" i="436" s="1"/>
  <c r="H58" i="447" a="1"/>
  <c r="H58" i="447" s="1"/>
  <c r="L255" i="436" s="1"/>
  <c r="L260" i="436" s="1"/>
  <c r="N260" i="436" s="1"/>
  <c r="H52" i="447" a="1"/>
  <c r="H52" i="447" s="1"/>
  <c r="L247" i="436" s="1"/>
  <c r="L252" i="436" s="1"/>
  <c r="N252" i="436" s="1"/>
  <c r="H46" i="447" a="1"/>
  <c r="H46" i="447" s="1"/>
  <c r="L239" i="436" s="1"/>
  <c r="L244" i="436" s="1"/>
  <c r="N244" i="436" s="1"/>
  <c r="H40" i="447" a="1"/>
  <c r="H40" i="447" s="1"/>
  <c r="L231" i="436" s="1"/>
  <c r="L236" i="436" s="1"/>
  <c r="N236" i="436" s="1"/>
  <c r="H31" i="447" a="1"/>
  <c r="H31" i="447" s="1"/>
  <c r="L223" i="436" s="1"/>
  <c r="E262" i="436"/>
  <c r="E263" i="436" s="1"/>
  <c r="D261" i="436"/>
  <c r="D262" i="436" s="1"/>
  <c r="D263" i="436" s="1"/>
  <c r="E261" i="436"/>
  <c r="E254" i="436"/>
  <c r="E255" i="436" s="1"/>
  <c r="D253" i="436"/>
  <c r="D254" i="436" s="1"/>
  <c r="D255" i="436" s="1"/>
  <c r="L168" i="436"/>
  <c r="E253" i="436"/>
  <c r="E246" i="436"/>
  <c r="E247" i="436" s="1"/>
  <c r="D245" i="436"/>
  <c r="D246" i="436" s="1"/>
  <c r="D247" i="436" s="1"/>
  <c r="E238" i="436"/>
  <c r="E239" i="436" s="1"/>
  <c r="D237" i="436"/>
  <c r="D238" i="436" s="1"/>
  <c r="D239" i="436" s="1"/>
  <c r="D240" i="436" s="1"/>
  <c r="D241" i="436" s="1"/>
  <c r="D242" i="436" s="1"/>
  <c r="D243" i="436" s="1"/>
  <c r="D244" i="436" s="1"/>
  <c r="E232" i="436"/>
  <c r="E233" i="436" s="1"/>
  <c r="E230" i="436"/>
  <c r="E231" i="436" s="1"/>
  <c r="D229" i="436"/>
  <c r="D230" i="436" s="1"/>
  <c r="D231" i="436" s="1"/>
  <c r="D232" i="436" s="1"/>
  <c r="D233" i="436" s="1"/>
  <c r="D234" i="436" s="1"/>
  <c r="D235" i="436" s="1"/>
  <c r="D236" i="436" s="1"/>
  <c r="E224" i="436"/>
  <c r="E225" i="436" s="1"/>
  <c r="E222" i="436"/>
  <c r="E223" i="436" s="1"/>
  <c r="D221" i="436"/>
  <c r="D222" i="436" s="1"/>
  <c r="D223" i="436" s="1"/>
  <c r="D224" i="436" s="1"/>
  <c r="D225" i="436" s="1"/>
  <c r="D226" i="436" s="1"/>
  <c r="D227" i="436" s="1"/>
  <c r="D228" i="436" s="1"/>
  <c r="D270" i="436"/>
  <c r="E271" i="436"/>
  <c r="E272" i="436" s="1"/>
  <c r="E273" i="436" s="1"/>
  <c r="E274" i="436" s="1"/>
  <c r="C220" i="436"/>
  <c r="C221" i="436" s="1"/>
  <c r="C222" i="436" s="1"/>
  <c r="C223" i="436" s="1"/>
  <c r="C224" i="436" s="1"/>
  <c r="C225" i="436" s="1"/>
  <c r="C226" i="436" s="1"/>
  <c r="C227" i="436" s="1"/>
  <c r="C228" i="436" s="1"/>
  <c r="L166" i="436"/>
  <c r="D33" i="441"/>
  <c r="L274" i="436" s="1"/>
  <c r="N274" i="436" s="1"/>
  <c r="D32" i="441"/>
  <c r="L273" i="436" s="1"/>
  <c r="N273" i="436" s="1"/>
  <c r="D31" i="441"/>
  <c r="L272" i="436" s="1"/>
  <c r="N272" i="436" s="1"/>
  <c r="B19" i="441"/>
  <c r="B21" i="441" s="1"/>
  <c r="B22" i="441"/>
  <c r="J14" i="441" s="1"/>
  <c r="M118" i="446"/>
  <c r="L1141" i="436" l="1"/>
  <c r="N1141" i="436" s="1"/>
  <c r="L1131" i="436"/>
  <c r="B39" i="441"/>
  <c r="C48" i="441" s="1"/>
  <c r="E48" i="441" s="1"/>
  <c r="L228" i="436"/>
  <c r="N228" i="436" s="1"/>
  <c r="B51" i="441"/>
  <c r="B89" i="441"/>
  <c r="B76" i="441"/>
  <c r="B63" i="441"/>
  <c r="B102" i="441"/>
  <c r="C52" i="448"/>
  <c r="C53" i="448" s="1"/>
  <c r="I14" i="441"/>
  <c r="H14" i="441"/>
  <c r="G14" i="441"/>
  <c r="L265" i="436" s="1"/>
  <c r="N265" i="436" s="1"/>
  <c r="F14" i="441"/>
  <c r="L257" i="436" s="1"/>
  <c r="N257" i="436" s="1"/>
  <c r="E14" i="441"/>
  <c r="L249" i="436" s="1"/>
  <c r="N249" i="436" s="1"/>
  <c r="D14" i="441"/>
  <c r="L241" i="436" s="1"/>
  <c r="N241" i="436" s="1"/>
  <c r="C14" i="441"/>
  <c r="L233" i="436" s="1"/>
  <c r="N233" i="436" s="1"/>
  <c r="B14" i="441"/>
  <c r="L225" i="436" s="1"/>
  <c r="N225" i="436" s="1"/>
  <c r="E2" i="448"/>
  <c r="E52" i="448" s="1"/>
  <c r="N1054" i="436"/>
  <c r="N1043" i="436"/>
  <c r="L1005" i="436"/>
  <c r="N948" i="436"/>
  <c r="L947" i="436"/>
  <c r="N940" i="436"/>
  <c r="N949" i="436"/>
  <c r="L316" i="436"/>
  <c r="L319" i="436"/>
  <c r="E234" i="436"/>
  <c r="E237" i="436" s="1"/>
  <c r="C229" i="436"/>
  <c r="C230" i="436" s="1"/>
  <c r="C231" i="436" s="1"/>
  <c r="C232" i="436" s="1"/>
  <c r="C233" i="436" s="1"/>
  <c r="E226" i="436"/>
  <c r="C45" i="441" l="1"/>
  <c r="E45" i="441" s="1"/>
  <c r="C44" i="441"/>
  <c r="E44" i="441" s="1"/>
  <c r="C47" i="441"/>
  <c r="E47" i="441" s="1"/>
  <c r="C41" i="441"/>
  <c r="E41" i="441" s="1"/>
  <c r="C43" i="441"/>
  <c r="E43" i="441" s="1"/>
  <c r="C46" i="441"/>
  <c r="E46" i="441" s="1"/>
  <c r="C42" i="441"/>
  <c r="E42" i="441" s="1"/>
  <c r="C111" i="441"/>
  <c r="E111" i="441" s="1"/>
  <c r="C92" i="441"/>
  <c r="E92" i="441" s="1"/>
  <c r="C96" i="441"/>
  <c r="E96" i="441" s="1"/>
  <c r="C110" i="441"/>
  <c r="E110" i="441" s="1"/>
  <c r="C108" i="441"/>
  <c r="E108" i="441" s="1"/>
  <c r="C104" i="441"/>
  <c r="E104" i="441" s="1"/>
  <c r="C95" i="441"/>
  <c r="E95" i="441" s="1"/>
  <c r="C93" i="441"/>
  <c r="E93" i="441" s="1"/>
  <c r="C98" i="441"/>
  <c r="E98" i="441" s="1"/>
  <c r="C97" i="441"/>
  <c r="E97" i="441" s="1"/>
  <c r="C91" i="441"/>
  <c r="E91" i="441" s="1"/>
  <c r="C106" i="441"/>
  <c r="E106" i="441" s="1"/>
  <c r="C107" i="441"/>
  <c r="E107" i="441" s="1"/>
  <c r="C94" i="441"/>
  <c r="E94" i="441" s="1"/>
  <c r="C109" i="441"/>
  <c r="E109" i="441" s="1"/>
  <c r="C105" i="441"/>
  <c r="E105" i="441" s="1"/>
  <c r="C58" i="441"/>
  <c r="E58" i="441" s="1"/>
  <c r="C59" i="441"/>
  <c r="E59" i="441" s="1"/>
  <c r="C55" i="441"/>
  <c r="E55" i="441" s="1"/>
  <c r="C57" i="441"/>
  <c r="E57" i="441" s="1"/>
  <c r="C54" i="441"/>
  <c r="E54" i="441" s="1"/>
  <c r="C60" i="441"/>
  <c r="E60" i="441" s="1"/>
  <c r="C56" i="441"/>
  <c r="E56" i="441" s="1"/>
  <c r="C53" i="441"/>
  <c r="E53" i="441" s="1"/>
  <c r="C69" i="441"/>
  <c r="E69" i="441" s="1"/>
  <c r="C71" i="441"/>
  <c r="E71" i="441" s="1"/>
  <c r="C66" i="441"/>
  <c r="E66" i="441" s="1"/>
  <c r="C67" i="441"/>
  <c r="E67" i="441" s="1"/>
  <c r="C70" i="441"/>
  <c r="E70" i="441" s="1"/>
  <c r="C68" i="441"/>
  <c r="E68" i="441" s="1"/>
  <c r="C65" i="441"/>
  <c r="E65" i="441" s="1"/>
  <c r="C72" i="441"/>
  <c r="E72" i="441" s="1"/>
  <c r="C82" i="441"/>
  <c r="E82" i="441" s="1"/>
  <c r="C81" i="441"/>
  <c r="E81" i="441" s="1"/>
  <c r="C84" i="441"/>
  <c r="E84" i="441" s="1"/>
  <c r="C79" i="441"/>
  <c r="E79" i="441" s="1"/>
  <c r="C83" i="441"/>
  <c r="E83" i="441" s="1"/>
  <c r="C85" i="441"/>
  <c r="E85" i="441" s="1"/>
  <c r="C80" i="441"/>
  <c r="E80" i="441" s="1"/>
  <c r="C78" i="441"/>
  <c r="E78" i="441" s="1"/>
  <c r="E53" i="448"/>
  <c r="E54" i="448" s="1"/>
  <c r="M1303" i="436" s="1"/>
  <c r="C234" i="436"/>
  <c r="E229" i="436"/>
  <c r="M90" i="446"/>
  <c r="N90" i="446" s="1"/>
  <c r="F49" i="441" l="1"/>
  <c r="M223" i="436" s="1"/>
  <c r="C235" i="436"/>
  <c r="C236" i="436" s="1"/>
  <c r="C237" i="436" s="1"/>
  <c r="C238" i="436" s="1"/>
  <c r="C239" i="436" s="1"/>
  <c r="C240" i="436" s="1"/>
  <c r="C241" i="436" s="1"/>
  <c r="C242" i="436" s="1"/>
  <c r="F61" i="441"/>
  <c r="M231" i="436" s="1"/>
  <c r="N231" i="436" s="1"/>
  <c r="F86" i="441"/>
  <c r="M247" i="436" s="1"/>
  <c r="N247" i="436" s="1"/>
  <c r="F73" i="441"/>
  <c r="M239" i="436" s="1"/>
  <c r="N239" i="436" s="1"/>
  <c r="F99" i="441"/>
  <c r="M255" i="436" s="1"/>
  <c r="N255" i="436" s="1"/>
  <c r="F112" i="441"/>
  <c r="M263" i="436" s="1"/>
  <c r="N263" i="436" s="1"/>
  <c r="M1201" i="436"/>
  <c r="M1221" i="436"/>
  <c r="M1211" i="436"/>
  <c r="M1284" i="436"/>
  <c r="M1261" i="436"/>
  <c r="M1188" i="436"/>
  <c r="M1238" i="436"/>
  <c r="R3" i="445"/>
  <c r="E72" i="442"/>
  <c r="C243" i="436" l="1"/>
  <c r="C244" i="436" s="1"/>
  <c r="C245" i="436" s="1"/>
  <c r="C246" i="436" s="1"/>
  <c r="C247" i="436" s="1"/>
  <c r="C253" i="436" s="1"/>
  <c r="C254" i="436" s="1"/>
  <c r="C255" i="436" s="1"/>
  <c r="C261" i="436" s="1"/>
  <c r="C262" i="436" s="1"/>
  <c r="C263" i="436" s="1"/>
  <c r="N712" i="436"/>
  <c r="I5" i="436"/>
  <c r="I4" i="436"/>
  <c r="L217" i="436" l="1"/>
  <c r="L199" i="436"/>
  <c r="L185" i="436"/>
  <c r="L172" i="436" l="1"/>
  <c r="L140" i="436"/>
  <c r="L119" i="436"/>
  <c r="L98" i="436"/>
  <c r="N118" i="446" l="1"/>
  <c r="N112" i="446"/>
  <c r="N97" i="446"/>
  <c r="N96" i="446"/>
  <c r="N95" i="446"/>
  <c r="N93" i="446"/>
  <c r="N65" i="446"/>
  <c r="N64" i="446"/>
  <c r="N62" i="446"/>
  <c r="N60" i="446"/>
  <c r="N59" i="446"/>
  <c r="E8" i="440"/>
  <c r="N122" i="446"/>
  <c r="N121" i="446"/>
  <c r="N119" i="446"/>
  <c r="M117" i="446"/>
  <c r="N117" i="446" s="1"/>
  <c r="N115" i="446"/>
  <c r="N114" i="446"/>
  <c r="N111" i="446"/>
  <c r="N109" i="446"/>
  <c r="E107" i="446"/>
  <c r="E108" i="446" s="1"/>
  <c r="E109" i="446" s="1"/>
  <c r="D106" i="446"/>
  <c r="D107" i="446" s="1"/>
  <c r="D108" i="446" s="1"/>
  <c r="D109" i="446" s="1"/>
  <c r="C105" i="446"/>
  <c r="C106" i="446" s="1"/>
  <c r="C107" i="446" s="1"/>
  <c r="C108" i="446" s="1"/>
  <c r="C109" i="446" s="1"/>
  <c r="E101" i="446"/>
  <c r="E98" i="446"/>
  <c r="E99" i="446" s="1"/>
  <c r="E100" i="446" s="1"/>
  <c r="E91" i="446"/>
  <c r="E92" i="446" s="1"/>
  <c r="E93" i="446" s="1"/>
  <c r="E94" i="446" s="1"/>
  <c r="E95" i="446" s="1"/>
  <c r="E96" i="446" s="1"/>
  <c r="E97" i="446" s="1"/>
  <c r="E78" i="446"/>
  <c r="E79" i="446" s="1"/>
  <c r="E80" i="446" s="1"/>
  <c r="E81" i="446" s="1"/>
  <c r="E82" i="446" s="1"/>
  <c r="E83" i="446" s="1"/>
  <c r="E84" i="446" s="1"/>
  <c r="E85" i="446" s="1"/>
  <c r="E86" i="446" s="1"/>
  <c r="E87" i="446" s="1"/>
  <c r="E88" i="446" s="1"/>
  <c r="E89" i="446" s="1"/>
  <c r="E90" i="446" s="1"/>
  <c r="N77" i="446"/>
  <c r="N76" i="446"/>
  <c r="N75" i="446"/>
  <c r="E73" i="446"/>
  <c r="E74" i="446" s="1"/>
  <c r="E75" i="446" s="1"/>
  <c r="E76" i="446" s="1"/>
  <c r="E77" i="446" s="1"/>
  <c r="D72" i="446"/>
  <c r="D73" i="446" s="1"/>
  <c r="D74" i="446" s="1"/>
  <c r="D75" i="446" s="1"/>
  <c r="D76" i="446" s="1"/>
  <c r="D77" i="446" s="1"/>
  <c r="D78" i="446" s="1"/>
  <c r="D79" i="446" s="1"/>
  <c r="D80" i="446" s="1"/>
  <c r="D81" i="446" s="1"/>
  <c r="D82" i="446" s="1"/>
  <c r="D83" i="446" s="1"/>
  <c r="D84" i="446" s="1"/>
  <c r="D85" i="446" s="1"/>
  <c r="D86" i="446" s="1"/>
  <c r="D87" i="446" s="1"/>
  <c r="D88" i="446" s="1"/>
  <c r="D89" i="446" s="1"/>
  <c r="E67" i="446"/>
  <c r="E68" i="446" s="1"/>
  <c r="E69" i="446" s="1"/>
  <c r="E70" i="446" s="1"/>
  <c r="E71" i="446" s="1"/>
  <c r="E72" i="446" s="1"/>
  <c r="N61" i="446"/>
  <c r="E58" i="446"/>
  <c r="E59" i="446" s="1"/>
  <c r="E60" i="446" s="1"/>
  <c r="E61" i="446" s="1"/>
  <c r="E62" i="446" s="1"/>
  <c r="E63" i="446" s="1"/>
  <c r="E64" i="446" s="1"/>
  <c r="E65" i="446" s="1"/>
  <c r="E66" i="446" s="1"/>
  <c r="E55" i="446"/>
  <c r="E56" i="446" s="1"/>
  <c r="E57" i="446" s="1"/>
  <c r="D54" i="446"/>
  <c r="D55" i="446" s="1"/>
  <c r="D56" i="446" s="1"/>
  <c r="D57" i="446" s="1"/>
  <c r="D58" i="446" s="1"/>
  <c r="D59" i="446" s="1"/>
  <c r="D60" i="446" s="1"/>
  <c r="D61" i="446" s="1"/>
  <c r="D62" i="446" s="1"/>
  <c r="D63" i="446" s="1"/>
  <c r="D64" i="446" s="1"/>
  <c r="D65" i="446" s="1"/>
  <c r="D66" i="446" s="1"/>
  <c r="D67" i="446" s="1"/>
  <c r="D68" i="446" s="1"/>
  <c r="D69" i="446" s="1"/>
  <c r="D70" i="446" s="1"/>
  <c r="D71" i="446" s="1"/>
  <c r="C53" i="446"/>
  <c r="C54" i="446" s="1"/>
  <c r="C55" i="446" s="1"/>
  <c r="C56" i="446" s="1"/>
  <c r="C57" i="446" s="1"/>
  <c r="C58" i="446" s="1"/>
  <c r="C59" i="446" s="1"/>
  <c r="C60" i="446" s="1"/>
  <c r="C61" i="446" s="1"/>
  <c r="C62" i="446" s="1"/>
  <c r="C63" i="446" s="1"/>
  <c r="C64" i="446" s="1"/>
  <c r="C65" i="446" s="1"/>
  <c r="C66" i="446" s="1"/>
  <c r="C67" i="446" s="1"/>
  <c r="C68" i="446" s="1"/>
  <c r="C69" i="446" s="1"/>
  <c r="C70" i="446" s="1"/>
  <c r="C71" i="446" s="1"/>
  <c r="C72" i="446" s="1"/>
  <c r="C73" i="446" s="1"/>
  <c r="C74" i="446" s="1"/>
  <c r="C75" i="446" s="1"/>
  <c r="C76" i="446" s="1"/>
  <c r="C77" i="446" s="1"/>
  <c r="C78" i="446" s="1"/>
  <c r="C79" i="446" s="1"/>
  <c r="C80" i="446" s="1"/>
  <c r="C81" i="446" s="1"/>
  <c r="C82" i="446" s="1"/>
  <c r="C83" i="446" s="1"/>
  <c r="C84" i="446" s="1"/>
  <c r="C85" i="446" s="1"/>
  <c r="C86" i="446" s="1"/>
  <c r="C87" i="446" s="1"/>
  <c r="C88" i="446" s="1"/>
  <c r="C89" i="446" s="1"/>
  <c r="E47" i="446"/>
  <c r="E48" i="446" s="1"/>
  <c r="E49" i="446" s="1"/>
  <c r="E34" i="446"/>
  <c r="E35" i="446" s="1"/>
  <c r="E36" i="446" s="1"/>
  <c r="E37" i="446" s="1"/>
  <c r="E38" i="446" s="1"/>
  <c r="E39" i="446" s="1"/>
  <c r="E40" i="446" s="1"/>
  <c r="E41" i="446" s="1"/>
  <c r="E42" i="446" s="1"/>
  <c r="E43" i="446" s="1"/>
  <c r="E44" i="446" s="1"/>
  <c r="E45" i="446" s="1"/>
  <c r="E46" i="446" s="1"/>
  <c r="D33" i="446"/>
  <c r="D34" i="446" s="1"/>
  <c r="D35" i="446" s="1"/>
  <c r="D36" i="446" s="1"/>
  <c r="D37" i="446" s="1"/>
  <c r="D38" i="446" s="1"/>
  <c r="D39" i="446" s="1"/>
  <c r="D40" i="446" s="1"/>
  <c r="D41" i="446" s="1"/>
  <c r="D42" i="446" s="1"/>
  <c r="D43" i="446" s="1"/>
  <c r="D44" i="446" s="1"/>
  <c r="D45" i="446" s="1"/>
  <c r="E30" i="446"/>
  <c r="E31" i="446" s="1"/>
  <c r="E32" i="446" s="1"/>
  <c r="E33" i="446" s="1"/>
  <c r="N28" i="446"/>
  <c r="E27" i="446"/>
  <c r="E28" i="446" s="1"/>
  <c r="E29" i="446" s="1"/>
  <c r="E15" i="446"/>
  <c r="E16" i="446" s="1"/>
  <c r="E17" i="446" s="1"/>
  <c r="E18" i="446" s="1"/>
  <c r="E19" i="446" s="1"/>
  <c r="E20" i="446" s="1"/>
  <c r="E21" i="446" s="1"/>
  <c r="E22" i="446" s="1"/>
  <c r="E23" i="446" s="1"/>
  <c r="E24" i="446" s="1"/>
  <c r="E25" i="446" s="1"/>
  <c r="E26" i="446" s="1"/>
  <c r="E10" i="446"/>
  <c r="E11" i="446" s="1"/>
  <c r="E12" i="446" s="1"/>
  <c r="E13" i="446" s="1"/>
  <c r="E14" i="446" s="1"/>
  <c r="D9" i="446"/>
  <c r="D10" i="446" s="1"/>
  <c r="D11" i="446" s="1"/>
  <c r="D12" i="446" s="1"/>
  <c r="D13" i="446" s="1"/>
  <c r="D14" i="446" s="1"/>
  <c r="E8" i="446"/>
  <c r="E9" i="446" s="1"/>
  <c r="D8" i="446"/>
  <c r="C8" i="446"/>
  <c r="C9" i="446" s="1"/>
  <c r="C10" i="446" s="1"/>
  <c r="B8" i="446"/>
  <c r="I8" i="446" s="1"/>
  <c r="A8" i="446"/>
  <c r="D46" i="446" l="1"/>
  <c r="D47" i="446" s="1"/>
  <c r="D48" i="446" s="1"/>
  <c r="D49" i="446" s="1"/>
  <c r="D50" i="446" s="1"/>
  <c r="D15" i="446"/>
  <c r="D16" i="446" s="1"/>
  <c r="D17" i="446" s="1"/>
  <c r="D18" i="446" s="1"/>
  <c r="D19" i="446" s="1"/>
  <c r="D20" i="446" s="1"/>
  <c r="D21" i="446" s="1"/>
  <c r="D22" i="446" s="1"/>
  <c r="D23" i="446" s="1"/>
  <c r="D24" i="446" s="1"/>
  <c r="D25" i="446" s="1"/>
  <c r="D26" i="446" s="1"/>
  <c r="D27" i="446" s="1"/>
  <c r="D28" i="446" s="1"/>
  <c r="D29" i="446" s="1"/>
  <c r="D30" i="446" s="1"/>
  <c r="D31" i="446" s="1"/>
  <c r="D32" i="446" s="1"/>
  <c r="E50" i="446"/>
  <c r="C110" i="446"/>
  <c r="C111" i="446" s="1"/>
  <c r="C112" i="446" s="1"/>
  <c r="C113" i="446" s="1"/>
  <c r="C114" i="446" s="1"/>
  <c r="C115" i="446" s="1"/>
  <c r="C116" i="446" s="1"/>
  <c r="C117" i="446" s="1"/>
  <c r="C118" i="446" s="1"/>
  <c r="C119" i="446" s="1"/>
  <c r="C120" i="446" s="1"/>
  <c r="C121" i="446" s="1"/>
  <c r="C122" i="446" s="1"/>
  <c r="C123" i="446" s="1"/>
  <c r="C124" i="446" s="1"/>
  <c r="C125" i="446" s="1"/>
  <c r="C126" i="446" s="1"/>
  <c r="C127" i="446" s="1"/>
  <c r="C128" i="446" s="1"/>
  <c r="C129" i="446" s="1"/>
  <c r="C130" i="446" s="1"/>
  <c r="C131" i="446" s="1"/>
  <c r="C132" i="446" s="1"/>
  <c r="C133" i="446" s="1"/>
  <c r="C134" i="446" s="1"/>
  <c r="C135" i="446" s="1"/>
  <c r="C136" i="446" s="1"/>
  <c r="C137" i="446" s="1"/>
  <c r="C138" i="446" s="1"/>
  <c r="C139" i="446" s="1"/>
  <c r="C140" i="446" s="1"/>
  <c r="C141" i="446" s="1"/>
  <c r="C142" i="446" s="1"/>
  <c r="C143" i="446" s="1"/>
  <c r="C144" i="446" s="1"/>
  <c r="C145" i="446" s="1"/>
  <c r="C146" i="446" s="1"/>
  <c r="C147" i="446" s="1"/>
  <c r="C148" i="446" s="1"/>
  <c r="C149" i="446" s="1"/>
  <c r="C150" i="446" s="1"/>
  <c r="C151" i="446" s="1"/>
  <c r="C152" i="446" s="1"/>
  <c r="C153" i="446" s="1"/>
  <c r="C154" i="446" s="1"/>
  <c r="C155" i="446" s="1"/>
  <c r="C156" i="446" s="1"/>
  <c r="C157" i="446" s="1"/>
  <c r="C158" i="446" s="1"/>
  <c r="C159" i="446" s="1"/>
  <c r="C160" i="446" s="1"/>
  <c r="C161" i="446" s="1"/>
  <c r="C162" i="446" s="1"/>
  <c r="C163" i="446" s="1"/>
  <c r="C164" i="446" s="1"/>
  <c r="C165" i="446" s="1"/>
  <c r="C166" i="446" s="1"/>
  <c r="C167" i="446" s="1"/>
  <c r="C168" i="446" s="1"/>
  <c r="C169" i="446" s="1"/>
  <c r="C170" i="446" s="1"/>
  <c r="C171" i="446" s="1"/>
  <c r="C172" i="446" s="1"/>
  <c r="C173" i="446" s="1"/>
  <c r="C174" i="446" s="1"/>
  <c r="C175" i="446" s="1"/>
  <c r="C176" i="446" s="1"/>
  <c r="C177" i="446" s="1"/>
  <c r="C178" i="446" s="1"/>
  <c r="C179" i="446" s="1"/>
  <c r="C180" i="446" s="1"/>
  <c r="C181" i="446" s="1"/>
  <c r="C182" i="446" s="1"/>
  <c r="C183" i="446" s="1"/>
  <c r="C184" i="446" s="1"/>
  <c r="C185" i="446" s="1"/>
  <c r="C186" i="446" s="1"/>
  <c r="C187" i="446" s="1"/>
  <c r="C188" i="446" s="1"/>
  <c r="C189" i="446" s="1"/>
  <c r="C190" i="446" s="1"/>
  <c r="C191" i="446" s="1"/>
  <c r="C192" i="446" s="1"/>
  <c r="C193" i="446" s="1"/>
  <c r="C194" i="446" s="1"/>
  <c r="C195" i="446" s="1"/>
  <c r="C196" i="446" s="1"/>
  <c r="C197" i="446" s="1"/>
  <c r="C198" i="446" s="1"/>
  <c r="C199" i="446" s="1"/>
  <c r="C200" i="446" s="1"/>
  <c r="C201" i="446" s="1"/>
  <c r="C202" i="446" s="1"/>
  <c r="C203" i="446" s="1"/>
  <c r="C204" i="446" s="1"/>
  <c r="C205" i="446" s="1"/>
  <c r="C206" i="446" s="1"/>
  <c r="C207" i="446" s="1"/>
  <c r="C208" i="446" s="1"/>
  <c r="C209" i="446" s="1"/>
  <c r="C210" i="446" s="1"/>
  <c r="C211" i="446" s="1"/>
  <c r="C212" i="446" s="1"/>
  <c r="C213" i="446" s="1"/>
  <c r="C214" i="446" s="1"/>
  <c r="C215" i="446" s="1"/>
  <c r="C216" i="446" s="1"/>
  <c r="C217" i="446" s="1"/>
  <c r="C218" i="446" s="1"/>
  <c r="C219" i="446" s="1"/>
  <c r="C220" i="446" s="1"/>
  <c r="C221" i="446" s="1"/>
  <c r="C222" i="446" s="1"/>
  <c r="C223" i="446" s="1"/>
  <c r="C224" i="446" s="1"/>
  <c r="C225" i="446" s="1"/>
  <c r="C226" i="446" s="1"/>
  <c r="C227" i="446" s="1"/>
  <c r="C228" i="446" s="1"/>
  <c r="C229" i="446" s="1"/>
  <c r="C230" i="446" s="1"/>
  <c r="C231" i="446" s="1"/>
  <c r="C232" i="446" s="1"/>
  <c r="C233" i="446" s="1"/>
  <c r="C234" i="446" s="1"/>
  <c r="C235" i="446" s="1"/>
  <c r="C236" i="446" s="1"/>
  <c r="C237" i="446" s="1"/>
  <c r="C238" i="446" s="1"/>
  <c r="C239" i="446" s="1"/>
  <c r="C240" i="446" s="1"/>
  <c r="C241" i="446" s="1"/>
  <c r="C242" i="446" s="1"/>
  <c r="C243" i="446" s="1"/>
  <c r="C244" i="446" s="1"/>
  <c r="C245" i="446" s="1"/>
  <c r="C246" i="446" s="1"/>
  <c r="C247" i="446" s="1"/>
  <c r="C248" i="446" s="1"/>
  <c r="C249" i="446" s="1"/>
  <c r="C250" i="446" s="1"/>
  <c r="C251" i="446" s="1"/>
  <c r="C252" i="446" s="1"/>
  <c r="C253" i="446" s="1"/>
  <c r="C254" i="446" s="1"/>
  <c r="C255" i="446" s="1"/>
  <c r="C256" i="446" s="1"/>
  <c r="C257" i="446" s="1"/>
  <c r="C258" i="446" s="1"/>
  <c r="C259" i="446" s="1"/>
  <c r="C260" i="446" s="1"/>
  <c r="C261" i="446" s="1"/>
  <c r="C262" i="446" s="1"/>
  <c r="C263" i="446" s="1"/>
  <c r="C264" i="446" s="1"/>
  <c r="C265" i="446" s="1"/>
  <c r="C266" i="446" s="1"/>
  <c r="C267" i="446" s="1"/>
  <c r="C268" i="446" s="1"/>
  <c r="C269" i="446" s="1"/>
  <c r="C270" i="446" s="1"/>
  <c r="C271" i="446" s="1"/>
  <c r="C272" i="446" s="1"/>
  <c r="C273" i="446" s="1"/>
  <c r="C274" i="446" s="1"/>
  <c r="C275" i="446" s="1"/>
  <c r="C276" i="446" s="1"/>
  <c r="C277" i="446" s="1"/>
  <c r="C278" i="446" s="1"/>
  <c r="C279" i="446" s="1"/>
  <c r="C280" i="446" s="1"/>
  <c r="C281" i="446" s="1"/>
  <c r="C282" i="446" s="1"/>
  <c r="C283" i="446" s="1"/>
  <c r="C284" i="446" s="1"/>
  <c r="C285" i="446" s="1"/>
  <c r="C286" i="446" s="1"/>
  <c r="C287" i="446" s="1"/>
  <c r="C288" i="446" s="1"/>
  <c r="C289" i="446" s="1"/>
  <c r="C290" i="446" s="1"/>
  <c r="C291" i="446" s="1"/>
  <c r="C292" i="446" s="1"/>
  <c r="C293" i="446" s="1"/>
  <c r="C294" i="446" s="1"/>
  <c r="C295" i="446" s="1"/>
  <c r="C296" i="446" s="1"/>
  <c r="C297" i="446" s="1"/>
  <c r="C298" i="446" s="1"/>
  <c r="C299" i="446" s="1"/>
  <c r="C300" i="446" s="1"/>
  <c r="C301" i="446" s="1"/>
  <c r="C302" i="446" s="1"/>
  <c r="C303" i="446" s="1"/>
  <c r="C304" i="446" s="1"/>
  <c r="C305" i="446" s="1"/>
  <c r="C306" i="446" s="1"/>
  <c r="C307" i="446" s="1"/>
  <c r="C308" i="446" s="1"/>
  <c r="C309" i="446" s="1"/>
  <c r="C310" i="446" s="1"/>
  <c r="C311" i="446" s="1"/>
  <c r="C312" i="446" s="1"/>
  <c r="C313" i="446" s="1"/>
  <c r="C314" i="446" s="1"/>
  <c r="C315" i="446" s="1"/>
  <c r="C316" i="446" s="1"/>
  <c r="C317" i="446" s="1"/>
  <c r="C318" i="446" s="1"/>
  <c r="C319" i="446" s="1"/>
  <c r="C320" i="446" s="1"/>
  <c r="C321" i="446" s="1"/>
  <c r="C322" i="446" s="1"/>
  <c r="C323" i="446" s="1"/>
  <c r="C324" i="446" s="1"/>
  <c r="C325" i="446" s="1"/>
  <c r="C326" i="446" s="1"/>
  <c r="C327" i="446" s="1"/>
  <c r="C328" i="446" s="1"/>
  <c r="C329" i="446" s="1"/>
  <c r="C330" i="446" s="1"/>
  <c r="C331" i="446" s="1"/>
  <c r="C332" i="446" s="1"/>
  <c r="C333" i="446" s="1"/>
  <c r="C334" i="446" s="1"/>
  <c r="C335" i="446" s="1"/>
  <c r="C336" i="446" s="1"/>
  <c r="C337" i="446" s="1"/>
  <c r="C338" i="446" s="1"/>
  <c r="C339" i="446" s="1"/>
  <c r="C340" i="446" s="1"/>
  <c r="C341" i="446" s="1"/>
  <c r="C342" i="446" s="1"/>
  <c r="C343" i="446" s="1"/>
  <c r="C344" i="446" s="1"/>
  <c r="C345" i="446" s="1"/>
  <c r="C346" i="446" s="1"/>
  <c r="C347" i="446" s="1"/>
  <c r="C348" i="446" s="1"/>
  <c r="C349" i="446" s="1"/>
  <c r="C350" i="446" s="1"/>
  <c r="C351" i="446" s="1"/>
  <c r="C352" i="446" s="1"/>
  <c r="C353" i="446" s="1"/>
  <c r="C354" i="446" s="1"/>
  <c r="C355" i="446" s="1"/>
  <c r="C356" i="446" s="1"/>
  <c r="C357" i="446" s="1"/>
  <c r="C358" i="446" s="1"/>
  <c r="C359" i="446" s="1"/>
  <c r="C360" i="446" s="1"/>
  <c r="C361" i="446" s="1"/>
  <c r="C362" i="446" s="1"/>
  <c r="C363" i="446" s="1"/>
  <c r="C364" i="446" s="1"/>
  <c r="C365" i="446" s="1"/>
  <c r="C366" i="446" s="1"/>
  <c r="C367" i="446" s="1"/>
  <c r="C368" i="446" s="1"/>
  <c r="C369" i="446" s="1"/>
  <c r="C370" i="446" s="1"/>
  <c r="C371" i="446" s="1"/>
  <c r="C372" i="446" s="1"/>
  <c r="C373" i="446" s="1"/>
  <c r="C374" i="446" s="1"/>
  <c r="C375" i="446" s="1"/>
  <c r="C376" i="446" s="1"/>
  <c r="C377" i="446" s="1"/>
  <c r="C378" i="446" s="1"/>
  <c r="C379" i="446" s="1"/>
  <c r="C380" i="446" s="1"/>
  <c r="C381" i="446" s="1"/>
  <c r="C382" i="446" s="1"/>
  <c r="C383" i="446" s="1"/>
  <c r="C384" i="446" s="1"/>
  <c r="C385" i="446" s="1"/>
  <c r="C386" i="446" s="1"/>
  <c r="C387" i="446" s="1"/>
  <c r="C388" i="446" s="1"/>
  <c r="C389" i="446" s="1"/>
  <c r="C390" i="446" s="1"/>
  <c r="C391" i="446" s="1"/>
  <c r="C392" i="446" s="1"/>
  <c r="C393" i="446" s="1"/>
  <c r="C394" i="446" s="1"/>
  <c r="C395" i="446" s="1"/>
  <c r="C396" i="446" s="1"/>
  <c r="C397" i="446" s="1"/>
  <c r="C398" i="446" s="1"/>
  <c r="C399" i="446" s="1"/>
  <c r="C400" i="446" s="1"/>
  <c r="C401" i="446" s="1"/>
  <c r="C402" i="446" s="1"/>
  <c r="C403" i="446" s="1"/>
  <c r="C404" i="446" s="1"/>
  <c r="C405" i="446" s="1"/>
  <c r="C406" i="446" s="1"/>
  <c r="C407" i="446" s="1"/>
  <c r="C408" i="446" s="1"/>
  <c r="C409" i="446" s="1"/>
  <c r="C410" i="446" s="1"/>
  <c r="C411" i="446" s="1"/>
  <c r="C412" i="446" s="1"/>
  <c r="C413" i="446" s="1"/>
  <c r="C414" i="446" s="1"/>
  <c r="C415" i="446" s="1"/>
  <c r="C416" i="446" s="1"/>
  <c r="C417" i="446" s="1"/>
  <c r="C418" i="446" s="1"/>
  <c r="C419" i="446" s="1"/>
  <c r="C420" i="446" s="1"/>
  <c r="C421" i="446" s="1"/>
  <c r="C422" i="446" s="1"/>
  <c r="C423" i="446" s="1"/>
  <c r="C424" i="446" s="1"/>
  <c r="C425" i="446" s="1"/>
  <c r="C426" i="446" s="1"/>
  <c r="C427" i="446" s="1"/>
  <c r="C428" i="446" s="1"/>
  <c r="C429" i="446" s="1"/>
  <c r="C430" i="446" s="1"/>
  <c r="C431" i="446" s="1"/>
  <c r="C432" i="446" s="1"/>
  <c r="C433" i="446" s="1"/>
  <c r="C434" i="446" s="1"/>
  <c r="C435" i="446" s="1"/>
  <c r="C436" i="446" s="1"/>
  <c r="C437" i="446" s="1"/>
  <c r="C438" i="446" s="1"/>
  <c r="C439" i="446" s="1"/>
  <c r="C440" i="446" s="1"/>
  <c r="C441" i="446" s="1"/>
  <c r="C442" i="446" s="1"/>
  <c r="C443" i="446" s="1"/>
  <c r="C444" i="446" s="1"/>
  <c r="C445" i="446" s="1"/>
  <c r="C446" i="446" s="1"/>
  <c r="C447" i="446" s="1"/>
  <c r="C448" i="446" s="1"/>
  <c r="C449" i="446" s="1"/>
  <c r="C450" i="446" s="1"/>
  <c r="C451" i="446" s="1"/>
  <c r="C452" i="446" s="1"/>
  <c r="C453" i="446" s="1"/>
  <c r="C454" i="446" s="1"/>
  <c r="C455" i="446" s="1"/>
  <c r="C456" i="446" s="1"/>
  <c r="C457" i="446" s="1"/>
  <c r="C458" i="446" s="1"/>
  <c r="C459" i="446" s="1"/>
  <c r="C460" i="446" s="1"/>
  <c r="C461" i="446" s="1"/>
  <c r="C462" i="446" s="1"/>
  <c r="C463" i="446" s="1"/>
  <c r="C464" i="446" s="1"/>
  <c r="C465" i="446" s="1"/>
  <c r="C466" i="446" s="1"/>
  <c r="C467" i="446" s="1"/>
  <c r="C468" i="446" s="1"/>
  <c r="C469" i="446" s="1"/>
  <c r="C470" i="446" s="1"/>
  <c r="C471" i="446" s="1"/>
  <c r="C472" i="446" s="1"/>
  <c r="C473" i="446" s="1"/>
  <c r="C474" i="446" s="1"/>
  <c r="C475" i="446" s="1"/>
  <c r="C476" i="446" s="1"/>
  <c r="C477" i="446" s="1"/>
  <c r="C478" i="446" s="1"/>
  <c r="C479" i="446" s="1"/>
  <c r="C480" i="446" s="1"/>
  <c r="C481" i="446" s="1"/>
  <c r="C482" i="446" s="1"/>
  <c r="C483" i="446" s="1"/>
  <c r="C484" i="446" s="1"/>
  <c r="C485" i="446" s="1"/>
  <c r="C486" i="446" s="1"/>
  <c r="C487" i="446" s="1"/>
  <c r="C488" i="446" s="1"/>
  <c r="C489" i="446" s="1"/>
  <c r="C490" i="446" s="1"/>
  <c r="C491" i="446" s="1"/>
  <c r="C492" i="446" s="1"/>
  <c r="C493" i="446" s="1"/>
  <c r="C494" i="446" s="1"/>
  <c r="C495" i="446" s="1"/>
  <c r="C496" i="446" s="1"/>
  <c r="C497" i="446" s="1"/>
  <c r="C498" i="446" s="1"/>
  <c r="C499" i="446" s="1"/>
  <c r="C500" i="446" s="1"/>
  <c r="C501" i="446" s="1"/>
  <c r="C502" i="446" s="1"/>
  <c r="C503" i="446" s="1"/>
  <c r="C504" i="446" s="1"/>
  <c r="C505" i="446" s="1"/>
  <c r="C506" i="446" s="1"/>
  <c r="C507" i="446" s="1"/>
  <c r="C508" i="446" s="1"/>
  <c r="C509" i="446" s="1"/>
  <c r="C510" i="446" s="1"/>
  <c r="C511" i="446" s="1"/>
  <c r="C512" i="446" s="1"/>
  <c r="C513" i="446" s="1"/>
  <c r="C514" i="446" s="1"/>
  <c r="C515" i="446" s="1"/>
  <c r="C516" i="446" s="1"/>
  <c r="C517" i="446" s="1"/>
  <c r="C518" i="446" s="1"/>
  <c r="C519" i="446" s="1"/>
  <c r="C520" i="446" s="1"/>
  <c r="C521" i="446" s="1"/>
  <c r="C522" i="446" s="1"/>
  <c r="C523" i="446" s="1"/>
  <c r="C524" i="446" s="1"/>
  <c r="C525" i="446" s="1"/>
  <c r="C526" i="446" s="1"/>
  <c r="C527" i="446" s="1"/>
  <c r="C528" i="446" s="1"/>
  <c r="C529" i="446" s="1"/>
  <c r="C530" i="446" s="1"/>
  <c r="C531" i="446" s="1"/>
  <c r="C532" i="446" s="1"/>
  <c r="C533" i="446" s="1"/>
  <c r="C534" i="446" s="1"/>
  <c r="C535" i="446" s="1"/>
  <c r="C536" i="446" s="1"/>
  <c r="C537" i="446" s="1"/>
  <c r="C538" i="446" s="1"/>
  <c r="C539" i="446" s="1"/>
  <c r="C540" i="446" s="1"/>
  <c r="C541" i="446" s="1"/>
  <c r="C542" i="446" s="1"/>
  <c r="C543" i="446" s="1"/>
  <c r="C544" i="446" s="1"/>
  <c r="C545" i="446" s="1"/>
  <c r="C546" i="446" s="1"/>
  <c r="C547" i="446" s="1"/>
  <c r="C548" i="446" s="1"/>
  <c r="C549" i="446" s="1"/>
  <c r="C550" i="446" s="1"/>
  <c r="C551" i="446" s="1"/>
  <c r="C552" i="446" s="1"/>
  <c r="C553" i="446" s="1"/>
  <c r="C554" i="446" s="1"/>
  <c r="C555" i="446" s="1"/>
  <c r="C556" i="446" s="1"/>
  <c r="C557" i="446" s="1"/>
  <c r="C558" i="446" s="1"/>
  <c r="C559" i="446" s="1"/>
  <c r="C560" i="446" s="1"/>
  <c r="C561" i="446" s="1"/>
  <c r="C562" i="446" s="1"/>
  <c r="C563" i="446" s="1"/>
  <c r="C564" i="446" s="1"/>
  <c r="C565" i="446" s="1"/>
  <c r="C566" i="446" s="1"/>
  <c r="C567" i="446" s="1"/>
  <c r="C568" i="446" s="1"/>
  <c r="C569" i="446" s="1"/>
  <c r="C570" i="446" s="1"/>
  <c r="C571" i="446" s="1"/>
  <c r="C572" i="446" s="1"/>
  <c r="C573" i="446" s="1"/>
  <c r="C574" i="446" s="1"/>
  <c r="C575" i="446" s="1"/>
  <c r="C576" i="446" s="1"/>
  <c r="C577" i="446" s="1"/>
  <c r="C578" i="446" s="1"/>
  <c r="C579" i="446" s="1"/>
  <c r="C580" i="446" s="1"/>
  <c r="C581" i="446" s="1"/>
  <c r="C582" i="446" s="1"/>
  <c r="C583" i="446" s="1"/>
  <c r="C584" i="446" s="1"/>
  <c r="C585" i="446" s="1"/>
  <c r="C586" i="446" s="1"/>
  <c r="C587" i="446" s="1"/>
  <c r="C588" i="446" s="1"/>
  <c r="C589" i="446" s="1"/>
  <c r="C590" i="446" s="1"/>
  <c r="C591" i="446" s="1"/>
  <c r="C592" i="446" s="1"/>
  <c r="C593" i="446" s="1"/>
  <c r="C594" i="446" s="1"/>
  <c r="C595" i="446" s="1"/>
  <c r="C596" i="446" s="1"/>
  <c r="C597" i="446" s="1"/>
  <c r="C598" i="446" s="1"/>
  <c r="C599" i="446" s="1"/>
  <c r="C600" i="446" s="1"/>
  <c r="C601" i="446" s="1"/>
  <c r="C602" i="446" s="1"/>
  <c r="C603" i="446" s="1"/>
  <c r="C604" i="446" s="1"/>
  <c r="C605" i="446" s="1"/>
  <c r="C606" i="446" s="1"/>
  <c r="C607" i="446" s="1"/>
  <c r="C608" i="446" s="1"/>
  <c r="C609" i="446" s="1"/>
  <c r="C610" i="446" s="1"/>
  <c r="C611" i="446" s="1"/>
  <c r="C612" i="446" s="1"/>
  <c r="C613" i="446" s="1"/>
  <c r="C614" i="446" s="1"/>
  <c r="C615" i="446" s="1"/>
  <c r="C616" i="446" s="1"/>
  <c r="C617" i="446" s="1"/>
  <c r="C618" i="446" s="1"/>
  <c r="C619" i="446" s="1"/>
  <c r="C620" i="446" s="1"/>
  <c r="C621" i="446" s="1"/>
  <c r="C622" i="446" s="1"/>
  <c r="C623" i="446" s="1"/>
  <c r="C624" i="446" s="1"/>
  <c r="C625" i="446" s="1"/>
  <c r="C626" i="446" s="1"/>
  <c r="C627" i="446" s="1"/>
  <c r="C628" i="446" s="1"/>
  <c r="C629" i="446" s="1"/>
  <c r="C630" i="446" s="1"/>
  <c r="C631" i="446" s="1"/>
  <c r="C632" i="446" s="1"/>
  <c r="C633" i="446" s="1"/>
  <c r="C634" i="446" s="1"/>
  <c r="C635" i="446" s="1"/>
  <c r="C636" i="446" s="1"/>
  <c r="C637" i="446" s="1"/>
  <c r="C638" i="446" s="1"/>
  <c r="C639" i="446" s="1"/>
  <c r="C640" i="446" s="1"/>
  <c r="C641" i="446" s="1"/>
  <c r="C642" i="446" s="1"/>
  <c r="C643" i="446" s="1"/>
  <c r="C644" i="446" s="1"/>
  <c r="C645" i="446" s="1"/>
  <c r="C646" i="446" s="1"/>
  <c r="C647" i="446" s="1"/>
  <c r="C648" i="446" s="1"/>
  <c r="C649" i="446" s="1"/>
  <c r="C650" i="446" s="1"/>
  <c r="C651" i="446" s="1"/>
  <c r="C652" i="446" s="1"/>
  <c r="C653" i="446" s="1"/>
  <c r="C654" i="446" s="1"/>
  <c r="C655" i="446" s="1"/>
  <c r="C656" i="446" s="1"/>
  <c r="C657" i="446" s="1"/>
  <c r="C658" i="446" s="1"/>
  <c r="C659" i="446" s="1"/>
  <c r="C660" i="446" s="1"/>
  <c r="C661" i="446" s="1"/>
  <c r="C662" i="446" s="1"/>
  <c r="C663" i="446" s="1"/>
  <c r="C664" i="446" s="1"/>
  <c r="C665" i="446" s="1"/>
  <c r="C666" i="446" s="1"/>
  <c r="C667" i="446" s="1"/>
  <c r="C668" i="446" s="1"/>
  <c r="C669" i="446" s="1"/>
  <c r="C670" i="446" s="1"/>
  <c r="C671" i="446" s="1"/>
  <c r="C672" i="446" s="1"/>
  <c r="C673" i="446" s="1"/>
  <c r="C674" i="446" s="1"/>
  <c r="C675" i="446" s="1"/>
  <c r="C676" i="446" s="1"/>
  <c r="C677" i="446" s="1"/>
  <c r="C678" i="446" s="1"/>
  <c r="C679" i="446" s="1"/>
  <c r="C680" i="446" s="1"/>
  <c r="C681" i="446" s="1"/>
  <c r="C682" i="446" s="1"/>
  <c r="C683" i="446" s="1"/>
  <c r="C684" i="446" s="1"/>
  <c r="C685" i="446" s="1"/>
  <c r="C686" i="446" s="1"/>
  <c r="C687" i="446" s="1"/>
  <c r="C688" i="446" s="1"/>
  <c r="C689" i="446" s="1"/>
  <c r="C690" i="446" s="1"/>
  <c r="C691" i="446" s="1"/>
  <c r="C692" i="446" s="1"/>
  <c r="C693" i="446" s="1"/>
  <c r="C694" i="446" s="1"/>
  <c r="C695" i="446" s="1"/>
  <c r="C696" i="446" s="1"/>
  <c r="C697" i="446" s="1"/>
  <c r="C698" i="446" s="1"/>
  <c r="C699" i="446" s="1"/>
  <c r="C700" i="446" s="1"/>
  <c r="C701" i="446" s="1"/>
  <c r="C702" i="446" s="1"/>
  <c r="C703" i="446" s="1"/>
  <c r="C704" i="446" s="1"/>
  <c r="C705" i="446" s="1"/>
  <c r="C706" i="446" s="1"/>
  <c r="C707" i="446" s="1"/>
  <c r="C708" i="446" s="1"/>
  <c r="C709" i="446" s="1"/>
  <c r="C710" i="446" s="1"/>
  <c r="C711" i="446" s="1"/>
  <c r="C712" i="446" s="1"/>
  <c r="C713" i="446" s="1"/>
  <c r="C714" i="446" s="1"/>
  <c r="C715" i="446" s="1"/>
  <c r="C716" i="446" s="1"/>
  <c r="C717" i="446" s="1"/>
  <c r="C718" i="446" s="1"/>
  <c r="C719" i="446" s="1"/>
  <c r="C720" i="446" s="1"/>
  <c r="C721" i="446" s="1"/>
  <c r="C722" i="446" s="1"/>
  <c r="C723" i="446" s="1"/>
  <c r="C724" i="446" s="1"/>
  <c r="C725" i="446" s="1"/>
  <c r="C726" i="446" s="1"/>
  <c r="C727" i="446" s="1"/>
  <c r="C728" i="446" s="1"/>
  <c r="C729" i="446" s="1"/>
  <c r="C730" i="446" s="1"/>
  <c r="C731" i="446" s="1"/>
  <c r="C732" i="446" s="1"/>
  <c r="C733" i="446" s="1"/>
  <c r="C734" i="446" s="1"/>
  <c r="C735" i="446" s="1"/>
  <c r="C736" i="446" s="1"/>
  <c r="C737" i="446" s="1"/>
  <c r="C738" i="446" s="1"/>
  <c r="C739" i="446" s="1"/>
  <c r="C740" i="446" s="1"/>
  <c r="C741" i="446" s="1"/>
  <c r="C742" i="446" s="1"/>
  <c r="C743" i="446" s="1"/>
  <c r="C744" i="446" s="1"/>
  <c r="C745" i="446" s="1"/>
  <c r="C746" i="446" s="1"/>
  <c r="C747" i="446" s="1"/>
  <c r="C748" i="446" s="1"/>
  <c r="C749" i="446" s="1"/>
  <c r="C750" i="446" s="1"/>
  <c r="C751" i="446" s="1"/>
  <c r="C752" i="446" s="1"/>
  <c r="C753" i="446" s="1"/>
  <c r="C754" i="446" s="1"/>
  <c r="C755" i="446" s="1"/>
  <c r="C756" i="446" s="1"/>
  <c r="C757" i="446" s="1"/>
  <c r="C758" i="446" s="1"/>
  <c r="C759" i="446" s="1"/>
  <c r="C760" i="446" s="1"/>
  <c r="D110" i="446"/>
  <c r="D111" i="446" s="1"/>
  <c r="D112" i="446" s="1"/>
  <c r="D113" i="446" s="1"/>
  <c r="D114" i="446" s="1"/>
  <c r="D115" i="446" s="1"/>
  <c r="D116" i="446" s="1"/>
  <c r="D117" i="446" s="1"/>
  <c r="D118" i="446" s="1"/>
  <c r="D119" i="446" s="1"/>
  <c r="D120" i="446" s="1"/>
  <c r="D121" i="446" s="1"/>
  <c r="D122" i="446" s="1"/>
  <c r="D123" i="446" s="1"/>
  <c r="D124" i="446" s="1"/>
  <c r="D125" i="446" s="1"/>
  <c r="D126" i="446" s="1"/>
  <c r="D127" i="446" s="1"/>
  <c r="D128" i="446" s="1"/>
  <c r="D129" i="446" s="1"/>
  <c r="D130" i="446" s="1"/>
  <c r="D131" i="446" s="1"/>
  <c r="D132" i="446" s="1"/>
  <c r="D133" i="446" s="1"/>
  <c r="D134" i="446" s="1"/>
  <c r="D135" i="446" s="1"/>
  <c r="D136" i="446" s="1"/>
  <c r="D137" i="446" s="1"/>
  <c r="D138" i="446" s="1"/>
  <c r="D139" i="446" s="1"/>
  <c r="D140" i="446" s="1"/>
  <c r="D141" i="446" s="1"/>
  <c r="D142" i="446" s="1"/>
  <c r="D143" i="446" s="1"/>
  <c r="D144" i="446" s="1"/>
  <c r="D145" i="446" s="1"/>
  <c r="D146" i="446" s="1"/>
  <c r="D147" i="446" s="1"/>
  <c r="D148" i="446" s="1"/>
  <c r="D149" i="446" s="1"/>
  <c r="D150" i="446" s="1"/>
  <c r="D151" i="446" s="1"/>
  <c r="D152" i="446" s="1"/>
  <c r="D153" i="446" s="1"/>
  <c r="D154" i="446" s="1"/>
  <c r="D155" i="446" s="1"/>
  <c r="D156" i="446" s="1"/>
  <c r="D157" i="446" s="1"/>
  <c r="D158" i="446" s="1"/>
  <c r="D159" i="446" s="1"/>
  <c r="D160" i="446" s="1"/>
  <c r="D161" i="446" s="1"/>
  <c r="D162" i="446" s="1"/>
  <c r="D163" i="446" s="1"/>
  <c r="D164" i="446" s="1"/>
  <c r="D165" i="446" s="1"/>
  <c r="D166" i="446" s="1"/>
  <c r="D167" i="446" s="1"/>
  <c r="D168" i="446" s="1"/>
  <c r="D169" i="446" s="1"/>
  <c r="D170" i="446" s="1"/>
  <c r="D171" i="446" s="1"/>
  <c r="D172" i="446" s="1"/>
  <c r="D173" i="446" s="1"/>
  <c r="D174" i="446" s="1"/>
  <c r="D175" i="446" s="1"/>
  <c r="D176" i="446" s="1"/>
  <c r="D177" i="446" s="1"/>
  <c r="D178" i="446" s="1"/>
  <c r="D179" i="446" s="1"/>
  <c r="D180" i="446" s="1"/>
  <c r="D181" i="446" s="1"/>
  <c r="D182" i="446" s="1"/>
  <c r="D183" i="446" s="1"/>
  <c r="D184" i="446" s="1"/>
  <c r="D185" i="446" s="1"/>
  <c r="D186" i="446" s="1"/>
  <c r="D187" i="446" s="1"/>
  <c r="D188" i="446" s="1"/>
  <c r="D189" i="446" s="1"/>
  <c r="D190" i="446" s="1"/>
  <c r="D191" i="446" s="1"/>
  <c r="D192" i="446" s="1"/>
  <c r="D193" i="446" s="1"/>
  <c r="D194" i="446" s="1"/>
  <c r="D195" i="446" s="1"/>
  <c r="D196" i="446" s="1"/>
  <c r="D197" i="446" s="1"/>
  <c r="D198" i="446" s="1"/>
  <c r="D199" i="446" s="1"/>
  <c r="D200" i="446" s="1"/>
  <c r="D201" i="446" s="1"/>
  <c r="D202" i="446" s="1"/>
  <c r="D203" i="446" s="1"/>
  <c r="D204" i="446" s="1"/>
  <c r="D205" i="446" s="1"/>
  <c r="D206" i="446" s="1"/>
  <c r="D207" i="446" s="1"/>
  <c r="D208" i="446" s="1"/>
  <c r="D209" i="446" s="1"/>
  <c r="D210" i="446" s="1"/>
  <c r="D211" i="446" s="1"/>
  <c r="D212" i="446" s="1"/>
  <c r="D213" i="446" s="1"/>
  <c r="D214" i="446" s="1"/>
  <c r="D215" i="446" s="1"/>
  <c r="D216" i="446" s="1"/>
  <c r="D217" i="446" s="1"/>
  <c r="D218" i="446" s="1"/>
  <c r="D219" i="446" s="1"/>
  <c r="D220" i="446" s="1"/>
  <c r="D221" i="446" s="1"/>
  <c r="D222" i="446" s="1"/>
  <c r="D223" i="446" s="1"/>
  <c r="D224" i="446" s="1"/>
  <c r="D225" i="446" s="1"/>
  <c r="D226" i="446" s="1"/>
  <c r="D227" i="446" s="1"/>
  <c r="D228" i="446" s="1"/>
  <c r="D229" i="446" s="1"/>
  <c r="D230" i="446" s="1"/>
  <c r="D231" i="446" s="1"/>
  <c r="D232" i="446" s="1"/>
  <c r="D233" i="446" s="1"/>
  <c r="D234" i="446" s="1"/>
  <c r="D235" i="446" s="1"/>
  <c r="D236" i="446" s="1"/>
  <c r="D237" i="446" s="1"/>
  <c r="D238" i="446" s="1"/>
  <c r="D239" i="446" s="1"/>
  <c r="D240" i="446" s="1"/>
  <c r="D241" i="446" s="1"/>
  <c r="D242" i="446" s="1"/>
  <c r="D243" i="446" s="1"/>
  <c r="D244" i="446" s="1"/>
  <c r="D245" i="446" s="1"/>
  <c r="D246" i="446" s="1"/>
  <c r="D247" i="446" s="1"/>
  <c r="D248" i="446" s="1"/>
  <c r="D249" i="446" s="1"/>
  <c r="D250" i="446" s="1"/>
  <c r="D251" i="446" s="1"/>
  <c r="D252" i="446" s="1"/>
  <c r="D253" i="446" s="1"/>
  <c r="D254" i="446" s="1"/>
  <c r="D255" i="446" s="1"/>
  <c r="D256" i="446" s="1"/>
  <c r="D257" i="446" s="1"/>
  <c r="D258" i="446" s="1"/>
  <c r="D259" i="446" s="1"/>
  <c r="D260" i="446" s="1"/>
  <c r="D261" i="446" s="1"/>
  <c r="D262" i="446" s="1"/>
  <c r="D263" i="446" s="1"/>
  <c r="D264" i="446" s="1"/>
  <c r="D265" i="446" s="1"/>
  <c r="D266" i="446" s="1"/>
  <c r="D267" i="446" s="1"/>
  <c r="D268" i="446" s="1"/>
  <c r="D269" i="446" s="1"/>
  <c r="D270" i="446" s="1"/>
  <c r="D271" i="446" s="1"/>
  <c r="D272" i="446" s="1"/>
  <c r="D273" i="446" s="1"/>
  <c r="D274" i="446" s="1"/>
  <c r="D275" i="446" s="1"/>
  <c r="D276" i="446" s="1"/>
  <c r="D277" i="446" s="1"/>
  <c r="D278" i="446" s="1"/>
  <c r="D279" i="446" s="1"/>
  <c r="D280" i="446" s="1"/>
  <c r="D281" i="446" s="1"/>
  <c r="D282" i="446" s="1"/>
  <c r="D283" i="446" s="1"/>
  <c r="D284" i="446" s="1"/>
  <c r="D285" i="446" s="1"/>
  <c r="D286" i="446" s="1"/>
  <c r="D287" i="446" s="1"/>
  <c r="D288" i="446" s="1"/>
  <c r="D289" i="446" s="1"/>
  <c r="D290" i="446" s="1"/>
  <c r="D291" i="446" s="1"/>
  <c r="D292" i="446" s="1"/>
  <c r="D293" i="446" s="1"/>
  <c r="D294" i="446" s="1"/>
  <c r="D295" i="446" s="1"/>
  <c r="D296" i="446" s="1"/>
  <c r="D297" i="446" s="1"/>
  <c r="D298" i="446" s="1"/>
  <c r="D299" i="446" s="1"/>
  <c r="D300" i="446" s="1"/>
  <c r="D301" i="446" s="1"/>
  <c r="D302" i="446" s="1"/>
  <c r="D303" i="446" s="1"/>
  <c r="D304" i="446" s="1"/>
  <c r="D305" i="446" s="1"/>
  <c r="D306" i="446" s="1"/>
  <c r="D307" i="446" s="1"/>
  <c r="D308" i="446" s="1"/>
  <c r="D309" i="446" s="1"/>
  <c r="D310" i="446" s="1"/>
  <c r="D311" i="446" s="1"/>
  <c r="D312" i="446" s="1"/>
  <c r="D313" i="446" s="1"/>
  <c r="D314" i="446" s="1"/>
  <c r="D315" i="446" s="1"/>
  <c r="D316" i="446" s="1"/>
  <c r="D317" i="446" s="1"/>
  <c r="D318" i="446" s="1"/>
  <c r="D319" i="446" s="1"/>
  <c r="D320" i="446" s="1"/>
  <c r="D321" i="446" s="1"/>
  <c r="D322" i="446" s="1"/>
  <c r="D323" i="446" s="1"/>
  <c r="D324" i="446" s="1"/>
  <c r="D325" i="446" s="1"/>
  <c r="D326" i="446" s="1"/>
  <c r="D327" i="446" s="1"/>
  <c r="D328" i="446" s="1"/>
  <c r="D329" i="446" s="1"/>
  <c r="D330" i="446" s="1"/>
  <c r="D331" i="446" s="1"/>
  <c r="D332" i="446" s="1"/>
  <c r="D333" i="446" s="1"/>
  <c r="D334" i="446" s="1"/>
  <c r="D335" i="446" s="1"/>
  <c r="D336" i="446" s="1"/>
  <c r="D337" i="446" s="1"/>
  <c r="D338" i="446" s="1"/>
  <c r="D339" i="446" s="1"/>
  <c r="D340" i="446" s="1"/>
  <c r="D341" i="446" s="1"/>
  <c r="D342" i="446" s="1"/>
  <c r="D343" i="446" s="1"/>
  <c r="D344" i="446" s="1"/>
  <c r="D345" i="446" s="1"/>
  <c r="D346" i="446" s="1"/>
  <c r="D347" i="446" s="1"/>
  <c r="D348" i="446" s="1"/>
  <c r="D349" i="446" s="1"/>
  <c r="D350" i="446" s="1"/>
  <c r="D351" i="446" s="1"/>
  <c r="D352" i="446" s="1"/>
  <c r="D353" i="446" s="1"/>
  <c r="D354" i="446" s="1"/>
  <c r="D355" i="446" s="1"/>
  <c r="D356" i="446" s="1"/>
  <c r="D357" i="446" s="1"/>
  <c r="D358" i="446" s="1"/>
  <c r="D359" i="446" s="1"/>
  <c r="D360" i="446" s="1"/>
  <c r="D361" i="446" s="1"/>
  <c r="D362" i="446" s="1"/>
  <c r="D363" i="446" s="1"/>
  <c r="D364" i="446" s="1"/>
  <c r="D365" i="446" s="1"/>
  <c r="D366" i="446" s="1"/>
  <c r="D367" i="446" s="1"/>
  <c r="D368" i="446" s="1"/>
  <c r="D369" i="446" s="1"/>
  <c r="D370" i="446" s="1"/>
  <c r="D371" i="446" s="1"/>
  <c r="D372" i="446" s="1"/>
  <c r="D373" i="446" s="1"/>
  <c r="D374" i="446" s="1"/>
  <c r="D375" i="446" s="1"/>
  <c r="D376" i="446" s="1"/>
  <c r="D377" i="446" s="1"/>
  <c r="D378" i="446" s="1"/>
  <c r="D379" i="446" s="1"/>
  <c r="D380" i="446" s="1"/>
  <c r="D381" i="446" s="1"/>
  <c r="D382" i="446" s="1"/>
  <c r="D383" i="446" s="1"/>
  <c r="D384" i="446" s="1"/>
  <c r="D385" i="446" s="1"/>
  <c r="D386" i="446" s="1"/>
  <c r="D387" i="446" s="1"/>
  <c r="D388" i="446" s="1"/>
  <c r="D389" i="446" s="1"/>
  <c r="D390" i="446" s="1"/>
  <c r="D391" i="446" s="1"/>
  <c r="D392" i="446" s="1"/>
  <c r="D393" i="446" s="1"/>
  <c r="D394" i="446" s="1"/>
  <c r="D395" i="446" s="1"/>
  <c r="D396" i="446" s="1"/>
  <c r="D397" i="446" s="1"/>
  <c r="D398" i="446" s="1"/>
  <c r="D399" i="446" s="1"/>
  <c r="D400" i="446" s="1"/>
  <c r="D401" i="446" s="1"/>
  <c r="D402" i="446" s="1"/>
  <c r="D403" i="446" s="1"/>
  <c r="D404" i="446" s="1"/>
  <c r="D405" i="446" s="1"/>
  <c r="D406" i="446" s="1"/>
  <c r="D407" i="446" s="1"/>
  <c r="D408" i="446" s="1"/>
  <c r="D409" i="446" s="1"/>
  <c r="D410" i="446" s="1"/>
  <c r="D411" i="446" s="1"/>
  <c r="D412" i="446" s="1"/>
  <c r="D413" i="446" s="1"/>
  <c r="D414" i="446" s="1"/>
  <c r="D415" i="446" s="1"/>
  <c r="D416" i="446" s="1"/>
  <c r="D417" i="446" s="1"/>
  <c r="D418" i="446" s="1"/>
  <c r="D419" i="446" s="1"/>
  <c r="D420" i="446" s="1"/>
  <c r="D421" i="446" s="1"/>
  <c r="D422" i="446" s="1"/>
  <c r="D423" i="446" s="1"/>
  <c r="D424" i="446" s="1"/>
  <c r="D425" i="446" s="1"/>
  <c r="D426" i="446" s="1"/>
  <c r="D427" i="446" s="1"/>
  <c r="D428" i="446" s="1"/>
  <c r="D429" i="446" s="1"/>
  <c r="D430" i="446" s="1"/>
  <c r="D431" i="446" s="1"/>
  <c r="D432" i="446" s="1"/>
  <c r="D433" i="446" s="1"/>
  <c r="D434" i="446" s="1"/>
  <c r="D435" i="446" s="1"/>
  <c r="D436" i="446" s="1"/>
  <c r="D437" i="446" s="1"/>
  <c r="D438" i="446" s="1"/>
  <c r="D439" i="446" s="1"/>
  <c r="D440" i="446" s="1"/>
  <c r="D441" i="446" s="1"/>
  <c r="D442" i="446" s="1"/>
  <c r="D443" i="446" s="1"/>
  <c r="D444" i="446" s="1"/>
  <c r="D445" i="446" s="1"/>
  <c r="D446" i="446" s="1"/>
  <c r="D447" i="446" s="1"/>
  <c r="D448" i="446" s="1"/>
  <c r="D449" i="446" s="1"/>
  <c r="D450" i="446" s="1"/>
  <c r="D451" i="446" s="1"/>
  <c r="D452" i="446" s="1"/>
  <c r="D453" i="446" s="1"/>
  <c r="D454" i="446" s="1"/>
  <c r="D455" i="446" s="1"/>
  <c r="D456" i="446" s="1"/>
  <c r="D457" i="446" s="1"/>
  <c r="D458" i="446" s="1"/>
  <c r="D459" i="446" s="1"/>
  <c r="D460" i="446" s="1"/>
  <c r="D461" i="446" s="1"/>
  <c r="D462" i="446" s="1"/>
  <c r="D463" i="446" s="1"/>
  <c r="D464" i="446" s="1"/>
  <c r="D465" i="446" s="1"/>
  <c r="D466" i="446" s="1"/>
  <c r="D467" i="446" s="1"/>
  <c r="D468" i="446" s="1"/>
  <c r="D469" i="446" s="1"/>
  <c r="D470" i="446" s="1"/>
  <c r="D471" i="446" s="1"/>
  <c r="D472" i="446" s="1"/>
  <c r="D473" i="446" s="1"/>
  <c r="D474" i="446" s="1"/>
  <c r="D475" i="446" s="1"/>
  <c r="D476" i="446" s="1"/>
  <c r="D477" i="446" s="1"/>
  <c r="D478" i="446" s="1"/>
  <c r="D479" i="446" s="1"/>
  <c r="D480" i="446" s="1"/>
  <c r="D481" i="446" s="1"/>
  <c r="D482" i="446" s="1"/>
  <c r="D483" i="446" s="1"/>
  <c r="D484" i="446" s="1"/>
  <c r="D485" i="446" s="1"/>
  <c r="D486" i="446" s="1"/>
  <c r="D487" i="446" s="1"/>
  <c r="D488" i="446" s="1"/>
  <c r="D489" i="446" s="1"/>
  <c r="D490" i="446" s="1"/>
  <c r="D491" i="446" s="1"/>
  <c r="D492" i="446" s="1"/>
  <c r="D493" i="446" s="1"/>
  <c r="D494" i="446" s="1"/>
  <c r="D495" i="446" s="1"/>
  <c r="D496" i="446" s="1"/>
  <c r="D497" i="446" s="1"/>
  <c r="D498" i="446" s="1"/>
  <c r="D499" i="446" s="1"/>
  <c r="D500" i="446" s="1"/>
  <c r="D501" i="446" s="1"/>
  <c r="D502" i="446" s="1"/>
  <c r="D503" i="446" s="1"/>
  <c r="D504" i="446" s="1"/>
  <c r="D505" i="446" s="1"/>
  <c r="D506" i="446" s="1"/>
  <c r="D507" i="446" s="1"/>
  <c r="D508" i="446" s="1"/>
  <c r="D509" i="446" s="1"/>
  <c r="D510" i="446" s="1"/>
  <c r="D511" i="446" s="1"/>
  <c r="D512" i="446" s="1"/>
  <c r="D513" i="446" s="1"/>
  <c r="D514" i="446" s="1"/>
  <c r="D515" i="446" s="1"/>
  <c r="D516" i="446" s="1"/>
  <c r="D517" i="446" s="1"/>
  <c r="D518" i="446" s="1"/>
  <c r="D519" i="446" s="1"/>
  <c r="D520" i="446" s="1"/>
  <c r="D521" i="446" s="1"/>
  <c r="D522" i="446" s="1"/>
  <c r="D523" i="446" s="1"/>
  <c r="D524" i="446" s="1"/>
  <c r="D525" i="446" s="1"/>
  <c r="D526" i="446" s="1"/>
  <c r="D527" i="446" s="1"/>
  <c r="D528" i="446" s="1"/>
  <c r="D529" i="446" s="1"/>
  <c r="D530" i="446" s="1"/>
  <c r="D531" i="446" s="1"/>
  <c r="D532" i="446" s="1"/>
  <c r="D533" i="446" s="1"/>
  <c r="D534" i="446" s="1"/>
  <c r="D535" i="446" s="1"/>
  <c r="D536" i="446" s="1"/>
  <c r="D537" i="446" s="1"/>
  <c r="D538" i="446" s="1"/>
  <c r="D539" i="446" s="1"/>
  <c r="D540" i="446" s="1"/>
  <c r="D541" i="446" s="1"/>
  <c r="D542" i="446" s="1"/>
  <c r="D543" i="446" s="1"/>
  <c r="D544" i="446" s="1"/>
  <c r="D545" i="446" s="1"/>
  <c r="D546" i="446" s="1"/>
  <c r="D547" i="446" s="1"/>
  <c r="D548" i="446" s="1"/>
  <c r="D549" i="446" s="1"/>
  <c r="D550" i="446" s="1"/>
  <c r="D551" i="446" s="1"/>
  <c r="D552" i="446" s="1"/>
  <c r="D553" i="446" s="1"/>
  <c r="D554" i="446" s="1"/>
  <c r="D555" i="446" s="1"/>
  <c r="D556" i="446" s="1"/>
  <c r="D557" i="446" s="1"/>
  <c r="D558" i="446" s="1"/>
  <c r="D559" i="446" s="1"/>
  <c r="D560" i="446" s="1"/>
  <c r="D561" i="446" s="1"/>
  <c r="D562" i="446" s="1"/>
  <c r="D563" i="446" s="1"/>
  <c r="D564" i="446" s="1"/>
  <c r="D565" i="446" s="1"/>
  <c r="D566" i="446" s="1"/>
  <c r="D567" i="446" s="1"/>
  <c r="D568" i="446" s="1"/>
  <c r="D569" i="446" s="1"/>
  <c r="D570" i="446" s="1"/>
  <c r="D571" i="446" s="1"/>
  <c r="D572" i="446" s="1"/>
  <c r="D573" i="446" s="1"/>
  <c r="D574" i="446" s="1"/>
  <c r="D575" i="446" s="1"/>
  <c r="D576" i="446" s="1"/>
  <c r="D577" i="446" s="1"/>
  <c r="D578" i="446" s="1"/>
  <c r="D579" i="446" s="1"/>
  <c r="D580" i="446" s="1"/>
  <c r="D581" i="446" s="1"/>
  <c r="D582" i="446" s="1"/>
  <c r="D583" i="446" s="1"/>
  <c r="D584" i="446" s="1"/>
  <c r="D585" i="446" s="1"/>
  <c r="D586" i="446" s="1"/>
  <c r="D587" i="446" s="1"/>
  <c r="D588" i="446" s="1"/>
  <c r="D589" i="446" s="1"/>
  <c r="D590" i="446" s="1"/>
  <c r="D591" i="446" s="1"/>
  <c r="D592" i="446" s="1"/>
  <c r="D593" i="446" s="1"/>
  <c r="D594" i="446" s="1"/>
  <c r="D595" i="446" s="1"/>
  <c r="D596" i="446" s="1"/>
  <c r="D597" i="446" s="1"/>
  <c r="D598" i="446" s="1"/>
  <c r="D599" i="446" s="1"/>
  <c r="D600" i="446" s="1"/>
  <c r="D601" i="446" s="1"/>
  <c r="D602" i="446" s="1"/>
  <c r="D603" i="446" s="1"/>
  <c r="D604" i="446" s="1"/>
  <c r="D605" i="446" s="1"/>
  <c r="D606" i="446" s="1"/>
  <c r="D607" i="446" s="1"/>
  <c r="D608" i="446" s="1"/>
  <c r="D609" i="446" s="1"/>
  <c r="D610" i="446" s="1"/>
  <c r="D611" i="446" s="1"/>
  <c r="D612" i="446" s="1"/>
  <c r="D613" i="446" s="1"/>
  <c r="D614" i="446" s="1"/>
  <c r="D615" i="446" s="1"/>
  <c r="D616" i="446" s="1"/>
  <c r="D617" i="446" s="1"/>
  <c r="D618" i="446" s="1"/>
  <c r="D619" i="446" s="1"/>
  <c r="D620" i="446" s="1"/>
  <c r="D621" i="446" s="1"/>
  <c r="D622" i="446" s="1"/>
  <c r="D623" i="446" s="1"/>
  <c r="D624" i="446" s="1"/>
  <c r="D625" i="446" s="1"/>
  <c r="D626" i="446" s="1"/>
  <c r="D627" i="446" s="1"/>
  <c r="D628" i="446" s="1"/>
  <c r="D629" i="446" s="1"/>
  <c r="D630" i="446" s="1"/>
  <c r="D631" i="446" s="1"/>
  <c r="D632" i="446" s="1"/>
  <c r="D633" i="446" s="1"/>
  <c r="D634" i="446" s="1"/>
  <c r="D635" i="446" s="1"/>
  <c r="D636" i="446" s="1"/>
  <c r="D637" i="446" s="1"/>
  <c r="D638" i="446" s="1"/>
  <c r="D639" i="446" s="1"/>
  <c r="D640" i="446" s="1"/>
  <c r="D641" i="446" s="1"/>
  <c r="D642" i="446" s="1"/>
  <c r="D643" i="446" s="1"/>
  <c r="D644" i="446" s="1"/>
  <c r="D645" i="446" s="1"/>
  <c r="D646" i="446" s="1"/>
  <c r="D647" i="446" s="1"/>
  <c r="D648" i="446" s="1"/>
  <c r="D649" i="446" s="1"/>
  <c r="D650" i="446" s="1"/>
  <c r="D651" i="446" s="1"/>
  <c r="D652" i="446" s="1"/>
  <c r="D653" i="446" s="1"/>
  <c r="D654" i="446" s="1"/>
  <c r="D655" i="446" s="1"/>
  <c r="D656" i="446" s="1"/>
  <c r="D657" i="446" s="1"/>
  <c r="D658" i="446" s="1"/>
  <c r="D659" i="446" s="1"/>
  <c r="D660" i="446" s="1"/>
  <c r="D661" i="446" s="1"/>
  <c r="D662" i="446" s="1"/>
  <c r="D663" i="446" s="1"/>
  <c r="D664" i="446" s="1"/>
  <c r="D665" i="446" s="1"/>
  <c r="D666" i="446" s="1"/>
  <c r="D667" i="446" s="1"/>
  <c r="D668" i="446" s="1"/>
  <c r="D669" i="446" s="1"/>
  <c r="D670" i="446" s="1"/>
  <c r="D671" i="446" s="1"/>
  <c r="D672" i="446" s="1"/>
  <c r="D673" i="446" s="1"/>
  <c r="D674" i="446" s="1"/>
  <c r="D675" i="446" s="1"/>
  <c r="D676" i="446" s="1"/>
  <c r="D677" i="446" s="1"/>
  <c r="D678" i="446" s="1"/>
  <c r="D679" i="446" s="1"/>
  <c r="D680" i="446" s="1"/>
  <c r="D681" i="446" s="1"/>
  <c r="D682" i="446" s="1"/>
  <c r="D683" i="446" s="1"/>
  <c r="D684" i="446" s="1"/>
  <c r="D685" i="446" s="1"/>
  <c r="D686" i="446" s="1"/>
  <c r="D687" i="446" s="1"/>
  <c r="D688" i="446" s="1"/>
  <c r="D689" i="446" s="1"/>
  <c r="D690" i="446" s="1"/>
  <c r="D691" i="446" s="1"/>
  <c r="D692" i="446" s="1"/>
  <c r="D693" i="446" s="1"/>
  <c r="D694" i="446" s="1"/>
  <c r="D695" i="446" s="1"/>
  <c r="D696" i="446" s="1"/>
  <c r="D697" i="446" s="1"/>
  <c r="D698" i="446" s="1"/>
  <c r="D699" i="446" s="1"/>
  <c r="D700" i="446" s="1"/>
  <c r="D701" i="446" s="1"/>
  <c r="D702" i="446" s="1"/>
  <c r="D703" i="446" s="1"/>
  <c r="D704" i="446" s="1"/>
  <c r="D705" i="446" s="1"/>
  <c r="D706" i="446" s="1"/>
  <c r="D707" i="446" s="1"/>
  <c r="D708" i="446" s="1"/>
  <c r="D709" i="446" s="1"/>
  <c r="D710" i="446" s="1"/>
  <c r="D711" i="446" s="1"/>
  <c r="D712" i="446" s="1"/>
  <c r="D713" i="446" s="1"/>
  <c r="D714" i="446" s="1"/>
  <c r="D715" i="446" s="1"/>
  <c r="D716" i="446" s="1"/>
  <c r="D717" i="446" s="1"/>
  <c r="D718" i="446" s="1"/>
  <c r="D719" i="446" s="1"/>
  <c r="D720" i="446" s="1"/>
  <c r="D721" i="446" s="1"/>
  <c r="D722" i="446" s="1"/>
  <c r="D723" i="446" s="1"/>
  <c r="D724" i="446" s="1"/>
  <c r="D725" i="446" s="1"/>
  <c r="D726" i="446" s="1"/>
  <c r="D727" i="446" s="1"/>
  <c r="D728" i="446" s="1"/>
  <c r="D729" i="446" s="1"/>
  <c r="D730" i="446" s="1"/>
  <c r="D731" i="446" s="1"/>
  <c r="D732" i="446" s="1"/>
  <c r="D733" i="446" s="1"/>
  <c r="D734" i="446" s="1"/>
  <c r="D735" i="446" s="1"/>
  <c r="D736" i="446" s="1"/>
  <c r="D737" i="446" s="1"/>
  <c r="D738" i="446" s="1"/>
  <c r="D739" i="446" s="1"/>
  <c r="D740" i="446" s="1"/>
  <c r="D741" i="446" s="1"/>
  <c r="D742" i="446" s="1"/>
  <c r="D743" i="446" s="1"/>
  <c r="D744" i="446" s="1"/>
  <c r="D745" i="446" s="1"/>
  <c r="D746" i="446" s="1"/>
  <c r="D747" i="446" s="1"/>
  <c r="D748" i="446" s="1"/>
  <c r="D749" i="446" s="1"/>
  <c r="D750" i="446" s="1"/>
  <c r="D751" i="446" s="1"/>
  <c r="D752" i="446" s="1"/>
  <c r="D753" i="446" s="1"/>
  <c r="D754" i="446" s="1"/>
  <c r="D755" i="446" s="1"/>
  <c r="D756" i="446" s="1"/>
  <c r="D757" i="446" s="1"/>
  <c r="D758" i="446" s="1"/>
  <c r="D759" i="446" s="1"/>
  <c r="D760" i="446" s="1"/>
  <c r="E110" i="446"/>
  <c r="E111" i="446" s="1"/>
  <c r="E112" i="446" s="1"/>
  <c r="E113" i="446" s="1"/>
  <c r="E114" i="446" s="1"/>
  <c r="E115" i="446" s="1"/>
  <c r="E116" i="446" s="1"/>
  <c r="E117" i="446" s="1"/>
  <c r="E118" i="446" s="1"/>
  <c r="E119" i="446" s="1"/>
  <c r="E120" i="446" s="1"/>
  <c r="E121" i="446" s="1"/>
  <c r="E122" i="446" s="1"/>
  <c r="E123" i="446" s="1"/>
  <c r="E124" i="446" s="1"/>
  <c r="E125" i="446" s="1"/>
  <c r="E126" i="446" s="1"/>
  <c r="E127" i="446" s="1"/>
  <c r="E128" i="446" s="1"/>
  <c r="E129" i="446" s="1"/>
  <c r="E130" i="446" s="1"/>
  <c r="E131" i="446" s="1"/>
  <c r="E132" i="446" s="1"/>
  <c r="E133" i="446" s="1"/>
  <c r="E134" i="446" s="1"/>
  <c r="E135" i="446" s="1"/>
  <c r="E136" i="446" s="1"/>
  <c r="E137" i="446" s="1"/>
  <c r="E138" i="446" s="1"/>
  <c r="E139" i="446" s="1"/>
  <c r="E140" i="446" s="1"/>
  <c r="E141" i="446" s="1"/>
  <c r="E142" i="446" s="1"/>
  <c r="E143" i="446" s="1"/>
  <c r="E144" i="446" s="1"/>
  <c r="E145" i="446" s="1"/>
  <c r="E146" i="446" s="1"/>
  <c r="E147" i="446" s="1"/>
  <c r="E148" i="446" s="1"/>
  <c r="E149" i="446" s="1"/>
  <c r="E150" i="446" s="1"/>
  <c r="E151" i="446" s="1"/>
  <c r="E152" i="446" s="1"/>
  <c r="E153" i="446" s="1"/>
  <c r="E154" i="446" s="1"/>
  <c r="E155" i="446" s="1"/>
  <c r="E156" i="446" s="1"/>
  <c r="E157" i="446" s="1"/>
  <c r="E158" i="446" s="1"/>
  <c r="E159" i="446" s="1"/>
  <c r="E160" i="446" s="1"/>
  <c r="E161" i="446" s="1"/>
  <c r="E162" i="446" s="1"/>
  <c r="E163" i="446" s="1"/>
  <c r="E164" i="446" s="1"/>
  <c r="E165" i="446" s="1"/>
  <c r="E166" i="446" s="1"/>
  <c r="E167" i="446" s="1"/>
  <c r="E168" i="446" s="1"/>
  <c r="E169" i="446" s="1"/>
  <c r="E170" i="446" s="1"/>
  <c r="E171" i="446" s="1"/>
  <c r="E172" i="446" s="1"/>
  <c r="E173" i="446" s="1"/>
  <c r="E174" i="446" s="1"/>
  <c r="E175" i="446" s="1"/>
  <c r="E176" i="446" s="1"/>
  <c r="E177" i="446" s="1"/>
  <c r="E178" i="446" s="1"/>
  <c r="E179" i="446" s="1"/>
  <c r="E180" i="446" s="1"/>
  <c r="E181" i="446" s="1"/>
  <c r="E182" i="446" s="1"/>
  <c r="E183" i="446" s="1"/>
  <c r="E184" i="446" s="1"/>
  <c r="E185" i="446" s="1"/>
  <c r="E186" i="446" s="1"/>
  <c r="E187" i="446" s="1"/>
  <c r="E188" i="446" s="1"/>
  <c r="E189" i="446" s="1"/>
  <c r="E190" i="446" s="1"/>
  <c r="E191" i="446" s="1"/>
  <c r="E192" i="446" s="1"/>
  <c r="E193" i="446" s="1"/>
  <c r="E194" i="446" s="1"/>
  <c r="E195" i="446" s="1"/>
  <c r="E196" i="446" s="1"/>
  <c r="E197" i="446" s="1"/>
  <c r="E198" i="446" s="1"/>
  <c r="E199" i="446" s="1"/>
  <c r="E200" i="446" s="1"/>
  <c r="E201" i="446" s="1"/>
  <c r="E202" i="446" s="1"/>
  <c r="E203" i="446" s="1"/>
  <c r="E204" i="446" s="1"/>
  <c r="E205" i="446" s="1"/>
  <c r="E206" i="446" s="1"/>
  <c r="E207" i="446" s="1"/>
  <c r="E208" i="446" s="1"/>
  <c r="E209" i="446" s="1"/>
  <c r="E210" i="446" s="1"/>
  <c r="E211" i="446" s="1"/>
  <c r="E212" i="446" s="1"/>
  <c r="E213" i="446" s="1"/>
  <c r="E214" i="446" s="1"/>
  <c r="E215" i="446" s="1"/>
  <c r="E216" i="446" s="1"/>
  <c r="E217" i="446" s="1"/>
  <c r="E218" i="446" s="1"/>
  <c r="E219" i="446" s="1"/>
  <c r="E220" i="446" s="1"/>
  <c r="E221" i="446" s="1"/>
  <c r="E222" i="446" s="1"/>
  <c r="E223" i="446" s="1"/>
  <c r="E224" i="446" s="1"/>
  <c r="E225" i="446" s="1"/>
  <c r="E226" i="446" s="1"/>
  <c r="E227" i="446" s="1"/>
  <c r="E228" i="446" s="1"/>
  <c r="E229" i="446" s="1"/>
  <c r="E230" i="446" s="1"/>
  <c r="E231" i="446" s="1"/>
  <c r="E232" i="446" s="1"/>
  <c r="E233" i="446" s="1"/>
  <c r="E234" i="446" s="1"/>
  <c r="E235" i="446" s="1"/>
  <c r="E236" i="446" s="1"/>
  <c r="E237" i="446" s="1"/>
  <c r="E238" i="446" s="1"/>
  <c r="E239" i="446" s="1"/>
  <c r="E240" i="446" s="1"/>
  <c r="E241" i="446" s="1"/>
  <c r="E242" i="446" s="1"/>
  <c r="E243" i="446" s="1"/>
  <c r="E244" i="446" s="1"/>
  <c r="E245" i="446" s="1"/>
  <c r="E246" i="446" s="1"/>
  <c r="E247" i="446" s="1"/>
  <c r="E248" i="446" s="1"/>
  <c r="E249" i="446" s="1"/>
  <c r="E250" i="446" s="1"/>
  <c r="E251" i="446" s="1"/>
  <c r="E252" i="446" s="1"/>
  <c r="E253" i="446" s="1"/>
  <c r="E254" i="446" s="1"/>
  <c r="E255" i="446" s="1"/>
  <c r="E256" i="446" s="1"/>
  <c r="E257" i="446" s="1"/>
  <c r="E258" i="446" s="1"/>
  <c r="E259" i="446" s="1"/>
  <c r="E260" i="446" s="1"/>
  <c r="E261" i="446" s="1"/>
  <c r="E262" i="446" s="1"/>
  <c r="E263" i="446" s="1"/>
  <c r="E264" i="446" s="1"/>
  <c r="E265" i="446" s="1"/>
  <c r="E266" i="446" s="1"/>
  <c r="E267" i="446" s="1"/>
  <c r="E268" i="446" s="1"/>
  <c r="E269" i="446" s="1"/>
  <c r="E270" i="446" s="1"/>
  <c r="E271" i="446" s="1"/>
  <c r="E272" i="446" s="1"/>
  <c r="E273" i="446" s="1"/>
  <c r="E274" i="446" s="1"/>
  <c r="E275" i="446" s="1"/>
  <c r="E276" i="446" s="1"/>
  <c r="E277" i="446" s="1"/>
  <c r="E278" i="446" s="1"/>
  <c r="E279" i="446" s="1"/>
  <c r="E280" i="446" s="1"/>
  <c r="E281" i="446" s="1"/>
  <c r="E282" i="446" s="1"/>
  <c r="E283" i="446" s="1"/>
  <c r="E284" i="446" s="1"/>
  <c r="E285" i="446" s="1"/>
  <c r="E286" i="446" s="1"/>
  <c r="E287" i="446" s="1"/>
  <c r="E288" i="446" s="1"/>
  <c r="E289" i="446" s="1"/>
  <c r="E290" i="446" s="1"/>
  <c r="E291" i="446" s="1"/>
  <c r="E292" i="446" s="1"/>
  <c r="E293" i="446" s="1"/>
  <c r="E294" i="446" s="1"/>
  <c r="E295" i="446" s="1"/>
  <c r="E296" i="446" s="1"/>
  <c r="E297" i="446" s="1"/>
  <c r="E298" i="446" s="1"/>
  <c r="E299" i="446" s="1"/>
  <c r="E300" i="446" s="1"/>
  <c r="E301" i="446" s="1"/>
  <c r="E302" i="446" s="1"/>
  <c r="E303" i="446" s="1"/>
  <c r="E304" i="446" s="1"/>
  <c r="E305" i="446" s="1"/>
  <c r="E306" i="446" s="1"/>
  <c r="E307" i="446" s="1"/>
  <c r="E308" i="446" s="1"/>
  <c r="E309" i="446" s="1"/>
  <c r="E310" i="446" s="1"/>
  <c r="E311" i="446" s="1"/>
  <c r="E312" i="446" s="1"/>
  <c r="E313" i="446" s="1"/>
  <c r="E314" i="446" s="1"/>
  <c r="E315" i="446" s="1"/>
  <c r="E316" i="446" s="1"/>
  <c r="E317" i="446" s="1"/>
  <c r="E318" i="446" s="1"/>
  <c r="E319" i="446" s="1"/>
  <c r="E320" i="446" s="1"/>
  <c r="E321" i="446" s="1"/>
  <c r="E322" i="446" s="1"/>
  <c r="E323" i="446" s="1"/>
  <c r="E324" i="446" s="1"/>
  <c r="E325" i="446" s="1"/>
  <c r="E326" i="446" s="1"/>
  <c r="E327" i="446" s="1"/>
  <c r="E328" i="446" s="1"/>
  <c r="E329" i="446" s="1"/>
  <c r="E330" i="446" s="1"/>
  <c r="E331" i="446" s="1"/>
  <c r="E332" i="446" s="1"/>
  <c r="E333" i="446" s="1"/>
  <c r="E334" i="446" s="1"/>
  <c r="E335" i="446" s="1"/>
  <c r="E336" i="446" s="1"/>
  <c r="E337" i="446" s="1"/>
  <c r="E338" i="446" s="1"/>
  <c r="E339" i="446" s="1"/>
  <c r="E340" i="446" s="1"/>
  <c r="E341" i="446" s="1"/>
  <c r="E342" i="446" s="1"/>
  <c r="E343" i="446" s="1"/>
  <c r="E344" i="446" s="1"/>
  <c r="E345" i="446" s="1"/>
  <c r="E346" i="446" s="1"/>
  <c r="E347" i="446" s="1"/>
  <c r="E348" i="446" s="1"/>
  <c r="E349" i="446" s="1"/>
  <c r="E350" i="446" s="1"/>
  <c r="E351" i="446" s="1"/>
  <c r="E352" i="446" s="1"/>
  <c r="E353" i="446" s="1"/>
  <c r="E354" i="446" s="1"/>
  <c r="E355" i="446" s="1"/>
  <c r="E356" i="446" s="1"/>
  <c r="E357" i="446" s="1"/>
  <c r="E358" i="446" s="1"/>
  <c r="E359" i="446" s="1"/>
  <c r="E360" i="446" s="1"/>
  <c r="E361" i="446" s="1"/>
  <c r="E362" i="446" s="1"/>
  <c r="E363" i="446" s="1"/>
  <c r="E364" i="446" s="1"/>
  <c r="E365" i="446" s="1"/>
  <c r="E366" i="446" s="1"/>
  <c r="E367" i="446" s="1"/>
  <c r="E368" i="446" s="1"/>
  <c r="E369" i="446" s="1"/>
  <c r="E370" i="446" s="1"/>
  <c r="E371" i="446" s="1"/>
  <c r="E372" i="446" s="1"/>
  <c r="E373" i="446" s="1"/>
  <c r="E374" i="446" s="1"/>
  <c r="E375" i="446" s="1"/>
  <c r="E376" i="446" s="1"/>
  <c r="E377" i="446" s="1"/>
  <c r="E378" i="446" s="1"/>
  <c r="E379" i="446" s="1"/>
  <c r="E380" i="446" s="1"/>
  <c r="E381" i="446" s="1"/>
  <c r="E382" i="446" s="1"/>
  <c r="E383" i="446" s="1"/>
  <c r="E384" i="446" s="1"/>
  <c r="E385" i="446" s="1"/>
  <c r="E386" i="446" s="1"/>
  <c r="E387" i="446" s="1"/>
  <c r="E388" i="446" s="1"/>
  <c r="E389" i="446" s="1"/>
  <c r="E390" i="446" s="1"/>
  <c r="E391" i="446" s="1"/>
  <c r="E392" i="446" s="1"/>
  <c r="E393" i="446" s="1"/>
  <c r="E394" i="446" s="1"/>
  <c r="E395" i="446" s="1"/>
  <c r="E396" i="446" s="1"/>
  <c r="E397" i="446" s="1"/>
  <c r="E398" i="446" s="1"/>
  <c r="E399" i="446" s="1"/>
  <c r="E400" i="446" s="1"/>
  <c r="E401" i="446" s="1"/>
  <c r="E402" i="446" s="1"/>
  <c r="E403" i="446" s="1"/>
  <c r="E404" i="446" s="1"/>
  <c r="E405" i="446" s="1"/>
  <c r="E406" i="446" s="1"/>
  <c r="E407" i="446" s="1"/>
  <c r="E408" i="446" s="1"/>
  <c r="E409" i="446" s="1"/>
  <c r="E410" i="446" s="1"/>
  <c r="E411" i="446" s="1"/>
  <c r="E412" i="446" s="1"/>
  <c r="E413" i="446" s="1"/>
  <c r="E414" i="446" s="1"/>
  <c r="E415" i="446" s="1"/>
  <c r="E416" i="446" s="1"/>
  <c r="E417" i="446" s="1"/>
  <c r="E418" i="446" s="1"/>
  <c r="E419" i="446" s="1"/>
  <c r="E420" i="446" s="1"/>
  <c r="E421" i="446" s="1"/>
  <c r="E422" i="446" s="1"/>
  <c r="E423" i="446" s="1"/>
  <c r="E424" i="446" s="1"/>
  <c r="E425" i="446" s="1"/>
  <c r="E426" i="446" s="1"/>
  <c r="E427" i="446" s="1"/>
  <c r="E428" i="446" s="1"/>
  <c r="E429" i="446" s="1"/>
  <c r="E430" i="446" s="1"/>
  <c r="E431" i="446" s="1"/>
  <c r="E432" i="446" s="1"/>
  <c r="E433" i="446" s="1"/>
  <c r="E434" i="446" s="1"/>
  <c r="E435" i="446" s="1"/>
  <c r="E436" i="446" s="1"/>
  <c r="E437" i="446" s="1"/>
  <c r="E438" i="446" s="1"/>
  <c r="E439" i="446" s="1"/>
  <c r="E440" i="446" s="1"/>
  <c r="E441" i="446" s="1"/>
  <c r="E442" i="446" s="1"/>
  <c r="E443" i="446" s="1"/>
  <c r="E444" i="446" s="1"/>
  <c r="E445" i="446" s="1"/>
  <c r="E446" i="446" s="1"/>
  <c r="E447" i="446" s="1"/>
  <c r="E448" i="446" s="1"/>
  <c r="E449" i="446" s="1"/>
  <c r="E450" i="446" s="1"/>
  <c r="E451" i="446" s="1"/>
  <c r="E452" i="446" s="1"/>
  <c r="E453" i="446" s="1"/>
  <c r="E454" i="446" s="1"/>
  <c r="E455" i="446" s="1"/>
  <c r="E456" i="446" s="1"/>
  <c r="E457" i="446" s="1"/>
  <c r="E458" i="446" s="1"/>
  <c r="E459" i="446" s="1"/>
  <c r="E460" i="446" s="1"/>
  <c r="E461" i="446" s="1"/>
  <c r="E462" i="446" s="1"/>
  <c r="E463" i="446" s="1"/>
  <c r="E464" i="446" s="1"/>
  <c r="E465" i="446" s="1"/>
  <c r="E466" i="446" s="1"/>
  <c r="E467" i="446" s="1"/>
  <c r="E468" i="446" s="1"/>
  <c r="E469" i="446" s="1"/>
  <c r="E470" i="446" s="1"/>
  <c r="E471" i="446" s="1"/>
  <c r="E472" i="446" s="1"/>
  <c r="E473" i="446" s="1"/>
  <c r="E474" i="446" s="1"/>
  <c r="E475" i="446" s="1"/>
  <c r="E476" i="446" s="1"/>
  <c r="E477" i="446" s="1"/>
  <c r="E478" i="446" s="1"/>
  <c r="E479" i="446" s="1"/>
  <c r="E480" i="446" s="1"/>
  <c r="E481" i="446" s="1"/>
  <c r="E482" i="446" s="1"/>
  <c r="E483" i="446" s="1"/>
  <c r="E484" i="446" s="1"/>
  <c r="E485" i="446" s="1"/>
  <c r="E486" i="446" s="1"/>
  <c r="E487" i="446" s="1"/>
  <c r="E488" i="446" s="1"/>
  <c r="E489" i="446" s="1"/>
  <c r="E490" i="446" s="1"/>
  <c r="E491" i="446" s="1"/>
  <c r="E492" i="446" s="1"/>
  <c r="E493" i="446" s="1"/>
  <c r="E494" i="446" s="1"/>
  <c r="E495" i="446" s="1"/>
  <c r="E496" i="446" s="1"/>
  <c r="E497" i="446" s="1"/>
  <c r="E498" i="446" s="1"/>
  <c r="E499" i="446" s="1"/>
  <c r="E500" i="446" s="1"/>
  <c r="E501" i="446" s="1"/>
  <c r="E502" i="446" s="1"/>
  <c r="E503" i="446" s="1"/>
  <c r="E504" i="446" s="1"/>
  <c r="E505" i="446" s="1"/>
  <c r="E506" i="446" s="1"/>
  <c r="E507" i="446" s="1"/>
  <c r="E508" i="446" s="1"/>
  <c r="E509" i="446" s="1"/>
  <c r="E510" i="446" s="1"/>
  <c r="E511" i="446" s="1"/>
  <c r="E512" i="446" s="1"/>
  <c r="E513" i="446" s="1"/>
  <c r="E514" i="446" s="1"/>
  <c r="E515" i="446" s="1"/>
  <c r="E516" i="446" s="1"/>
  <c r="E517" i="446" s="1"/>
  <c r="E518" i="446" s="1"/>
  <c r="E519" i="446" s="1"/>
  <c r="E520" i="446" s="1"/>
  <c r="E521" i="446" s="1"/>
  <c r="E522" i="446" s="1"/>
  <c r="E523" i="446" s="1"/>
  <c r="E524" i="446" s="1"/>
  <c r="E525" i="446" s="1"/>
  <c r="E526" i="446" s="1"/>
  <c r="E527" i="446" s="1"/>
  <c r="E528" i="446" s="1"/>
  <c r="E529" i="446" s="1"/>
  <c r="E530" i="446" s="1"/>
  <c r="E531" i="446" s="1"/>
  <c r="E532" i="446" s="1"/>
  <c r="E533" i="446" s="1"/>
  <c r="E534" i="446" s="1"/>
  <c r="E535" i="446" s="1"/>
  <c r="E536" i="446" s="1"/>
  <c r="E537" i="446" s="1"/>
  <c r="E538" i="446" s="1"/>
  <c r="E539" i="446" s="1"/>
  <c r="E540" i="446" s="1"/>
  <c r="E541" i="446" s="1"/>
  <c r="E542" i="446" s="1"/>
  <c r="E543" i="446" s="1"/>
  <c r="E544" i="446" s="1"/>
  <c r="E545" i="446" s="1"/>
  <c r="E546" i="446" s="1"/>
  <c r="E547" i="446" s="1"/>
  <c r="E548" i="446" s="1"/>
  <c r="E549" i="446" s="1"/>
  <c r="E550" i="446" s="1"/>
  <c r="E551" i="446" s="1"/>
  <c r="E552" i="446" s="1"/>
  <c r="E553" i="446" s="1"/>
  <c r="E554" i="446" s="1"/>
  <c r="E555" i="446" s="1"/>
  <c r="E556" i="446" s="1"/>
  <c r="E557" i="446" s="1"/>
  <c r="E558" i="446" s="1"/>
  <c r="E559" i="446" s="1"/>
  <c r="E560" i="446" s="1"/>
  <c r="E561" i="446" s="1"/>
  <c r="E562" i="446" s="1"/>
  <c r="E563" i="446" s="1"/>
  <c r="E564" i="446" s="1"/>
  <c r="E565" i="446" s="1"/>
  <c r="E566" i="446" s="1"/>
  <c r="E567" i="446" s="1"/>
  <c r="E568" i="446" s="1"/>
  <c r="E569" i="446" s="1"/>
  <c r="E570" i="446" s="1"/>
  <c r="E571" i="446" s="1"/>
  <c r="E572" i="446" s="1"/>
  <c r="E573" i="446" s="1"/>
  <c r="E574" i="446" s="1"/>
  <c r="E575" i="446" s="1"/>
  <c r="E576" i="446" s="1"/>
  <c r="E577" i="446" s="1"/>
  <c r="E578" i="446" s="1"/>
  <c r="E579" i="446" s="1"/>
  <c r="E580" i="446" s="1"/>
  <c r="E581" i="446" s="1"/>
  <c r="E582" i="446" s="1"/>
  <c r="E583" i="446" s="1"/>
  <c r="E584" i="446" s="1"/>
  <c r="E585" i="446" s="1"/>
  <c r="E586" i="446" s="1"/>
  <c r="E587" i="446" s="1"/>
  <c r="E588" i="446" s="1"/>
  <c r="E589" i="446" s="1"/>
  <c r="E590" i="446" s="1"/>
  <c r="E591" i="446" s="1"/>
  <c r="E592" i="446" s="1"/>
  <c r="E593" i="446" s="1"/>
  <c r="E594" i="446" s="1"/>
  <c r="E595" i="446" s="1"/>
  <c r="E596" i="446" s="1"/>
  <c r="E597" i="446" s="1"/>
  <c r="E598" i="446" s="1"/>
  <c r="E599" i="446" s="1"/>
  <c r="E600" i="446" s="1"/>
  <c r="E601" i="446" s="1"/>
  <c r="E602" i="446" s="1"/>
  <c r="E603" i="446" s="1"/>
  <c r="E604" i="446" s="1"/>
  <c r="E605" i="446" s="1"/>
  <c r="E606" i="446" s="1"/>
  <c r="E607" i="446" s="1"/>
  <c r="E608" i="446" s="1"/>
  <c r="E609" i="446" s="1"/>
  <c r="E610" i="446" s="1"/>
  <c r="E611" i="446" s="1"/>
  <c r="E612" i="446" s="1"/>
  <c r="E613" i="446" s="1"/>
  <c r="E614" i="446" s="1"/>
  <c r="E615" i="446" s="1"/>
  <c r="E616" i="446" s="1"/>
  <c r="E617" i="446" s="1"/>
  <c r="E618" i="446" s="1"/>
  <c r="E619" i="446" s="1"/>
  <c r="E620" i="446" s="1"/>
  <c r="E621" i="446" s="1"/>
  <c r="E622" i="446" s="1"/>
  <c r="E623" i="446" s="1"/>
  <c r="E624" i="446" s="1"/>
  <c r="E625" i="446" s="1"/>
  <c r="E626" i="446" s="1"/>
  <c r="E627" i="446" s="1"/>
  <c r="E628" i="446" s="1"/>
  <c r="E629" i="446" s="1"/>
  <c r="E630" i="446" s="1"/>
  <c r="E631" i="446" s="1"/>
  <c r="E632" i="446" s="1"/>
  <c r="E633" i="446" s="1"/>
  <c r="E634" i="446" s="1"/>
  <c r="E635" i="446" s="1"/>
  <c r="E636" i="446" s="1"/>
  <c r="E637" i="446" s="1"/>
  <c r="E638" i="446" s="1"/>
  <c r="E639" i="446" s="1"/>
  <c r="E640" i="446" s="1"/>
  <c r="E641" i="446" s="1"/>
  <c r="E642" i="446" s="1"/>
  <c r="E643" i="446" s="1"/>
  <c r="E644" i="446" s="1"/>
  <c r="E645" i="446" s="1"/>
  <c r="E646" i="446" s="1"/>
  <c r="E647" i="446" s="1"/>
  <c r="E648" i="446" s="1"/>
  <c r="E649" i="446" s="1"/>
  <c r="E650" i="446" s="1"/>
  <c r="E651" i="446" s="1"/>
  <c r="E652" i="446" s="1"/>
  <c r="E653" i="446" s="1"/>
  <c r="E654" i="446" s="1"/>
  <c r="E655" i="446" s="1"/>
  <c r="E656" i="446" s="1"/>
  <c r="E657" i="446" s="1"/>
  <c r="E658" i="446" s="1"/>
  <c r="E659" i="446" s="1"/>
  <c r="E660" i="446" s="1"/>
  <c r="E661" i="446" s="1"/>
  <c r="E662" i="446" s="1"/>
  <c r="E663" i="446" s="1"/>
  <c r="E664" i="446" s="1"/>
  <c r="E665" i="446" s="1"/>
  <c r="E666" i="446" s="1"/>
  <c r="E667" i="446" s="1"/>
  <c r="E668" i="446" s="1"/>
  <c r="E669" i="446" s="1"/>
  <c r="E670" i="446" s="1"/>
  <c r="E671" i="446" s="1"/>
  <c r="E672" i="446" s="1"/>
  <c r="E673" i="446" s="1"/>
  <c r="E674" i="446" s="1"/>
  <c r="E675" i="446" s="1"/>
  <c r="E676" i="446" s="1"/>
  <c r="E677" i="446" s="1"/>
  <c r="E678" i="446" s="1"/>
  <c r="E679" i="446" s="1"/>
  <c r="E680" i="446" s="1"/>
  <c r="E681" i="446" s="1"/>
  <c r="E682" i="446" s="1"/>
  <c r="E683" i="446" s="1"/>
  <c r="E684" i="446" s="1"/>
  <c r="E685" i="446" s="1"/>
  <c r="E686" i="446" s="1"/>
  <c r="E687" i="446" s="1"/>
  <c r="E688" i="446" s="1"/>
  <c r="E689" i="446" s="1"/>
  <c r="E690" i="446" s="1"/>
  <c r="E691" i="446" s="1"/>
  <c r="E692" i="446" s="1"/>
  <c r="E693" i="446" s="1"/>
  <c r="E694" i="446" s="1"/>
  <c r="E695" i="446" s="1"/>
  <c r="E696" i="446" s="1"/>
  <c r="E697" i="446" s="1"/>
  <c r="E698" i="446" s="1"/>
  <c r="E699" i="446" s="1"/>
  <c r="E700" i="446" s="1"/>
  <c r="E701" i="446" s="1"/>
  <c r="E702" i="446" s="1"/>
  <c r="E703" i="446" s="1"/>
  <c r="E704" i="446" s="1"/>
  <c r="E705" i="446" s="1"/>
  <c r="E706" i="446" s="1"/>
  <c r="E707" i="446" s="1"/>
  <c r="E708" i="446" s="1"/>
  <c r="E709" i="446" s="1"/>
  <c r="E710" i="446" s="1"/>
  <c r="E711" i="446" s="1"/>
  <c r="E712" i="446" s="1"/>
  <c r="E713" i="446" s="1"/>
  <c r="E714" i="446" s="1"/>
  <c r="E715" i="446" s="1"/>
  <c r="E716" i="446" s="1"/>
  <c r="E717" i="446" s="1"/>
  <c r="E718" i="446" s="1"/>
  <c r="E719" i="446" s="1"/>
  <c r="E720" i="446" s="1"/>
  <c r="E721" i="446" s="1"/>
  <c r="E722" i="446" s="1"/>
  <c r="E723" i="446" s="1"/>
  <c r="E724" i="446" s="1"/>
  <c r="E725" i="446" s="1"/>
  <c r="E726" i="446" s="1"/>
  <c r="E727" i="446" s="1"/>
  <c r="E728" i="446" s="1"/>
  <c r="E729" i="446" s="1"/>
  <c r="E730" i="446" s="1"/>
  <c r="E731" i="446" s="1"/>
  <c r="E732" i="446" s="1"/>
  <c r="E733" i="446" s="1"/>
  <c r="E734" i="446" s="1"/>
  <c r="E735" i="446" s="1"/>
  <c r="E736" i="446" s="1"/>
  <c r="E737" i="446" s="1"/>
  <c r="E738" i="446" s="1"/>
  <c r="E739" i="446" s="1"/>
  <c r="E740" i="446" s="1"/>
  <c r="E741" i="446" s="1"/>
  <c r="E742" i="446" s="1"/>
  <c r="E743" i="446" s="1"/>
  <c r="E744" i="446" s="1"/>
  <c r="E745" i="446" s="1"/>
  <c r="E746" i="446" s="1"/>
  <c r="E747" i="446" s="1"/>
  <c r="E748" i="446" s="1"/>
  <c r="E749" i="446" s="1"/>
  <c r="E750" i="446" s="1"/>
  <c r="E751" i="446" s="1"/>
  <c r="E752" i="446" s="1"/>
  <c r="E753" i="446" s="1"/>
  <c r="E754" i="446" s="1"/>
  <c r="E755" i="446" s="1"/>
  <c r="E756" i="446" s="1"/>
  <c r="E757" i="446" s="1"/>
  <c r="E758" i="446" s="1"/>
  <c r="E759" i="446" s="1"/>
  <c r="E760" i="446" s="1"/>
  <c r="N108" i="446"/>
  <c r="C90" i="446"/>
  <c r="C91" i="446" s="1"/>
  <c r="C92" i="446" s="1"/>
  <c r="C93" i="446" s="1"/>
  <c r="C94" i="446" s="1"/>
  <c r="C95" i="446" s="1"/>
  <c r="C96" i="446" s="1"/>
  <c r="C97" i="446" s="1"/>
  <c r="C98" i="446" s="1"/>
  <c r="C99" i="446" s="1"/>
  <c r="C100" i="446" s="1"/>
  <c r="C101" i="446" s="1"/>
  <c r="C102" i="446" s="1"/>
  <c r="C103" i="446" s="1"/>
  <c r="C104" i="446" s="1"/>
  <c r="D90" i="446"/>
  <c r="D91" i="446" s="1"/>
  <c r="D92" i="446" s="1"/>
  <c r="D93" i="446" s="1"/>
  <c r="D94" i="446" s="1"/>
  <c r="D95" i="446" s="1"/>
  <c r="D96" i="446" s="1"/>
  <c r="D97" i="446" s="1"/>
  <c r="D98" i="446" s="1"/>
  <c r="D99" i="446" s="1"/>
  <c r="D100" i="446" s="1"/>
  <c r="D101" i="446" s="1"/>
  <c r="D102" i="446" s="1"/>
  <c r="D103" i="446" s="1"/>
  <c r="D104" i="446" s="1"/>
  <c r="D105" i="446" s="1"/>
  <c r="N104" i="446"/>
  <c r="E102" i="446"/>
  <c r="E103" i="446" s="1"/>
  <c r="E104" i="446" s="1"/>
  <c r="E105" i="446" s="1"/>
  <c r="E106" i="446" s="1"/>
  <c r="N94" i="446"/>
  <c r="B9" i="446"/>
  <c r="I9" i="446" s="1"/>
  <c r="A9" i="446"/>
  <c r="A10" i="446" s="1"/>
  <c r="A11" i="446" s="1"/>
  <c r="C11" i="446"/>
  <c r="C12" i="446" s="1"/>
  <c r="C13" i="446" s="1"/>
  <c r="C14" i="446" s="1"/>
  <c r="C15" i="446" l="1"/>
  <c r="C16" i="446" s="1"/>
  <c r="C17" i="446" s="1"/>
  <c r="C18" i="446" s="1"/>
  <c r="C19" i="446" s="1"/>
  <c r="C20" i="446" s="1"/>
  <c r="C21" i="446" s="1"/>
  <c r="C22" i="446" s="1"/>
  <c r="C23" i="446" s="1"/>
  <c r="C24" i="446" s="1"/>
  <c r="C25" i="446" s="1"/>
  <c r="C26" i="446" s="1"/>
  <c r="C27" i="446" s="1"/>
  <c r="C28" i="446" s="1"/>
  <c r="C29" i="446" s="1"/>
  <c r="C30" i="446" s="1"/>
  <c r="C31" i="446" s="1"/>
  <c r="C32" i="446" s="1"/>
  <c r="C33" i="446" s="1"/>
  <c r="C34" i="446" s="1"/>
  <c r="C35" i="446" s="1"/>
  <c r="C36" i="446" s="1"/>
  <c r="C37" i="446" s="1"/>
  <c r="C38" i="446" s="1"/>
  <c r="C39" i="446" s="1"/>
  <c r="C40" i="446" s="1"/>
  <c r="C41" i="446" s="1"/>
  <c r="C42" i="446" s="1"/>
  <c r="C43" i="446" s="1"/>
  <c r="C44" i="446" s="1"/>
  <c r="C45" i="446" s="1"/>
  <c r="E51" i="446"/>
  <c r="E52" i="446" s="1"/>
  <c r="E53" i="446" s="1"/>
  <c r="E54" i="446" s="1"/>
  <c r="D51" i="446"/>
  <c r="D52" i="446" s="1"/>
  <c r="D53" i="446" s="1"/>
  <c r="B10" i="446"/>
  <c r="B11" i="446" s="1"/>
  <c r="B12" i="446" s="1"/>
  <c r="B13" i="446" s="1"/>
  <c r="A12" i="446"/>
  <c r="E1376" i="436"/>
  <c r="E1377" i="436" s="1"/>
  <c r="C92" i="442"/>
  <c r="C93" i="442"/>
  <c r="C94" i="442"/>
  <c r="C95" i="442"/>
  <c r="C96" i="442"/>
  <c r="C97" i="442"/>
  <c r="C86" i="442"/>
  <c r="C87" i="442"/>
  <c r="C88" i="442"/>
  <c r="C89" i="442"/>
  <c r="C90" i="442"/>
  <c r="C85" i="442"/>
  <c r="E1364" i="436"/>
  <c r="E1365" i="436" s="1"/>
  <c r="E1366" i="436" s="1"/>
  <c r="E1360" i="436"/>
  <c r="E1361" i="436" s="1"/>
  <c r="E1362" i="436" s="1"/>
  <c r="E1363" i="436" s="1"/>
  <c r="E1358" i="436"/>
  <c r="E1359" i="436" s="1"/>
  <c r="E1355" i="436"/>
  <c r="E1356" i="436" s="1"/>
  <c r="D1354" i="436"/>
  <c r="D1355" i="436" s="1"/>
  <c r="D1356" i="436" s="1"/>
  <c r="K29" i="442"/>
  <c r="E1348" i="436"/>
  <c r="E1349" i="436" s="1"/>
  <c r="E1350" i="436" s="1"/>
  <c r="D1343" i="436"/>
  <c r="C84" i="442"/>
  <c r="N1291" i="436"/>
  <c r="N1290" i="436"/>
  <c r="E1295" i="436"/>
  <c r="E1296" i="436" s="1"/>
  <c r="E1288" i="436"/>
  <c r="E1289" i="436" s="1"/>
  <c r="E1290" i="436" s="1"/>
  <c r="E1291" i="436" s="1"/>
  <c r="E1292" i="436" s="1"/>
  <c r="N1270" i="436"/>
  <c r="N1269" i="436"/>
  <c r="N1246" i="436"/>
  <c r="N1245" i="436"/>
  <c r="N1303" i="436"/>
  <c r="N1287" i="436"/>
  <c r="N1284" i="436"/>
  <c r="E1286" i="436"/>
  <c r="E1287" i="436" s="1"/>
  <c r="E1283" i="436"/>
  <c r="E1284" i="436" s="1"/>
  <c r="E1285" i="436" s="1"/>
  <c r="D1282" i="436"/>
  <c r="D1283" i="436" s="1"/>
  <c r="D1284" i="436" s="1"/>
  <c r="N1266" i="436"/>
  <c r="N1261" i="436"/>
  <c r="N1243" i="436"/>
  <c r="N1238" i="436"/>
  <c r="N1226" i="436"/>
  <c r="N1221" i="436"/>
  <c r="N1211" i="436"/>
  <c r="N1201" i="436"/>
  <c r="N1191" i="436"/>
  <c r="N1188" i="436"/>
  <c r="U30" i="445"/>
  <c r="U23" i="445"/>
  <c r="R11" i="445"/>
  <c r="T38" i="445"/>
  <c r="R95" i="445"/>
  <c r="R94" i="445"/>
  <c r="R76" i="445"/>
  <c r="R55" i="445"/>
  <c r="R79" i="445"/>
  <c r="R52" i="445"/>
  <c r="E1276" i="436"/>
  <c r="E1277" i="436" s="1"/>
  <c r="E1274" i="436"/>
  <c r="E1275" i="436" s="1"/>
  <c r="E1272" i="436"/>
  <c r="E1273" i="436" s="1"/>
  <c r="E1267" i="436"/>
  <c r="E1268" i="436" s="1"/>
  <c r="E1269" i="436" s="1"/>
  <c r="E1270" i="436" s="1"/>
  <c r="E1271" i="436" s="1"/>
  <c r="E1253" i="436"/>
  <c r="E1254" i="436" s="1"/>
  <c r="E1251" i="436"/>
  <c r="E1252" i="436" s="1"/>
  <c r="E1249" i="436"/>
  <c r="E1250" i="436" s="1"/>
  <c r="E1244" i="436"/>
  <c r="E1245" i="436" s="1"/>
  <c r="E1246" i="436" s="1"/>
  <c r="E1247" i="436" s="1"/>
  <c r="E1248" i="436" s="1"/>
  <c r="E1230" i="436"/>
  <c r="E1231" i="436" s="1"/>
  <c r="E1215" i="436"/>
  <c r="E1216" i="436" s="1"/>
  <c r="E1205" i="436"/>
  <c r="E1206" i="436" s="1"/>
  <c r="E1194" i="436"/>
  <c r="E1195" i="436" s="1"/>
  <c r="E1302" i="436"/>
  <c r="E1303" i="436" s="1"/>
  <c r="D1301" i="436"/>
  <c r="D1302" i="436" s="1"/>
  <c r="D1303" i="436" s="1"/>
  <c r="D1304" i="436" s="1"/>
  <c r="D1305" i="436" s="1"/>
  <c r="D1306" i="436" s="1"/>
  <c r="D1307" i="436" s="1"/>
  <c r="E1265" i="436"/>
  <c r="E1266" i="436" s="1"/>
  <c r="E1260" i="436"/>
  <c r="E1261" i="436" s="1"/>
  <c r="E1262" i="436" s="1"/>
  <c r="D1259" i="436"/>
  <c r="D1260" i="436" s="1"/>
  <c r="D1261" i="436" s="1"/>
  <c r="D1262" i="436" s="1"/>
  <c r="E1242" i="436"/>
  <c r="E1243" i="436" s="1"/>
  <c r="E1237" i="436"/>
  <c r="E1238" i="436" s="1"/>
  <c r="E1239" i="436" s="1"/>
  <c r="D1236" i="436"/>
  <c r="D1237" i="436" s="1"/>
  <c r="D1238" i="436" s="1"/>
  <c r="D1239" i="436" s="1"/>
  <c r="E1225" i="436"/>
  <c r="E1226" i="436" s="1"/>
  <c r="E1220" i="436"/>
  <c r="E1221" i="436" s="1"/>
  <c r="E1222" i="436" s="1"/>
  <c r="D1219" i="436"/>
  <c r="D1220" i="436" s="1"/>
  <c r="D1221" i="436" s="1"/>
  <c r="D1222" i="436" s="1"/>
  <c r="E1210" i="436"/>
  <c r="E1211" i="436" s="1"/>
  <c r="E1212" i="436" s="1"/>
  <c r="D1209" i="436"/>
  <c r="D1210" i="436" s="1"/>
  <c r="D1211" i="436" s="1"/>
  <c r="E1200" i="436"/>
  <c r="E1201" i="436" s="1"/>
  <c r="E1202" i="436" s="1"/>
  <c r="D1199" i="436"/>
  <c r="D1200" i="436" s="1"/>
  <c r="D1201" i="436" s="1"/>
  <c r="E1190" i="436"/>
  <c r="E1191" i="436" s="1"/>
  <c r="E1187" i="436"/>
  <c r="E1188" i="436" s="1"/>
  <c r="E1189" i="436" s="1"/>
  <c r="D1186" i="436"/>
  <c r="D1187" i="436" s="1"/>
  <c r="D1188" i="436" s="1"/>
  <c r="R104" i="445"/>
  <c r="R102" i="445"/>
  <c r="R99" i="445"/>
  <c r="R98" i="445"/>
  <c r="R92" i="445"/>
  <c r="R91" i="445"/>
  <c r="R90" i="445"/>
  <c r="R88" i="445"/>
  <c r="R86" i="445"/>
  <c r="R83" i="445"/>
  <c r="R82" i="445"/>
  <c r="R74" i="445"/>
  <c r="R73" i="445"/>
  <c r="R72" i="445"/>
  <c r="R70" i="445"/>
  <c r="R47" i="445"/>
  <c r="R45" i="445"/>
  <c r="R68" i="445"/>
  <c r="R64" i="445"/>
  <c r="R65" i="445"/>
  <c r="R50" i="445"/>
  <c r="R49" i="445"/>
  <c r="R42" i="445"/>
  <c r="R41" i="445"/>
  <c r="R33" i="445"/>
  <c r="R39" i="445"/>
  <c r="R37" i="445"/>
  <c r="R34" i="445"/>
  <c r="R31" i="445"/>
  <c r="R29" i="445"/>
  <c r="R26" i="445"/>
  <c r="R25" i="445"/>
  <c r="R23" i="445"/>
  <c r="R21" i="445"/>
  <c r="R18" i="445"/>
  <c r="R17" i="445"/>
  <c r="R9" i="445"/>
  <c r="R8" i="445"/>
  <c r="R7" i="445"/>
  <c r="R4" i="445"/>
  <c r="O4" i="445"/>
  <c r="O5" i="445"/>
  <c r="O6" i="445"/>
  <c r="O7" i="445"/>
  <c r="O8" i="445"/>
  <c r="O9" i="445"/>
  <c r="O10" i="445"/>
  <c r="O11" i="445"/>
  <c r="O12" i="445"/>
  <c r="O13" i="445"/>
  <c r="O14" i="445"/>
  <c r="O15" i="445"/>
  <c r="O17" i="445"/>
  <c r="O18" i="445"/>
  <c r="O19" i="445"/>
  <c r="O20" i="445"/>
  <c r="O21" i="445"/>
  <c r="O22" i="445"/>
  <c r="O23" i="445"/>
  <c r="O25" i="445"/>
  <c r="O26" i="445"/>
  <c r="O27" i="445"/>
  <c r="O28" i="445"/>
  <c r="O29" i="445"/>
  <c r="O30" i="445"/>
  <c r="O31" i="445"/>
  <c r="O33" i="445"/>
  <c r="O34" i="445"/>
  <c r="O35" i="445"/>
  <c r="O36" i="445"/>
  <c r="O37" i="445"/>
  <c r="O38" i="445"/>
  <c r="O39" i="445"/>
  <c r="O41" i="445"/>
  <c r="O42" i="445"/>
  <c r="O43" i="445"/>
  <c r="O44" i="445"/>
  <c r="O45" i="445"/>
  <c r="O46" i="445"/>
  <c r="O47" i="445"/>
  <c r="O48" i="445"/>
  <c r="O49" i="445"/>
  <c r="O50" i="445"/>
  <c r="O51" i="445"/>
  <c r="O52" i="445"/>
  <c r="O53" i="445"/>
  <c r="O54" i="445"/>
  <c r="O55" i="445"/>
  <c r="O56" i="445"/>
  <c r="O57" i="445"/>
  <c r="O58" i="445"/>
  <c r="O59" i="445"/>
  <c r="O60" i="445"/>
  <c r="O61" i="445"/>
  <c r="O62" i="445"/>
  <c r="O64" i="445"/>
  <c r="O65" i="445"/>
  <c r="O66" i="445"/>
  <c r="O67" i="445"/>
  <c r="O68" i="445"/>
  <c r="O69" i="445"/>
  <c r="O70" i="445"/>
  <c r="O71" i="445"/>
  <c r="O72" i="445"/>
  <c r="O73" i="445"/>
  <c r="O74" i="445"/>
  <c r="O75" i="445"/>
  <c r="O76" i="445"/>
  <c r="O77" i="445"/>
  <c r="O78" i="445"/>
  <c r="O79" i="445"/>
  <c r="O80" i="445"/>
  <c r="O82" i="445"/>
  <c r="O83" i="445"/>
  <c r="O84" i="445"/>
  <c r="O85" i="445"/>
  <c r="O86" i="445"/>
  <c r="O87" i="445"/>
  <c r="O88" i="445"/>
  <c r="O89" i="445"/>
  <c r="O90" i="445"/>
  <c r="O91" i="445"/>
  <c r="O92" i="445"/>
  <c r="O93" i="445"/>
  <c r="O94" i="445"/>
  <c r="O95" i="445"/>
  <c r="O96" i="445"/>
  <c r="O98" i="445"/>
  <c r="O99" i="445"/>
  <c r="O3" i="445"/>
  <c r="N4" i="445"/>
  <c r="N5" i="445"/>
  <c r="N6" i="445"/>
  <c r="N7" i="445"/>
  <c r="N8" i="445"/>
  <c r="N9" i="445"/>
  <c r="N10" i="445"/>
  <c r="N11" i="445"/>
  <c r="N12" i="445"/>
  <c r="N13" i="445"/>
  <c r="N14" i="445"/>
  <c r="N15" i="445"/>
  <c r="N17" i="445"/>
  <c r="N18" i="445"/>
  <c r="N19" i="445"/>
  <c r="N20" i="445"/>
  <c r="N21" i="445"/>
  <c r="N22" i="445"/>
  <c r="N23" i="445"/>
  <c r="N25" i="445"/>
  <c r="N26" i="445"/>
  <c r="N27" i="445"/>
  <c r="N28" i="445"/>
  <c r="N29" i="445"/>
  <c r="N30" i="445"/>
  <c r="N31" i="445"/>
  <c r="N33" i="445"/>
  <c r="N34" i="445"/>
  <c r="N35" i="445"/>
  <c r="N36" i="445"/>
  <c r="N37" i="445"/>
  <c r="N38" i="445"/>
  <c r="N39" i="445"/>
  <c r="N41" i="445"/>
  <c r="N42" i="445"/>
  <c r="N43" i="445"/>
  <c r="N44" i="445"/>
  <c r="N45" i="445"/>
  <c r="N46" i="445"/>
  <c r="N47" i="445"/>
  <c r="N48" i="445"/>
  <c r="N49" i="445"/>
  <c r="N50" i="445"/>
  <c r="N51" i="445"/>
  <c r="N52" i="445"/>
  <c r="N53" i="445"/>
  <c r="N54" i="445"/>
  <c r="N55" i="445"/>
  <c r="N56" i="445"/>
  <c r="N57" i="445"/>
  <c r="N58" i="445"/>
  <c r="N59" i="445"/>
  <c r="N60" i="445"/>
  <c r="N61" i="445"/>
  <c r="N62" i="445"/>
  <c r="N64" i="445"/>
  <c r="N65" i="445"/>
  <c r="N66" i="445"/>
  <c r="N67" i="445"/>
  <c r="N68" i="445"/>
  <c r="N69" i="445"/>
  <c r="N70" i="445"/>
  <c r="N71" i="445"/>
  <c r="N72" i="445"/>
  <c r="N73" i="445"/>
  <c r="N74" i="445"/>
  <c r="N75" i="445"/>
  <c r="N76" i="445"/>
  <c r="N77" i="445"/>
  <c r="N78" i="445"/>
  <c r="N79" i="445"/>
  <c r="N80" i="445"/>
  <c r="N82" i="445"/>
  <c r="N83" i="445"/>
  <c r="N84" i="445"/>
  <c r="N85" i="445"/>
  <c r="N86" i="445"/>
  <c r="N87" i="445"/>
  <c r="N88" i="445"/>
  <c r="N89" i="445"/>
  <c r="N90" i="445"/>
  <c r="N91" i="445"/>
  <c r="N92" i="445"/>
  <c r="N93" i="445"/>
  <c r="N94" i="445"/>
  <c r="N95" i="445"/>
  <c r="N96" i="445"/>
  <c r="N98" i="445"/>
  <c r="N99" i="445"/>
  <c r="N3" i="445"/>
  <c r="M4" i="445"/>
  <c r="M5" i="445"/>
  <c r="M6" i="445"/>
  <c r="M7" i="445"/>
  <c r="M8" i="445"/>
  <c r="M9" i="445"/>
  <c r="M10" i="445"/>
  <c r="M11" i="445"/>
  <c r="M12" i="445"/>
  <c r="M13" i="445"/>
  <c r="M14" i="445"/>
  <c r="M15" i="445"/>
  <c r="M17" i="445"/>
  <c r="M18" i="445"/>
  <c r="M19" i="445"/>
  <c r="M20" i="445"/>
  <c r="M21" i="445"/>
  <c r="M22" i="445"/>
  <c r="M23" i="445"/>
  <c r="M25" i="445"/>
  <c r="M26" i="445"/>
  <c r="M27" i="445"/>
  <c r="M28" i="445"/>
  <c r="M29" i="445"/>
  <c r="M30" i="445"/>
  <c r="M31" i="445"/>
  <c r="M33" i="445"/>
  <c r="M34" i="445"/>
  <c r="M35" i="445"/>
  <c r="M36" i="445"/>
  <c r="M37" i="445"/>
  <c r="M38" i="445"/>
  <c r="M39" i="445"/>
  <c r="M41" i="445"/>
  <c r="M42" i="445"/>
  <c r="M43" i="445"/>
  <c r="M44" i="445"/>
  <c r="M45" i="445"/>
  <c r="M46" i="445"/>
  <c r="M47" i="445"/>
  <c r="M48" i="445"/>
  <c r="M49" i="445"/>
  <c r="M50" i="445"/>
  <c r="M51" i="445"/>
  <c r="M52" i="445"/>
  <c r="M53" i="445"/>
  <c r="M54" i="445"/>
  <c r="M55" i="445"/>
  <c r="M56" i="445"/>
  <c r="M57" i="445"/>
  <c r="M58" i="445"/>
  <c r="M59" i="445"/>
  <c r="M60" i="445"/>
  <c r="M61" i="445"/>
  <c r="M62" i="445"/>
  <c r="M64" i="445"/>
  <c r="M65" i="445"/>
  <c r="M66" i="445"/>
  <c r="M67" i="445"/>
  <c r="M68" i="445"/>
  <c r="M69" i="445"/>
  <c r="M70" i="445"/>
  <c r="M71" i="445"/>
  <c r="M72" i="445"/>
  <c r="M73" i="445"/>
  <c r="M74" i="445"/>
  <c r="M75" i="445"/>
  <c r="M76" i="445"/>
  <c r="M77" i="445"/>
  <c r="M78" i="445"/>
  <c r="M79" i="445"/>
  <c r="M80" i="445"/>
  <c r="M82" i="445"/>
  <c r="M83" i="445"/>
  <c r="M84" i="445"/>
  <c r="M85" i="445"/>
  <c r="M86" i="445"/>
  <c r="M87" i="445"/>
  <c r="M88" i="445"/>
  <c r="M89" i="445"/>
  <c r="M90" i="445"/>
  <c r="M91" i="445"/>
  <c r="M92" i="445"/>
  <c r="M93" i="445"/>
  <c r="M94" i="445"/>
  <c r="M95" i="445"/>
  <c r="M96" i="445"/>
  <c r="M98" i="445"/>
  <c r="M99" i="445"/>
  <c r="M3" i="445"/>
  <c r="L4" i="445"/>
  <c r="L5" i="445"/>
  <c r="L6" i="445"/>
  <c r="L7" i="445"/>
  <c r="L8" i="445"/>
  <c r="L9" i="445"/>
  <c r="L10" i="445"/>
  <c r="L11" i="445"/>
  <c r="L12" i="445"/>
  <c r="L13" i="445"/>
  <c r="L14" i="445"/>
  <c r="L15" i="445"/>
  <c r="L17" i="445"/>
  <c r="L18" i="445"/>
  <c r="L19" i="445"/>
  <c r="L20" i="445"/>
  <c r="L21" i="445"/>
  <c r="L22" i="445"/>
  <c r="L23" i="445"/>
  <c r="L25" i="445"/>
  <c r="L26" i="445"/>
  <c r="L27" i="445"/>
  <c r="L28" i="445"/>
  <c r="L29" i="445"/>
  <c r="L30" i="445"/>
  <c r="L31" i="445"/>
  <c r="L33" i="445"/>
  <c r="L34" i="445"/>
  <c r="L35" i="445"/>
  <c r="L36" i="445"/>
  <c r="L37" i="445"/>
  <c r="L38" i="445"/>
  <c r="L39" i="445"/>
  <c r="L41" i="445"/>
  <c r="L42" i="445"/>
  <c r="L43" i="445"/>
  <c r="L44" i="445"/>
  <c r="L45" i="445"/>
  <c r="L46" i="445"/>
  <c r="L47" i="445"/>
  <c r="L48" i="445"/>
  <c r="L49" i="445"/>
  <c r="L50" i="445"/>
  <c r="L51" i="445"/>
  <c r="L52" i="445"/>
  <c r="L53" i="445"/>
  <c r="L54" i="445"/>
  <c r="L55" i="445"/>
  <c r="L56" i="445"/>
  <c r="L57" i="445"/>
  <c r="L58" i="445"/>
  <c r="L59" i="445"/>
  <c r="L60" i="445"/>
  <c r="L61" i="445"/>
  <c r="L62" i="445"/>
  <c r="L64" i="445"/>
  <c r="L65" i="445"/>
  <c r="L66" i="445"/>
  <c r="L67" i="445"/>
  <c r="L68" i="445"/>
  <c r="L69" i="445"/>
  <c r="L70" i="445"/>
  <c r="L71" i="445"/>
  <c r="L72" i="445"/>
  <c r="L73" i="445"/>
  <c r="L74" i="445"/>
  <c r="L75" i="445"/>
  <c r="L76" i="445"/>
  <c r="L77" i="445"/>
  <c r="L78" i="445"/>
  <c r="L79" i="445"/>
  <c r="L80" i="445"/>
  <c r="L82" i="445"/>
  <c r="L83" i="445"/>
  <c r="L84" i="445"/>
  <c r="L85" i="445"/>
  <c r="L86" i="445"/>
  <c r="L87" i="445"/>
  <c r="L88" i="445"/>
  <c r="L89" i="445"/>
  <c r="L90" i="445"/>
  <c r="L91" i="445"/>
  <c r="L92" i="445"/>
  <c r="L93" i="445"/>
  <c r="L94" i="445"/>
  <c r="L95" i="445"/>
  <c r="L96" i="445"/>
  <c r="L98" i="445"/>
  <c r="L99" i="445"/>
  <c r="L3" i="445"/>
  <c r="I62" i="445"/>
  <c r="I59" i="445"/>
  <c r="I60" i="445"/>
  <c r="I61" i="445"/>
  <c r="I58" i="445"/>
  <c r="I57" i="445"/>
  <c r="I56" i="445"/>
  <c r="I55" i="445"/>
  <c r="I54" i="445"/>
  <c r="I43" i="445"/>
  <c r="I44" i="445"/>
  <c r="I45" i="445"/>
  <c r="I46" i="445"/>
  <c r="I47" i="445"/>
  <c r="I48" i="445"/>
  <c r="I49" i="445"/>
  <c r="I50" i="445"/>
  <c r="I51" i="445"/>
  <c r="I52" i="445"/>
  <c r="I53" i="445"/>
  <c r="I42" i="445"/>
  <c r="I41" i="445"/>
  <c r="I31" i="445"/>
  <c r="I30" i="445"/>
  <c r="I29" i="445"/>
  <c r="I28" i="445"/>
  <c r="I27" i="445"/>
  <c r="I26" i="445"/>
  <c r="I25" i="445"/>
  <c r="I23" i="445"/>
  <c r="I22" i="445"/>
  <c r="I21" i="445"/>
  <c r="I20" i="445"/>
  <c r="I19" i="445"/>
  <c r="I18" i="445"/>
  <c r="I17" i="445"/>
  <c r="E1168" i="436"/>
  <c r="E1169" i="436" s="1"/>
  <c r="E1170" i="436" s="1"/>
  <c r="E1171" i="436" s="1"/>
  <c r="E1172" i="436" s="1"/>
  <c r="E1173" i="436" s="1"/>
  <c r="E1166" i="436"/>
  <c r="E1167" i="436" s="1"/>
  <c r="E1160" i="436"/>
  <c r="E1161" i="436" s="1"/>
  <c r="E1162" i="436" s="1"/>
  <c r="E1163" i="436" s="1"/>
  <c r="E1164" i="436" s="1"/>
  <c r="E1165" i="436" s="1"/>
  <c r="D1159" i="436"/>
  <c r="D1160" i="436" s="1"/>
  <c r="D1161" i="436" s="1"/>
  <c r="D1162" i="436" s="1"/>
  <c r="D1163" i="436" s="1"/>
  <c r="D1164" i="436" s="1"/>
  <c r="F72" i="442"/>
  <c r="N1062" i="436"/>
  <c r="C75" i="442"/>
  <c r="C74" i="442"/>
  <c r="C73" i="442"/>
  <c r="D73" i="442" s="1"/>
  <c r="D72" i="442" s="1"/>
  <c r="C71" i="442"/>
  <c r="C70" i="442"/>
  <c r="C69" i="442"/>
  <c r="C68" i="442"/>
  <c r="C67" i="442"/>
  <c r="E1181" i="436"/>
  <c r="E1182" i="436" s="1"/>
  <c r="E1183" i="436" s="1"/>
  <c r="E1184" i="436" s="1"/>
  <c r="E1179" i="436"/>
  <c r="E1180" i="436" s="1"/>
  <c r="E1175" i="436"/>
  <c r="E1176" i="436" s="1"/>
  <c r="E1177" i="436" s="1"/>
  <c r="E1178" i="436" s="1"/>
  <c r="D1174" i="436"/>
  <c r="D1175" i="436" s="1"/>
  <c r="D1176" i="436" s="1"/>
  <c r="D1177" i="436" s="1"/>
  <c r="D1178" i="436" s="1"/>
  <c r="D1179" i="436" s="1"/>
  <c r="D1180" i="436" s="1"/>
  <c r="D1181" i="436" s="1"/>
  <c r="D1182" i="436" s="1"/>
  <c r="D1183" i="436" s="1"/>
  <c r="D1184" i="436" s="1"/>
  <c r="E1153" i="436"/>
  <c r="E1154" i="436" s="1"/>
  <c r="E1155" i="436" s="1"/>
  <c r="E1156" i="436" s="1"/>
  <c r="E1157" i="436" s="1"/>
  <c r="E1158" i="436" s="1"/>
  <c r="E1159" i="436" s="1"/>
  <c r="E1151" i="436"/>
  <c r="E1152" i="436" s="1"/>
  <c r="E1146" i="436"/>
  <c r="E1147" i="436" s="1"/>
  <c r="E1148" i="436" s="1"/>
  <c r="E1149" i="436" s="1"/>
  <c r="E1150" i="436" s="1"/>
  <c r="E1144" i="436"/>
  <c r="E1145" i="436" s="1"/>
  <c r="D1143" i="436"/>
  <c r="D1144" i="436" s="1"/>
  <c r="D1145" i="436" s="1"/>
  <c r="D1146" i="436" s="1"/>
  <c r="D1147" i="436" s="1"/>
  <c r="D1148" i="436" s="1"/>
  <c r="D1149" i="436" s="1"/>
  <c r="D1150" i="436" s="1"/>
  <c r="D1151" i="436" s="1"/>
  <c r="D1152" i="436" s="1"/>
  <c r="D1153" i="436" s="1"/>
  <c r="D1154" i="436" s="1"/>
  <c r="D1155" i="436" s="1"/>
  <c r="D1156" i="436" s="1"/>
  <c r="D1157" i="436" s="1"/>
  <c r="D1158" i="436" s="1"/>
  <c r="E1137" i="436"/>
  <c r="E1135" i="436"/>
  <c r="E1136" i="436" s="1"/>
  <c r="E1130" i="436"/>
  <c r="E1131" i="436" s="1"/>
  <c r="E1132" i="436" s="1"/>
  <c r="E1133" i="436" s="1"/>
  <c r="E1134" i="436" s="1"/>
  <c r="E1128" i="436"/>
  <c r="E1129" i="436" s="1"/>
  <c r="D1127" i="436"/>
  <c r="D1128" i="436" s="1"/>
  <c r="D1129" i="436" s="1"/>
  <c r="D1130" i="436" s="1"/>
  <c r="D1131" i="436" s="1"/>
  <c r="D1132" i="436" s="1"/>
  <c r="D1133" i="436" s="1"/>
  <c r="D1134" i="436" s="1"/>
  <c r="D1135" i="436" s="1"/>
  <c r="D1136" i="436" s="1"/>
  <c r="D1137" i="436" s="1"/>
  <c r="D1138" i="436" s="1"/>
  <c r="D1139" i="436" s="1"/>
  <c r="D1140" i="436" s="1"/>
  <c r="D1141" i="436" s="1"/>
  <c r="D1142" i="436" s="1"/>
  <c r="E1120" i="436"/>
  <c r="E1121" i="436" s="1"/>
  <c r="E1122" i="436" s="1"/>
  <c r="E1123" i="436" s="1"/>
  <c r="E1124" i="436" s="1"/>
  <c r="E1125" i="436" s="1"/>
  <c r="E1126" i="436" s="1"/>
  <c r="E1127" i="436" s="1"/>
  <c r="E1118" i="436"/>
  <c r="E1119" i="436" s="1"/>
  <c r="E1112" i="436"/>
  <c r="E1113" i="436" s="1"/>
  <c r="E1114" i="436" s="1"/>
  <c r="E1115" i="436" s="1"/>
  <c r="E1116" i="436" s="1"/>
  <c r="E1117" i="436" s="1"/>
  <c r="E1110" i="436"/>
  <c r="E1111" i="436" s="1"/>
  <c r="D1109" i="436"/>
  <c r="D1110" i="436" s="1"/>
  <c r="D1111" i="436" s="1"/>
  <c r="D1112" i="436" s="1"/>
  <c r="D1113" i="436" s="1"/>
  <c r="D1114" i="436" s="1"/>
  <c r="D1115" i="436" s="1"/>
  <c r="D1116" i="436" s="1"/>
  <c r="D1117" i="436" s="1"/>
  <c r="D1118" i="436" s="1"/>
  <c r="D1119" i="436" s="1"/>
  <c r="D1120" i="436" s="1"/>
  <c r="D1121" i="436" s="1"/>
  <c r="D1122" i="436" s="1"/>
  <c r="D1123" i="436" s="1"/>
  <c r="D1124" i="436" s="1"/>
  <c r="D1125" i="436" s="1"/>
  <c r="D1126" i="436" s="1"/>
  <c r="E1103" i="436"/>
  <c r="E1104" i="436" s="1"/>
  <c r="E1105" i="436" s="1"/>
  <c r="E1106" i="436" s="1"/>
  <c r="E1107" i="436" s="1"/>
  <c r="E1108" i="436" s="1"/>
  <c r="E1109" i="436" s="1"/>
  <c r="E1101" i="436"/>
  <c r="E1102" i="436" s="1"/>
  <c r="E1096" i="436"/>
  <c r="E1097" i="436" s="1"/>
  <c r="E1098" i="436" s="1"/>
  <c r="E1099" i="436" s="1"/>
  <c r="E1100" i="436" s="1"/>
  <c r="E1093" i="436"/>
  <c r="E1094" i="436" s="1"/>
  <c r="E1095" i="436" s="1"/>
  <c r="D1092" i="436"/>
  <c r="D1093" i="436" s="1"/>
  <c r="D1094" i="436" s="1"/>
  <c r="D1095" i="436" s="1"/>
  <c r="D1096" i="436" s="1"/>
  <c r="D1097" i="436" s="1"/>
  <c r="D1098" i="436" s="1"/>
  <c r="D1099" i="436" s="1"/>
  <c r="D1100" i="436" s="1"/>
  <c r="D1101" i="436" s="1"/>
  <c r="D1102" i="436" s="1"/>
  <c r="D1103" i="436" s="1"/>
  <c r="D1104" i="436" s="1"/>
  <c r="D1105" i="436" s="1"/>
  <c r="D1106" i="436" s="1"/>
  <c r="D1107" i="436" s="1"/>
  <c r="D1108" i="436" s="1"/>
  <c r="E1086" i="436"/>
  <c r="E1084" i="436"/>
  <c r="E1085" i="436" s="1"/>
  <c r="E1079" i="436"/>
  <c r="E1080" i="436" s="1"/>
  <c r="E1081" i="436" s="1"/>
  <c r="E1082" i="436" s="1"/>
  <c r="E1083" i="436" s="1"/>
  <c r="E1076" i="436"/>
  <c r="E1077" i="436" s="1"/>
  <c r="E1078" i="436" s="1"/>
  <c r="D1075" i="436"/>
  <c r="D1076" i="436" s="1"/>
  <c r="D1077" i="436" s="1"/>
  <c r="D1078" i="436" s="1"/>
  <c r="D1079" i="436" s="1"/>
  <c r="D1080" i="436" s="1"/>
  <c r="D1081" i="436" s="1"/>
  <c r="D1082" i="436" s="1"/>
  <c r="D1083" i="436" s="1"/>
  <c r="D1084" i="436" s="1"/>
  <c r="D1085" i="436" s="1"/>
  <c r="D1086" i="436" s="1"/>
  <c r="E1068" i="436"/>
  <c r="E1069" i="436" s="1"/>
  <c r="E1070" i="436" s="1"/>
  <c r="E1071" i="436" s="1"/>
  <c r="E1072" i="436" s="1"/>
  <c r="E1073" i="436" s="1"/>
  <c r="E1074" i="436" s="1"/>
  <c r="E1075" i="436" s="1"/>
  <c r="E1066" i="436"/>
  <c r="E1067" i="436" s="1"/>
  <c r="E1060" i="436"/>
  <c r="E1061" i="436" s="1"/>
  <c r="E1062" i="436" s="1"/>
  <c r="E1063" i="436" s="1"/>
  <c r="E1064" i="436" s="1"/>
  <c r="E1065" i="436" s="1"/>
  <c r="E1057" i="436"/>
  <c r="E1058" i="436" s="1"/>
  <c r="E1059" i="436" s="1"/>
  <c r="D1056" i="436"/>
  <c r="D1057" i="436" s="1"/>
  <c r="D1058" i="436" s="1"/>
  <c r="D1059" i="436" s="1"/>
  <c r="D1060" i="436" s="1"/>
  <c r="D1061" i="436" s="1"/>
  <c r="D1062" i="436" s="1"/>
  <c r="D1063" i="436" s="1"/>
  <c r="D1064" i="436" s="1"/>
  <c r="D1065" i="436" s="1"/>
  <c r="D1066" i="436" s="1"/>
  <c r="D1067" i="436" s="1"/>
  <c r="D1068" i="436" s="1"/>
  <c r="D1069" i="436" s="1"/>
  <c r="D1070" i="436" s="1"/>
  <c r="D1071" i="436" s="1"/>
  <c r="D1072" i="436" s="1"/>
  <c r="D1073" i="436" s="1"/>
  <c r="D1074" i="436" s="1"/>
  <c r="E1041" i="436"/>
  <c r="E1042" i="436" s="1"/>
  <c r="E1038" i="436"/>
  <c r="E1039" i="436" s="1"/>
  <c r="E1040" i="436" s="1"/>
  <c r="E1036" i="436"/>
  <c r="E1037" i="436" s="1"/>
  <c r="N1034" i="436"/>
  <c r="E1033" i="436"/>
  <c r="E1034" i="436" s="1"/>
  <c r="E1035" i="436" s="1"/>
  <c r="E1029" i="436"/>
  <c r="E1030" i="436" s="1"/>
  <c r="D1028" i="436"/>
  <c r="D1029" i="436" s="1"/>
  <c r="D1030" i="436" s="1"/>
  <c r="E1022" i="436"/>
  <c r="E1023" i="436" s="1"/>
  <c r="E1024" i="436" s="1"/>
  <c r="E1025" i="436" s="1"/>
  <c r="E1026" i="436" s="1"/>
  <c r="E1027" i="436" s="1"/>
  <c r="E1028" i="436" s="1"/>
  <c r="E1019" i="436"/>
  <c r="E1020" i="436" s="1"/>
  <c r="E1021" i="436" s="1"/>
  <c r="E1017" i="436"/>
  <c r="E1018" i="436" s="1"/>
  <c r="N1015" i="436"/>
  <c r="E1014" i="436"/>
  <c r="E1015" i="436" s="1"/>
  <c r="E1016" i="436" s="1"/>
  <c r="E1009" i="436"/>
  <c r="E1010" i="436" s="1"/>
  <c r="E1011" i="436" s="1"/>
  <c r="D1008" i="436"/>
  <c r="D1009" i="436" s="1"/>
  <c r="D1010" i="436" s="1"/>
  <c r="D1011" i="436" s="1"/>
  <c r="C61" i="442"/>
  <c r="C55" i="442"/>
  <c r="C50" i="442"/>
  <c r="N976" i="436"/>
  <c r="L963" i="436"/>
  <c r="N946" i="436"/>
  <c r="C54" i="442"/>
  <c r="E50" i="442"/>
  <c r="D50" i="442"/>
  <c r="C63" i="442"/>
  <c r="C60" i="442"/>
  <c r="C53" i="442"/>
  <c r="C51" i="442"/>
  <c r="C52" i="442"/>
  <c r="C62" i="442"/>
  <c r="C58" i="442"/>
  <c r="C59" i="442"/>
  <c r="C57" i="442"/>
  <c r="C56" i="442"/>
  <c r="E1052" i="436"/>
  <c r="E1053" i="436" s="1"/>
  <c r="E1054" i="436" s="1"/>
  <c r="E1048" i="436"/>
  <c r="E1049" i="436" s="1"/>
  <c r="D1047" i="436"/>
  <c r="D1048" i="436" s="1"/>
  <c r="D1049" i="436" s="1"/>
  <c r="E1002" i="436"/>
  <c r="E1003" i="436" s="1"/>
  <c r="E999" i="436"/>
  <c r="E1000" i="436" s="1"/>
  <c r="E1001" i="436" s="1"/>
  <c r="E997" i="436"/>
  <c r="E998" i="436" s="1"/>
  <c r="E994" i="436"/>
  <c r="E995" i="436" s="1"/>
  <c r="E996" i="436" s="1"/>
  <c r="E989" i="436"/>
  <c r="E990" i="436" s="1"/>
  <c r="E991" i="436" s="1"/>
  <c r="D988" i="436"/>
  <c r="D989" i="436" s="1"/>
  <c r="D990" i="436" s="1"/>
  <c r="D991" i="436" s="1"/>
  <c r="E982" i="436"/>
  <c r="E983" i="436" s="1"/>
  <c r="E979" i="436"/>
  <c r="E980" i="436" s="1"/>
  <c r="E981" i="436" s="1"/>
  <c r="E974" i="436"/>
  <c r="E975" i="436" s="1"/>
  <c r="E976" i="436" s="1"/>
  <c r="E969" i="436"/>
  <c r="D968" i="436"/>
  <c r="D969" i="436" s="1"/>
  <c r="E962" i="436"/>
  <c r="E963" i="436" s="1"/>
  <c r="E964" i="436" s="1"/>
  <c r="E955" i="436"/>
  <c r="E956" i="436" s="1"/>
  <c r="E957" i="436" s="1"/>
  <c r="E953" i="436"/>
  <c r="E954" i="436" s="1"/>
  <c r="D952" i="436"/>
  <c r="D953" i="436" s="1"/>
  <c r="D954" i="436" s="1"/>
  <c r="D955" i="436" s="1"/>
  <c r="D956" i="436" s="1"/>
  <c r="E945" i="436"/>
  <c r="E946" i="436" s="1"/>
  <c r="E947" i="436" s="1"/>
  <c r="E936" i="436"/>
  <c r="E937" i="436" s="1"/>
  <c r="E938" i="436" s="1"/>
  <c r="E934" i="436"/>
  <c r="E935" i="436" s="1"/>
  <c r="D933" i="436"/>
  <c r="D934" i="436" s="1"/>
  <c r="D935" i="436" s="1"/>
  <c r="D936" i="436" s="1"/>
  <c r="D937" i="436" s="1"/>
  <c r="E926" i="436"/>
  <c r="E927" i="436" s="1"/>
  <c r="E928" i="436" s="1"/>
  <c r="E923" i="436"/>
  <c r="E924" i="436" s="1"/>
  <c r="E925" i="436" s="1"/>
  <c r="E919" i="436"/>
  <c r="E920" i="436" s="1"/>
  <c r="E921" i="436" s="1"/>
  <c r="E922" i="436" s="1"/>
  <c r="E916" i="436"/>
  <c r="E917" i="436" s="1"/>
  <c r="E918" i="436" s="1"/>
  <c r="E914" i="436"/>
  <c r="E915" i="436" s="1"/>
  <c r="D913" i="436"/>
  <c r="D914" i="436" s="1"/>
  <c r="D915" i="436" s="1"/>
  <c r="D916" i="436" s="1"/>
  <c r="D917" i="436" s="1"/>
  <c r="D1285" i="436" l="1"/>
  <c r="D1286" i="436" s="1"/>
  <c r="D1287" i="436" s="1"/>
  <c r="D1288" i="436" s="1"/>
  <c r="D1289" i="436" s="1"/>
  <c r="D1290" i="436" s="1"/>
  <c r="D1291" i="436" s="1"/>
  <c r="D1344" i="436"/>
  <c r="D1345" i="436" s="1"/>
  <c r="D1346" i="436" s="1"/>
  <c r="D1347" i="436" s="1"/>
  <c r="D1348" i="436" s="1"/>
  <c r="D1349" i="436" s="1"/>
  <c r="D1350" i="436" s="1"/>
  <c r="C46" i="446"/>
  <c r="C47" i="446" s="1"/>
  <c r="C48" i="446" s="1"/>
  <c r="C49" i="446" s="1"/>
  <c r="C50" i="446" s="1"/>
  <c r="C51" i="446" s="1"/>
  <c r="C52" i="446" s="1"/>
  <c r="D1212" i="436"/>
  <c r="D1213" i="436" s="1"/>
  <c r="D1214" i="436" s="1"/>
  <c r="D1215" i="436" s="1"/>
  <c r="D1216" i="436" s="1"/>
  <c r="D1217" i="436" s="1"/>
  <c r="D1218" i="436" s="1"/>
  <c r="D1202" i="436"/>
  <c r="D1203" i="436" s="1"/>
  <c r="D1204" i="436" s="1"/>
  <c r="D1205" i="436" s="1"/>
  <c r="D1206" i="436" s="1"/>
  <c r="D1207" i="436" s="1"/>
  <c r="D1208" i="436" s="1"/>
  <c r="D1189" i="436"/>
  <c r="D1190" i="436" s="1"/>
  <c r="D1191" i="436" s="1"/>
  <c r="D1192" i="436" s="1"/>
  <c r="D1193" i="436" s="1"/>
  <c r="D1194" i="436" s="1"/>
  <c r="D1195" i="436" s="1"/>
  <c r="D1196" i="436" s="1"/>
  <c r="D1197" i="436" s="1"/>
  <c r="D1198" i="436" s="1"/>
  <c r="D1357" i="436"/>
  <c r="D1358" i="436" s="1"/>
  <c r="D1359" i="436" s="1"/>
  <c r="D1360" i="436" s="1"/>
  <c r="D1361" i="436" s="1"/>
  <c r="D1362" i="436" s="1"/>
  <c r="D1363" i="436" s="1"/>
  <c r="D1364" i="436" s="1"/>
  <c r="D1365" i="436" s="1"/>
  <c r="D1366" i="436" s="1"/>
  <c r="E1357" i="436"/>
  <c r="D1263" i="436"/>
  <c r="D1264" i="436" s="1"/>
  <c r="D1265" i="436" s="1"/>
  <c r="D1266" i="436" s="1"/>
  <c r="D1267" i="436" s="1"/>
  <c r="D1268" i="436" s="1"/>
  <c r="D1269" i="436" s="1"/>
  <c r="D1270" i="436" s="1"/>
  <c r="D1240" i="436"/>
  <c r="D1241" i="436" s="1"/>
  <c r="D1242" i="436" s="1"/>
  <c r="D1243" i="436" s="1"/>
  <c r="D1244" i="436" s="1"/>
  <c r="D1245" i="436" s="1"/>
  <c r="D1246" i="436" s="1"/>
  <c r="D1223" i="436"/>
  <c r="D1224" i="436" s="1"/>
  <c r="D1225" i="436" s="1"/>
  <c r="D1226" i="436" s="1"/>
  <c r="E1259" i="436"/>
  <c r="E1282" i="436"/>
  <c r="E1236" i="436"/>
  <c r="E1219" i="436"/>
  <c r="E1209" i="436"/>
  <c r="E1199" i="436"/>
  <c r="E1138" i="436"/>
  <c r="E1139" i="436" s="1"/>
  <c r="E1140" i="436" s="1"/>
  <c r="E1141" i="436" s="1"/>
  <c r="E1142" i="436" s="1"/>
  <c r="E1143" i="436" s="1"/>
  <c r="E1087" i="436"/>
  <c r="E1088" i="436" s="1"/>
  <c r="E1089" i="436" s="1"/>
  <c r="E1090" i="436" s="1"/>
  <c r="E1091" i="436" s="1"/>
  <c r="E1092" i="436" s="1"/>
  <c r="D1087" i="436"/>
  <c r="D1088" i="436" s="1"/>
  <c r="D1089" i="436" s="1"/>
  <c r="D1090" i="436" s="1"/>
  <c r="D1091" i="436" s="1"/>
  <c r="D1165" i="436"/>
  <c r="D1166" i="436" s="1"/>
  <c r="D1167" i="436" s="1"/>
  <c r="D1168" i="436" s="1"/>
  <c r="D1169" i="436" s="1"/>
  <c r="D1170" i="436" s="1"/>
  <c r="D1171" i="436" s="1"/>
  <c r="D1172" i="436" s="1"/>
  <c r="D1173" i="436" s="1"/>
  <c r="E1043" i="436"/>
  <c r="E1044" i="436" s="1"/>
  <c r="E1045" i="436" s="1"/>
  <c r="E1046" i="436" s="1"/>
  <c r="E1047" i="436" s="1"/>
  <c r="E1004" i="436"/>
  <c r="E1005" i="436" s="1"/>
  <c r="E1006" i="436" s="1"/>
  <c r="E1007" i="436" s="1"/>
  <c r="E1008" i="436" s="1"/>
  <c r="E984" i="436"/>
  <c r="E985" i="436" s="1"/>
  <c r="E986" i="436" s="1"/>
  <c r="E987" i="436" s="1"/>
  <c r="E988" i="436" s="1"/>
  <c r="E965" i="436"/>
  <c r="E966" i="436" s="1"/>
  <c r="E967" i="436" s="1"/>
  <c r="E968" i="436" s="1"/>
  <c r="E948" i="436"/>
  <c r="E949" i="436" s="1"/>
  <c r="E950" i="436" s="1"/>
  <c r="E929" i="436"/>
  <c r="E930" i="436" s="1"/>
  <c r="D1050" i="436"/>
  <c r="D1051" i="436" s="1"/>
  <c r="D1052" i="436" s="1"/>
  <c r="D1053" i="436" s="1"/>
  <c r="D1054" i="436" s="1"/>
  <c r="D1031" i="436"/>
  <c r="D1032" i="436" s="1"/>
  <c r="D1033" i="436" s="1"/>
  <c r="D1034" i="436" s="1"/>
  <c r="D1035" i="436" s="1"/>
  <c r="D1036" i="436" s="1"/>
  <c r="D1037" i="436" s="1"/>
  <c r="D1038" i="436" s="1"/>
  <c r="D1039" i="436" s="1"/>
  <c r="D1040" i="436" s="1"/>
  <c r="D1041" i="436" s="1"/>
  <c r="D1042" i="436" s="1"/>
  <c r="D1012" i="436"/>
  <c r="D1013" i="436" s="1"/>
  <c r="D1014" i="436" s="1"/>
  <c r="D1015" i="436" s="1"/>
  <c r="D1016" i="436" s="1"/>
  <c r="D1017" i="436" s="1"/>
  <c r="D1018" i="436" s="1"/>
  <c r="D1019" i="436" s="1"/>
  <c r="D1020" i="436" s="1"/>
  <c r="D1021" i="436" s="1"/>
  <c r="D1022" i="436" s="1"/>
  <c r="D1023" i="436" s="1"/>
  <c r="D1024" i="436" s="1"/>
  <c r="D1025" i="436" s="1"/>
  <c r="D1026" i="436" s="1"/>
  <c r="D1027" i="436" s="1"/>
  <c r="D992" i="436"/>
  <c r="D993" i="436" s="1"/>
  <c r="D994" i="436" s="1"/>
  <c r="D995" i="436" s="1"/>
  <c r="D996" i="436" s="1"/>
  <c r="D997" i="436" s="1"/>
  <c r="D998" i="436" s="1"/>
  <c r="D999" i="436" s="1"/>
  <c r="D1000" i="436" s="1"/>
  <c r="D1001" i="436" s="1"/>
  <c r="D1002" i="436" s="1"/>
  <c r="D1003" i="436" s="1"/>
  <c r="D957" i="436"/>
  <c r="D938" i="436"/>
  <c r="D918" i="436"/>
  <c r="E970" i="436"/>
  <c r="E971" i="436" s="1"/>
  <c r="D970" i="436"/>
  <c r="D971" i="436" s="1"/>
  <c r="A13" i="446"/>
  <c r="I11" i="446"/>
  <c r="I12" i="446"/>
  <c r="I10" i="446"/>
  <c r="I13" i="446"/>
  <c r="B14" i="446"/>
  <c r="N1296" i="436"/>
  <c r="N1252" i="436"/>
  <c r="N1254" i="436"/>
  <c r="N1277" i="436"/>
  <c r="N1289" i="436"/>
  <c r="E1301" i="436"/>
  <c r="N1268" i="436"/>
  <c r="N1275" i="436"/>
  <c r="E1174" i="436"/>
  <c r="N1108" i="436"/>
  <c r="N1106" i="436"/>
  <c r="N1098" i="436"/>
  <c r="N1081" i="436"/>
  <c r="N1071" i="436"/>
  <c r="N1067" i="436"/>
  <c r="N1074" i="436"/>
  <c r="N1124" i="436"/>
  <c r="N1116" i="436"/>
  <c r="N954" i="436"/>
  <c r="N935" i="436"/>
  <c r="N995" i="436"/>
  <c r="N920" i="436"/>
  <c r="N963" i="436"/>
  <c r="E931" i="436" l="1"/>
  <c r="E932" i="436" s="1"/>
  <c r="E933" i="436" s="1"/>
  <c r="D1351" i="436"/>
  <c r="D1352" i="436" s="1"/>
  <c r="A14" i="446"/>
  <c r="D1292" i="436"/>
  <c r="D1271" i="436"/>
  <c r="D1272" i="436" s="1"/>
  <c r="D1273" i="436" s="1"/>
  <c r="D1274" i="436" s="1"/>
  <c r="D1275" i="436" s="1"/>
  <c r="D1276" i="436" s="1"/>
  <c r="D1277" i="436" s="1"/>
  <c r="D1278" i="436" s="1"/>
  <c r="D1279" i="436" s="1"/>
  <c r="D1280" i="436" s="1"/>
  <c r="D1281" i="436" s="1"/>
  <c r="D1247" i="436"/>
  <c r="D1248" i="436" s="1"/>
  <c r="D1249" i="436" s="1"/>
  <c r="D1250" i="436" s="1"/>
  <c r="D1251" i="436" s="1"/>
  <c r="D1252" i="436" s="1"/>
  <c r="D1253" i="436" s="1"/>
  <c r="D1254" i="436" s="1"/>
  <c r="D1255" i="436" s="1"/>
  <c r="D1256" i="436" s="1"/>
  <c r="D1257" i="436" s="1"/>
  <c r="D1258" i="436" s="1"/>
  <c r="D1227" i="436"/>
  <c r="D1228" i="436" s="1"/>
  <c r="D1229" i="436" s="1"/>
  <c r="D1230" i="436" s="1"/>
  <c r="D1231" i="436" s="1"/>
  <c r="D1232" i="436" s="1"/>
  <c r="D1233" i="436" s="1"/>
  <c r="D1234" i="436" s="1"/>
  <c r="D1235" i="436" s="1"/>
  <c r="D1043" i="436"/>
  <c r="D1044" i="436" s="1"/>
  <c r="D1045" i="436" s="1"/>
  <c r="D1046" i="436" s="1"/>
  <c r="D1004" i="436"/>
  <c r="D1005" i="436" s="1"/>
  <c r="D1006" i="436" s="1"/>
  <c r="D1007" i="436" s="1"/>
  <c r="E951" i="436"/>
  <c r="E952" i="436" s="1"/>
  <c r="D958" i="436"/>
  <c r="D959" i="436" s="1"/>
  <c r="D939" i="436"/>
  <c r="D940" i="436" s="1"/>
  <c r="D972" i="436"/>
  <c r="D973" i="436" s="1"/>
  <c r="D974" i="436" s="1"/>
  <c r="D975" i="436" s="1"/>
  <c r="D976" i="436" s="1"/>
  <c r="B15" i="446"/>
  <c r="I14" i="446"/>
  <c r="N1070" i="436"/>
  <c r="A15" i="446" l="1"/>
  <c r="D1293" i="436"/>
  <c r="D1294" i="436" s="1"/>
  <c r="D1295" i="436" s="1"/>
  <c r="D1296" i="436" s="1"/>
  <c r="D1297" i="436" s="1"/>
  <c r="D1298" i="436" s="1"/>
  <c r="D1299" i="436" s="1"/>
  <c r="D1300" i="436" s="1"/>
  <c r="D960" i="436"/>
  <c r="D961" i="436" s="1"/>
  <c r="D962" i="436" s="1"/>
  <c r="D963" i="436" s="1"/>
  <c r="D964" i="436" s="1"/>
  <c r="D965" i="436" s="1"/>
  <c r="D966" i="436" s="1"/>
  <c r="D967" i="436" s="1"/>
  <c r="D941" i="436"/>
  <c r="D942" i="436" s="1"/>
  <c r="D977" i="436"/>
  <c r="D978" i="436" s="1"/>
  <c r="D979" i="436" s="1"/>
  <c r="D980" i="436" s="1"/>
  <c r="D981" i="436" s="1"/>
  <c r="D982" i="436" s="1"/>
  <c r="D983" i="436" s="1"/>
  <c r="B16" i="446"/>
  <c r="I15" i="446"/>
  <c r="A16" i="446" l="1"/>
  <c r="A17" i="446" s="1"/>
  <c r="D984" i="436"/>
  <c r="D985" i="436" s="1"/>
  <c r="D986" i="436" s="1"/>
  <c r="D987" i="436" s="1"/>
  <c r="D943" i="436"/>
  <c r="D944" i="436" s="1"/>
  <c r="D945" i="436" s="1"/>
  <c r="D946" i="436" s="1"/>
  <c r="D947" i="436" s="1"/>
  <c r="D948" i="436" s="1"/>
  <c r="D949" i="436" s="1"/>
  <c r="D950" i="436" s="1"/>
  <c r="D951" i="436" s="1"/>
  <c r="B17" i="446"/>
  <c r="I16" i="446"/>
  <c r="A18" i="446" l="1"/>
  <c r="I17" i="446"/>
  <c r="B18" i="446"/>
  <c r="I18" i="446" l="1"/>
  <c r="A19" i="446"/>
  <c r="A20" i="446" s="1"/>
  <c r="A21" i="446" s="1"/>
  <c r="A22" i="446" s="1"/>
  <c r="A23" i="446" s="1"/>
  <c r="A24" i="446" s="1"/>
  <c r="A25" i="446" s="1"/>
  <c r="A26" i="446" s="1"/>
  <c r="A27" i="446" s="1"/>
  <c r="A28" i="446" s="1"/>
  <c r="A30" i="446" l="1"/>
  <c r="A29" i="446"/>
  <c r="B19" i="446"/>
  <c r="A31" i="446" l="1"/>
  <c r="A32" i="446" s="1"/>
  <c r="A33" i="446" s="1"/>
  <c r="A34" i="446" s="1"/>
  <c r="A35" i="446" s="1"/>
  <c r="A36" i="446" s="1"/>
  <c r="A37" i="446" s="1"/>
  <c r="A38" i="446" s="1"/>
  <c r="A39" i="446" s="1"/>
  <c r="A40" i="446" s="1"/>
  <c r="A41" i="446" s="1"/>
  <c r="A42" i="446" s="1"/>
  <c r="A43" i="446" s="1"/>
  <c r="A44" i="446" s="1"/>
  <c r="A45" i="446" s="1"/>
  <c r="B20" i="446"/>
  <c r="I19" i="446"/>
  <c r="A47" i="446" l="1"/>
  <c r="A46" i="446"/>
  <c r="I20" i="446"/>
  <c r="B21" i="446"/>
  <c r="A48" i="446" l="1"/>
  <c r="A52" i="446" s="1"/>
  <c r="A51" i="446"/>
  <c r="B22" i="446"/>
  <c r="I21" i="446"/>
  <c r="A49" i="446" l="1"/>
  <c r="A53" i="446" s="1"/>
  <c r="B23" i="446"/>
  <c r="I22" i="446"/>
  <c r="A50" i="446" l="1"/>
  <c r="A54" i="446" s="1"/>
  <c r="B24" i="446"/>
  <c r="I23" i="446"/>
  <c r="A55" i="446" l="1"/>
  <c r="I24" i="446"/>
  <c r="B25" i="446"/>
  <c r="A56" i="446" l="1"/>
  <c r="I25" i="446"/>
  <c r="B26" i="446"/>
  <c r="A57" i="446" l="1"/>
  <c r="I26" i="446"/>
  <c r="B27" i="446"/>
  <c r="A58" i="446" l="1"/>
  <c r="B28" i="446"/>
  <c r="B29" i="446" s="1"/>
  <c r="I29" i="446" s="1"/>
  <c r="I27" i="446"/>
  <c r="A59" i="446" l="1"/>
  <c r="B30" i="446"/>
  <c r="I28" i="446"/>
  <c r="A60" i="446" l="1"/>
  <c r="B31" i="446"/>
  <c r="I30" i="446"/>
  <c r="A61" i="446" l="1"/>
  <c r="I31" i="446"/>
  <c r="A62" i="446" l="1"/>
  <c r="B32" i="446"/>
  <c r="A63" i="446" l="1"/>
  <c r="I32" i="446"/>
  <c r="B33" i="446"/>
  <c r="A64" i="446" l="1"/>
  <c r="I33" i="446"/>
  <c r="B34" i="446"/>
  <c r="A65" i="446" l="1"/>
  <c r="I34" i="446"/>
  <c r="B35" i="446"/>
  <c r="A66" i="446" l="1"/>
  <c r="B36" i="446"/>
  <c r="I35" i="446"/>
  <c r="A67" i="446" l="1"/>
  <c r="B37" i="446"/>
  <c r="I36" i="446"/>
  <c r="A68" i="446" l="1"/>
  <c r="B38" i="446"/>
  <c r="I37" i="446"/>
  <c r="A69" i="446" l="1"/>
  <c r="B39" i="446"/>
  <c r="I38" i="446"/>
  <c r="A70" i="446" l="1"/>
  <c r="B40" i="446"/>
  <c r="I39" i="446"/>
  <c r="A71" i="446" l="1"/>
  <c r="A72" i="446" s="1"/>
  <c r="A73" i="446" s="1"/>
  <c r="A74" i="446" s="1"/>
  <c r="A75" i="446" s="1"/>
  <c r="A76" i="446" s="1"/>
  <c r="A77" i="446" s="1"/>
  <c r="A78" i="446" s="1"/>
  <c r="A79" i="446" s="1"/>
  <c r="A80" i="446" s="1"/>
  <c r="A81" i="446" s="1"/>
  <c r="A82" i="446" s="1"/>
  <c r="A83" i="446" s="1"/>
  <c r="A84" i="446" s="1"/>
  <c r="A85" i="446" s="1"/>
  <c r="A86" i="446" s="1"/>
  <c r="A87" i="446" s="1"/>
  <c r="A88" i="446" s="1"/>
  <c r="A89" i="446" s="1"/>
  <c r="I40" i="446"/>
  <c r="B41" i="446"/>
  <c r="A91" i="446" l="1"/>
  <c r="A90" i="446"/>
  <c r="I41" i="446"/>
  <c r="B42" i="446"/>
  <c r="A92" i="446" l="1"/>
  <c r="A93" i="446" s="1"/>
  <c r="A94" i="446" s="1"/>
  <c r="A95" i="446" s="1"/>
  <c r="A96" i="446" s="1"/>
  <c r="A97" i="446" s="1"/>
  <c r="A98" i="446" s="1"/>
  <c r="A99" i="446" s="1"/>
  <c r="A100" i="446" s="1"/>
  <c r="I42" i="446"/>
  <c r="B43" i="446"/>
  <c r="A101" i="446" l="1"/>
  <c r="A103" i="446" s="1"/>
  <c r="A102" i="446"/>
  <c r="I43" i="446"/>
  <c r="A104" i="446" l="1"/>
  <c r="A105" i="446" s="1"/>
  <c r="A106" i="446" s="1"/>
  <c r="A107" i="446" s="1"/>
  <c r="A108" i="446" s="1"/>
  <c r="B44" i="446"/>
  <c r="A109" i="446" l="1"/>
  <c r="A111" i="446" s="1"/>
  <c r="A110" i="446"/>
  <c r="B45" i="446"/>
  <c r="B46" i="446" s="1"/>
  <c r="I46" i="446" s="1"/>
  <c r="I44" i="446"/>
  <c r="A112" i="446" l="1"/>
  <c r="A114" i="446" s="1"/>
  <c r="B47" i="446"/>
  <c r="I45" i="446"/>
  <c r="A113" i="446" l="1"/>
  <c r="A115" i="446" s="1"/>
  <c r="A116" i="446" s="1"/>
  <c r="B48" i="446"/>
  <c r="I47" i="446"/>
  <c r="A117" i="446" l="1"/>
  <c r="A120" i="446" s="1"/>
  <c r="I48" i="446"/>
  <c r="B49" i="446"/>
  <c r="B50" i="446" s="1"/>
  <c r="B51" i="446" s="1"/>
  <c r="A118" i="446" l="1"/>
  <c r="A119" i="446" s="1"/>
  <c r="A121" i="446" s="1"/>
  <c r="A122" i="446" s="1"/>
  <c r="A123" i="446" s="1"/>
  <c r="A124" i="446" s="1"/>
  <c r="A125" i="446" s="1"/>
  <c r="A126" i="446" s="1"/>
  <c r="A127" i="446" s="1"/>
  <c r="A128" i="446" s="1"/>
  <c r="A129" i="446" s="1"/>
  <c r="A130" i="446" s="1"/>
  <c r="A131" i="446" s="1"/>
  <c r="A132" i="446" s="1"/>
  <c r="A133" i="446" s="1"/>
  <c r="A134" i="446" s="1"/>
  <c r="A135" i="446" s="1"/>
  <c r="A136" i="446" s="1"/>
  <c r="A137" i="446" s="1"/>
  <c r="A138" i="446" s="1"/>
  <c r="A139" i="446" s="1"/>
  <c r="A140" i="446" s="1"/>
  <c r="A141" i="446" s="1"/>
  <c r="A142" i="446" s="1"/>
  <c r="A143" i="446" s="1"/>
  <c r="A144" i="446" s="1"/>
  <c r="A145" i="446" s="1"/>
  <c r="A146" i="446" s="1"/>
  <c r="A147" i="446" s="1"/>
  <c r="A148" i="446" s="1"/>
  <c r="A149" i="446" s="1"/>
  <c r="A150" i="446" s="1"/>
  <c r="A151" i="446" s="1"/>
  <c r="A152" i="446" s="1"/>
  <c r="A153" i="446" s="1"/>
  <c r="A154" i="446" s="1"/>
  <c r="A155" i="446" s="1"/>
  <c r="A156" i="446" s="1"/>
  <c r="A157" i="446" s="1"/>
  <c r="A158" i="446" s="1"/>
  <c r="A159" i="446" s="1"/>
  <c r="A160" i="446" s="1"/>
  <c r="A161" i="446" s="1"/>
  <c r="A162" i="446" s="1"/>
  <c r="A163" i="446" s="1"/>
  <c r="A164" i="446" s="1"/>
  <c r="A165" i="446" s="1"/>
  <c r="A166" i="446" s="1"/>
  <c r="A167" i="446" s="1"/>
  <c r="A168" i="446" s="1"/>
  <c r="A169" i="446" s="1"/>
  <c r="A170" i="446" s="1"/>
  <c r="A171" i="446" s="1"/>
  <c r="A172" i="446" s="1"/>
  <c r="A173" i="446" s="1"/>
  <c r="A174" i="446" s="1"/>
  <c r="A175" i="446" s="1"/>
  <c r="A176" i="446" s="1"/>
  <c r="A177" i="446" s="1"/>
  <c r="A178" i="446" s="1"/>
  <c r="A179" i="446" s="1"/>
  <c r="A180" i="446" s="1"/>
  <c r="A181" i="446" s="1"/>
  <c r="A182" i="446" s="1"/>
  <c r="A183" i="446" s="1"/>
  <c r="A184" i="446" s="1"/>
  <c r="A185" i="446" s="1"/>
  <c r="A186" i="446" s="1"/>
  <c r="A187" i="446" s="1"/>
  <c r="A188" i="446" s="1"/>
  <c r="A189" i="446" s="1"/>
  <c r="A190" i="446" s="1"/>
  <c r="A191" i="446" s="1"/>
  <c r="A192" i="446" s="1"/>
  <c r="A193" i="446" s="1"/>
  <c r="A194" i="446" s="1"/>
  <c r="A195" i="446" s="1"/>
  <c r="A196" i="446" s="1"/>
  <c r="A197" i="446" s="1"/>
  <c r="A198" i="446" s="1"/>
  <c r="A199" i="446" s="1"/>
  <c r="A200" i="446" s="1"/>
  <c r="A201" i="446" s="1"/>
  <c r="A202" i="446" s="1"/>
  <c r="A203" i="446" s="1"/>
  <c r="A204" i="446" s="1"/>
  <c r="A205" i="446" s="1"/>
  <c r="A206" i="446" s="1"/>
  <c r="A207" i="446" s="1"/>
  <c r="A208" i="446" s="1"/>
  <c r="A209" i="446" s="1"/>
  <c r="A210" i="446" s="1"/>
  <c r="A211" i="446" s="1"/>
  <c r="A212" i="446" s="1"/>
  <c r="A213" i="446" s="1"/>
  <c r="A214" i="446" s="1"/>
  <c r="A215" i="446" s="1"/>
  <c r="A216" i="446" s="1"/>
  <c r="A217" i="446" s="1"/>
  <c r="A218" i="446" s="1"/>
  <c r="A219" i="446" s="1"/>
  <c r="A220" i="446" s="1"/>
  <c r="A221" i="446" s="1"/>
  <c r="A222" i="446" s="1"/>
  <c r="A223" i="446" s="1"/>
  <c r="A224" i="446" s="1"/>
  <c r="A225" i="446" s="1"/>
  <c r="A226" i="446" s="1"/>
  <c r="A227" i="446" s="1"/>
  <c r="A228" i="446" s="1"/>
  <c r="A229" i="446" s="1"/>
  <c r="A230" i="446" s="1"/>
  <c r="A231" i="446" s="1"/>
  <c r="A232" i="446" s="1"/>
  <c r="A233" i="446" s="1"/>
  <c r="A234" i="446" s="1"/>
  <c r="A235" i="446" s="1"/>
  <c r="A236" i="446" s="1"/>
  <c r="A237" i="446" s="1"/>
  <c r="A238" i="446" s="1"/>
  <c r="A239" i="446" s="1"/>
  <c r="A240" i="446" s="1"/>
  <c r="A241" i="446" s="1"/>
  <c r="A242" i="446" s="1"/>
  <c r="A243" i="446" s="1"/>
  <c r="A244" i="446" s="1"/>
  <c r="A245" i="446" s="1"/>
  <c r="A246" i="446" s="1"/>
  <c r="A247" i="446" s="1"/>
  <c r="A248" i="446" s="1"/>
  <c r="A249" i="446" s="1"/>
  <c r="A250" i="446" s="1"/>
  <c r="A251" i="446" s="1"/>
  <c r="A252" i="446" s="1"/>
  <c r="A253" i="446" s="1"/>
  <c r="A254" i="446" s="1"/>
  <c r="A255" i="446" s="1"/>
  <c r="A256" i="446" s="1"/>
  <c r="A257" i="446" s="1"/>
  <c r="A258" i="446" s="1"/>
  <c r="A259" i="446" s="1"/>
  <c r="A260" i="446" s="1"/>
  <c r="A261" i="446" s="1"/>
  <c r="A262" i="446" s="1"/>
  <c r="A263" i="446" s="1"/>
  <c r="A264" i="446" s="1"/>
  <c r="A265" i="446" s="1"/>
  <c r="A266" i="446" s="1"/>
  <c r="A267" i="446" s="1"/>
  <c r="A268" i="446" s="1"/>
  <c r="A269" i="446" s="1"/>
  <c r="A270" i="446" s="1"/>
  <c r="A271" i="446" s="1"/>
  <c r="A272" i="446" s="1"/>
  <c r="A273" i="446" s="1"/>
  <c r="A274" i="446" s="1"/>
  <c r="A275" i="446" s="1"/>
  <c r="A276" i="446" s="1"/>
  <c r="A277" i="446" s="1"/>
  <c r="A278" i="446" s="1"/>
  <c r="A279" i="446" s="1"/>
  <c r="A280" i="446" s="1"/>
  <c r="A281" i="446" s="1"/>
  <c r="A282" i="446" s="1"/>
  <c r="A283" i="446" s="1"/>
  <c r="A284" i="446" s="1"/>
  <c r="A285" i="446" s="1"/>
  <c r="A286" i="446" s="1"/>
  <c r="A287" i="446" s="1"/>
  <c r="A288" i="446" s="1"/>
  <c r="A289" i="446" s="1"/>
  <c r="A290" i="446" s="1"/>
  <c r="A291" i="446" s="1"/>
  <c r="A292" i="446" s="1"/>
  <c r="A293" i="446" s="1"/>
  <c r="A294" i="446" s="1"/>
  <c r="A295" i="446" s="1"/>
  <c r="A296" i="446" s="1"/>
  <c r="A297" i="446" s="1"/>
  <c r="A298" i="446" s="1"/>
  <c r="A299" i="446" s="1"/>
  <c r="A300" i="446" s="1"/>
  <c r="A301" i="446" s="1"/>
  <c r="A302" i="446" s="1"/>
  <c r="A303" i="446" s="1"/>
  <c r="A304" i="446" s="1"/>
  <c r="A305" i="446" s="1"/>
  <c r="A306" i="446" s="1"/>
  <c r="A307" i="446" s="1"/>
  <c r="A308" i="446" s="1"/>
  <c r="A309" i="446" s="1"/>
  <c r="A310" i="446" s="1"/>
  <c r="A311" i="446" s="1"/>
  <c r="A312" i="446" s="1"/>
  <c r="A313" i="446" s="1"/>
  <c r="A314" i="446" s="1"/>
  <c r="A315" i="446" s="1"/>
  <c r="A316" i="446" s="1"/>
  <c r="A317" i="446" s="1"/>
  <c r="A318" i="446" s="1"/>
  <c r="A319" i="446" s="1"/>
  <c r="A320" i="446" s="1"/>
  <c r="A321" i="446" s="1"/>
  <c r="A322" i="446" s="1"/>
  <c r="A323" i="446" s="1"/>
  <c r="A324" i="446" s="1"/>
  <c r="A325" i="446" s="1"/>
  <c r="A326" i="446" s="1"/>
  <c r="A327" i="446" s="1"/>
  <c r="A328" i="446" s="1"/>
  <c r="A329" i="446" s="1"/>
  <c r="A330" i="446" s="1"/>
  <c r="A331" i="446" s="1"/>
  <c r="A332" i="446" s="1"/>
  <c r="A333" i="446" s="1"/>
  <c r="A334" i="446" s="1"/>
  <c r="A335" i="446" s="1"/>
  <c r="A336" i="446" s="1"/>
  <c r="A337" i="446" s="1"/>
  <c r="A338" i="446" s="1"/>
  <c r="A339" i="446" s="1"/>
  <c r="A340" i="446" s="1"/>
  <c r="A341" i="446" s="1"/>
  <c r="A342" i="446" s="1"/>
  <c r="A343" i="446" s="1"/>
  <c r="A344" i="446" s="1"/>
  <c r="A345" i="446" s="1"/>
  <c r="A346" i="446" s="1"/>
  <c r="A347" i="446" s="1"/>
  <c r="A348" i="446" s="1"/>
  <c r="A349" i="446" s="1"/>
  <c r="A350" i="446" s="1"/>
  <c r="A351" i="446" s="1"/>
  <c r="A352" i="446" s="1"/>
  <c r="A353" i="446" s="1"/>
  <c r="A354" i="446" s="1"/>
  <c r="A355" i="446" s="1"/>
  <c r="A356" i="446" s="1"/>
  <c r="A357" i="446" s="1"/>
  <c r="A358" i="446" s="1"/>
  <c r="A359" i="446" s="1"/>
  <c r="A360" i="446" s="1"/>
  <c r="A361" i="446" s="1"/>
  <c r="A362" i="446" s="1"/>
  <c r="A363" i="446" s="1"/>
  <c r="A364" i="446" s="1"/>
  <c r="A365" i="446" s="1"/>
  <c r="A366" i="446" s="1"/>
  <c r="A367" i="446" s="1"/>
  <c r="A368" i="446" s="1"/>
  <c r="A369" i="446" s="1"/>
  <c r="A370" i="446" s="1"/>
  <c r="A371" i="446" s="1"/>
  <c r="A372" i="446" s="1"/>
  <c r="A373" i="446" s="1"/>
  <c r="A374" i="446" s="1"/>
  <c r="A375" i="446" s="1"/>
  <c r="A376" i="446" s="1"/>
  <c r="A377" i="446" s="1"/>
  <c r="A378" i="446" s="1"/>
  <c r="A379" i="446" s="1"/>
  <c r="A380" i="446" s="1"/>
  <c r="A381" i="446" s="1"/>
  <c r="A382" i="446" s="1"/>
  <c r="A383" i="446" s="1"/>
  <c r="A384" i="446" s="1"/>
  <c r="A385" i="446" s="1"/>
  <c r="A386" i="446" s="1"/>
  <c r="A387" i="446" s="1"/>
  <c r="A388" i="446" s="1"/>
  <c r="A389" i="446" s="1"/>
  <c r="A390" i="446" s="1"/>
  <c r="A391" i="446" s="1"/>
  <c r="A392" i="446" s="1"/>
  <c r="A393" i="446" s="1"/>
  <c r="A394" i="446" s="1"/>
  <c r="A395" i="446" s="1"/>
  <c r="A396" i="446" s="1"/>
  <c r="A397" i="446" s="1"/>
  <c r="A398" i="446" s="1"/>
  <c r="A399" i="446" s="1"/>
  <c r="A400" i="446" s="1"/>
  <c r="A401" i="446" s="1"/>
  <c r="A402" i="446" s="1"/>
  <c r="A403" i="446" s="1"/>
  <c r="A404" i="446" s="1"/>
  <c r="A405" i="446" s="1"/>
  <c r="A406" i="446" s="1"/>
  <c r="A407" i="446" s="1"/>
  <c r="A408" i="446" s="1"/>
  <c r="A409" i="446" s="1"/>
  <c r="A410" i="446" s="1"/>
  <c r="A411" i="446" s="1"/>
  <c r="A412" i="446" s="1"/>
  <c r="A413" i="446" s="1"/>
  <c r="A414" i="446" s="1"/>
  <c r="A415" i="446" s="1"/>
  <c r="A416" i="446" s="1"/>
  <c r="A417" i="446" s="1"/>
  <c r="A418" i="446" s="1"/>
  <c r="A419" i="446" s="1"/>
  <c r="A420" i="446" s="1"/>
  <c r="A421" i="446" s="1"/>
  <c r="A422" i="446" s="1"/>
  <c r="A423" i="446" s="1"/>
  <c r="A424" i="446" s="1"/>
  <c r="A425" i="446" s="1"/>
  <c r="A426" i="446" s="1"/>
  <c r="A427" i="446" s="1"/>
  <c r="A428" i="446" s="1"/>
  <c r="A429" i="446" s="1"/>
  <c r="A430" i="446" s="1"/>
  <c r="A431" i="446" s="1"/>
  <c r="A432" i="446" s="1"/>
  <c r="A433" i="446" s="1"/>
  <c r="A434" i="446" s="1"/>
  <c r="A435" i="446" s="1"/>
  <c r="A436" i="446" s="1"/>
  <c r="A437" i="446" s="1"/>
  <c r="A438" i="446" s="1"/>
  <c r="A439" i="446" s="1"/>
  <c r="A440" i="446" s="1"/>
  <c r="A441" i="446" s="1"/>
  <c r="A442" i="446" s="1"/>
  <c r="A443" i="446" s="1"/>
  <c r="A444" i="446" s="1"/>
  <c r="A445" i="446" s="1"/>
  <c r="A446" i="446" s="1"/>
  <c r="A447" i="446" s="1"/>
  <c r="A448" i="446" s="1"/>
  <c r="A449" i="446" s="1"/>
  <c r="A450" i="446" s="1"/>
  <c r="A451" i="446" s="1"/>
  <c r="A452" i="446" s="1"/>
  <c r="A453" i="446" s="1"/>
  <c r="A454" i="446" s="1"/>
  <c r="A455" i="446" s="1"/>
  <c r="A456" i="446" s="1"/>
  <c r="A457" i="446" s="1"/>
  <c r="A458" i="446" s="1"/>
  <c r="A459" i="446" s="1"/>
  <c r="A460" i="446" s="1"/>
  <c r="A461" i="446" s="1"/>
  <c r="A462" i="446" s="1"/>
  <c r="A463" i="446" s="1"/>
  <c r="A464" i="446" s="1"/>
  <c r="A465" i="446" s="1"/>
  <c r="A466" i="446" s="1"/>
  <c r="A467" i="446" s="1"/>
  <c r="A468" i="446" s="1"/>
  <c r="A469" i="446" s="1"/>
  <c r="A470" i="446" s="1"/>
  <c r="A471" i="446" s="1"/>
  <c r="A472" i="446" s="1"/>
  <c r="A473" i="446" s="1"/>
  <c r="A474" i="446" s="1"/>
  <c r="A475" i="446" s="1"/>
  <c r="A476" i="446" s="1"/>
  <c r="A477" i="446" s="1"/>
  <c r="A478" i="446" s="1"/>
  <c r="A479" i="446" s="1"/>
  <c r="A480" i="446" s="1"/>
  <c r="A481" i="446" s="1"/>
  <c r="A482" i="446" s="1"/>
  <c r="A483" i="446" s="1"/>
  <c r="A484" i="446" s="1"/>
  <c r="A485" i="446" s="1"/>
  <c r="A486" i="446" s="1"/>
  <c r="A487" i="446" s="1"/>
  <c r="A488" i="446" s="1"/>
  <c r="A489" i="446" s="1"/>
  <c r="A490" i="446" s="1"/>
  <c r="A491" i="446" s="1"/>
  <c r="A492" i="446" s="1"/>
  <c r="A493" i="446" s="1"/>
  <c r="A494" i="446" s="1"/>
  <c r="A495" i="446" s="1"/>
  <c r="A496" i="446" s="1"/>
  <c r="A497" i="446" s="1"/>
  <c r="A498" i="446" s="1"/>
  <c r="A499" i="446" s="1"/>
  <c r="A500" i="446" s="1"/>
  <c r="A501" i="446" s="1"/>
  <c r="A502" i="446" s="1"/>
  <c r="A503" i="446" s="1"/>
  <c r="A504" i="446" s="1"/>
  <c r="A505" i="446" s="1"/>
  <c r="A506" i="446" s="1"/>
  <c r="A507" i="446" s="1"/>
  <c r="A508" i="446" s="1"/>
  <c r="A509" i="446" s="1"/>
  <c r="A510" i="446" s="1"/>
  <c r="A511" i="446" s="1"/>
  <c r="A512" i="446" s="1"/>
  <c r="A513" i="446" s="1"/>
  <c r="A514" i="446" s="1"/>
  <c r="A515" i="446" s="1"/>
  <c r="A516" i="446" s="1"/>
  <c r="A517" i="446" s="1"/>
  <c r="A518" i="446" s="1"/>
  <c r="A519" i="446" s="1"/>
  <c r="A520" i="446" s="1"/>
  <c r="A521" i="446" s="1"/>
  <c r="A522" i="446" s="1"/>
  <c r="A523" i="446" s="1"/>
  <c r="A524" i="446" s="1"/>
  <c r="A525" i="446" s="1"/>
  <c r="A526" i="446" s="1"/>
  <c r="A527" i="446" s="1"/>
  <c r="A528" i="446" s="1"/>
  <c r="A529" i="446" s="1"/>
  <c r="A530" i="446" s="1"/>
  <c r="A531" i="446" s="1"/>
  <c r="A532" i="446" s="1"/>
  <c r="A533" i="446" s="1"/>
  <c r="A534" i="446" s="1"/>
  <c r="A535" i="446" s="1"/>
  <c r="A536" i="446" s="1"/>
  <c r="A537" i="446" s="1"/>
  <c r="A538" i="446" s="1"/>
  <c r="A539" i="446" s="1"/>
  <c r="A540" i="446" s="1"/>
  <c r="A541" i="446" s="1"/>
  <c r="A542" i="446" s="1"/>
  <c r="A543" i="446" s="1"/>
  <c r="A544" i="446" s="1"/>
  <c r="A545" i="446" s="1"/>
  <c r="A546" i="446" s="1"/>
  <c r="A547" i="446" s="1"/>
  <c r="A548" i="446" s="1"/>
  <c r="A549" i="446" s="1"/>
  <c r="A550" i="446" s="1"/>
  <c r="A551" i="446" s="1"/>
  <c r="A552" i="446" s="1"/>
  <c r="A553" i="446" s="1"/>
  <c r="A554" i="446" s="1"/>
  <c r="A555" i="446" s="1"/>
  <c r="A556" i="446" s="1"/>
  <c r="A557" i="446" s="1"/>
  <c r="A558" i="446" s="1"/>
  <c r="A559" i="446" s="1"/>
  <c r="A560" i="446" s="1"/>
  <c r="A561" i="446" s="1"/>
  <c r="A562" i="446" s="1"/>
  <c r="A563" i="446" s="1"/>
  <c r="A564" i="446" s="1"/>
  <c r="A565" i="446" s="1"/>
  <c r="A566" i="446" s="1"/>
  <c r="A567" i="446" s="1"/>
  <c r="A568" i="446" s="1"/>
  <c r="A569" i="446" s="1"/>
  <c r="A570" i="446" s="1"/>
  <c r="A571" i="446" s="1"/>
  <c r="A572" i="446" s="1"/>
  <c r="A573" i="446" s="1"/>
  <c r="A574" i="446" s="1"/>
  <c r="A575" i="446" s="1"/>
  <c r="A576" i="446" s="1"/>
  <c r="A577" i="446" s="1"/>
  <c r="A578" i="446" s="1"/>
  <c r="A579" i="446" s="1"/>
  <c r="A580" i="446" s="1"/>
  <c r="A581" i="446" s="1"/>
  <c r="A582" i="446" s="1"/>
  <c r="A583" i="446" s="1"/>
  <c r="A584" i="446" s="1"/>
  <c r="A585" i="446" s="1"/>
  <c r="A586" i="446" s="1"/>
  <c r="A587" i="446" s="1"/>
  <c r="A588" i="446" s="1"/>
  <c r="A589" i="446" s="1"/>
  <c r="A590" i="446" s="1"/>
  <c r="A591" i="446" s="1"/>
  <c r="A592" i="446" s="1"/>
  <c r="A593" i="446" s="1"/>
  <c r="A594" i="446" s="1"/>
  <c r="A595" i="446" s="1"/>
  <c r="A596" i="446" s="1"/>
  <c r="A597" i="446" s="1"/>
  <c r="A598" i="446" s="1"/>
  <c r="A599" i="446" s="1"/>
  <c r="A600" i="446" s="1"/>
  <c r="A601" i="446" s="1"/>
  <c r="A602" i="446" s="1"/>
  <c r="A603" i="446" s="1"/>
  <c r="A604" i="446" s="1"/>
  <c r="A605" i="446" s="1"/>
  <c r="A606" i="446" s="1"/>
  <c r="A607" i="446" s="1"/>
  <c r="A608" i="446" s="1"/>
  <c r="A609" i="446" s="1"/>
  <c r="A610" i="446" s="1"/>
  <c r="A611" i="446" s="1"/>
  <c r="A612" i="446" s="1"/>
  <c r="A613" i="446" s="1"/>
  <c r="A614" i="446" s="1"/>
  <c r="A615" i="446" s="1"/>
  <c r="A616" i="446" s="1"/>
  <c r="A617" i="446" s="1"/>
  <c r="A618" i="446" s="1"/>
  <c r="A619" i="446" s="1"/>
  <c r="A620" i="446" s="1"/>
  <c r="A621" i="446" s="1"/>
  <c r="A622" i="446" s="1"/>
  <c r="A623" i="446" s="1"/>
  <c r="A624" i="446" s="1"/>
  <c r="A625" i="446" s="1"/>
  <c r="A626" i="446" s="1"/>
  <c r="A627" i="446" s="1"/>
  <c r="A628" i="446" s="1"/>
  <c r="A629" i="446" s="1"/>
  <c r="A630" i="446" s="1"/>
  <c r="A631" i="446" s="1"/>
  <c r="A632" i="446" s="1"/>
  <c r="A633" i="446" s="1"/>
  <c r="A634" i="446" s="1"/>
  <c r="A635" i="446" s="1"/>
  <c r="A636" i="446" s="1"/>
  <c r="A637" i="446" s="1"/>
  <c r="A638" i="446" s="1"/>
  <c r="A639" i="446" s="1"/>
  <c r="A640" i="446" s="1"/>
  <c r="A641" i="446" s="1"/>
  <c r="A642" i="446" s="1"/>
  <c r="A643" i="446" s="1"/>
  <c r="A644" i="446" s="1"/>
  <c r="A645" i="446" s="1"/>
  <c r="A646" i="446" s="1"/>
  <c r="A647" i="446" s="1"/>
  <c r="A648" i="446" s="1"/>
  <c r="A649" i="446" s="1"/>
  <c r="A650" i="446" s="1"/>
  <c r="A651" i="446" s="1"/>
  <c r="A652" i="446" s="1"/>
  <c r="A653" i="446" s="1"/>
  <c r="A654" i="446" s="1"/>
  <c r="A655" i="446" s="1"/>
  <c r="A656" i="446" s="1"/>
  <c r="A657" i="446" s="1"/>
  <c r="A658" i="446" s="1"/>
  <c r="A659" i="446" s="1"/>
  <c r="A660" i="446" s="1"/>
  <c r="A661" i="446" s="1"/>
  <c r="A662" i="446" s="1"/>
  <c r="A663" i="446" s="1"/>
  <c r="A664" i="446" s="1"/>
  <c r="A665" i="446" s="1"/>
  <c r="A666" i="446" s="1"/>
  <c r="A667" i="446" s="1"/>
  <c r="A668" i="446" s="1"/>
  <c r="A669" i="446" s="1"/>
  <c r="A670" i="446" s="1"/>
  <c r="A671" i="446" s="1"/>
  <c r="A672" i="446" s="1"/>
  <c r="A673" i="446" s="1"/>
  <c r="A674" i="446" s="1"/>
  <c r="A675" i="446" s="1"/>
  <c r="A676" i="446" s="1"/>
  <c r="A677" i="446" s="1"/>
  <c r="A678" i="446" s="1"/>
  <c r="A679" i="446" s="1"/>
  <c r="A680" i="446" s="1"/>
  <c r="A681" i="446" s="1"/>
  <c r="A682" i="446" s="1"/>
  <c r="A683" i="446" s="1"/>
  <c r="A684" i="446" s="1"/>
  <c r="A685" i="446" s="1"/>
  <c r="A686" i="446" s="1"/>
  <c r="A687" i="446" s="1"/>
  <c r="A688" i="446" s="1"/>
  <c r="A689" i="446" s="1"/>
  <c r="A690" i="446" s="1"/>
  <c r="A691" i="446" s="1"/>
  <c r="A692" i="446" s="1"/>
  <c r="A693" i="446" s="1"/>
  <c r="A694" i="446" s="1"/>
  <c r="A695" i="446" s="1"/>
  <c r="A696" i="446" s="1"/>
  <c r="A697" i="446" s="1"/>
  <c r="A698" i="446" s="1"/>
  <c r="A699" i="446" s="1"/>
  <c r="A700" i="446" s="1"/>
  <c r="A701" i="446" s="1"/>
  <c r="A702" i="446" s="1"/>
  <c r="A703" i="446" s="1"/>
  <c r="A704" i="446" s="1"/>
  <c r="A705" i="446" s="1"/>
  <c r="A706" i="446" s="1"/>
  <c r="A707" i="446" s="1"/>
  <c r="A708" i="446" s="1"/>
  <c r="A709" i="446" s="1"/>
  <c r="A710" i="446" s="1"/>
  <c r="A711" i="446" s="1"/>
  <c r="A712" i="446" s="1"/>
  <c r="A713" i="446" s="1"/>
  <c r="A714" i="446" s="1"/>
  <c r="A715" i="446" s="1"/>
  <c r="A716" i="446" s="1"/>
  <c r="A717" i="446" s="1"/>
  <c r="A718" i="446" s="1"/>
  <c r="A719" i="446" s="1"/>
  <c r="A720" i="446" s="1"/>
  <c r="A721" i="446" s="1"/>
  <c r="A722" i="446" s="1"/>
  <c r="A723" i="446" s="1"/>
  <c r="A724" i="446" s="1"/>
  <c r="A725" i="446" s="1"/>
  <c r="A726" i="446" s="1"/>
  <c r="A727" i="446" s="1"/>
  <c r="A728" i="446" s="1"/>
  <c r="A729" i="446" s="1"/>
  <c r="A730" i="446" s="1"/>
  <c r="A731" i="446" s="1"/>
  <c r="A732" i="446" s="1"/>
  <c r="A733" i="446" s="1"/>
  <c r="A734" i="446" s="1"/>
  <c r="A735" i="446" s="1"/>
  <c r="A736" i="446" s="1"/>
  <c r="A737" i="446" s="1"/>
  <c r="A738" i="446" s="1"/>
  <c r="A739" i="446" s="1"/>
  <c r="A740" i="446" s="1"/>
  <c r="A741" i="446" s="1"/>
  <c r="A742" i="446" s="1"/>
  <c r="A743" i="446" s="1"/>
  <c r="A744" i="446" s="1"/>
  <c r="A745" i="446" s="1"/>
  <c r="A746" i="446" s="1"/>
  <c r="A747" i="446" s="1"/>
  <c r="A748" i="446" s="1"/>
  <c r="A749" i="446" s="1"/>
  <c r="A750" i="446" s="1"/>
  <c r="A751" i="446" s="1"/>
  <c r="A752" i="446" s="1"/>
  <c r="A753" i="446" s="1"/>
  <c r="A754" i="446" s="1"/>
  <c r="A755" i="446" s="1"/>
  <c r="A756" i="446" s="1"/>
  <c r="A757" i="446" s="1"/>
  <c r="A758" i="446" s="1"/>
  <c r="A759" i="446" s="1"/>
  <c r="A760" i="446" s="1"/>
  <c r="I51" i="446"/>
  <c r="B52" i="446"/>
  <c r="I50" i="446"/>
  <c r="I49" i="446"/>
  <c r="I52" i="446" l="1"/>
  <c r="B53" i="446" l="1"/>
  <c r="I53" i="446" l="1"/>
  <c r="B54" i="446"/>
  <c r="B55" i="446" l="1"/>
  <c r="I54" i="446"/>
  <c r="B56" i="446" l="1"/>
  <c r="I55" i="446"/>
  <c r="B57" i="446" l="1"/>
  <c r="I56" i="446"/>
  <c r="B58" i="446" l="1"/>
  <c r="I57" i="446"/>
  <c r="B59" i="446" l="1"/>
  <c r="I58" i="446"/>
  <c r="B60" i="446" l="1"/>
  <c r="I59" i="446"/>
  <c r="I60" i="446" l="1"/>
  <c r="B61" i="446"/>
  <c r="B62" i="446" l="1"/>
  <c r="I61" i="446"/>
  <c r="B63" i="446" l="1"/>
  <c r="I62" i="446"/>
  <c r="I63" i="446" l="1"/>
  <c r="B64" i="446"/>
  <c r="I64" i="446" l="1"/>
  <c r="B65" i="446"/>
  <c r="B66" i="446" l="1"/>
  <c r="I65" i="446"/>
  <c r="I66" i="446" l="1"/>
  <c r="B67" i="446"/>
  <c r="I67" i="446" l="1"/>
  <c r="B68" i="446"/>
  <c r="I68" i="446" l="1"/>
  <c r="B69" i="446"/>
  <c r="I69" i="446" l="1"/>
  <c r="B70" i="446"/>
  <c r="I70" i="446" l="1"/>
  <c r="B71" i="446"/>
  <c r="I71" i="446" l="1"/>
  <c r="B72" i="446"/>
  <c r="I72" i="446" l="1"/>
  <c r="B73" i="446"/>
  <c r="B74" i="446" l="1"/>
  <c r="I73" i="446"/>
  <c r="B75" i="446" l="1"/>
  <c r="I74" i="446"/>
  <c r="B76" i="446" l="1"/>
  <c r="I75" i="446"/>
  <c r="B77" i="446" l="1"/>
  <c r="I76" i="446"/>
  <c r="B78" i="446" l="1"/>
  <c r="I77" i="446"/>
  <c r="I78" i="446" l="1"/>
  <c r="B79" i="446"/>
  <c r="I79" i="446" l="1"/>
  <c r="B80" i="446"/>
  <c r="B81" i="446" l="1"/>
  <c r="I80" i="446"/>
  <c r="I81" i="446" l="1"/>
  <c r="B82" i="446"/>
  <c r="B83" i="446" l="1"/>
  <c r="I82" i="446"/>
  <c r="I83" i="446" l="1"/>
  <c r="B84" i="446"/>
  <c r="I84" i="446" l="1"/>
  <c r="B85" i="446"/>
  <c r="I85" i="446" l="1"/>
  <c r="B86" i="446"/>
  <c r="I86" i="446" l="1"/>
  <c r="B87" i="446"/>
  <c r="I87" i="446" l="1"/>
  <c r="B88" i="446"/>
  <c r="I88" i="446" l="1"/>
  <c r="B89" i="446"/>
  <c r="B90" i="446" l="1"/>
  <c r="I89" i="446"/>
  <c r="I90" i="446" l="1"/>
  <c r="B91" i="446"/>
  <c r="I91" i="446" l="1"/>
  <c r="B92" i="446"/>
  <c r="B93" i="446" l="1"/>
  <c r="I92" i="446"/>
  <c r="B94" i="446" l="1"/>
  <c r="I93" i="446"/>
  <c r="B95" i="446" l="1"/>
  <c r="I94" i="446"/>
  <c r="I95" i="446" l="1"/>
  <c r="B96" i="446"/>
  <c r="B97" i="446" l="1"/>
  <c r="I96" i="446"/>
  <c r="B98" i="446" l="1"/>
  <c r="I97" i="446"/>
  <c r="B99" i="446" l="1"/>
  <c r="I98" i="446"/>
  <c r="I99" i="446" l="1"/>
  <c r="B100" i="446"/>
  <c r="I100" i="446" l="1"/>
  <c r="B101" i="446"/>
  <c r="B102" i="446" l="1"/>
  <c r="I101" i="446"/>
  <c r="I102" i="446" l="1"/>
  <c r="B103" i="446"/>
  <c r="I103" i="446" l="1"/>
  <c r="B104" i="446"/>
  <c r="I104" i="446" l="1"/>
  <c r="B105" i="446"/>
  <c r="B106" i="446" l="1"/>
  <c r="I105" i="446"/>
  <c r="I106" i="446" l="1"/>
  <c r="B107" i="446"/>
  <c r="B108" i="446" l="1"/>
  <c r="I107" i="446"/>
  <c r="I108" i="446" l="1"/>
  <c r="B109" i="446"/>
  <c r="B110" i="446" l="1"/>
  <c r="I109" i="446"/>
  <c r="I110" i="446" l="1"/>
  <c r="B111" i="446"/>
  <c r="B112" i="446" l="1"/>
  <c r="I111" i="446"/>
  <c r="B113" i="446" l="1"/>
  <c r="I112" i="446"/>
  <c r="I113" i="446" l="1"/>
  <c r="B114" i="446"/>
  <c r="B115" i="446" l="1"/>
  <c r="I114" i="446"/>
  <c r="B116" i="446" l="1"/>
  <c r="I115" i="446"/>
  <c r="I116" i="446" l="1"/>
  <c r="B117" i="446"/>
  <c r="B118" i="446" l="1"/>
  <c r="I117" i="446"/>
  <c r="I118" i="446" l="1"/>
  <c r="B119" i="446"/>
  <c r="E905" i="436"/>
  <c r="E906" i="436" s="1"/>
  <c r="D904" i="436"/>
  <c r="D905" i="436" s="1"/>
  <c r="D906" i="436" s="1"/>
  <c r="E910" i="436"/>
  <c r="E911" i="436" s="1"/>
  <c r="E908" i="436"/>
  <c r="E909" i="436" s="1"/>
  <c r="D907" i="436"/>
  <c r="D908" i="436" s="1"/>
  <c r="D909" i="436" s="1"/>
  <c r="D910" i="436" s="1"/>
  <c r="D911" i="436" s="1"/>
  <c r="E898" i="436"/>
  <c r="E899" i="436" s="1"/>
  <c r="E904" i="436" s="1"/>
  <c r="D897" i="436"/>
  <c r="D898" i="436" s="1"/>
  <c r="D899" i="436" s="1"/>
  <c r="D900" i="436" s="1"/>
  <c r="D901" i="436" s="1"/>
  <c r="D902" i="436" s="1"/>
  <c r="D903" i="436" s="1"/>
  <c r="E891" i="436"/>
  <c r="E892" i="436" s="1"/>
  <c r="E897" i="436" s="1"/>
  <c r="D890" i="436"/>
  <c r="D891" i="436" s="1"/>
  <c r="D892" i="436" s="1"/>
  <c r="D893" i="436" s="1"/>
  <c r="D894" i="436" s="1"/>
  <c r="D895" i="436" s="1"/>
  <c r="D896" i="436" s="1"/>
  <c r="E884" i="436"/>
  <c r="E885" i="436" s="1"/>
  <c r="E890" i="436" s="1"/>
  <c r="D881" i="436"/>
  <c r="E879" i="436"/>
  <c r="E880" i="436" s="1"/>
  <c r="E881" i="436" s="1"/>
  <c r="E877" i="436"/>
  <c r="E878" i="436" s="1"/>
  <c r="D876" i="436"/>
  <c r="D877" i="436" s="1"/>
  <c r="D878" i="436" s="1"/>
  <c r="E874" i="436"/>
  <c r="E875" i="436" s="1"/>
  <c r="E876" i="436" s="1"/>
  <c r="E872" i="436"/>
  <c r="E873" i="436" s="1"/>
  <c r="D871" i="436"/>
  <c r="D872" i="436" s="1"/>
  <c r="D873" i="436" s="1"/>
  <c r="E869" i="436"/>
  <c r="E870" i="436" s="1"/>
  <c r="E871" i="436" s="1"/>
  <c r="E867" i="436"/>
  <c r="E868" i="436" s="1"/>
  <c r="D866" i="436"/>
  <c r="D867" i="436" s="1"/>
  <c r="D868" i="436" s="1"/>
  <c r="C45" i="442"/>
  <c r="E851" i="436"/>
  <c r="E852" i="436" s="1"/>
  <c r="E853" i="436" s="1"/>
  <c r="E854" i="436" s="1"/>
  <c r="E855" i="436" s="1"/>
  <c r="E849" i="436"/>
  <c r="E850" i="436" s="1"/>
  <c r="E846" i="436"/>
  <c r="E847" i="436" s="1"/>
  <c r="E848" i="436" s="1"/>
  <c r="E843" i="436"/>
  <c r="E844" i="436" s="1"/>
  <c r="E845" i="436" s="1"/>
  <c r="E841" i="436"/>
  <c r="D840" i="436"/>
  <c r="D841" i="436" s="1"/>
  <c r="C38" i="442"/>
  <c r="C37" i="442"/>
  <c r="C40" i="442"/>
  <c r="C39" i="442"/>
  <c r="C36" i="442"/>
  <c r="C35" i="442"/>
  <c r="C34" i="442"/>
  <c r="C33" i="442"/>
  <c r="E862" i="436"/>
  <c r="E863" i="436" s="1"/>
  <c r="E864" i="436" s="1"/>
  <c r="E859" i="436"/>
  <c r="E860" i="436" s="1"/>
  <c r="E861" i="436" s="1"/>
  <c r="E857" i="436"/>
  <c r="E858" i="436" s="1"/>
  <c r="D856" i="436"/>
  <c r="D857" i="436" s="1"/>
  <c r="D858" i="436" s="1"/>
  <c r="D859" i="436" s="1"/>
  <c r="D860" i="436" s="1"/>
  <c r="D861" i="436" s="1"/>
  <c r="D862" i="436" s="1"/>
  <c r="D863" i="436" s="1"/>
  <c r="D864" i="436" s="1"/>
  <c r="E835" i="436"/>
  <c r="E836" i="436" s="1"/>
  <c r="E837" i="436" s="1"/>
  <c r="E833" i="436"/>
  <c r="E834" i="436" s="1"/>
  <c r="E827" i="436"/>
  <c r="E828" i="436" s="1"/>
  <c r="E829" i="436" s="1"/>
  <c r="E824" i="436"/>
  <c r="E825" i="436" s="1"/>
  <c r="E826" i="436" s="1"/>
  <c r="D823" i="436"/>
  <c r="D824" i="436" s="1"/>
  <c r="D825" i="436" s="1"/>
  <c r="D826" i="436" s="1"/>
  <c r="D827" i="436" s="1"/>
  <c r="D828" i="436" s="1"/>
  <c r="D829" i="436" s="1"/>
  <c r="D830" i="436" s="1"/>
  <c r="D831" i="436" s="1"/>
  <c r="D832" i="436" s="1"/>
  <c r="E818" i="436"/>
  <c r="E819" i="436" s="1"/>
  <c r="E820" i="436" s="1"/>
  <c r="E816" i="436"/>
  <c r="E817" i="436" s="1"/>
  <c r="E810" i="436"/>
  <c r="E811" i="436" s="1"/>
  <c r="E812" i="436" s="1"/>
  <c r="E807" i="436"/>
  <c r="E808" i="436" s="1"/>
  <c r="E809" i="436" s="1"/>
  <c r="D806" i="436"/>
  <c r="D807" i="436" s="1"/>
  <c r="D808" i="436" s="1"/>
  <c r="D809" i="436" s="1"/>
  <c r="D810" i="436" s="1"/>
  <c r="D811" i="436" s="1"/>
  <c r="D812" i="436" s="1"/>
  <c r="E801" i="436"/>
  <c r="E802" i="436" s="1"/>
  <c r="E803" i="436" s="1"/>
  <c r="E804" i="436" s="1"/>
  <c r="E805" i="436" s="1"/>
  <c r="E806" i="436" s="1"/>
  <c r="E799" i="436"/>
  <c r="E800" i="436" s="1"/>
  <c r="E797" i="436"/>
  <c r="E798" i="436" s="1"/>
  <c r="E794" i="436"/>
  <c r="E795" i="436" s="1"/>
  <c r="E796" i="436" s="1"/>
  <c r="E791" i="436"/>
  <c r="E792" i="436" s="1"/>
  <c r="E793" i="436" s="1"/>
  <c r="D790" i="436"/>
  <c r="D791" i="436" s="1"/>
  <c r="D792" i="436" s="1"/>
  <c r="D793" i="436" s="1"/>
  <c r="D794" i="436" s="1"/>
  <c r="D795" i="436" s="1"/>
  <c r="D796" i="436" s="1"/>
  <c r="D797" i="436" s="1"/>
  <c r="D798" i="436" s="1"/>
  <c r="D799" i="436" s="1"/>
  <c r="D800" i="436" s="1"/>
  <c r="D801" i="436" s="1"/>
  <c r="D802" i="436" s="1"/>
  <c r="D803" i="436" s="1"/>
  <c r="D804" i="436" s="1"/>
  <c r="D805" i="436" s="1"/>
  <c r="E786" i="436"/>
  <c r="E787" i="436" s="1"/>
  <c r="E788" i="436" s="1"/>
  <c r="E789" i="436" s="1"/>
  <c r="E790" i="436" s="1"/>
  <c r="E784" i="436"/>
  <c r="E785" i="436" s="1"/>
  <c r="E781" i="436"/>
  <c r="E782" i="436" s="1"/>
  <c r="E783" i="436" s="1"/>
  <c r="E778" i="436"/>
  <c r="E779" i="436" s="1"/>
  <c r="E780" i="436" s="1"/>
  <c r="D777" i="436"/>
  <c r="D778" i="436" s="1"/>
  <c r="D779" i="436" s="1"/>
  <c r="D780" i="436" s="1"/>
  <c r="D781" i="436" s="1"/>
  <c r="D782" i="436" s="1"/>
  <c r="D783" i="436" s="1"/>
  <c r="D784" i="436" s="1"/>
  <c r="D785" i="436" s="1"/>
  <c r="D786" i="436" s="1"/>
  <c r="D787" i="436" s="1"/>
  <c r="D788" i="436" s="1"/>
  <c r="D789" i="436" s="1"/>
  <c r="E773" i="436"/>
  <c r="E774" i="436" s="1"/>
  <c r="E775" i="436" s="1"/>
  <c r="E768" i="436"/>
  <c r="E769" i="436" s="1"/>
  <c r="E770" i="436" s="1"/>
  <c r="E765" i="436"/>
  <c r="E766" i="436" s="1"/>
  <c r="E767" i="436" s="1"/>
  <c r="D764" i="436"/>
  <c r="D765" i="436" s="1"/>
  <c r="D766" i="436" s="1"/>
  <c r="D767" i="436" s="1"/>
  <c r="D768" i="436" s="1"/>
  <c r="D769" i="436" s="1"/>
  <c r="D770" i="436" s="1"/>
  <c r="E759" i="436"/>
  <c r="E760" i="436" s="1"/>
  <c r="E761" i="436" s="1"/>
  <c r="E762" i="436" s="1"/>
  <c r="E763" i="436" s="1"/>
  <c r="E764" i="436" s="1"/>
  <c r="E757" i="436"/>
  <c r="E758" i="436" s="1"/>
  <c r="E755" i="436"/>
  <c r="E756" i="436" s="1"/>
  <c r="E752" i="436"/>
  <c r="E753" i="436" s="1"/>
  <c r="E754" i="436" s="1"/>
  <c r="E749" i="436"/>
  <c r="E750" i="436" s="1"/>
  <c r="E751" i="436" s="1"/>
  <c r="D748" i="436"/>
  <c r="D749" i="436" s="1"/>
  <c r="D750" i="436" s="1"/>
  <c r="D751" i="436" s="1"/>
  <c r="D752" i="436" s="1"/>
  <c r="D753" i="436" s="1"/>
  <c r="D754" i="436" s="1"/>
  <c r="D755" i="436" s="1"/>
  <c r="D756" i="436" s="1"/>
  <c r="D757" i="436" s="1"/>
  <c r="D758" i="436" s="1"/>
  <c r="D759" i="436" s="1"/>
  <c r="D760" i="436" s="1"/>
  <c r="D761" i="436" s="1"/>
  <c r="D762" i="436" s="1"/>
  <c r="D763" i="436" s="1"/>
  <c r="D842" i="436" l="1"/>
  <c r="D843" i="436" s="1"/>
  <c r="D844" i="436" s="1"/>
  <c r="D845" i="436" s="1"/>
  <c r="D846" i="436" s="1"/>
  <c r="D847" i="436" s="1"/>
  <c r="E842" i="436"/>
  <c r="I119" i="446"/>
  <c r="B120" i="446"/>
  <c r="E821" i="436"/>
  <c r="E822" i="436" s="1"/>
  <c r="E823" i="436" s="1"/>
  <c r="E838" i="436"/>
  <c r="E839" i="436" s="1"/>
  <c r="E840" i="436" s="1"/>
  <c r="D813" i="436"/>
  <c r="D814" i="436" s="1"/>
  <c r="D882" i="436"/>
  <c r="D883" i="436" s="1"/>
  <c r="D884" i="436" s="1"/>
  <c r="D885" i="436" s="1"/>
  <c r="D886" i="436" s="1"/>
  <c r="D887" i="436" s="1"/>
  <c r="D888" i="436" s="1"/>
  <c r="D889" i="436" s="1"/>
  <c r="E776" i="436"/>
  <c r="E777" i="436" s="1"/>
  <c r="D771" i="436"/>
  <c r="D772" i="436" s="1"/>
  <c r="D773" i="436" s="1"/>
  <c r="D774" i="436" s="1"/>
  <c r="D775" i="436" s="1"/>
  <c r="D776" i="436" s="1"/>
  <c r="D879" i="436"/>
  <c r="D880" i="436" s="1"/>
  <c r="D874" i="436"/>
  <c r="D875" i="436" s="1"/>
  <c r="D869" i="436"/>
  <c r="D870" i="436" s="1"/>
  <c r="E907" i="436"/>
  <c r="E856" i="436"/>
  <c r="D833" i="436"/>
  <c r="D834" i="436" s="1"/>
  <c r="D835" i="436" s="1"/>
  <c r="D836" i="436" s="1"/>
  <c r="D837" i="436" s="1"/>
  <c r="D848" i="436" l="1"/>
  <c r="D849" i="436" s="1"/>
  <c r="D850" i="436" s="1"/>
  <c r="D851" i="436" s="1"/>
  <c r="D852" i="436" s="1"/>
  <c r="D853" i="436" s="1"/>
  <c r="D854" i="436" s="1"/>
  <c r="D855" i="436" s="1"/>
  <c r="D815" i="436"/>
  <c r="D816" i="436" s="1"/>
  <c r="D817" i="436" s="1"/>
  <c r="D818" i="436" s="1"/>
  <c r="D819" i="436" s="1"/>
  <c r="D820" i="436" s="1"/>
  <c r="D821" i="436" s="1"/>
  <c r="D822" i="436" s="1"/>
  <c r="I120" i="446"/>
  <c r="B121" i="446"/>
  <c r="D838" i="436"/>
  <c r="D839" i="436" s="1"/>
  <c r="M1341" i="436"/>
  <c r="M1334" i="436"/>
  <c r="N1334" i="436" s="1"/>
  <c r="M1327" i="436"/>
  <c r="N1327" i="436" s="1"/>
  <c r="M1320" i="436"/>
  <c r="N1320" i="436" s="1"/>
  <c r="E1333" i="436"/>
  <c r="E1334" i="436" s="1"/>
  <c r="E1329" i="436"/>
  <c r="E1330" i="436" s="1"/>
  <c r="D1328" i="436"/>
  <c r="D1329" i="436" s="1"/>
  <c r="D1330" i="436" s="1"/>
  <c r="E1326" i="436"/>
  <c r="E1327" i="436" s="1"/>
  <c r="E1328" i="436" s="1"/>
  <c r="E1322" i="436"/>
  <c r="E1323" i="436" s="1"/>
  <c r="D1321" i="436"/>
  <c r="D1322" i="436" s="1"/>
  <c r="D1323" i="436" s="1"/>
  <c r="E1319" i="436"/>
  <c r="E1320" i="436" s="1"/>
  <c r="E1321" i="436" s="1"/>
  <c r="E1317" i="436"/>
  <c r="E1318" i="436" s="1"/>
  <c r="E1315" i="436"/>
  <c r="E1316" i="436" s="1"/>
  <c r="E1313" i="436"/>
  <c r="E1314" i="436" s="1"/>
  <c r="D1312" i="436"/>
  <c r="D1313" i="436" s="1"/>
  <c r="D1314" i="436" s="1"/>
  <c r="D1315" i="436" s="1"/>
  <c r="D1316" i="436" s="1"/>
  <c r="D1317" i="436" s="1"/>
  <c r="D1318" i="436" s="1"/>
  <c r="D1319" i="436" s="1"/>
  <c r="D1320" i="436" s="1"/>
  <c r="E1310" i="436"/>
  <c r="E1311" i="436" s="1"/>
  <c r="E1312" i="436" s="1"/>
  <c r="D1309" i="436"/>
  <c r="D1310" i="436" s="1"/>
  <c r="D1311" i="436" s="1"/>
  <c r="M717" i="436"/>
  <c r="L746" i="436"/>
  <c r="N746" i="436" s="1"/>
  <c r="N745" i="436"/>
  <c r="N743" i="436"/>
  <c r="E744" i="436"/>
  <c r="E745" i="436" s="1"/>
  <c r="E746" i="436" s="1"/>
  <c r="E742" i="436"/>
  <c r="E743" i="436" s="1"/>
  <c r="D741" i="436"/>
  <c r="D742" i="436" s="1"/>
  <c r="D743" i="436" s="1"/>
  <c r="D744" i="436" s="1"/>
  <c r="D745" i="436" s="1"/>
  <c r="D746" i="436" s="1"/>
  <c r="L740" i="436"/>
  <c r="N740" i="436" s="1"/>
  <c r="N739" i="436"/>
  <c r="N737" i="436"/>
  <c r="E738" i="436"/>
  <c r="E739" i="436" s="1"/>
  <c r="E740" i="436" s="1"/>
  <c r="E741" i="436" s="1"/>
  <c r="E736" i="436"/>
  <c r="E737" i="436" s="1"/>
  <c r="D735" i="436"/>
  <c r="D736" i="436" s="1"/>
  <c r="D737" i="436" s="1"/>
  <c r="D738" i="436" s="1"/>
  <c r="D739" i="436" s="1"/>
  <c r="D740" i="436" s="1"/>
  <c r="L734" i="436"/>
  <c r="N734" i="436" s="1"/>
  <c r="N733" i="436"/>
  <c r="N731" i="436"/>
  <c r="E732" i="436"/>
  <c r="E733" i="436" s="1"/>
  <c r="E734" i="436" s="1"/>
  <c r="E735" i="436" s="1"/>
  <c r="E730" i="436"/>
  <c r="E731" i="436" s="1"/>
  <c r="D729" i="436"/>
  <c r="D730" i="436" s="1"/>
  <c r="D731" i="436" s="1"/>
  <c r="D732" i="436" s="1"/>
  <c r="D733" i="436" s="1"/>
  <c r="D734" i="436" s="1"/>
  <c r="N693" i="436"/>
  <c r="N692" i="436"/>
  <c r="E691" i="436"/>
  <c r="E692" i="436" s="1"/>
  <c r="E693" i="436" s="1"/>
  <c r="E689" i="436"/>
  <c r="E690" i="436" s="1"/>
  <c r="E687" i="436"/>
  <c r="E688" i="436" s="1"/>
  <c r="E685" i="436"/>
  <c r="E686" i="436" s="1"/>
  <c r="E683" i="436"/>
  <c r="E684" i="436" s="1"/>
  <c r="E681" i="436"/>
  <c r="E682" i="436" s="1"/>
  <c r="D680" i="436"/>
  <c r="D681" i="436" s="1"/>
  <c r="D682" i="436" s="1"/>
  <c r="D683" i="436" s="1"/>
  <c r="D684" i="436" s="1"/>
  <c r="D685" i="436" s="1"/>
  <c r="D686" i="436" s="1"/>
  <c r="D687" i="436" s="1"/>
  <c r="D688" i="436" s="1"/>
  <c r="D689" i="436" s="1"/>
  <c r="D690" i="436" s="1"/>
  <c r="D691" i="436" s="1"/>
  <c r="D692" i="436" s="1"/>
  <c r="D693" i="436" s="1"/>
  <c r="E705" i="436"/>
  <c r="E706" i="436" s="1"/>
  <c r="E707" i="436" s="1"/>
  <c r="E701" i="436"/>
  <c r="E702" i="436" s="1"/>
  <c r="E699" i="436"/>
  <c r="E700" i="436" s="1"/>
  <c r="E697" i="436"/>
  <c r="E698" i="436" s="1"/>
  <c r="E695" i="436"/>
  <c r="E696" i="436" s="1"/>
  <c r="D694" i="436"/>
  <c r="D695" i="436" s="1"/>
  <c r="D696" i="436" s="1"/>
  <c r="D697" i="436" s="1"/>
  <c r="D698" i="436" s="1"/>
  <c r="D699" i="436" s="1"/>
  <c r="D700" i="436" s="1"/>
  <c r="D701" i="436" s="1"/>
  <c r="D702" i="436" s="1"/>
  <c r="E677" i="436"/>
  <c r="E678" i="436" s="1"/>
  <c r="E679" i="436" s="1"/>
  <c r="E680" i="436" s="1"/>
  <c r="E675" i="436"/>
  <c r="E676" i="436" s="1"/>
  <c r="E673" i="436"/>
  <c r="E674" i="436" s="1"/>
  <c r="E671" i="436"/>
  <c r="E672" i="436" s="1"/>
  <c r="E669" i="436"/>
  <c r="E670" i="436" s="1"/>
  <c r="E667" i="436"/>
  <c r="E668" i="436" s="1"/>
  <c r="D666" i="436"/>
  <c r="D667" i="436" s="1"/>
  <c r="D668" i="436" s="1"/>
  <c r="D669" i="436" s="1"/>
  <c r="D670" i="436" s="1"/>
  <c r="D671" i="436" s="1"/>
  <c r="D672" i="436" s="1"/>
  <c r="D673" i="436" s="1"/>
  <c r="D674" i="436" s="1"/>
  <c r="D675" i="436" s="1"/>
  <c r="D676" i="436" s="1"/>
  <c r="D677" i="436" s="1"/>
  <c r="D678" i="436" s="1"/>
  <c r="D679" i="436" s="1"/>
  <c r="E663" i="436"/>
  <c r="E664" i="436" s="1"/>
  <c r="E665" i="436" s="1"/>
  <c r="E666" i="436" s="1"/>
  <c r="E661" i="436"/>
  <c r="E662" i="436" s="1"/>
  <c r="E659" i="436"/>
  <c r="E660" i="436" s="1"/>
  <c r="E657" i="436"/>
  <c r="E658" i="436" s="1"/>
  <c r="E655" i="436"/>
  <c r="E656" i="436" s="1"/>
  <c r="E653" i="436"/>
  <c r="E654" i="436" s="1"/>
  <c r="D652" i="436"/>
  <c r="D653" i="436" s="1"/>
  <c r="D654" i="436" s="1"/>
  <c r="D655" i="436" s="1"/>
  <c r="D656" i="436" s="1"/>
  <c r="D657" i="436" s="1"/>
  <c r="D658" i="436" s="1"/>
  <c r="D659" i="436" s="1"/>
  <c r="D660" i="436" s="1"/>
  <c r="D661" i="436" s="1"/>
  <c r="D662" i="436" s="1"/>
  <c r="D663" i="436" s="1"/>
  <c r="D664" i="436" s="1"/>
  <c r="D665" i="436" s="1"/>
  <c r="E649" i="436"/>
  <c r="E650" i="436" s="1"/>
  <c r="E651" i="436" s="1"/>
  <c r="E652" i="436" s="1"/>
  <c r="E647" i="436"/>
  <c r="E648" i="436" s="1"/>
  <c r="E645" i="436"/>
  <c r="E646" i="436" s="1"/>
  <c r="E643" i="436"/>
  <c r="E644" i="436" s="1"/>
  <c r="E641" i="436"/>
  <c r="E642" i="436" s="1"/>
  <c r="E639" i="436"/>
  <c r="E640" i="436" s="1"/>
  <c r="D638" i="436"/>
  <c r="D639" i="436" s="1"/>
  <c r="D640" i="436" s="1"/>
  <c r="D641" i="436" s="1"/>
  <c r="D642" i="436" s="1"/>
  <c r="D643" i="436" s="1"/>
  <c r="D644" i="436" s="1"/>
  <c r="D645" i="436" s="1"/>
  <c r="D646" i="436" s="1"/>
  <c r="D647" i="436" s="1"/>
  <c r="D648" i="436" s="1"/>
  <c r="D649" i="436" s="1"/>
  <c r="D650" i="436" s="1"/>
  <c r="D651" i="436" s="1"/>
  <c r="E635" i="436"/>
  <c r="E636" i="436" s="1"/>
  <c r="E637" i="436" s="1"/>
  <c r="E638" i="436" s="1"/>
  <c r="E633" i="436"/>
  <c r="E634" i="436" s="1"/>
  <c r="E631" i="436"/>
  <c r="E632" i="436" s="1"/>
  <c r="E629" i="436"/>
  <c r="E630" i="436" s="1"/>
  <c r="E627" i="436"/>
  <c r="E628" i="436" s="1"/>
  <c r="E625" i="436"/>
  <c r="E626" i="436" s="1"/>
  <c r="D624" i="436"/>
  <c r="D625" i="436" s="1"/>
  <c r="D626" i="436" s="1"/>
  <c r="D627" i="436" s="1"/>
  <c r="D628" i="436" s="1"/>
  <c r="D629" i="436" s="1"/>
  <c r="D630" i="436" s="1"/>
  <c r="D631" i="436" s="1"/>
  <c r="D632" i="436" s="1"/>
  <c r="D633" i="436" s="1"/>
  <c r="D634" i="436" s="1"/>
  <c r="D635" i="436" s="1"/>
  <c r="D636" i="436" s="1"/>
  <c r="D637" i="436" s="1"/>
  <c r="E621" i="436"/>
  <c r="E622" i="436" s="1"/>
  <c r="E623" i="436" s="1"/>
  <c r="E624" i="436" s="1"/>
  <c r="E619" i="436"/>
  <c r="E620" i="436" s="1"/>
  <c r="E617" i="436"/>
  <c r="E618" i="436" s="1"/>
  <c r="E615" i="436"/>
  <c r="E616" i="436" s="1"/>
  <c r="E613" i="436"/>
  <c r="E614" i="436" s="1"/>
  <c r="E611" i="436"/>
  <c r="E612" i="436" s="1"/>
  <c r="D610" i="436"/>
  <c r="D611" i="436" s="1"/>
  <c r="D612" i="436" s="1"/>
  <c r="D613" i="436" s="1"/>
  <c r="D614" i="436" s="1"/>
  <c r="D615" i="436" s="1"/>
  <c r="D616" i="436" s="1"/>
  <c r="D617" i="436" s="1"/>
  <c r="D618" i="436" s="1"/>
  <c r="D619" i="436" s="1"/>
  <c r="D620" i="436" s="1"/>
  <c r="D621" i="436" s="1"/>
  <c r="D622" i="436" s="1"/>
  <c r="D623" i="436" s="1"/>
  <c r="M608" i="436"/>
  <c r="M593" i="436"/>
  <c r="N593" i="436" s="1"/>
  <c r="E592" i="436"/>
  <c r="E593" i="436" s="1"/>
  <c r="E590" i="436"/>
  <c r="E591" i="436" s="1"/>
  <c r="E588" i="436"/>
  <c r="E589" i="436" s="1"/>
  <c r="E586" i="436"/>
  <c r="E587" i="436" s="1"/>
  <c r="E584" i="436"/>
  <c r="E585" i="436" s="1"/>
  <c r="E582" i="436"/>
  <c r="E583" i="436" s="1"/>
  <c r="E580" i="436"/>
  <c r="E581" i="436" s="1"/>
  <c r="E578" i="436"/>
  <c r="E579" i="436" s="1"/>
  <c r="D577" i="436"/>
  <c r="D578" i="436" s="1"/>
  <c r="D579" i="436" s="1"/>
  <c r="D580" i="436" s="1"/>
  <c r="D581" i="436" s="1"/>
  <c r="D582" i="436" s="1"/>
  <c r="D583" i="436" s="1"/>
  <c r="D584" i="436" s="1"/>
  <c r="D585" i="436" s="1"/>
  <c r="D586" i="436" s="1"/>
  <c r="D587" i="436" s="1"/>
  <c r="D588" i="436" s="1"/>
  <c r="D589" i="436" s="1"/>
  <c r="D590" i="436" s="1"/>
  <c r="D591" i="436" s="1"/>
  <c r="D592" i="436" s="1"/>
  <c r="D593" i="436" s="1"/>
  <c r="M576" i="436"/>
  <c r="N576" i="436" s="1"/>
  <c r="M559" i="436"/>
  <c r="N559" i="436" s="1"/>
  <c r="M542" i="436"/>
  <c r="N542" i="436" s="1"/>
  <c r="C71" i="444"/>
  <c r="C70" i="444"/>
  <c r="C69" i="444"/>
  <c r="M523" i="436"/>
  <c r="N523" i="436" s="1"/>
  <c r="M506" i="436"/>
  <c r="N506" i="436" s="1"/>
  <c r="N489" i="436"/>
  <c r="E607" i="436"/>
  <c r="E608" i="436" s="1"/>
  <c r="E605" i="436"/>
  <c r="E606" i="436" s="1"/>
  <c r="E603" i="436"/>
  <c r="E604" i="436" s="1"/>
  <c r="E601" i="436"/>
  <c r="E602" i="436" s="1"/>
  <c r="E599" i="436"/>
  <c r="E600" i="436" s="1"/>
  <c r="E597" i="436"/>
  <c r="E598" i="436" s="1"/>
  <c r="E595" i="436"/>
  <c r="E596" i="436" s="1"/>
  <c r="D594" i="436"/>
  <c r="D595" i="436" s="1"/>
  <c r="D596" i="436" s="1"/>
  <c r="D597" i="436" s="1"/>
  <c r="D598" i="436" s="1"/>
  <c r="D599" i="436" s="1"/>
  <c r="D600" i="436" s="1"/>
  <c r="D601" i="436" s="1"/>
  <c r="D602" i="436" s="1"/>
  <c r="D603" i="436" s="1"/>
  <c r="D604" i="436" s="1"/>
  <c r="D605" i="436" s="1"/>
  <c r="D606" i="436" s="1"/>
  <c r="D607" i="436" s="1"/>
  <c r="D608" i="436" s="1"/>
  <c r="E575" i="436"/>
  <c r="E576" i="436" s="1"/>
  <c r="E577" i="436" s="1"/>
  <c r="E573" i="436"/>
  <c r="E574" i="436" s="1"/>
  <c r="E571" i="436"/>
  <c r="E572" i="436" s="1"/>
  <c r="E569" i="436"/>
  <c r="E570" i="436" s="1"/>
  <c r="E567" i="436"/>
  <c r="E568" i="436" s="1"/>
  <c r="E565" i="436"/>
  <c r="E566" i="436" s="1"/>
  <c r="E563" i="436"/>
  <c r="E564" i="436" s="1"/>
  <c r="E561" i="436"/>
  <c r="E562" i="436" s="1"/>
  <c r="D560" i="436"/>
  <c r="D561" i="436" s="1"/>
  <c r="D562" i="436" s="1"/>
  <c r="D563" i="436" s="1"/>
  <c r="D564" i="436" s="1"/>
  <c r="D565" i="436" s="1"/>
  <c r="D566" i="436" s="1"/>
  <c r="D567" i="436" s="1"/>
  <c r="D568" i="436" s="1"/>
  <c r="D569" i="436" s="1"/>
  <c r="D570" i="436" s="1"/>
  <c r="D571" i="436" s="1"/>
  <c r="D572" i="436" s="1"/>
  <c r="D573" i="436" s="1"/>
  <c r="D574" i="436" s="1"/>
  <c r="D575" i="436" s="1"/>
  <c r="D576" i="436" s="1"/>
  <c r="E558" i="436"/>
  <c r="E559" i="436" s="1"/>
  <c r="E560" i="436" s="1"/>
  <c r="E556" i="436"/>
  <c r="E557" i="436" s="1"/>
  <c r="E554" i="436"/>
  <c r="E555" i="436" s="1"/>
  <c r="E552" i="436"/>
  <c r="E553" i="436" s="1"/>
  <c r="E550" i="436"/>
  <c r="E551" i="436" s="1"/>
  <c r="E548" i="436"/>
  <c r="E549" i="436" s="1"/>
  <c r="E546" i="436"/>
  <c r="E547" i="436" s="1"/>
  <c r="E544" i="436"/>
  <c r="E545" i="436" s="1"/>
  <c r="D543" i="436"/>
  <c r="D544" i="436" s="1"/>
  <c r="D545" i="436" s="1"/>
  <c r="D546" i="436" s="1"/>
  <c r="D547" i="436" s="1"/>
  <c r="D548" i="436" s="1"/>
  <c r="D549" i="436" s="1"/>
  <c r="D550" i="436" s="1"/>
  <c r="D551" i="436" s="1"/>
  <c r="D552" i="436" s="1"/>
  <c r="D553" i="436" s="1"/>
  <c r="D554" i="436" s="1"/>
  <c r="D555" i="436" s="1"/>
  <c r="D556" i="436" s="1"/>
  <c r="D557" i="436" s="1"/>
  <c r="D558" i="436" s="1"/>
  <c r="D559" i="436" s="1"/>
  <c r="E541" i="436"/>
  <c r="E542" i="436" s="1"/>
  <c r="E543" i="436" s="1"/>
  <c r="E539" i="436"/>
  <c r="E540" i="436" s="1"/>
  <c r="E537" i="436"/>
  <c r="E538" i="436" s="1"/>
  <c r="E535" i="436"/>
  <c r="E536" i="436" s="1"/>
  <c r="E533" i="436"/>
  <c r="E534" i="436" s="1"/>
  <c r="E531" i="436"/>
  <c r="E532" i="436" s="1"/>
  <c r="E529" i="436"/>
  <c r="E530" i="436" s="1"/>
  <c r="E527" i="436"/>
  <c r="E528" i="436" s="1"/>
  <c r="E525" i="436"/>
  <c r="E526" i="436" s="1"/>
  <c r="D524" i="436"/>
  <c r="D525" i="436" s="1"/>
  <c r="D526" i="436" s="1"/>
  <c r="D527" i="436" s="1"/>
  <c r="D528" i="436" s="1"/>
  <c r="D529" i="436" s="1"/>
  <c r="D530" i="436" s="1"/>
  <c r="D531" i="436" s="1"/>
  <c r="D532" i="436" s="1"/>
  <c r="D533" i="436" s="1"/>
  <c r="D534" i="436" s="1"/>
  <c r="D535" i="436" s="1"/>
  <c r="D536" i="436" s="1"/>
  <c r="D537" i="436" s="1"/>
  <c r="D538" i="436" s="1"/>
  <c r="D539" i="436" s="1"/>
  <c r="D540" i="436" s="1"/>
  <c r="D541" i="436" s="1"/>
  <c r="D542" i="436" s="1"/>
  <c r="E522" i="436"/>
  <c r="E523" i="436" s="1"/>
  <c r="E524" i="436" s="1"/>
  <c r="E520" i="436"/>
  <c r="E521" i="436" s="1"/>
  <c r="E518" i="436"/>
  <c r="E519" i="436" s="1"/>
  <c r="E516" i="436"/>
  <c r="E517" i="436" s="1"/>
  <c r="E514" i="436"/>
  <c r="E515" i="436" s="1"/>
  <c r="E512" i="436"/>
  <c r="E513" i="436" s="1"/>
  <c r="E510" i="436"/>
  <c r="E511" i="436" s="1"/>
  <c r="E508" i="436"/>
  <c r="E509" i="436" s="1"/>
  <c r="D507" i="436"/>
  <c r="D508" i="436" s="1"/>
  <c r="D509" i="436" s="1"/>
  <c r="D510" i="436" s="1"/>
  <c r="D511" i="436" s="1"/>
  <c r="D512" i="436" s="1"/>
  <c r="D513" i="436" s="1"/>
  <c r="D514" i="436" s="1"/>
  <c r="D515" i="436" s="1"/>
  <c r="D516" i="436" s="1"/>
  <c r="D517" i="436" s="1"/>
  <c r="D518" i="436" s="1"/>
  <c r="D519" i="436" s="1"/>
  <c r="D520" i="436" s="1"/>
  <c r="D521" i="436" s="1"/>
  <c r="D522" i="436" s="1"/>
  <c r="D523" i="436" s="1"/>
  <c r="E505" i="436"/>
  <c r="E506" i="436" s="1"/>
  <c r="E507" i="436" s="1"/>
  <c r="E503" i="436"/>
  <c r="E504" i="436" s="1"/>
  <c r="E501" i="436"/>
  <c r="E502" i="436" s="1"/>
  <c r="E499" i="436"/>
  <c r="E500" i="436" s="1"/>
  <c r="E497" i="436"/>
  <c r="E498" i="436" s="1"/>
  <c r="E495" i="436"/>
  <c r="E496" i="436" s="1"/>
  <c r="E493" i="436"/>
  <c r="E494" i="436" s="1"/>
  <c r="E491" i="436"/>
  <c r="E492" i="436" s="1"/>
  <c r="D490" i="436"/>
  <c r="D491" i="436" s="1"/>
  <c r="D492" i="436" s="1"/>
  <c r="D493" i="436" s="1"/>
  <c r="D494" i="436" s="1"/>
  <c r="D495" i="436" s="1"/>
  <c r="D496" i="436" s="1"/>
  <c r="D497" i="436" s="1"/>
  <c r="D498" i="436" s="1"/>
  <c r="D499" i="436" s="1"/>
  <c r="D500" i="436" s="1"/>
  <c r="D501" i="436" s="1"/>
  <c r="D502" i="436" s="1"/>
  <c r="D503" i="436" s="1"/>
  <c r="D504" i="436" s="1"/>
  <c r="D505" i="436" s="1"/>
  <c r="D506" i="436" s="1"/>
  <c r="E488" i="436"/>
  <c r="E489" i="436" s="1"/>
  <c r="E490" i="436" s="1"/>
  <c r="E486" i="436"/>
  <c r="E487" i="436" s="1"/>
  <c r="E484" i="436"/>
  <c r="E485" i="436" s="1"/>
  <c r="E482" i="436"/>
  <c r="E483" i="436" s="1"/>
  <c r="E480" i="436"/>
  <c r="E481" i="436" s="1"/>
  <c r="E478" i="436"/>
  <c r="E479" i="436" s="1"/>
  <c r="E476" i="436"/>
  <c r="E477" i="436" s="1"/>
  <c r="E474" i="436"/>
  <c r="E475" i="436" s="1"/>
  <c r="E472" i="436"/>
  <c r="E473" i="436" s="1"/>
  <c r="D471" i="436"/>
  <c r="M466" i="436"/>
  <c r="N466" i="436" s="1"/>
  <c r="M461" i="436"/>
  <c r="N461" i="436" s="1"/>
  <c r="E460" i="436"/>
  <c r="E461" i="436" s="1"/>
  <c r="E458" i="436"/>
  <c r="E459" i="436" s="1"/>
  <c r="D457" i="436"/>
  <c r="D458" i="436" s="1"/>
  <c r="D459" i="436" s="1"/>
  <c r="D460" i="436" s="1"/>
  <c r="D461" i="436" s="1"/>
  <c r="M456" i="436"/>
  <c r="N456" i="436" s="1"/>
  <c r="M451" i="436"/>
  <c r="N451" i="436" s="1"/>
  <c r="M446" i="436"/>
  <c r="N446" i="436" s="1"/>
  <c r="N441" i="436"/>
  <c r="M436" i="436"/>
  <c r="N436" i="436" s="1"/>
  <c r="E468" i="436"/>
  <c r="E469" i="436" s="1"/>
  <c r="D467" i="436"/>
  <c r="D468" i="436" s="1"/>
  <c r="D469" i="436" s="1"/>
  <c r="E465" i="436"/>
  <c r="E466" i="436" s="1"/>
  <c r="E467" i="436" s="1"/>
  <c r="E463" i="436"/>
  <c r="E464" i="436" s="1"/>
  <c r="D462" i="436"/>
  <c r="D463" i="436" s="1"/>
  <c r="D464" i="436" s="1"/>
  <c r="D465" i="436" s="1"/>
  <c r="D466" i="436" s="1"/>
  <c r="E455" i="436"/>
  <c r="E456" i="436" s="1"/>
  <c r="E453" i="436"/>
  <c r="E454" i="436" s="1"/>
  <c r="D452" i="436"/>
  <c r="D453" i="436" s="1"/>
  <c r="D454" i="436" s="1"/>
  <c r="D455" i="436" s="1"/>
  <c r="D456" i="436" s="1"/>
  <c r="E450" i="436"/>
  <c r="E451" i="436" s="1"/>
  <c r="E452" i="436" s="1"/>
  <c r="E448" i="436"/>
  <c r="E449" i="436" s="1"/>
  <c r="D447" i="436"/>
  <c r="D448" i="436" s="1"/>
  <c r="D449" i="436" s="1"/>
  <c r="D450" i="436" s="1"/>
  <c r="D451" i="436" s="1"/>
  <c r="E445" i="436"/>
  <c r="E446" i="436" s="1"/>
  <c r="E447" i="436" s="1"/>
  <c r="E443" i="436"/>
  <c r="E444" i="436" s="1"/>
  <c r="D442" i="436"/>
  <c r="D443" i="436" s="1"/>
  <c r="D444" i="436" s="1"/>
  <c r="D445" i="436" s="1"/>
  <c r="D446" i="436" s="1"/>
  <c r="E440" i="436"/>
  <c r="E441" i="436" s="1"/>
  <c r="E442" i="436" s="1"/>
  <c r="E438" i="436"/>
  <c r="E439" i="436" s="1"/>
  <c r="D437" i="436"/>
  <c r="D438" i="436" s="1"/>
  <c r="D439" i="436" s="1"/>
  <c r="D440" i="436" s="1"/>
  <c r="D441" i="436" s="1"/>
  <c r="E435" i="436"/>
  <c r="E436" i="436" s="1"/>
  <c r="E437" i="436" s="1"/>
  <c r="E433" i="436"/>
  <c r="E434" i="436" s="1"/>
  <c r="D432" i="436"/>
  <c r="D433" i="436" s="1"/>
  <c r="D434" i="436" s="1"/>
  <c r="D435" i="436" s="1"/>
  <c r="D436" i="436" s="1"/>
  <c r="N1311" i="436"/>
  <c r="C67" i="444"/>
  <c r="C66" i="444"/>
  <c r="C65" i="444"/>
  <c r="C64" i="444"/>
  <c r="C63" i="444"/>
  <c r="C62" i="444"/>
  <c r="C59" i="444"/>
  <c r="C58" i="444"/>
  <c r="C57" i="444"/>
  <c r="C56" i="444"/>
  <c r="C55" i="444"/>
  <c r="C53" i="444"/>
  <c r="C51" i="444"/>
  <c r="C49" i="444"/>
  <c r="C48" i="444"/>
  <c r="C47" i="444"/>
  <c r="C46" i="444"/>
  <c r="C45" i="444"/>
  <c r="C43" i="444"/>
  <c r="C42" i="444"/>
  <c r="C41" i="444"/>
  <c r="C39" i="444"/>
  <c r="C38" i="444"/>
  <c r="C37" i="444"/>
  <c r="C35" i="444"/>
  <c r="C34" i="444"/>
  <c r="C32" i="444"/>
  <c r="C31" i="444"/>
  <c r="C30" i="444"/>
  <c r="C29" i="444"/>
  <c r="C27" i="444"/>
  <c r="C26" i="444"/>
  <c r="C25" i="444"/>
  <c r="C24" i="444"/>
  <c r="C23" i="444"/>
  <c r="C22" i="444"/>
  <c r="C21" i="444"/>
  <c r="C19" i="444"/>
  <c r="C17" i="444"/>
  <c r="C16" i="444"/>
  <c r="C15" i="444"/>
  <c r="C14" i="444"/>
  <c r="C13" i="444"/>
  <c r="G9" i="444"/>
  <c r="B9" i="444"/>
  <c r="J8" i="444"/>
  <c r="B8" i="444"/>
  <c r="B7" i="444"/>
  <c r="E6" i="444"/>
  <c r="B6" i="444"/>
  <c r="B5" i="444"/>
  <c r="B4" i="444"/>
  <c r="B3" i="444"/>
  <c r="B2" i="444"/>
  <c r="E426" i="436"/>
  <c r="E427" i="436" s="1"/>
  <c r="E428" i="436" s="1"/>
  <c r="E429" i="436" s="1"/>
  <c r="E430" i="436" s="1"/>
  <c r="E424" i="436"/>
  <c r="E425" i="436" s="1"/>
  <c r="E422" i="436"/>
  <c r="E423" i="436" s="1"/>
  <c r="E419" i="436"/>
  <c r="E420" i="436" s="1"/>
  <c r="E421" i="436" s="1"/>
  <c r="D418" i="436"/>
  <c r="D419" i="436" s="1"/>
  <c r="D420" i="436" s="1"/>
  <c r="D421" i="436" s="1"/>
  <c r="D422" i="436" s="1"/>
  <c r="D423" i="436" s="1"/>
  <c r="D424" i="436" s="1"/>
  <c r="D425" i="436" s="1"/>
  <c r="D426" i="436" s="1"/>
  <c r="D427" i="436" s="1"/>
  <c r="D428" i="436" s="1"/>
  <c r="D429" i="436" s="1"/>
  <c r="D430" i="436" s="1"/>
  <c r="E412" i="436"/>
  <c r="E413" i="436" s="1"/>
  <c r="E414" i="436" s="1"/>
  <c r="E415" i="436" s="1"/>
  <c r="E416" i="436" s="1"/>
  <c r="E417" i="436" s="1"/>
  <c r="E418" i="436" s="1"/>
  <c r="E410" i="436"/>
  <c r="E411" i="436" s="1"/>
  <c r="E408" i="436"/>
  <c r="E409" i="436" s="1"/>
  <c r="E406" i="436"/>
  <c r="E407" i="436" s="1"/>
  <c r="E403" i="436"/>
  <c r="E404" i="436" s="1"/>
  <c r="E405" i="436" s="1"/>
  <c r="D402" i="436"/>
  <c r="D403" i="436" s="1"/>
  <c r="D404" i="436" s="1"/>
  <c r="D405" i="436" s="1"/>
  <c r="D406" i="436" s="1"/>
  <c r="D407" i="436" s="1"/>
  <c r="D408" i="436" s="1"/>
  <c r="D409" i="436" s="1"/>
  <c r="D410" i="436" s="1"/>
  <c r="D411" i="436" s="1"/>
  <c r="D412" i="436" s="1"/>
  <c r="D413" i="436" s="1"/>
  <c r="D414" i="436" s="1"/>
  <c r="D415" i="436" s="1"/>
  <c r="D416" i="436" s="1"/>
  <c r="D417" i="436" s="1"/>
  <c r="E398" i="436"/>
  <c r="E399" i="436" s="1"/>
  <c r="E400" i="436" s="1"/>
  <c r="E401" i="436" s="1"/>
  <c r="E402" i="436" s="1"/>
  <c r="E396" i="436"/>
  <c r="E397" i="436" s="1"/>
  <c r="E394" i="436"/>
  <c r="E395" i="436" s="1"/>
  <c r="E392" i="436"/>
  <c r="E393" i="436" s="1"/>
  <c r="D391" i="436"/>
  <c r="D392" i="436" s="1"/>
  <c r="D393" i="436" s="1"/>
  <c r="D394" i="436" s="1"/>
  <c r="D395" i="436" s="1"/>
  <c r="D396" i="436" s="1"/>
  <c r="D397" i="436" s="1"/>
  <c r="D398" i="436" s="1"/>
  <c r="D399" i="436" s="1"/>
  <c r="D400" i="436" s="1"/>
  <c r="D401" i="436" s="1"/>
  <c r="E385" i="436"/>
  <c r="E386" i="436" s="1"/>
  <c r="E381" i="436"/>
  <c r="E382" i="436" s="1"/>
  <c r="E379" i="436"/>
  <c r="E380" i="436" s="1"/>
  <c r="E376" i="436"/>
  <c r="D375" i="436"/>
  <c r="D376" i="436" s="1"/>
  <c r="E370" i="436"/>
  <c r="E371" i="436" s="1"/>
  <c r="E372" i="436" s="1"/>
  <c r="E373" i="436" s="1"/>
  <c r="E374" i="436" s="1"/>
  <c r="E375" i="436" s="1"/>
  <c r="E368" i="436"/>
  <c r="E369" i="436" s="1"/>
  <c r="E366" i="436"/>
  <c r="E367" i="436" s="1"/>
  <c r="E363" i="436"/>
  <c r="E364" i="436" s="1"/>
  <c r="E365" i="436" s="1"/>
  <c r="D362" i="436"/>
  <c r="D363" i="436" s="1"/>
  <c r="D364" i="436" s="1"/>
  <c r="D365" i="436" s="1"/>
  <c r="D366" i="436" s="1"/>
  <c r="D367" i="436" s="1"/>
  <c r="D368" i="436" s="1"/>
  <c r="D369" i="436" s="1"/>
  <c r="D370" i="436" s="1"/>
  <c r="D371" i="436" s="1"/>
  <c r="D372" i="436" s="1"/>
  <c r="D373" i="436" s="1"/>
  <c r="D374" i="436" s="1"/>
  <c r="E6" i="442"/>
  <c r="D92" i="442" s="1"/>
  <c r="C27" i="442"/>
  <c r="C25" i="442"/>
  <c r="J8" i="442"/>
  <c r="C28" i="442" s="1"/>
  <c r="E340" i="436"/>
  <c r="E341" i="436" s="1"/>
  <c r="N337" i="436"/>
  <c r="E336" i="436"/>
  <c r="E337" i="436" s="1"/>
  <c r="E334" i="436"/>
  <c r="E335" i="436" s="1"/>
  <c r="E331" i="436"/>
  <c r="E332" i="436" s="1"/>
  <c r="E333" i="436" s="1"/>
  <c r="L219" i="436"/>
  <c r="N219" i="436" s="1"/>
  <c r="L215" i="436"/>
  <c r="N215" i="436" s="1"/>
  <c r="L213" i="436"/>
  <c r="N213" i="436" s="1"/>
  <c r="L212" i="436"/>
  <c r="N212" i="436" s="1"/>
  <c r="L211" i="436"/>
  <c r="N211" i="436" s="1"/>
  <c r="L210" i="436"/>
  <c r="N210" i="436" s="1"/>
  <c r="L209" i="436"/>
  <c r="N209" i="436" s="1"/>
  <c r="L208" i="436"/>
  <c r="N208" i="436" s="1"/>
  <c r="L207" i="436"/>
  <c r="N207" i="436" s="1"/>
  <c r="L205" i="436"/>
  <c r="N205" i="436" s="1"/>
  <c r="L204" i="436"/>
  <c r="N204" i="436" s="1"/>
  <c r="E218" i="436"/>
  <c r="E219" i="436" s="1"/>
  <c r="E220" i="436" s="1"/>
  <c r="E221" i="436" s="1"/>
  <c r="N217" i="436"/>
  <c r="E216" i="436"/>
  <c r="E217" i="436" s="1"/>
  <c r="E214" i="436"/>
  <c r="E215" i="436" s="1"/>
  <c r="E206" i="436"/>
  <c r="E203" i="436"/>
  <c r="E204" i="436" s="1"/>
  <c r="E205" i="436" s="1"/>
  <c r="D202" i="436"/>
  <c r="D203" i="436" s="1"/>
  <c r="D204" i="436" s="1"/>
  <c r="D205" i="436" s="1"/>
  <c r="L201" i="436"/>
  <c r="N201" i="436" s="1"/>
  <c r="L197" i="436"/>
  <c r="N197" i="436" s="1"/>
  <c r="L195" i="436"/>
  <c r="N195" i="436" s="1"/>
  <c r="L194" i="436"/>
  <c r="N194" i="436" s="1"/>
  <c r="L193" i="436"/>
  <c r="N193" i="436" s="1"/>
  <c r="L192" i="436"/>
  <c r="N192" i="436" s="1"/>
  <c r="L190" i="436"/>
  <c r="N190" i="436" s="1"/>
  <c r="E200" i="436"/>
  <c r="E201" i="436" s="1"/>
  <c r="E202" i="436" s="1"/>
  <c r="N199" i="436"/>
  <c r="E198" i="436"/>
  <c r="E199" i="436" s="1"/>
  <c r="E196" i="436"/>
  <c r="E197" i="436" s="1"/>
  <c r="E191" i="436"/>
  <c r="E192" i="436" s="1"/>
  <c r="E193" i="436" s="1"/>
  <c r="E194" i="436" s="1"/>
  <c r="E195" i="436" s="1"/>
  <c r="E189" i="436"/>
  <c r="E190" i="436" s="1"/>
  <c r="D188" i="436"/>
  <c r="D189" i="436" s="1"/>
  <c r="D190" i="436" s="1"/>
  <c r="D191" i="436" s="1"/>
  <c r="D192" i="436" s="1"/>
  <c r="D193" i="436" s="1"/>
  <c r="D194" i="436" s="1"/>
  <c r="L187" i="436"/>
  <c r="N187" i="436" s="1"/>
  <c r="L183" i="436"/>
  <c r="N183" i="436" s="1"/>
  <c r="L181" i="436"/>
  <c r="N181" i="436" s="1"/>
  <c r="L180" i="436"/>
  <c r="N180" i="436" s="1"/>
  <c r="L179" i="436"/>
  <c r="N179" i="436" s="1"/>
  <c r="L177" i="436"/>
  <c r="N177" i="436" s="1"/>
  <c r="E186" i="436"/>
  <c r="E187" i="436" s="1"/>
  <c r="E188" i="436" s="1"/>
  <c r="N185" i="436"/>
  <c r="E184" i="436"/>
  <c r="E185" i="436" s="1"/>
  <c r="E182" i="436"/>
  <c r="E183" i="436" s="1"/>
  <c r="E178" i="436"/>
  <c r="E179" i="436" s="1"/>
  <c r="E180" i="436" s="1"/>
  <c r="E181" i="436" s="1"/>
  <c r="E176" i="436"/>
  <c r="E177" i="436" s="1"/>
  <c r="D175" i="436"/>
  <c r="D176" i="436" s="1"/>
  <c r="D177" i="436" s="1"/>
  <c r="D178" i="436" s="1"/>
  <c r="D179" i="436" s="1"/>
  <c r="D180" i="436" s="1"/>
  <c r="D181" i="436" s="1"/>
  <c r="D182" i="436" s="1"/>
  <c r="D183" i="436" s="1"/>
  <c r="D184" i="436" s="1"/>
  <c r="D185" i="436" s="1"/>
  <c r="D186" i="436" s="1"/>
  <c r="D187" i="436" s="1"/>
  <c r="L160" i="436"/>
  <c r="N160" i="436" s="1"/>
  <c r="L158" i="436"/>
  <c r="L156" i="436"/>
  <c r="N156" i="436" s="1"/>
  <c r="L155" i="436"/>
  <c r="N155" i="436" s="1"/>
  <c r="L154" i="436"/>
  <c r="N154" i="436" s="1"/>
  <c r="L153" i="436"/>
  <c r="N153" i="436" s="1"/>
  <c r="L152" i="436"/>
  <c r="N152" i="436" s="1"/>
  <c r="L151" i="436"/>
  <c r="N151" i="436" s="1"/>
  <c r="L150" i="436"/>
  <c r="N150" i="436" s="1"/>
  <c r="L149" i="436"/>
  <c r="N149" i="436" s="1"/>
  <c r="L148" i="436"/>
  <c r="N148" i="436" s="1"/>
  <c r="L146" i="436"/>
  <c r="N146" i="436" s="1"/>
  <c r="L145" i="436"/>
  <c r="N145" i="436" s="1"/>
  <c r="E159" i="436"/>
  <c r="E160" i="436" s="1"/>
  <c r="E157" i="436"/>
  <c r="E158" i="436" s="1"/>
  <c r="E147" i="436"/>
  <c r="E148" i="436" s="1"/>
  <c r="E149" i="436" s="1"/>
  <c r="E150" i="436" s="1"/>
  <c r="E151" i="436" s="1"/>
  <c r="E152" i="436" s="1"/>
  <c r="E153" i="436" s="1"/>
  <c r="E154" i="436" s="1"/>
  <c r="E144" i="436"/>
  <c r="E145" i="436" s="1"/>
  <c r="E146" i="436" s="1"/>
  <c r="D143" i="436"/>
  <c r="D144" i="436" s="1"/>
  <c r="D145" i="436" s="1"/>
  <c r="D146" i="436" s="1"/>
  <c r="D147" i="436" s="1"/>
  <c r="D148" i="436" s="1"/>
  <c r="D149" i="436" s="1"/>
  <c r="D150" i="436" s="1"/>
  <c r="D151" i="436" s="1"/>
  <c r="D152" i="436" s="1"/>
  <c r="D153" i="436" s="1"/>
  <c r="D154" i="436" s="1"/>
  <c r="D155" i="436" s="1"/>
  <c r="L174" i="436"/>
  <c r="N174" i="436" s="1"/>
  <c r="L170" i="436"/>
  <c r="N170" i="436" s="1"/>
  <c r="N168" i="436"/>
  <c r="L167" i="436"/>
  <c r="N167" i="436" s="1"/>
  <c r="N166" i="436"/>
  <c r="L164" i="436"/>
  <c r="N164" i="436" s="1"/>
  <c r="N163" i="436"/>
  <c r="L142" i="436"/>
  <c r="N142" i="436" s="1"/>
  <c r="L137" i="436"/>
  <c r="N137" i="436" s="1"/>
  <c r="L138" i="436"/>
  <c r="N140" i="436" s="1"/>
  <c r="L135" i="436"/>
  <c r="N135" i="436" s="1"/>
  <c r="L134" i="436"/>
  <c r="N134" i="436" s="1"/>
  <c r="L133" i="436"/>
  <c r="N133" i="436" s="1"/>
  <c r="L132" i="436"/>
  <c r="N132" i="436" s="1"/>
  <c r="L131" i="436"/>
  <c r="N131" i="436" s="1"/>
  <c r="L130" i="436"/>
  <c r="N130" i="436" s="1"/>
  <c r="L129" i="436"/>
  <c r="N129" i="436" s="1"/>
  <c r="L127" i="436"/>
  <c r="N127" i="436" s="1"/>
  <c r="L126" i="436"/>
  <c r="N126" i="436" s="1"/>
  <c r="L125" i="436"/>
  <c r="N125" i="436" s="1"/>
  <c r="L124" i="436"/>
  <c r="N124" i="436" s="1"/>
  <c r="E141" i="436"/>
  <c r="E142" i="436" s="1"/>
  <c r="E143" i="436" s="1"/>
  <c r="E139" i="436"/>
  <c r="E140" i="436" s="1"/>
  <c r="E136" i="436"/>
  <c r="E137" i="436" s="1"/>
  <c r="E138" i="436" s="1"/>
  <c r="E128" i="436"/>
  <c r="E129" i="436" s="1"/>
  <c r="E130" i="436" s="1"/>
  <c r="E131" i="436" s="1"/>
  <c r="E132" i="436" s="1"/>
  <c r="E133" i="436" s="1"/>
  <c r="E134" i="436" s="1"/>
  <c r="E135" i="436" s="1"/>
  <c r="E123" i="436"/>
  <c r="E124" i="436" s="1"/>
  <c r="E125" i="436" s="1"/>
  <c r="E126" i="436" s="1"/>
  <c r="E127" i="436" s="1"/>
  <c r="D122" i="436"/>
  <c r="D123" i="436" s="1"/>
  <c r="D124" i="436" s="1"/>
  <c r="D125" i="436" s="1"/>
  <c r="D126" i="436" s="1"/>
  <c r="D127" i="436" s="1"/>
  <c r="D128" i="436" s="1"/>
  <c r="D129" i="436" s="1"/>
  <c r="D130" i="436" s="1"/>
  <c r="D131" i="436" s="1"/>
  <c r="D132" i="436" s="1"/>
  <c r="D133" i="436" s="1"/>
  <c r="D134" i="436" s="1"/>
  <c r="D135" i="436" s="1"/>
  <c r="D136" i="436" s="1"/>
  <c r="D137" i="436" s="1"/>
  <c r="D138" i="436" s="1"/>
  <c r="D139" i="436" s="1"/>
  <c r="D140" i="436" s="1"/>
  <c r="D141" i="436" s="1"/>
  <c r="D142" i="436" s="1"/>
  <c r="L121" i="436"/>
  <c r="N121" i="436" s="1"/>
  <c r="L117" i="436"/>
  <c r="N119" i="436" s="1"/>
  <c r="L116" i="436"/>
  <c r="N116" i="436" s="1"/>
  <c r="L114" i="436"/>
  <c r="N114" i="436" s="1"/>
  <c r="L113" i="436"/>
  <c r="N113" i="436" s="1"/>
  <c r="L112" i="436"/>
  <c r="N112" i="436" s="1"/>
  <c r="L111" i="436"/>
  <c r="N111" i="436" s="1"/>
  <c r="L110" i="436"/>
  <c r="N110" i="436" s="1"/>
  <c r="L109" i="436"/>
  <c r="N109" i="436" s="1"/>
  <c r="L108" i="436"/>
  <c r="N108" i="436" s="1"/>
  <c r="L106" i="436"/>
  <c r="N106" i="436" s="1"/>
  <c r="L105" i="436"/>
  <c r="N105" i="436" s="1"/>
  <c r="L104" i="436"/>
  <c r="N104" i="436" s="1"/>
  <c r="L103" i="436"/>
  <c r="N103" i="436" s="1"/>
  <c r="E120" i="436"/>
  <c r="E121" i="436" s="1"/>
  <c r="E122" i="436" s="1"/>
  <c r="E118" i="436"/>
  <c r="E119" i="436" s="1"/>
  <c r="E115" i="436"/>
  <c r="E116" i="436" s="1"/>
  <c r="E117" i="436" s="1"/>
  <c r="E107" i="436"/>
  <c r="E108" i="436" s="1"/>
  <c r="E109" i="436" s="1"/>
  <c r="E110" i="436" s="1"/>
  <c r="E111" i="436" s="1"/>
  <c r="E112" i="436" s="1"/>
  <c r="E113" i="436" s="1"/>
  <c r="E114" i="436" s="1"/>
  <c r="E102" i="436"/>
  <c r="E103" i="436" s="1"/>
  <c r="E104" i="436" s="1"/>
  <c r="E105" i="436" s="1"/>
  <c r="E106" i="436" s="1"/>
  <c r="D101" i="436"/>
  <c r="D102" i="436" s="1"/>
  <c r="D103" i="436" s="1"/>
  <c r="D104" i="436" s="1"/>
  <c r="D105" i="436" s="1"/>
  <c r="D106" i="436" s="1"/>
  <c r="D107" i="436" s="1"/>
  <c r="D108" i="436" s="1"/>
  <c r="D109" i="436" s="1"/>
  <c r="D110" i="436" s="1"/>
  <c r="D111" i="436" s="1"/>
  <c r="D112" i="436" s="1"/>
  <c r="D113" i="436" s="1"/>
  <c r="D114" i="436" s="1"/>
  <c r="D115" i="436" s="1"/>
  <c r="D116" i="436" s="1"/>
  <c r="D117" i="436" s="1"/>
  <c r="D118" i="436" s="1"/>
  <c r="D119" i="436" s="1"/>
  <c r="D120" i="436" s="1"/>
  <c r="D121" i="436" s="1"/>
  <c r="L100" i="436"/>
  <c r="N100" i="436" s="1"/>
  <c r="L96" i="436"/>
  <c r="N98" i="436" s="1"/>
  <c r="L95" i="436"/>
  <c r="N95" i="436" s="1"/>
  <c r="L93" i="436"/>
  <c r="N93" i="436" s="1"/>
  <c r="L92" i="436"/>
  <c r="N92" i="436" s="1"/>
  <c r="L91" i="436"/>
  <c r="N91" i="436" s="1"/>
  <c r="L90" i="436"/>
  <c r="N90" i="436" s="1"/>
  <c r="L89" i="436"/>
  <c r="N89" i="436" s="1"/>
  <c r="L88" i="436"/>
  <c r="N88" i="436" s="1"/>
  <c r="L87" i="436"/>
  <c r="N87" i="436" s="1"/>
  <c r="L85" i="436"/>
  <c r="N85" i="436" s="1"/>
  <c r="L84" i="436"/>
  <c r="N84" i="436" s="1"/>
  <c r="L83" i="436"/>
  <c r="N83" i="436" s="1"/>
  <c r="L82" i="436"/>
  <c r="N82" i="436" s="1"/>
  <c r="L81" i="436"/>
  <c r="N81" i="436" s="1"/>
  <c r="L80" i="436"/>
  <c r="N80" i="436" s="1"/>
  <c r="E99" i="436"/>
  <c r="E100" i="436" s="1"/>
  <c r="E101" i="436" s="1"/>
  <c r="E97" i="436"/>
  <c r="E98" i="436" s="1"/>
  <c r="E94" i="436"/>
  <c r="E95" i="436" s="1"/>
  <c r="E96" i="436" s="1"/>
  <c r="E86" i="436"/>
  <c r="E87" i="436" s="1"/>
  <c r="E88" i="436" s="1"/>
  <c r="E89" i="436" s="1"/>
  <c r="E90" i="436" s="1"/>
  <c r="E91" i="436" s="1"/>
  <c r="E92" i="436" s="1"/>
  <c r="E93" i="436" s="1"/>
  <c r="E79" i="436"/>
  <c r="E80" i="436" s="1"/>
  <c r="E81" i="436" s="1"/>
  <c r="E82" i="436" s="1"/>
  <c r="E83" i="436" s="1"/>
  <c r="E84" i="436" s="1"/>
  <c r="E85" i="436" s="1"/>
  <c r="D78" i="436"/>
  <c r="D79" i="436" s="1"/>
  <c r="D80" i="436" s="1"/>
  <c r="D81" i="436" s="1"/>
  <c r="D82" i="436" s="1"/>
  <c r="D83" i="436" s="1"/>
  <c r="D84" i="436" s="1"/>
  <c r="D85" i="436" s="1"/>
  <c r="D86" i="436" s="1"/>
  <c r="D87" i="436" s="1"/>
  <c r="D88" i="436" s="1"/>
  <c r="D89" i="436" s="1"/>
  <c r="D90" i="436" s="1"/>
  <c r="D91" i="436" s="1"/>
  <c r="D92" i="436" s="1"/>
  <c r="D93" i="436" s="1"/>
  <c r="D94" i="436" s="1"/>
  <c r="D95" i="436" s="1"/>
  <c r="D96" i="436" s="1"/>
  <c r="D97" i="436" s="1"/>
  <c r="D98" i="436" s="1"/>
  <c r="D99" i="436" s="1"/>
  <c r="D100" i="436" s="1"/>
  <c r="L76" i="436"/>
  <c r="L73" i="436"/>
  <c r="L72" i="436"/>
  <c r="L70" i="436"/>
  <c r="L69" i="436"/>
  <c r="L68" i="436"/>
  <c r="L67" i="436"/>
  <c r="L66" i="436"/>
  <c r="L65" i="436"/>
  <c r="L64" i="436"/>
  <c r="L63" i="436"/>
  <c r="L61" i="436"/>
  <c r="N61" i="436" s="1"/>
  <c r="L60" i="436"/>
  <c r="L59" i="436"/>
  <c r="L56" i="436"/>
  <c r="B71" i="401"/>
  <c r="C69" i="401"/>
  <c r="D69" i="401"/>
  <c r="E69" i="401"/>
  <c r="F69" i="401"/>
  <c r="G69" i="401"/>
  <c r="H69" i="401"/>
  <c r="I69" i="401"/>
  <c r="J69" i="401"/>
  <c r="K69" i="401"/>
  <c r="M69" i="401"/>
  <c r="N69" i="401"/>
  <c r="O69" i="401"/>
  <c r="P69" i="401"/>
  <c r="Q69" i="401"/>
  <c r="R69" i="401"/>
  <c r="S69" i="401"/>
  <c r="T69" i="401"/>
  <c r="U69" i="401"/>
  <c r="B69" i="401"/>
  <c r="C68" i="401"/>
  <c r="D68" i="401"/>
  <c r="E68" i="401"/>
  <c r="F68" i="401"/>
  <c r="G68" i="401"/>
  <c r="H68" i="401"/>
  <c r="I68" i="401"/>
  <c r="J68" i="401"/>
  <c r="K68" i="401"/>
  <c r="L68" i="401"/>
  <c r="M68" i="401"/>
  <c r="N68" i="401"/>
  <c r="O68" i="401"/>
  <c r="P68" i="401"/>
  <c r="Q68" i="401"/>
  <c r="R68" i="401"/>
  <c r="S68" i="401"/>
  <c r="T68" i="401"/>
  <c r="U68" i="401"/>
  <c r="B68" i="401"/>
  <c r="Q28" i="401"/>
  <c r="S28" i="401"/>
  <c r="T28" i="401"/>
  <c r="U28" i="401"/>
  <c r="E173" i="436"/>
  <c r="E174" i="436" s="1"/>
  <c r="E175" i="436" s="1"/>
  <c r="E171" i="436"/>
  <c r="E172" i="436" s="1"/>
  <c r="E169" i="436"/>
  <c r="E170" i="436" s="1"/>
  <c r="E165" i="436"/>
  <c r="E166" i="436" s="1"/>
  <c r="E167" i="436" s="1"/>
  <c r="E168" i="436" s="1"/>
  <c r="E162" i="436"/>
  <c r="E163" i="436" s="1"/>
  <c r="E164" i="436" s="1"/>
  <c r="D161" i="436"/>
  <c r="D162" i="436" s="1"/>
  <c r="D163" i="436" s="1"/>
  <c r="D164" i="436" s="1"/>
  <c r="D165" i="436" s="1"/>
  <c r="D166" i="436" s="1"/>
  <c r="D167" i="436" s="1"/>
  <c r="D168" i="436" s="1"/>
  <c r="E327" i="436"/>
  <c r="E328" i="436" s="1"/>
  <c r="E324" i="436"/>
  <c r="E325" i="436" s="1"/>
  <c r="E326" i="436" s="1"/>
  <c r="E321" i="436"/>
  <c r="E322" i="436" s="1"/>
  <c r="D326" i="436"/>
  <c r="D323" i="436"/>
  <c r="D324" i="436" s="1"/>
  <c r="D325" i="436" s="1"/>
  <c r="I121" i="446" l="1"/>
  <c r="B122" i="446"/>
  <c r="J69" i="444"/>
  <c r="I69" i="444"/>
  <c r="H69" i="444"/>
  <c r="N1314" i="436"/>
  <c r="D1331" i="436"/>
  <c r="D1332" i="436" s="1"/>
  <c r="D1333" i="436" s="1"/>
  <c r="D1334" i="436" s="1"/>
  <c r="D1324" i="436"/>
  <c r="D1325" i="436" s="1"/>
  <c r="D1326" i="436" s="1"/>
  <c r="D1327" i="436" s="1"/>
  <c r="D472" i="436"/>
  <c r="D473" i="436" s="1"/>
  <c r="D474" i="436" s="1"/>
  <c r="D475" i="436" s="1"/>
  <c r="D476" i="436" s="1"/>
  <c r="D477" i="436" s="1"/>
  <c r="D478" i="436" s="1"/>
  <c r="D479" i="436" s="1"/>
  <c r="D480" i="436" s="1"/>
  <c r="D481" i="436" s="1"/>
  <c r="D482" i="436" s="1"/>
  <c r="D483" i="436" s="1"/>
  <c r="D484" i="436" s="1"/>
  <c r="D485" i="436" s="1"/>
  <c r="D486" i="436" s="1"/>
  <c r="D487" i="436" s="1"/>
  <c r="D703" i="436"/>
  <c r="D704" i="436" s="1"/>
  <c r="D705" i="436" s="1"/>
  <c r="D706" i="436" s="1"/>
  <c r="D707" i="436" s="1"/>
  <c r="E387" i="436"/>
  <c r="E388" i="436" s="1"/>
  <c r="E389" i="436" s="1"/>
  <c r="E342" i="436"/>
  <c r="D377" i="436"/>
  <c r="D378" i="436" s="1"/>
  <c r="D379" i="436" s="1"/>
  <c r="D380" i="436" s="1"/>
  <c r="D381" i="436" s="1"/>
  <c r="D382" i="436" s="1"/>
  <c r="E377" i="436"/>
  <c r="E378" i="436" s="1"/>
  <c r="E362" i="436"/>
  <c r="D169" i="436"/>
  <c r="D170" i="436" s="1"/>
  <c r="D171" i="436" s="1"/>
  <c r="D172" i="436" s="1"/>
  <c r="D173" i="436" s="1"/>
  <c r="D174" i="436" s="1"/>
  <c r="G71" i="444"/>
  <c r="M528" i="436" s="1"/>
  <c r="N528" i="436" s="1"/>
  <c r="D97" i="442"/>
  <c r="M1384" i="436" s="1"/>
  <c r="D89" i="442"/>
  <c r="D90" i="442"/>
  <c r="D85" i="442"/>
  <c r="N1356" i="436" s="1"/>
  <c r="M1375" i="436"/>
  <c r="D93" i="442"/>
  <c r="M1377" i="436" s="1"/>
  <c r="N1377" i="436" s="1"/>
  <c r="D94" i="442"/>
  <c r="M1379" i="436" s="1"/>
  <c r="D86" i="442"/>
  <c r="D95" i="442"/>
  <c r="M1381" i="436" s="1"/>
  <c r="D87" i="442"/>
  <c r="N1359" i="436" s="1"/>
  <c r="D96" i="442"/>
  <c r="M1382" i="436" s="1"/>
  <c r="D88" i="442"/>
  <c r="C29" i="442"/>
  <c r="C30" i="442"/>
  <c r="C26" i="442"/>
  <c r="C44" i="442"/>
  <c r="E694" i="436"/>
  <c r="E594" i="436"/>
  <c r="H19" i="444"/>
  <c r="M545" i="436" s="1"/>
  <c r="N545" i="436" s="1"/>
  <c r="J31" i="444"/>
  <c r="M583" i="436" s="1"/>
  <c r="N583" i="436" s="1"/>
  <c r="N626" i="436"/>
  <c r="F49" i="444"/>
  <c r="D21" i="444"/>
  <c r="M475" i="436" s="1"/>
  <c r="N1318" i="436"/>
  <c r="G32" i="444"/>
  <c r="M532" i="436" s="1"/>
  <c r="N532" i="436" s="1"/>
  <c r="E55" i="444"/>
  <c r="D65" i="444"/>
  <c r="M485" i="436" s="1"/>
  <c r="N642" i="436"/>
  <c r="N616" i="436"/>
  <c r="N1316" i="436"/>
  <c r="E462" i="436"/>
  <c r="E457" i="436"/>
  <c r="N620" i="436"/>
  <c r="N1323" i="436"/>
  <c r="N1330" i="436"/>
  <c r="E22" i="444"/>
  <c r="E34" i="444"/>
  <c r="H45" i="444"/>
  <c r="M557" i="436" s="1"/>
  <c r="N557" i="436" s="1"/>
  <c r="I56" i="444"/>
  <c r="M570" i="436" s="1"/>
  <c r="N570" i="436" s="1"/>
  <c r="N668" i="436"/>
  <c r="N648" i="436"/>
  <c r="G14" i="444"/>
  <c r="M526" i="436" s="1"/>
  <c r="N526" i="436" s="1"/>
  <c r="G24" i="444"/>
  <c r="M530" i="436" s="1"/>
  <c r="N530" i="436" s="1"/>
  <c r="E37" i="444"/>
  <c r="N640" i="436"/>
  <c r="N702" i="436"/>
  <c r="N632" i="436"/>
  <c r="N725" i="436"/>
  <c r="N630" i="436"/>
  <c r="J43" i="444"/>
  <c r="M585" i="436" s="1"/>
  <c r="N585" i="436" s="1"/>
  <c r="N690" i="436"/>
  <c r="F66" i="444"/>
  <c r="N686" i="436"/>
  <c r="N618" i="436"/>
  <c r="D13" i="444"/>
  <c r="M473" i="436" s="1"/>
  <c r="F23" i="444"/>
  <c r="F35" i="444"/>
  <c r="G46" i="444"/>
  <c r="M540" i="436" s="1"/>
  <c r="N540" i="436" s="1"/>
  <c r="G57" i="444"/>
  <c r="M536" i="436" s="1"/>
  <c r="N536" i="436" s="1"/>
  <c r="J67" i="444"/>
  <c r="M589" i="436" s="1"/>
  <c r="N589" i="436" s="1"/>
  <c r="N682" i="436"/>
  <c r="N644" i="436"/>
  <c r="N688" i="436"/>
  <c r="J47" i="444"/>
  <c r="M591" i="436" s="1"/>
  <c r="N591" i="436" s="1"/>
  <c r="J15" i="444"/>
  <c r="M579" i="436" s="1"/>
  <c r="N579" i="436" s="1"/>
  <c r="J25" i="444"/>
  <c r="M581" i="436" s="1"/>
  <c r="N581" i="436" s="1"/>
  <c r="D38" i="444"/>
  <c r="D48" i="444"/>
  <c r="M487" i="436" s="1"/>
  <c r="D59" i="444"/>
  <c r="M483" i="436" s="1"/>
  <c r="N628" i="436"/>
  <c r="J58" i="444"/>
  <c r="M587" i="436" s="1"/>
  <c r="N587" i="436" s="1"/>
  <c r="N684" i="436"/>
  <c r="E16" i="444"/>
  <c r="H26" i="444"/>
  <c r="M547" i="436" s="1"/>
  <c r="N547" i="436" s="1"/>
  <c r="I29" i="444"/>
  <c r="M566" i="436" s="1"/>
  <c r="N566" i="436" s="1"/>
  <c r="F39" i="444"/>
  <c r="E62" i="444"/>
  <c r="N674" i="436"/>
  <c r="N634" i="436"/>
  <c r="F17" i="444"/>
  <c r="D27" i="444"/>
  <c r="M477" i="436" s="1"/>
  <c r="D30" i="444"/>
  <c r="M479" i="436" s="1"/>
  <c r="H41" i="444"/>
  <c r="M551" i="436" s="1"/>
  <c r="N551" i="436" s="1"/>
  <c r="E51" i="444"/>
  <c r="H63" i="444"/>
  <c r="M555" i="436" s="1"/>
  <c r="N555" i="436" s="1"/>
  <c r="N656" i="436"/>
  <c r="N612" i="436"/>
  <c r="N646" i="436"/>
  <c r="N676" i="436"/>
  <c r="I19" i="444"/>
  <c r="M562" i="436" s="1"/>
  <c r="N562" i="436" s="1"/>
  <c r="G42" i="444"/>
  <c r="M534" i="436" s="1"/>
  <c r="N534" i="436" s="1"/>
  <c r="F53" i="444"/>
  <c r="G64" i="444"/>
  <c r="M538" i="436" s="1"/>
  <c r="N538" i="436" s="1"/>
  <c r="N614" i="436"/>
  <c r="N672" i="436"/>
  <c r="I45" i="444"/>
  <c r="M574" i="436" s="1"/>
  <c r="N574" i="436" s="1"/>
  <c r="N662" i="436"/>
  <c r="N660" i="436"/>
  <c r="N658" i="436"/>
  <c r="N654" i="436"/>
  <c r="N670" i="436"/>
  <c r="I41" i="444"/>
  <c r="M568" i="436" s="1"/>
  <c r="N568" i="436" s="1"/>
  <c r="I63" i="444"/>
  <c r="M572" i="436" s="1"/>
  <c r="N572" i="436" s="1"/>
  <c r="I26" i="444"/>
  <c r="M564" i="436" s="1"/>
  <c r="N564" i="436" s="1"/>
  <c r="H56" i="444"/>
  <c r="M553" i="436" s="1"/>
  <c r="N553" i="436" s="1"/>
  <c r="H29" i="444"/>
  <c r="M549" i="436" s="1"/>
  <c r="N549" i="436" s="1"/>
  <c r="N700" i="436"/>
  <c r="C50" i="444"/>
  <c r="K50" i="444" s="1"/>
  <c r="M606" i="436" s="1"/>
  <c r="N606" i="436" s="1"/>
  <c r="C40" i="444"/>
  <c r="K40" i="444" s="1"/>
  <c r="M600" i="436" s="1"/>
  <c r="N600" i="436" s="1"/>
  <c r="N696" i="436"/>
  <c r="C33" i="444"/>
  <c r="K33" i="444" s="1"/>
  <c r="M598" i="436" s="1"/>
  <c r="N598" i="436" s="1"/>
  <c r="C61" i="444"/>
  <c r="K61" i="444" s="1"/>
  <c r="M604" i="436" s="1"/>
  <c r="N604" i="436" s="1"/>
  <c r="C54" i="444"/>
  <c r="K54" i="444" s="1"/>
  <c r="M602" i="436" s="1"/>
  <c r="N602" i="436" s="1"/>
  <c r="N698" i="436"/>
  <c r="C18" i="444"/>
  <c r="K18" i="444" s="1"/>
  <c r="M596" i="436" s="1"/>
  <c r="N596" i="436" s="1"/>
  <c r="N439" i="436"/>
  <c r="N454" i="436"/>
  <c r="N469" i="436"/>
  <c r="N434" i="436"/>
  <c r="N444" i="436"/>
  <c r="N449" i="436"/>
  <c r="N464" i="436"/>
  <c r="L344" i="436"/>
  <c r="N344" i="436" s="1"/>
  <c r="E207" i="436"/>
  <c r="E208" i="436" s="1"/>
  <c r="E209" i="436" s="1"/>
  <c r="E210" i="436" s="1"/>
  <c r="E211" i="436" s="1"/>
  <c r="E212" i="436" s="1"/>
  <c r="E213" i="436" s="1"/>
  <c r="D206" i="436"/>
  <c r="D195" i="436"/>
  <c r="D196" i="436" s="1"/>
  <c r="D197" i="436" s="1"/>
  <c r="D198" i="436" s="1"/>
  <c r="D199" i="436" s="1"/>
  <c r="D200" i="436" s="1"/>
  <c r="D201" i="436" s="1"/>
  <c r="E155" i="436"/>
  <c r="E156" i="436" s="1"/>
  <c r="D156" i="436"/>
  <c r="D157" i="436" s="1"/>
  <c r="D158" i="436" s="1"/>
  <c r="D159" i="436" s="1"/>
  <c r="D160" i="436" s="1"/>
  <c r="N158" i="436"/>
  <c r="N138" i="436"/>
  <c r="N117" i="436"/>
  <c r="N96" i="436"/>
  <c r="N172" i="436"/>
  <c r="D327" i="436"/>
  <c r="D328" i="436" s="1"/>
  <c r="I122" i="446" l="1"/>
  <c r="B123" i="446"/>
  <c r="B124" i="446" s="1"/>
  <c r="B125" i="446" s="1"/>
  <c r="B126" i="446" s="1"/>
  <c r="B127" i="446" s="1"/>
  <c r="B128" i="446" s="1"/>
  <c r="B129" i="446" s="1"/>
  <c r="B130" i="446" s="1"/>
  <c r="B131" i="446" s="1"/>
  <c r="B132" i="446" s="1"/>
  <c r="B133" i="446" s="1"/>
  <c r="B134" i="446" s="1"/>
  <c r="B135" i="446" s="1"/>
  <c r="B136" i="446" s="1"/>
  <c r="B137" i="446" s="1"/>
  <c r="B138" i="446" s="1"/>
  <c r="B139" i="446" s="1"/>
  <c r="B140" i="446" s="1"/>
  <c r="B141" i="446" s="1"/>
  <c r="B142" i="446" s="1"/>
  <c r="B143" i="446" s="1"/>
  <c r="B144" i="446" s="1"/>
  <c r="B145" i="446" s="1"/>
  <c r="B146" i="446" s="1"/>
  <c r="B147" i="446" s="1"/>
  <c r="B148" i="446" s="1"/>
  <c r="B149" i="446" s="1"/>
  <c r="B150" i="446" s="1"/>
  <c r="B151" i="446" s="1"/>
  <c r="B152" i="446" s="1"/>
  <c r="B153" i="446" s="1"/>
  <c r="B154" i="446" s="1"/>
  <c r="B155" i="446" s="1"/>
  <c r="B156" i="446" s="1"/>
  <c r="B157" i="446" s="1"/>
  <c r="B158" i="446" s="1"/>
  <c r="B159" i="446" s="1"/>
  <c r="B160" i="446" s="1"/>
  <c r="B161" i="446" s="1"/>
  <c r="B162" i="446" s="1"/>
  <c r="B163" i="446" s="1"/>
  <c r="B164" i="446" s="1"/>
  <c r="B165" i="446" s="1"/>
  <c r="B166" i="446" s="1"/>
  <c r="B167" i="446" s="1"/>
  <c r="B168" i="446" s="1"/>
  <c r="B169" i="446" s="1"/>
  <c r="B170" i="446" s="1"/>
  <c r="B171" i="446" s="1"/>
  <c r="B172" i="446" s="1"/>
  <c r="B173" i="446" s="1"/>
  <c r="B174" i="446" s="1"/>
  <c r="B175" i="446" s="1"/>
  <c r="B176" i="446" s="1"/>
  <c r="B177" i="446" s="1"/>
  <c r="B178" i="446" s="1"/>
  <c r="B179" i="446" s="1"/>
  <c r="B180" i="446" s="1"/>
  <c r="B181" i="446" s="1"/>
  <c r="B182" i="446" s="1"/>
  <c r="B183" i="446" s="1"/>
  <c r="B184" i="446" s="1"/>
  <c r="B185" i="446" s="1"/>
  <c r="B186" i="446" s="1"/>
  <c r="B187" i="446" s="1"/>
  <c r="B188" i="446" s="1"/>
  <c r="B189" i="446" s="1"/>
  <c r="B190" i="446" s="1"/>
  <c r="B191" i="446" s="1"/>
  <c r="B192" i="446" s="1"/>
  <c r="B193" i="446" s="1"/>
  <c r="B194" i="446" s="1"/>
  <c r="B195" i="446" s="1"/>
  <c r="B196" i="446" s="1"/>
  <c r="B197" i="446" s="1"/>
  <c r="B198" i="446" s="1"/>
  <c r="B199" i="446" s="1"/>
  <c r="B200" i="446" s="1"/>
  <c r="B201" i="446" s="1"/>
  <c r="B202" i="446" s="1"/>
  <c r="B203" i="446" s="1"/>
  <c r="B204" i="446" s="1"/>
  <c r="B205" i="446" s="1"/>
  <c r="B206" i="446" s="1"/>
  <c r="B207" i="446" s="1"/>
  <c r="B208" i="446" s="1"/>
  <c r="B209" i="446" s="1"/>
  <c r="B210" i="446" s="1"/>
  <c r="B211" i="446" s="1"/>
  <c r="B212" i="446" s="1"/>
  <c r="B213" i="446" s="1"/>
  <c r="B214" i="446" s="1"/>
  <c r="B215" i="446" s="1"/>
  <c r="B216" i="446" s="1"/>
  <c r="B217" i="446" s="1"/>
  <c r="B218" i="446" s="1"/>
  <c r="B219" i="446" s="1"/>
  <c r="B220" i="446" s="1"/>
  <c r="B221" i="446" s="1"/>
  <c r="B222" i="446" s="1"/>
  <c r="B223" i="446" s="1"/>
  <c r="B224" i="446" s="1"/>
  <c r="B225" i="446" s="1"/>
  <c r="B226" i="446" s="1"/>
  <c r="B227" i="446" s="1"/>
  <c r="B228" i="446" s="1"/>
  <c r="B229" i="446" s="1"/>
  <c r="B230" i="446" s="1"/>
  <c r="B231" i="446" s="1"/>
  <c r="B232" i="446" s="1"/>
  <c r="B233" i="446" s="1"/>
  <c r="B234" i="446" s="1"/>
  <c r="B235" i="446" s="1"/>
  <c r="B236" i="446" s="1"/>
  <c r="B237" i="446" s="1"/>
  <c r="B238" i="446" s="1"/>
  <c r="B239" i="446" s="1"/>
  <c r="B240" i="446" s="1"/>
  <c r="B241" i="446" s="1"/>
  <c r="B242" i="446" s="1"/>
  <c r="B243" i="446" s="1"/>
  <c r="B244" i="446" s="1"/>
  <c r="B245" i="446" s="1"/>
  <c r="B246" i="446" s="1"/>
  <c r="B247" i="446" s="1"/>
  <c r="B248" i="446" s="1"/>
  <c r="B249" i="446" s="1"/>
  <c r="B250" i="446" s="1"/>
  <c r="B251" i="446" s="1"/>
  <c r="B252" i="446" s="1"/>
  <c r="B253" i="446" s="1"/>
  <c r="B254" i="446" s="1"/>
  <c r="B255" i="446" s="1"/>
  <c r="B256" i="446" s="1"/>
  <c r="B257" i="446" s="1"/>
  <c r="B258" i="446" s="1"/>
  <c r="B259" i="446" s="1"/>
  <c r="B260" i="446" s="1"/>
  <c r="B261" i="446" s="1"/>
  <c r="B262" i="446" s="1"/>
  <c r="B263" i="446" s="1"/>
  <c r="B264" i="446" s="1"/>
  <c r="B265" i="446" s="1"/>
  <c r="B266" i="446" s="1"/>
  <c r="B267" i="446" s="1"/>
  <c r="B268" i="446" s="1"/>
  <c r="B269" i="446" s="1"/>
  <c r="B270" i="446" s="1"/>
  <c r="B271" i="446" s="1"/>
  <c r="B272" i="446" s="1"/>
  <c r="B273" i="446" s="1"/>
  <c r="B274" i="446" s="1"/>
  <c r="B275" i="446" s="1"/>
  <c r="B276" i="446" s="1"/>
  <c r="B277" i="446" s="1"/>
  <c r="B278" i="446" s="1"/>
  <c r="B279" i="446" s="1"/>
  <c r="B280" i="446" s="1"/>
  <c r="B281" i="446" s="1"/>
  <c r="B282" i="446" s="1"/>
  <c r="B283" i="446" s="1"/>
  <c r="B284" i="446" s="1"/>
  <c r="B285" i="446" s="1"/>
  <c r="B286" i="446" s="1"/>
  <c r="B287" i="446" s="1"/>
  <c r="B288" i="446" s="1"/>
  <c r="B289" i="446" s="1"/>
  <c r="B290" i="446" s="1"/>
  <c r="B291" i="446" s="1"/>
  <c r="B292" i="446" s="1"/>
  <c r="B293" i="446" s="1"/>
  <c r="B294" i="446" s="1"/>
  <c r="B295" i="446" s="1"/>
  <c r="B296" i="446" s="1"/>
  <c r="B297" i="446" s="1"/>
  <c r="B298" i="446" s="1"/>
  <c r="B299" i="446" s="1"/>
  <c r="B300" i="446" s="1"/>
  <c r="B301" i="446" s="1"/>
  <c r="B302" i="446" s="1"/>
  <c r="B303" i="446" s="1"/>
  <c r="B304" i="446" s="1"/>
  <c r="B305" i="446" s="1"/>
  <c r="B306" i="446" s="1"/>
  <c r="B307" i="446" s="1"/>
  <c r="B308" i="446" s="1"/>
  <c r="B309" i="446" s="1"/>
  <c r="B310" i="446" s="1"/>
  <c r="B311" i="446" s="1"/>
  <c r="B312" i="446" s="1"/>
  <c r="B313" i="446" s="1"/>
  <c r="B314" i="446" s="1"/>
  <c r="B315" i="446" s="1"/>
  <c r="B316" i="446" s="1"/>
  <c r="B317" i="446" s="1"/>
  <c r="B318" i="446" s="1"/>
  <c r="B319" i="446" s="1"/>
  <c r="B320" i="446" s="1"/>
  <c r="B321" i="446" s="1"/>
  <c r="B322" i="446" s="1"/>
  <c r="B323" i="446" s="1"/>
  <c r="B324" i="446" s="1"/>
  <c r="B325" i="446" s="1"/>
  <c r="B326" i="446" s="1"/>
  <c r="B327" i="446" s="1"/>
  <c r="B328" i="446" s="1"/>
  <c r="B329" i="446" s="1"/>
  <c r="B330" i="446" s="1"/>
  <c r="B331" i="446" s="1"/>
  <c r="B332" i="446" s="1"/>
  <c r="B333" i="446" s="1"/>
  <c r="B334" i="446" s="1"/>
  <c r="B335" i="446" s="1"/>
  <c r="B336" i="446" s="1"/>
  <c r="B337" i="446" s="1"/>
  <c r="B338" i="446" s="1"/>
  <c r="B339" i="446" s="1"/>
  <c r="B340" i="446" s="1"/>
  <c r="B341" i="446" s="1"/>
  <c r="B342" i="446" s="1"/>
  <c r="B343" i="446" s="1"/>
  <c r="B344" i="446" s="1"/>
  <c r="B345" i="446" s="1"/>
  <c r="B346" i="446" s="1"/>
  <c r="B347" i="446" s="1"/>
  <c r="B348" i="446" s="1"/>
  <c r="B349" i="446" s="1"/>
  <c r="B350" i="446" s="1"/>
  <c r="B351" i="446" s="1"/>
  <c r="B352" i="446" s="1"/>
  <c r="B353" i="446" s="1"/>
  <c r="B354" i="446" s="1"/>
  <c r="B355" i="446" s="1"/>
  <c r="B356" i="446" s="1"/>
  <c r="B357" i="446" s="1"/>
  <c r="B358" i="446" s="1"/>
  <c r="B359" i="446" s="1"/>
  <c r="B360" i="446" s="1"/>
  <c r="B361" i="446" s="1"/>
  <c r="B362" i="446" s="1"/>
  <c r="B363" i="446" s="1"/>
  <c r="B364" i="446" s="1"/>
  <c r="B365" i="446" s="1"/>
  <c r="B366" i="446" s="1"/>
  <c r="B367" i="446" s="1"/>
  <c r="B368" i="446" s="1"/>
  <c r="B369" i="446" s="1"/>
  <c r="B370" i="446" s="1"/>
  <c r="B371" i="446" s="1"/>
  <c r="B372" i="446" s="1"/>
  <c r="B373" i="446" s="1"/>
  <c r="B374" i="446" s="1"/>
  <c r="B375" i="446" s="1"/>
  <c r="B376" i="446" s="1"/>
  <c r="B377" i="446" s="1"/>
  <c r="B378" i="446" s="1"/>
  <c r="B379" i="446" s="1"/>
  <c r="B380" i="446" s="1"/>
  <c r="B381" i="446" s="1"/>
  <c r="B382" i="446" s="1"/>
  <c r="B383" i="446" s="1"/>
  <c r="B384" i="446" s="1"/>
  <c r="B385" i="446" s="1"/>
  <c r="B386" i="446" s="1"/>
  <c r="B387" i="446" s="1"/>
  <c r="B388" i="446" s="1"/>
  <c r="B389" i="446" s="1"/>
  <c r="B390" i="446" s="1"/>
  <c r="B391" i="446" s="1"/>
  <c r="B392" i="446" s="1"/>
  <c r="B393" i="446" s="1"/>
  <c r="B394" i="446" s="1"/>
  <c r="B395" i="446" s="1"/>
  <c r="B396" i="446" s="1"/>
  <c r="B397" i="446" s="1"/>
  <c r="B398" i="446" s="1"/>
  <c r="B399" i="446" s="1"/>
  <c r="B400" i="446" s="1"/>
  <c r="B401" i="446" s="1"/>
  <c r="B402" i="446" s="1"/>
  <c r="B403" i="446" s="1"/>
  <c r="B404" i="446" s="1"/>
  <c r="B405" i="446" s="1"/>
  <c r="B406" i="446" s="1"/>
  <c r="B407" i="446" s="1"/>
  <c r="B408" i="446" s="1"/>
  <c r="B409" i="446" s="1"/>
  <c r="B410" i="446" s="1"/>
  <c r="B411" i="446" s="1"/>
  <c r="B412" i="446" s="1"/>
  <c r="B413" i="446" s="1"/>
  <c r="B414" i="446" s="1"/>
  <c r="B415" i="446" s="1"/>
  <c r="B416" i="446" s="1"/>
  <c r="B417" i="446" s="1"/>
  <c r="B418" i="446" s="1"/>
  <c r="B419" i="446" s="1"/>
  <c r="B420" i="446" s="1"/>
  <c r="B421" i="446" s="1"/>
  <c r="B422" i="446" s="1"/>
  <c r="B423" i="446" s="1"/>
  <c r="B424" i="446" s="1"/>
  <c r="B425" i="446" s="1"/>
  <c r="B426" i="446" s="1"/>
  <c r="B427" i="446" s="1"/>
  <c r="B428" i="446" s="1"/>
  <c r="B429" i="446" s="1"/>
  <c r="B430" i="446" s="1"/>
  <c r="B431" i="446" s="1"/>
  <c r="B432" i="446" s="1"/>
  <c r="B433" i="446" s="1"/>
  <c r="B434" i="446" s="1"/>
  <c r="B435" i="446" s="1"/>
  <c r="B436" i="446" s="1"/>
  <c r="B437" i="446" s="1"/>
  <c r="B438" i="446" s="1"/>
  <c r="B439" i="446" s="1"/>
  <c r="B440" i="446" s="1"/>
  <c r="B441" i="446" s="1"/>
  <c r="B442" i="446" s="1"/>
  <c r="B443" i="446" s="1"/>
  <c r="B444" i="446" s="1"/>
  <c r="B445" i="446" s="1"/>
  <c r="B446" i="446" s="1"/>
  <c r="B447" i="446" s="1"/>
  <c r="B448" i="446" s="1"/>
  <c r="B449" i="446" s="1"/>
  <c r="B450" i="446" s="1"/>
  <c r="B451" i="446" s="1"/>
  <c r="B452" i="446" s="1"/>
  <c r="B453" i="446" s="1"/>
  <c r="B454" i="446" s="1"/>
  <c r="B455" i="446" s="1"/>
  <c r="B456" i="446" s="1"/>
  <c r="B457" i="446" s="1"/>
  <c r="B458" i="446" s="1"/>
  <c r="B459" i="446" s="1"/>
  <c r="B460" i="446" s="1"/>
  <c r="B461" i="446" s="1"/>
  <c r="B462" i="446" s="1"/>
  <c r="B463" i="446" s="1"/>
  <c r="B464" i="446" s="1"/>
  <c r="B465" i="446" s="1"/>
  <c r="B466" i="446" s="1"/>
  <c r="B467" i="446" s="1"/>
  <c r="B468" i="446" s="1"/>
  <c r="B469" i="446" s="1"/>
  <c r="B470" i="446" s="1"/>
  <c r="B471" i="446" s="1"/>
  <c r="B472" i="446" s="1"/>
  <c r="B473" i="446" s="1"/>
  <c r="B474" i="446" s="1"/>
  <c r="B475" i="446" s="1"/>
  <c r="B476" i="446" s="1"/>
  <c r="B477" i="446" s="1"/>
  <c r="B478" i="446" s="1"/>
  <c r="B479" i="446" s="1"/>
  <c r="B480" i="446" s="1"/>
  <c r="B481" i="446" s="1"/>
  <c r="B482" i="446" s="1"/>
  <c r="B483" i="446" s="1"/>
  <c r="B484" i="446" s="1"/>
  <c r="B485" i="446" s="1"/>
  <c r="B486" i="446" s="1"/>
  <c r="B487" i="446" s="1"/>
  <c r="B488" i="446" s="1"/>
  <c r="B489" i="446" s="1"/>
  <c r="B490" i="446" s="1"/>
  <c r="B491" i="446" s="1"/>
  <c r="B492" i="446" s="1"/>
  <c r="B493" i="446" s="1"/>
  <c r="B494" i="446" s="1"/>
  <c r="B495" i="446" s="1"/>
  <c r="B496" i="446" s="1"/>
  <c r="B497" i="446" s="1"/>
  <c r="B498" i="446" s="1"/>
  <c r="B499" i="446" s="1"/>
  <c r="B500" i="446" s="1"/>
  <c r="B501" i="446" s="1"/>
  <c r="B502" i="446" s="1"/>
  <c r="B503" i="446" s="1"/>
  <c r="B504" i="446" s="1"/>
  <c r="B505" i="446" s="1"/>
  <c r="B506" i="446" s="1"/>
  <c r="B507" i="446" s="1"/>
  <c r="B508" i="446" s="1"/>
  <c r="B509" i="446" s="1"/>
  <c r="B510" i="446" s="1"/>
  <c r="B511" i="446" s="1"/>
  <c r="B512" i="446" s="1"/>
  <c r="B513" i="446" s="1"/>
  <c r="B514" i="446" s="1"/>
  <c r="B515" i="446" s="1"/>
  <c r="B516" i="446" s="1"/>
  <c r="B517" i="446" s="1"/>
  <c r="B518" i="446" s="1"/>
  <c r="B519" i="446" s="1"/>
  <c r="B520" i="446" s="1"/>
  <c r="B521" i="446" s="1"/>
  <c r="B522" i="446" s="1"/>
  <c r="B523" i="446" s="1"/>
  <c r="B524" i="446" s="1"/>
  <c r="B525" i="446" s="1"/>
  <c r="B526" i="446" s="1"/>
  <c r="B527" i="446" s="1"/>
  <c r="B528" i="446" s="1"/>
  <c r="B529" i="446" s="1"/>
  <c r="B530" i="446" s="1"/>
  <c r="B531" i="446" s="1"/>
  <c r="B532" i="446" s="1"/>
  <c r="B533" i="446" s="1"/>
  <c r="B534" i="446" s="1"/>
  <c r="B535" i="446" s="1"/>
  <c r="B536" i="446" s="1"/>
  <c r="B537" i="446" s="1"/>
  <c r="B538" i="446" s="1"/>
  <c r="B539" i="446" s="1"/>
  <c r="B540" i="446" s="1"/>
  <c r="B541" i="446" s="1"/>
  <c r="B542" i="446" s="1"/>
  <c r="B543" i="446" s="1"/>
  <c r="B544" i="446" s="1"/>
  <c r="B545" i="446" s="1"/>
  <c r="B546" i="446" s="1"/>
  <c r="B547" i="446" s="1"/>
  <c r="B548" i="446" s="1"/>
  <c r="B549" i="446" s="1"/>
  <c r="B550" i="446" s="1"/>
  <c r="B551" i="446" s="1"/>
  <c r="B552" i="446" s="1"/>
  <c r="B553" i="446" s="1"/>
  <c r="B554" i="446" s="1"/>
  <c r="B555" i="446" s="1"/>
  <c r="B556" i="446" s="1"/>
  <c r="B557" i="446" s="1"/>
  <c r="B558" i="446" s="1"/>
  <c r="B559" i="446" s="1"/>
  <c r="B560" i="446" s="1"/>
  <c r="B561" i="446" s="1"/>
  <c r="B562" i="446" s="1"/>
  <c r="B563" i="446" s="1"/>
  <c r="B564" i="446" s="1"/>
  <c r="B565" i="446" s="1"/>
  <c r="B566" i="446" s="1"/>
  <c r="B567" i="446" s="1"/>
  <c r="B568" i="446" s="1"/>
  <c r="B569" i="446" s="1"/>
  <c r="B570" i="446" s="1"/>
  <c r="B571" i="446" s="1"/>
  <c r="B572" i="446" s="1"/>
  <c r="B573" i="446" s="1"/>
  <c r="B574" i="446" s="1"/>
  <c r="B575" i="446" s="1"/>
  <c r="B576" i="446" s="1"/>
  <c r="B577" i="446" s="1"/>
  <c r="B578" i="446" s="1"/>
  <c r="B579" i="446" s="1"/>
  <c r="B580" i="446" s="1"/>
  <c r="B581" i="446" s="1"/>
  <c r="B582" i="446" s="1"/>
  <c r="B583" i="446" s="1"/>
  <c r="B584" i="446" s="1"/>
  <c r="B585" i="446" s="1"/>
  <c r="B586" i="446" s="1"/>
  <c r="B587" i="446" s="1"/>
  <c r="B588" i="446" s="1"/>
  <c r="B589" i="446" s="1"/>
  <c r="B590" i="446" s="1"/>
  <c r="B591" i="446" s="1"/>
  <c r="B592" i="446" s="1"/>
  <c r="B593" i="446" s="1"/>
  <c r="B594" i="446" s="1"/>
  <c r="B595" i="446" s="1"/>
  <c r="B596" i="446" s="1"/>
  <c r="B597" i="446" s="1"/>
  <c r="B598" i="446" s="1"/>
  <c r="B599" i="446" s="1"/>
  <c r="B600" i="446" s="1"/>
  <c r="B601" i="446" s="1"/>
  <c r="B602" i="446" s="1"/>
  <c r="B603" i="446" s="1"/>
  <c r="B604" i="446" s="1"/>
  <c r="B605" i="446" s="1"/>
  <c r="B606" i="446" s="1"/>
  <c r="B607" i="446" s="1"/>
  <c r="B608" i="446" s="1"/>
  <c r="B609" i="446" s="1"/>
  <c r="B610" i="446" s="1"/>
  <c r="B611" i="446" s="1"/>
  <c r="B612" i="446" s="1"/>
  <c r="B613" i="446" s="1"/>
  <c r="B614" i="446" s="1"/>
  <c r="B615" i="446" s="1"/>
  <c r="B616" i="446" s="1"/>
  <c r="B617" i="446" s="1"/>
  <c r="B618" i="446" s="1"/>
  <c r="B619" i="446" s="1"/>
  <c r="B620" i="446" s="1"/>
  <c r="B621" i="446" s="1"/>
  <c r="B622" i="446" s="1"/>
  <c r="B623" i="446" s="1"/>
  <c r="B624" i="446" s="1"/>
  <c r="B625" i="446" s="1"/>
  <c r="B626" i="446" s="1"/>
  <c r="B627" i="446" s="1"/>
  <c r="B628" i="446" s="1"/>
  <c r="B629" i="446" s="1"/>
  <c r="B630" i="446" s="1"/>
  <c r="B631" i="446" s="1"/>
  <c r="B632" i="446" s="1"/>
  <c r="B633" i="446" s="1"/>
  <c r="B634" i="446" s="1"/>
  <c r="B635" i="446" s="1"/>
  <c r="B636" i="446" s="1"/>
  <c r="B637" i="446" s="1"/>
  <c r="B638" i="446" s="1"/>
  <c r="B639" i="446" s="1"/>
  <c r="B640" i="446" s="1"/>
  <c r="B641" i="446" s="1"/>
  <c r="B642" i="446" s="1"/>
  <c r="B643" i="446" s="1"/>
  <c r="B644" i="446" s="1"/>
  <c r="B645" i="446" s="1"/>
  <c r="B646" i="446" s="1"/>
  <c r="B647" i="446" s="1"/>
  <c r="B648" i="446" s="1"/>
  <c r="B649" i="446" s="1"/>
  <c r="B650" i="446" s="1"/>
  <c r="B651" i="446" s="1"/>
  <c r="B652" i="446" s="1"/>
  <c r="B653" i="446" s="1"/>
  <c r="B654" i="446" s="1"/>
  <c r="B655" i="446" s="1"/>
  <c r="B656" i="446" s="1"/>
  <c r="B657" i="446" s="1"/>
  <c r="B658" i="446" s="1"/>
  <c r="B659" i="446" s="1"/>
  <c r="B660" i="446" s="1"/>
  <c r="B661" i="446" s="1"/>
  <c r="B662" i="446" s="1"/>
  <c r="B663" i="446" s="1"/>
  <c r="B664" i="446" s="1"/>
  <c r="B665" i="446" s="1"/>
  <c r="B666" i="446" s="1"/>
  <c r="B667" i="446" s="1"/>
  <c r="B668" i="446" s="1"/>
  <c r="B669" i="446" s="1"/>
  <c r="B670" i="446" s="1"/>
  <c r="B671" i="446" s="1"/>
  <c r="B672" i="446" s="1"/>
  <c r="B673" i="446" s="1"/>
  <c r="B674" i="446" s="1"/>
  <c r="B675" i="446" s="1"/>
  <c r="B676" i="446" s="1"/>
  <c r="B677" i="446" s="1"/>
  <c r="B678" i="446" s="1"/>
  <c r="B679" i="446" s="1"/>
  <c r="B680" i="446" s="1"/>
  <c r="B681" i="446" s="1"/>
  <c r="B682" i="446" s="1"/>
  <c r="B683" i="446" s="1"/>
  <c r="B684" i="446" s="1"/>
  <c r="B685" i="446" s="1"/>
  <c r="B686" i="446" s="1"/>
  <c r="B687" i="446" s="1"/>
  <c r="B688" i="446" s="1"/>
  <c r="B689" i="446" s="1"/>
  <c r="B690" i="446" s="1"/>
  <c r="B691" i="446" s="1"/>
  <c r="B692" i="446" s="1"/>
  <c r="B693" i="446" s="1"/>
  <c r="B694" i="446" s="1"/>
  <c r="B695" i="446" s="1"/>
  <c r="B696" i="446" s="1"/>
  <c r="B697" i="446" s="1"/>
  <c r="B698" i="446" s="1"/>
  <c r="B699" i="446" s="1"/>
  <c r="B700" i="446" s="1"/>
  <c r="B701" i="446" s="1"/>
  <c r="B702" i="446" s="1"/>
  <c r="B703" i="446" s="1"/>
  <c r="B704" i="446" s="1"/>
  <c r="B705" i="446" s="1"/>
  <c r="B706" i="446" s="1"/>
  <c r="B707" i="446" s="1"/>
  <c r="B708" i="446" s="1"/>
  <c r="B709" i="446" s="1"/>
  <c r="B710" i="446" s="1"/>
  <c r="B711" i="446" s="1"/>
  <c r="B712" i="446" s="1"/>
  <c r="B713" i="446" s="1"/>
  <c r="B714" i="446" s="1"/>
  <c r="B715" i="446" s="1"/>
  <c r="B716" i="446" s="1"/>
  <c r="B717" i="446" s="1"/>
  <c r="B718" i="446" s="1"/>
  <c r="B719" i="446" s="1"/>
  <c r="B720" i="446" s="1"/>
  <c r="B721" i="446" s="1"/>
  <c r="B722" i="446" s="1"/>
  <c r="B723" i="446" s="1"/>
  <c r="B724" i="446" s="1"/>
  <c r="B725" i="446" s="1"/>
  <c r="B726" i="446" s="1"/>
  <c r="B727" i="446" s="1"/>
  <c r="B728" i="446" s="1"/>
  <c r="B729" i="446" s="1"/>
  <c r="B730" i="446" s="1"/>
  <c r="B731" i="446" s="1"/>
  <c r="B732" i="446" s="1"/>
  <c r="B733" i="446" s="1"/>
  <c r="B734" i="446" s="1"/>
  <c r="B735" i="446" s="1"/>
  <c r="B736" i="446" s="1"/>
  <c r="B737" i="446" s="1"/>
  <c r="B738" i="446" s="1"/>
  <c r="B739" i="446" s="1"/>
  <c r="B740" i="446" s="1"/>
  <c r="B741" i="446" s="1"/>
  <c r="B742" i="446" s="1"/>
  <c r="B743" i="446" s="1"/>
  <c r="B744" i="446" s="1"/>
  <c r="B745" i="446" s="1"/>
  <c r="B746" i="446" s="1"/>
  <c r="B747" i="446" s="1"/>
  <c r="B748" i="446" s="1"/>
  <c r="B749" i="446" s="1"/>
  <c r="B750" i="446" s="1"/>
  <c r="B751" i="446" s="1"/>
  <c r="B752" i="446" s="1"/>
  <c r="B753" i="446" s="1"/>
  <c r="B754" i="446" s="1"/>
  <c r="B755" i="446" s="1"/>
  <c r="B756" i="446" s="1"/>
  <c r="B757" i="446" s="1"/>
  <c r="B758" i="446" s="1"/>
  <c r="B759" i="446" s="1"/>
  <c r="B760" i="446" s="1"/>
  <c r="M500" i="436"/>
  <c r="N500" i="436" s="1"/>
  <c r="M481" i="436"/>
  <c r="N481" i="436" s="1"/>
  <c r="M517" i="436"/>
  <c r="N517" i="436" s="1"/>
  <c r="M502" i="436"/>
  <c r="N502" i="436" s="1"/>
  <c r="M494" i="436"/>
  <c r="N494" i="436" s="1"/>
  <c r="M504" i="436"/>
  <c r="N504" i="436" s="1"/>
  <c r="M498" i="436"/>
  <c r="N498" i="436" s="1"/>
  <c r="M515" i="436"/>
  <c r="N515" i="436" s="1"/>
  <c r="M521" i="436"/>
  <c r="N521" i="436" s="1"/>
  <c r="M511" i="436"/>
  <c r="N511" i="436" s="1"/>
  <c r="M509" i="436"/>
  <c r="N509" i="436" s="1"/>
  <c r="M513" i="436"/>
  <c r="N513" i="436" s="1"/>
  <c r="M519" i="436"/>
  <c r="N519" i="436" s="1"/>
  <c r="M496" i="436"/>
  <c r="N496" i="436" s="1"/>
  <c r="M492" i="436"/>
  <c r="N492" i="436" s="1"/>
  <c r="N479" i="436"/>
  <c r="N475" i="436"/>
  <c r="N477" i="436"/>
  <c r="N473" i="436"/>
  <c r="N485" i="436"/>
  <c r="N483" i="436"/>
  <c r="N487" i="436"/>
  <c r="D488" i="436"/>
  <c r="D489" i="436" s="1"/>
  <c r="E390" i="436"/>
  <c r="E391" i="436" s="1"/>
  <c r="D383" i="436"/>
  <c r="D384" i="436" s="1"/>
  <c r="D385" i="436" s="1"/>
  <c r="D386" i="436" s="1"/>
  <c r="L1365" i="436"/>
  <c r="N1365" i="436" s="1"/>
  <c r="N1361" i="436"/>
  <c r="N1362" i="436"/>
  <c r="N1357" i="436"/>
  <c r="N459" i="436"/>
  <c r="D207" i="436"/>
  <c r="D208" i="436" s="1"/>
  <c r="D209" i="436" s="1"/>
  <c r="D210" i="436" s="1"/>
  <c r="D211" i="436" s="1"/>
  <c r="D387" i="436" l="1"/>
  <c r="D388" i="436" s="1"/>
  <c r="D389" i="436" s="1"/>
  <c r="D390" i="436" s="1"/>
  <c r="L1366" i="436"/>
  <c r="N1366" i="436" s="1"/>
  <c r="N1364" i="436" s="1"/>
  <c r="N1363" i="436"/>
  <c r="D212" i="436"/>
  <c r="D213" i="436" s="1"/>
  <c r="D214" i="436" s="1"/>
  <c r="D215" i="436" s="1"/>
  <c r="D216" i="436" s="1"/>
  <c r="D217" i="436" s="1"/>
  <c r="D218" i="436" s="1"/>
  <c r="D219" i="436" s="1"/>
  <c r="D220" i="436" s="1"/>
  <c r="E318" i="436" l="1"/>
  <c r="E319" i="436" s="1"/>
  <c r="E320" i="436" s="1"/>
  <c r="E314" i="436"/>
  <c r="E315" i="436" s="1"/>
  <c r="E316" i="436" s="1"/>
  <c r="E317" i="436" s="1"/>
  <c r="E312" i="436"/>
  <c r="E313" i="436" s="1"/>
  <c r="E310" i="436"/>
  <c r="E311" i="436" s="1"/>
  <c r="D309" i="436"/>
  <c r="D310" i="436" s="1"/>
  <c r="D311" i="436" s="1"/>
  <c r="E307" i="436"/>
  <c r="E308" i="436" s="1"/>
  <c r="E309" i="436" s="1"/>
  <c r="E303" i="436"/>
  <c r="E304" i="436" s="1"/>
  <c r="E305" i="436" s="1"/>
  <c r="E306" i="436" s="1"/>
  <c r="E301" i="436"/>
  <c r="E302" i="436" s="1"/>
  <c r="E299" i="436"/>
  <c r="E300" i="436" s="1"/>
  <c r="D298" i="436"/>
  <c r="D299" i="436" s="1"/>
  <c r="D300" i="436" s="1"/>
  <c r="D301" i="436" s="1"/>
  <c r="D302" i="436" s="1"/>
  <c r="D303" i="436" s="1"/>
  <c r="D304" i="436" s="1"/>
  <c r="D305" i="436" s="1"/>
  <c r="D306" i="436" s="1"/>
  <c r="D307" i="436" s="1"/>
  <c r="D308" i="436" s="1"/>
  <c r="E296" i="436"/>
  <c r="E297" i="436" s="1"/>
  <c r="E298" i="436" s="1"/>
  <c r="E292" i="436"/>
  <c r="E293" i="436" s="1"/>
  <c r="E294" i="436" s="1"/>
  <c r="E295" i="436" s="1"/>
  <c r="E290" i="436"/>
  <c r="E291" i="436" s="1"/>
  <c r="E288" i="436"/>
  <c r="E289" i="436" s="1"/>
  <c r="D287" i="436"/>
  <c r="D288" i="436" s="1"/>
  <c r="D289" i="436" s="1"/>
  <c r="D290" i="436" s="1"/>
  <c r="D291" i="436" s="1"/>
  <c r="D292" i="436" s="1"/>
  <c r="D293" i="436" s="1"/>
  <c r="D294" i="436" s="1"/>
  <c r="D295" i="436" s="1"/>
  <c r="D296" i="436" s="1"/>
  <c r="D297" i="436" s="1"/>
  <c r="C22" i="442"/>
  <c r="E279" i="436"/>
  <c r="E280" i="436" s="1"/>
  <c r="C21" i="442"/>
  <c r="E323" i="436"/>
  <c r="D271" i="436"/>
  <c r="D272" i="436" s="1"/>
  <c r="D273" i="436" s="1"/>
  <c r="D274" i="436" s="1"/>
  <c r="C20" i="442"/>
  <c r="C16" i="442"/>
  <c r="C15" i="442"/>
  <c r="C18" i="442"/>
  <c r="C19" i="442"/>
  <c r="C17" i="442"/>
  <c r="C14" i="442"/>
  <c r="C13" i="442"/>
  <c r="E270" i="436" l="1"/>
  <c r="D312" i="436"/>
  <c r="D313" i="436" s="1"/>
  <c r="D314" i="436" s="1"/>
  <c r="D315" i="436" s="1"/>
  <c r="D316" i="436" s="1"/>
  <c r="D317" i="436" s="1"/>
  <c r="D318" i="436" l="1"/>
  <c r="D319" i="436" s="1"/>
  <c r="D321" i="436" s="1"/>
  <c r="D322" i="436" s="1"/>
  <c r="N665" i="436" l="1"/>
  <c r="N651" i="436"/>
  <c r="N650" i="436"/>
  <c r="N622" i="436" l="1"/>
  <c r="N623" i="436"/>
  <c r="N679" i="436"/>
  <c r="N664" i="436"/>
  <c r="N608" i="436"/>
  <c r="N637" i="436" l="1"/>
  <c r="N636" i="436"/>
  <c r="N678" i="436" l="1"/>
  <c r="N706" i="436" l="1"/>
  <c r="B9" i="442"/>
  <c r="B8" i="442"/>
  <c r="B7" i="442"/>
  <c r="B6" i="442"/>
  <c r="B5" i="442"/>
  <c r="M1373" i="436" s="1"/>
  <c r="B4" i="442"/>
  <c r="B3" i="442"/>
  <c r="B2" i="442"/>
  <c r="H5" i="441"/>
  <c r="H3" i="441"/>
  <c r="G10" i="441"/>
  <c r="G9" i="441"/>
  <c r="G15" i="441" s="1"/>
  <c r="L266" i="436" s="1"/>
  <c r="N266" i="436" s="1"/>
  <c r="G8" i="441"/>
  <c r="G7" i="441"/>
  <c r="G6" i="441"/>
  <c r="G5" i="441"/>
  <c r="G4" i="441"/>
  <c r="G3" i="441"/>
  <c r="F10" i="441"/>
  <c r="F9" i="441"/>
  <c r="F15" i="441" s="1"/>
  <c r="L258" i="436" s="1"/>
  <c r="N258" i="436" s="1"/>
  <c r="F8" i="441"/>
  <c r="F7" i="441"/>
  <c r="F6" i="441"/>
  <c r="F5" i="441"/>
  <c r="F4" i="441"/>
  <c r="F3" i="441"/>
  <c r="E10" i="441"/>
  <c r="E9" i="441"/>
  <c r="E15" i="441" s="1"/>
  <c r="L250" i="436" s="1"/>
  <c r="N250" i="436" s="1"/>
  <c r="E8" i="441"/>
  <c r="E7" i="441"/>
  <c r="E6" i="441"/>
  <c r="E5" i="441"/>
  <c r="E4" i="441"/>
  <c r="E3" i="441"/>
  <c r="D10" i="441"/>
  <c r="D9" i="441"/>
  <c r="D15" i="441" s="1"/>
  <c r="L242" i="436" s="1"/>
  <c r="N242" i="436" s="1"/>
  <c r="D8" i="441"/>
  <c r="D7" i="441"/>
  <c r="D6" i="441"/>
  <c r="D5" i="441"/>
  <c r="D4" i="441"/>
  <c r="D3" i="441"/>
  <c r="C10" i="441"/>
  <c r="C9" i="441"/>
  <c r="C15" i="441" s="1"/>
  <c r="L234" i="436" s="1"/>
  <c r="N234" i="436" s="1"/>
  <c r="C8" i="441"/>
  <c r="C7" i="441"/>
  <c r="C6" i="441"/>
  <c r="C5" i="441"/>
  <c r="C4" i="441"/>
  <c r="C3" i="441"/>
  <c r="B10" i="441"/>
  <c r="B9" i="441"/>
  <c r="B15" i="441" s="1"/>
  <c r="L226" i="436" s="1"/>
  <c r="N226" i="436" s="1"/>
  <c r="B8" i="441"/>
  <c r="B7" i="441"/>
  <c r="B6" i="441"/>
  <c r="B5" i="441"/>
  <c r="B4" i="441"/>
  <c r="B3" i="441"/>
  <c r="L74" i="436"/>
  <c r="B73" i="401"/>
  <c r="J66" i="401"/>
  <c r="J67" i="401"/>
  <c r="J65" i="401"/>
  <c r="J63" i="401"/>
  <c r="J60" i="401"/>
  <c r="J58" i="401"/>
  <c r="J55" i="401"/>
  <c r="J51" i="401"/>
  <c r="J50" i="401"/>
  <c r="J46" i="401"/>
  <c r="J45" i="401"/>
  <c r="J43" i="401"/>
  <c r="J40" i="401"/>
  <c r="J10" i="401"/>
  <c r="P53" i="401"/>
  <c r="N53" i="401"/>
  <c r="N49" i="401" s="1"/>
  <c r="H61" i="401"/>
  <c r="G61" i="401"/>
  <c r="F61" i="401"/>
  <c r="E61" i="401"/>
  <c r="C61" i="401"/>
  <c r="B61" i="401"/>
  <c r="B62" i="401"/>
  <c r="E62" i="401"/>
  <c r="D62" i="401"/>
  <c r="C62" i="401"/>
  <c r="F57" i="401"/>
  <c r="E57" i="401"/>
  <c r="D57" i="401"/>
  <c r="C57" i="401"/>
  <c r="L64" i="401"/>
  <c r="L59" i="401"/>
  <c r="L54" i="401"/>
  <c r="L49" i="401"/>
  <c r="L44" i="401"/>
  <c r="L39" i="401"/>
  <c r="L34" i="401"/>
  <c r="L29" i="401"/>
  <c r="L23" i="401"/>
  <c r="L18" i="401"/>
  <c r="L13" i="401"/>
  <c r="L28" i="401" s="1"/>
  <c r="L8" i="401"/>
  <c r="L69" i="401" s="1"/>
  <c r="O64" i="401"/>
  <c r="O59" i="401"/>
  <c r="O54" i="401"/>
  <c r="O49" i="401"/>
  <c r="O44" i="401"/>
  <c r="O39" i="401"/>
  <c r="O34" i="401"/>
  <c r="O29" i="401"/>
  <c r="O23" i="401"/>
  <c r="O18" i="401"/>
  <c r="O13" i="401"/>
  <c r="O28" i="401" s="1"/>
  <c r="O8" i="401"/>
  <c r="F56" i="401"/>
  <c r="E56" i="401"/>
  <c r="C56" i="401"/>
  <c r="J56" i="401" s="1"/>
  <c r="D53" i="401"/>
  <c r="C53" i="401"/>
  <c r="E52" i="401"/>
  <c r="D52" i="401"/>
  <c r="C52" i="401"/>
  <c r="M12" i="401"/>
  <c r="N17" i="401"/>
  <c r="N13" i="401" s="1"/>
  <c r="N22" i="401"/>
  <c r="N18" i="401" s="1"/>
  <c r="N27" i="401"/>
  <c r="N23" i="401" s="1"/>
  <c r="M27" i="401"/>
  <c r="N64" i="401"/>
  <c r="N59" i="401"/>
  <c r="N54" i="401"/>
  <c r="N44" i="401"/>
  <c r="N39" i="401"/>
  <c r="N34" i="401"/>
  <c r="N29" i="401"/>
  <c r="N8" i="401"/>
  <c r="E47" i="401"/>
  <c r="D47" i="401"/>
  <c r="C47" i="401"/>
  <c r="D48" i="401"/>
  <c r="C48" i="401"/>
  <c r="J48" i="401" s="1"/>
  <c r="H36" i="401"/>
  <c r="H35" i="401"/>
  <c r="H31" i="401"/>
  <c r="H30" i="401"/>
  <c r="H27" i="401"/>
  <c r="H25" i="401"/>
  <c r="H24" i="401"/>
  <c r="H22" i="401"/>
  <c r="H20" i="401"/>
  <c r="H19" i="401"/>
  <c r="G36" i="401"/>
  <c r="G35" i="401"/>
  <c r="G31" i="401"/>
  <c r="G30" i="401"/>
  <c r="G27" i="401"/>
  <c r="G25" i="401"/>
  <c r="G24" i="401"/>
  <c r="G22" i="401"/>
  <c r="G20" i="401"/>
  <c r="G19" i="401"/>
  <c r="F36" i="401"/>
  <c r="F35" i="401"/>
  <c r="F32" i="401"/>
  <c r="F31" i="401"/>
  <c r="F30" i="401"/>
  <c r="F27" i="401"/>
  <c r="F26" i="401"/>
  <c r="F25" i="401"/>
  <c r="F24" i="401"/>
  <c r="F22" i="401"/>
  <c r="F20" i="401"/>
  <c r="F19" i="401"/>
  <c r="E37" i="401"/>
  <c r="E36" i="401"/>
  <c r="E32" i="401"/>
  <c r="E31" i="401"/>
  <c r="E27" i="401"/>
  <c r="E26" i="401"/>
  <c r="E25" i="401"/>
  <c r="E22" i="401"/>
  <c r="E21" i="401"/>
  <c r="E20" i="401"/>
  <c r="D37" i="401"/>
  <c r="D36" i="401"/>
  <c r="D32" i="401"/>
  <c r="D31" i="401"/>
  <c r="D27" i="401"/>
  <c r="D26" i="401"/>
  <c r="D25" i="401"/>
  <c r="D22" i="401"/>
  <c r="D21" i="401"/>
  <c r="D20" i="401"/>
  <c r="C38" i="401"/>
  <c r="J38" i="401" s="1"/>
  <c r="C37" i="401"/>
  <c r="C36" i="401"/>
  <c r="C35" i="401"/>
  <c r="C33" i="401"/>
  <c r="J33" i="401" s="1"/>
  <c r="C32" i="401"/>
  <c r="C31" i="401"/>
  <c r="C30" i="401"/>
  <c r="C27" i="401"/>
  <c r="C26" i="401"/>
  <c r="C25" i="401"/>
  <c r="C24" i="401"/>
  <c r="C22" i="401"/>
  <c r="C21" i="401"/>
  <c r="C20" i="401"/>
  <c r="C19" i="401"/>
  <c r="B36" i="401"/>
  <c r="B35" i="401"/>
  <c r="B31" i="401"/>
  <c r="B30" i="401"/>
  <c r="B27" i="401"/>
  <c r="B25" i="401"/>
  <c r="B24" i="401"/>
  <c r="B22" i="401"/>
  <c r="B20" i="401"/>
  <c r="B19" i="401"/>
  <c r="E42" i="401"/>
  <c r="E41" i="401"/>
  <c r="D42" i="401"/>
  <c r="D41" i="401"/>
  <c r="C42" i="401"/>
  <c r="C41" i="401"/>
  <c r="P41" i="401"/>
  <c r="B72" i="401" s="1"/>
  <c r="M41" i="401"/>
  <c r="P36" i="401"/>
  <c r="M36" i="401"/>
  <c r="P35" i="401"/>
  <c r="M35" i="401"/>
  <c r="P31" i="401"/>
  <c r="M31" i="401"/>
  <c r="P30" i="401"/>
  <c r="M30" i="401"/>
  <c r="P27" i="401"/>
  <c r="P26" i="401"/>
  <c r="P25" i="401"/>
  <c r="M25" i="401"/>
  <c r="P24" i="401"/>
  <c r="M24" i="401"/>
  <c r="P22" i="401"/>
  <c r="P20" i="401"/>
  <c r="M20" i="401"/>
  <c r="P19" i="401"/>
  <c r="M19" i="401"/>
  <c r="P17" i="401"/>
  <c r="P12" i="401"/>
  <c r="H17" i="401"/>
  <c r="H15" i="401"/>
  <c r="H14" i="401"/>
  <c r="G17" i="401"/>
  <c r="G15" i="401"/>
  <c r="G14" i="401"/>
  <c r="F17" i="401"/>
  <c r="F16" i="401"/>
  <c r="F15" i="401"/>
  <c r="F14" i="401"/>
  <c r="E17" i="401"/>
  <c r="E16" i="401"/>
  <c r="E15" i="401"/>
  <c r="D17" i="401"/>
  <c r="D16" i="401"/>
  <c r="D15" i="401"/>
  <c r="C17" i="401"/>
  <c r="C16" i="401"/>
  <c r="J16" i="401" s="1"/>
  <c r="C15" i="401"/>
  <c r="C14" i="401"/>
  <c r="B17" i="401"/>
  <c r="B15" i="401"/>
  <c r="B14" i="401"/>
  <c r="P15" i="401"/>
  <c r="M15" i="401"/>
  <c r="P14" i="401"/>
  <c r="M14" i="401"/>
  <c r="H12" i="401"/>
  <c r="G12" i="401"/>
  <c r="F12" i="401"/>
  <c r="E12" i="401"/>
  <c r="D12" i="401"/>
  <c r="C12" i="401"/>
  <c r="B12" i="401"/>
  <c r="F11" i="401"/>
  <c r="E11" i="401"/>
  <c r="D11" i="401"/>
  <c r="C11" i="401"/>
  <c r="N223" i="436" l="1"/>
  <c r="E74" i="442"/>
  <c r="E84" i="442"/>
  <c r="N1206" i="436" s="1"/>
  <c r="E75" i="442"/>
  <c r="E68" i="442"/>
  <c r="N1078" i="436" s="1"/>
  <c r="E67" i="442"/>
  <c r="E71" i="442"/>
  <c r="N1080" i="436" s="1"/>
  <c r="E70" i="442"/>
  <c r="E69" i="442"/>
  <c r="F74" i="442"/>
  <c r="N1099" i="436" s="1"/>
  <c r="F67" i="442"/>
  <c r="F68" i="442"/>
  <c r="N1095" i="436" s="1"/>
  <c r="F84" i="442"/>
  <c r="N1216" i="436" s="1"/>
  <c r="F75" i="442"/>
  <c r="F71" i="442"/>
  <c r="N1097" i="436" s="1"/>
  <c r="F70" i="442"/>
  <c r="F69" i="442"/>
  <c r="G63" i="442"/>
  <c r="G69" i="442"/>
  <c r="G73" i="442"/>
  <c r="G75" i="442"/>
  <c r="G72" i="442"/>
  <c r="G71" i="442"/>
  <c r="N1113" i="436" s="1"/>
  <c r="G84" i="442"/>
  <c r="N1231" i="436" s="1"/>
  <c r="H69" i="442"/>
  <c r="H71" i="442"/>
  <c r="N1131" i="436" s="1"/>
  <c r="H73" i="442"/>
  <c r="H75" i="442"/>
  <c r="H72" i="442"/>
  <c r="H84" i="442"/>
  <c r="N1250" i="436" s="1"/>
  <c r="I73" i="442"/>
  <c r="I69" i="442"/>
  <c r="I71" i="442"/>
  <c r="N1147" i="436" s="1"/>
  <c r="I84" i="442"/>
  <c r="L1273" i="436" s="1"/>
  <c r="N1273" i="436" s="1"/>
  <c r="I72" i="442"/>
  <c r="I75" i="442"/>
  <c r="J73" i="442"/>
  <c r="J69" i="442"/>
  <c r="J75" i="442"/>
  <c r="J71" i="442"/>
  <c r="N1161" i="436" s="1"/>
  <c r="J84" i="442"/>
  <c r="J72" i="442"/>
  <c r="K75" i="442"/>
  <c r="K69" i="442"/>
  <c r="K72" i="442"/>
  <c r="K71" i="442"/>
  <c r="N1176" i="436" s="1"/>
  <c r="D71" i="442"/>
  <c r="N1061" i="436" s="1"/>
  <c r="D67" i="442"/>
  <c r="D68" i="442"/>
  <c r="D75" i="442"/>
  <c r="D69" i="442"/>
  <c r="D74" i="442"/>
  <c r="D60" i="442"/>
  <c r="D84" i="442"/>
  <c r="N1195" i="436" s="1"/>
  <c r="D70" i="442"/>
  <c r="E45" i="442"/>
  <c r="F45" i="442"/>
  <c r="G59" i="442"/>
  <c r="G62" i="442"/>
  <c r="H58" i="442"/>
  <c r="H62" i="442"/>
  <c r="I58" i="442"/>
  <c r="I62" i="442"/>
  <c r="J58" i="442"/>
  <c r="J62" i="442"/>
  <c r="D45" i="442"/>
  <c r="C6" i="442"/>
  <c r="H36" i="442"/>
  <c r="H37" i="442"/>
  <c r="H34" i="442"/>
  <c r="N808" i="436" s="1"/>
  <c r="H35" i="442"/>
  <c r="H33" i="442"/>
  <c r="N809" i="436" s="1"/>
  <c r="H40" i="442"/>
  <c r="H28" i="442"/>
  <c r="H26" i="442"/>
  <c r="H27" i="442"/>
  <c r="C7" i="442"/>
  <c r="I35" i="442"/>
  <c r="I34" i="442"/>
  <c r="N825" i="436" s="1"/>
  <c r="I33" i="442"/>
  <c r="N826" i="436" s="1"/>
  <c r="I40" i="442"/>
  <c r="I37" i="442"/>
  <c r="I36" i="442"/>
  <c r="I28" i="442"/>
  <c r="I26" i="442"/>
  <c r="I27" i="442"/>
  <c r="C9" i="442"/>
  <c r="K35" i="442"/>
  <c r="K34" i="442"/>
  <c r="K44" i="442"/>
  <c r="K51" i="442"/>
  <c r="K36" i="442"/>
  <c r="K53" i="442"/>
  <c r="K33" i="442"/>
  <c r="N858" i="436" s="1"/>
  <c r="C4" i="442"/>
  <c r="F35" i="442"/>
  <c r="F53" i="442"/>
  <c r="F34" i="442"/>
  <c r="N779" i="436" s="1"/>
  <c r="F40" i="442"/>
  <c r="F44" i="442"/>
  <c r="F36" i="442"/>
  <c r="F56" i="442"/>
  <c r="F33" i="442"/>
  <c r="N780" i="436" s="1"/>
  <c r="C8" i="442"/>
  <c r="J33" i="442"/>
  <c r="N842" i="436" s="1"/>
  <c r="J35" i="442"/>
  <c r="J36" i="442"/>
  <c r="J37" i="442"/>
  <c r="J40" i="442"/>
  <c r="J34" i="442"/>
  <c r="J29" i="442"/>
  <c r="J26" i="442"/>
  <c r="J30" i="442"/>
  <c r="J27" i="442"/>
  <c r="J28" i="442"/>
  <c r="C2" i="442"/>
  <c r="D35" i="442"/>
  <c r="D34" i="442"/>
  <c r="N750" i="436" s="1"/>
  <c r="D53" i="442"/>
  <c r="D39" i="442"/>
  <c r="D36" i="442"/>
  <c r="D44" i="442"/>
  <c r="D33" i="442"/>
  <c r="N751" i="436" s="1"/>
  <c r="D40" i="442"/>
  <c r="D56" i="442"/>
  <c r="D51" i="442"/>
  <c r="N915" i="436" s="1"/>
  <c r="C3" i="442"/>
  <c r="E33" i="442"/>
  <c r="N767" i="436" s="1"/>
  <c r="E35" i="442"/>
  <c r="E34" i="442"/>
  <c r="N766" i="436" s="1"/>
  <c r="E36" i="442"/>
  <c r="E56" i="442"/>
  <c r="E44" i="442"/>
  <c r="G33" i="442"/>
  <c r="N793" i="436" s="1"/>
  <c r="G35" i="442"/>
  <c r="G36" i="442"/>
  <c r="G38" i="442"/>
  <c r="G40" i="442"/>
  <c r="G34" i="442"/>
  <c r="N792" i="436" s="1"/>
  <c r="G27" i="442"/>
  <c r="C5" i="442"/>
  <c r="K30" i="442"/>
  <c r="K26" i="442"/>
  <c r="K28" i="442"/>
  <c r="D25" i="442"/>
  <c r="D26" i="442"/>
  <c r="E21" i="442"/>
  <c r="N291" i="436" s="1"/>
  <c r="E22" i="442"/>
  <c r="N295" i="436" s="1"/>
  <c r="E13" i="442"/>
  <c r="D22" i="442"/>
  <c r="D21" i="442"/>
  <c r="N280" i="436" s="1"/>
  <c r="F22" i="442"/>
  <c r="N306" i="436" s="1"/>
  <c r="F13" i="442"/>
  <c r="F19" i="442"/>
  <c r="N304" i="436" s="1"/>
  <c r="F15" i="442"/>
  <c r="F17" i="442"/>
  <c r="F14" i="442"/>
  <c r="F21" i="442"/>
  <c r="N302" i="436" s="1"/>
  <c r="F20" i="442"/>
  <c r="N305" i="436" s="1"/>
  <c r="H21" i="442"/>
  <c r="N322" i="436" s="1"/>
  <c r="H18" i="442"/>
  <c r="I18" i="442"/>
  <c r="I21" i="442"/>
  <c r="N325" i="436" s="1"/>
  <c r="G30" i="442"/>
  <c r="G28" i="442"/>
  <c r="G29" i="442"/>
  <c r="G26" i="442"/>
  <c r="G13" i="442"/>
  <c r="G14" i="442"/>
  <c r="G22" i="442"/>
  <c r="G15" i="442"/>
  <c r="G19" i="442"/>
  <c r="N315" i="436" s="1"/>
  <c r="G17" i="442"/>
  <c r="G21" i="442"/>
  <c r="G18" i="442"/>
  <c r="G16" i="442"/>
  <c r="G20" i="442"/>
  <c r="N316" i="436" s="1"/>
  <c r="J18" i="442"/>
  <c r="J21" i="442"/>
  <c r="L328" i="436" s="1"/>
  <c r="N328" i="436" s="1"/>
  <c r="E72" i="401"/>
  <c r="J32" i="401"/>
  <c r="J53" i="401"/>
  <c r="J62" i="401"/>
  <c r="J36" i="401"/>
  <c r="N28" i="401"/>
  <c r="J19" i="401"/>
  <c r="J35" i="401"/>
  <c r="J26" i="401"/>
  <c r="J37" i="401"/>
  <c r="J52" i="401"/>
  <c r="J25" i="401"/>
  <c r="J11" i="401"/>
  <c r="J12" i="401"/>
  <c r="J15" i="401"/>
  <c r="J42" i="401"/>
  <c r="J27" i="401"/>
  <c r="J22" i="401"/>
  <c r="J21" i="401"/>
  <c r="J14" i="401"/>
  <c r="J17" i="401"/>
  <c r="J41" i="401"/>
  <c r="J30" i="401"/>
  <c r="J31" i="401"/>
  <c r="J20" i="401"/>
  <c r="J47" i="401"/>
  <c r="J57" i="401"/>
  <c r="J61" i="401"/>
  <c r="J24" i="401"/>
  <c r="E14" i="442"/>
  <c r="E17" i="442"/>
  <c r="E19" i="442"/>
  <c r="N293" i="436" s="1"/>
  <c r="E15" i="442"/>
  <c r="E20" i="442"/>
  <c r="N294" i="436" s="1"/>
  <c r="D14" i="442"/>
  <c r="D17" i="442"/>
  <c r="D19" i="442"/>
  <c r="D20" i="442"/>
  <c r="D15" i="442"/>
  <c r="D13" i="442"/>
  <c r="N278" i="436" s="1"/>
  <c r="H9" i="401"/>
  <c r="G9" i="401"/>
  <c r="F9" i="401"/>
  <c r="C9" i="401"/>
  <c r="B9" i="401"/>
  <c r="P9" i="401"/>
  <c r="E71" i="401" s="1"/>
  <c r="M9" i="401"/>
  <c r="C3" i="211"/>
  <c r="C2" i="211"/>
  <c r="C1" i="211"/>
  <c r="E4" i="401"/>
  <c r="E2" i="401"/>
  <c r="E1" i="401"/>
  <c r="L52" i="436"/>
  <c r="L49" i="436"/>
  <c r="L50" i="436" s="1"/>
  <c r="L38" i="436"/>
  <c r="M29" i="211"/>
  <c r="L29" i="211"/>
  <c r="L47" i="436"/>
  <c r="L46" i="436"/>
  <c r="L45" i="436"/>
  <c r="L44" i="436"/>
  <c r="L43" i="436"/>
  <c r="L42" i="436"/>
  <c r="L41" i="436"/>
  <c r="L40" i="436"/>
  <c r="L35" i="436"/>
  <c r="L33" i="436"/>
  <c r="L32" i="436"/>
  <c r="L31" i="436"/>
  <c r="L29" i="436"/>
  <c r="L27" i="436"/>
  <c r="N27" i="436" s="1"/>
  <c r="L26" i="436"/>
  <c r="N26" i="436" s="1"/>
  <c r="L25" i="436"/>
  <c r="L24" i="436"/>
  <c r="L20" i="436"/>
  <c r="L19" i="436"/>
  <c r="L17" i="436"/>
  <c r="L16" i="436"/>
  <c r="L14" i="436"/>
  <c r="L13" i="436"/>
  <c r="G29" i="211"/>
  <c r="H29" i="211"/>
  <c r="I29" i="211"/>
  <c r="J29" i="211"/>
  <c r="E29" i="211"/>
  <c r="F29" i="211"/>
  <c r="K29" i="211"/>
  <c r="D29" i="211"/>
  <c r="G28" i="211"/>
  <c r="F28" i="211"/>
  <c r="E28" i="211"/>
  <c r="D28" i="211"/>
  <c r="M27" i="211"/>
  <c r="L27" i="211"/>
  <c r="I26" i="211"/>
  <c r="F26" i="211"/>
  <c r="E26" i="211"/>
  <c r="D26" i="211"/>
  <c r="H24" i="211"/>
  <c r="F24" i="211"/>
  <c r="D24" i="211"/>
  <c r="Q156" i="438"/>
  <c r="Q155" i="438"/>
  <c r="F155" i="438"/>
  <c r="E155" i="438"/>
  <c r="K22" i="211"/>
  <c r="I22" i="211"/>
  <c r="H22" i="211"/>
  <c r="G22" i="211"/>
  <c r="F22" i="211"/>
  <c r="E22" i="211"/>
  <c r="D22" i="211"/>
  <c r="M21" i="211"/>
  <c r="L21" i="211"/>
  <c r="K20" i="211"/>
  <c r="I20" i="211"/>
  <c r="H20" i="211"/>
  <c r="G20" i="211"/>
  <c r="F20" i="211"/>
  <c r="E20" i="211"/>
  <c r="D20" i="211"/>
  <c r="M19" i="211"/>
  <c r="L19" i="211"/>
  <c r="M17" i="211"/>
  <c r="L17" i="211"/>
  <c r="K18" i="211"/>
  <c r="I18" i="211"/>
  <c r="H18" i="211"/>
  <c r="G18" i="211"/>
  <c r="F18" i="211"/>
  <c r="E18" i="211"/>
  <c r="D18" i="211"/>
  <c r="G123" i="438"/>
  <c r="U123" i="438" s="1"/>
  <c r="G121" i="438"/>
  <c r="U121" i="438" s="1"/>
  <c r="G118" i="438"/>
  <c r="U118" i="438" s="1"/>
  <c r="G117" i="438"/>
  <c r="U117" i="438" s="1"/>
  <c r="G112" i="438"/>
  <c r="U112" i="438" s="1"/>
  <c r="U124" i="438"/>
  <c r="S124" i="438"/>
  <c r="T124" i="438" s="1"/>
  <c r="M124" i="438"/>
  <c r="R124" i="438" s="1"/>
  <c r="J124" i="438"/>
  <c r="L124" i="438" s="1"/>
  <c r="J123" i="438"/>
  <c r="U122" i="438"/>
  <c r="S122" i="438"/>
  <c r="T122" i="438" s="1"/>
  <c r="M122" i="438"/>
  <c r="R122" i="438" s="1"/>
  <c r="J122" i="438"/>
  <c r="L122" i="438" s="1"/>
  <c r="J121" i="438"/>
  <c r="U120" i="438"/>
  <c r="S120" i="438"/>
  <c r="T120" i="438" s="1"/>
  <c r="M120" i="438"/>
  <c r="R120" i="438" s="1"/>
  <c r="J120" i="438"/>
  <c r="L120" i="438" s="1"/>
  <c r="U119" i="438"/>
  <c r="S119" i="438"/>
  <c r="T119" i="438" s="1"/>
  <c r="M119" i="438"/>
  <c r="R119" i="438" s="1"/>
  <c r="J119" i="438"/>
  <c r="L119" i="438" s="1"/>
  <c r="J118" i="438"/>
  <c r="M117" i="438"/>
  <c r="R117" i="438" s="1"/>
  <c r="J117" i="438"/>
  <c r="U116" i="438"/>
  <c r="S116" i="438"/>
  <c r="T116" i="438" s="1"/>
  <c r="M116" i="438"/>
  <c r="R116" i="438" s="1"/>
  <c r="J116" i="438"/>
  <c r="L116" i="438" s="1"/>
  <c r="U115" i="438"/>
  <c r="S115" i="438"/>
  <c r="T115" i="438" s="1"/>
  <c r="M115" i="438"/>
  <c r="R115" i="438" s="1"/>
  <c r="L115" i="438"/>
  <c r="N115" i="438" s="1"/>
  <c r="O115" i="438" s="1"/>
  <c r="J115" i="438"/>
  <c r="U114" i="438"/>
  <c r="S114" i="438"/>
  <c r="T114" i="438" s="1"/>
  <c r="M114" i="438"/>
  <c r="R114" i="438" s="1"/>
  <c r="J114" i="438"/>
  <c r="L114" i="438" s="1"/>
  <c r="U113" i="438"/>
  <c r="S113" i="438"/>
  <c r="T113" i="438" s="1"/>
  <c r="M113" i="438"/>
  <c r="R113" i="438" s="1"/>
  <c r="J113" i="438"/>
  <c r="L113" i="438" s="1"/>
  <c r="M112" i="438"/>
  <c r="R112" i="438" s="1"/>
  <c r="J112" i="438"/>
  <c r="L112" i="438" s="1"/>
  <c r="U111" i="438"/>
  <c r="S111" i="438"/>
  <c r="T111" i="438" s="1"/>
  <c r="M111" i="438"/>
  <c r="R111" i="438" s="1"/>
  <c r="J111" i="438"/>
  <c r="L111" i="438" s="1"/>
  <c r="H106" i="438"/>
  <c r="S106" i="438" s="1"/>
  <c r="T106" i="438" s="1"/>
  <c r="G101" i="438"/>
  <c r="M101" i="438" s="1"/>
  <c r="R101" i="438" s="1"/>
  <c r="G100" i="438"/>
  <c r="M100" i="438" s="1"/>
  <c r="R100" i="438" s="1"/>
  <c r="G99" i="438"/>
  <c r="U99" i="438" s="1"/>
  <c r="U110" i="438"/>
  <c r="S110" i="438"/>
  <c r="T110" i="438" s="1"/>
  <c r="M110" i="438"/>
  <c r="R110" i="438" s="1"/>
  <c r="J110" i="438"/>
  <c r="L110" i="438" s="1"/>
  <c r="U109" i="438"/>
  <c r="S109" i="438"/>
  <c r="T109" i="438" s="1"/>
  <c r="M109" i="438"/>
  <c r="R109" i="438" s="1"/>
  <c r="J109" i="438"/>
  <c r="L109" i="438" s="1"/>
  <c r="U108" i="438"/>
  <c r="S108" i="438"/>
  <c r="T108" i="438" s="1"/>
  <c r="M108" i="438"/>
  <c r="R108" i="438" s="1"/>
  <c r="J108" i="438"/>
  <c r="L108" i="438" s="1"/>
  <c r="U107" i="438"/>
  <c r="S107" i="438"/>
  <c r="T107" i="438" s="1"/>
  <c r="M107" i="438"/>
  <c r="R107" i="438" s="1"/>
  <c r="J107" i="438"/>
  <c r="L107" i="438" s="1"/>
  <c r="M106" i="438"/>
  <c r="R106" i="438" s="1"/>
  <c r="J106" i="438"/>
  <c r="L106" i="438" s="1"/>
  <c r="U105" i="438"/>
  <c r="S105" i="438"/>
  <c r="T105" i="438" s="1"/>
  <c r="M105" i="438"/>
  <c r="R105" i="438" s="1"/>
  <c r="J105" i="438"/>
  <c r="L105" i="438" s="1"/>
  <c r="U104" i="438"/>
  <c r="S104" i="438"/>
  <c r="T104" i="438" s="1"/>
  <c r="M104" i="438"/>
  <c r="R104" i="438" s="1"/>
  <c r="J104" i="438"/>
  <c r="L104" i="438" s="1"/>
  <c r="U103" i="438"/>
  <c r="S103" i="438"/>
  <c r="T103" i="438" s="1"/>
  <c r="M103" i="438"/>
  <c r="R103" i="438" s="1"/>
  <c r="J103" i="438"/>
  <c r="L103" i="438" s="1"/>
  <c r="J101" i="438"/>
  <c r="U100" i="438"/>
  <c r="J100" i="438"/>
  <c r="J99" i="438"/>
  <c r="U98" i="438"/>
  <c r="S98" i="438"/>
  <c r="T98" i="438" s="1"/>
  <c r="M98" i="438"/>
  <c r="R98" i="438" s="1"/>
  <c r="J98" i="438"/>
  <c r="L98" i="438" s="1"/>
  <c r="F88" i="438"/>
  <c r="G86" i="438"/>
  <c r="G84" i="438"/>
  <c r="G81" i="438"/>
  <c r="K16" i="211"/>
  <c r="J16" i="211"/>
  <c r="I16" i="211"/>
  <c r="H16" i="211"/>
  <c r="G16" i="211"/>
  <c r="F16" i="211"/>
  <c r="E16" i="211"/>
  <c r="D16" i="211"/>
  <c r="M15" i="211"/>
  <c r="L15" i="211"/>
  <c r="K14" i="211"/>
  <c r="J14" i="211"/>
  <c r="I14" i="211"/>
  <c r="H14" i="211"/>
  <c r="G14" i="211"/>
  <c r="F14" i="211"/>
  <c r="E14" i="211"/>
  <c r="D14" i="211"/>
  <c r="M13" i="211"/>
  <c r="L13" i="211"/>
  <c r="K12" i="211"/>
  <c r="J12" i="211"/>
  <c r="G12" i="211"/>
  <c r="F12" i="211"/>
  <c r="M11" i="211"/>
  <c r="L11" i="211"/>
  <c r="M9" i="211"/>
  <c r="L9" i="211"/>
  <c r="M7" i="211"/>
  <c r="L7" i="211"/>
  <c r="K10" i="211"/>
  <c r="J10" i="211"/>
  <c r="I10" i="211"/>
  <c r="H10" i="211"/>
  <c r="F10" i="211"/>
  <c r="E10" i="211"/>
  <c r="D10" i="211"/>
  <c r="K8" i="211"/>
  <c r="J8" i="211"/>
  <c r="I8" i="211"/>
  <c r="H8" i="211"/>
  <c r="G8" i="211"/>
  <c r="F8" i="211"/>
  <c r="E8" i="211"/>
  <c r="D8" i="211"/>
  <c r="I49" i="438"/>
  <c r="I48" i="438"/>
  <c r="F48" i="438"/>
  <c r="D48" i="438"/>
  <c r="I47" i="438"/>
  <c r="F47" i="438"/>
  <c r="D47" i="438"/>
  <c r="I33" i="438"/>
  <c r="U33" i="438" s="1"/>
  <c r="I32" i="438"/>
  <c r="S32" i="438" s="1"/>
  <c r="I30" i="438"/>
  <c r="S30" i="438" s="1"/>
  <c r="I29" i="438"/>
  <c r="U29" i="438" s="1"/>
  <c r="I28" i="438"/>
  <c r="S28" i="438" s="1"/>
  <c r="I27" i="438"/>
  <c r="U27" i="438" s="1"/>
  <c r="I26" i="438"/>
  <c r="U26" i="438" s="1"/>
  <c r="I25" i="438"/>
  <c r="U25" i="438" s="1"/>
  <c r="I24" i="438"/>
  <c r="S24" i="438" s="1"/>
  <c r="F45" i="438"/>
  <c r="E45" i="438"/>
  <c r="I43" i="438"/>
  <c r="F43" i="438"/>
  <c r="D43" i="438"/>
  <c r="I22" i="438"/>
  <c r="U22" i="438" s="1"/>
  <c r="I21" i="438"/>
  <c r="U21" i="438" s="1"/>
  <c r="M35" i="438"/>
  <c r="R35" i="438" s="1"/>
  <c r="U35" i="438"/>
  <c r="S34" i="438"/>
  <c r="M34" i="438"/>
  <c r="T34" i="438" s="1"/>
  <c r="U34" i="438"/>
  <c r="M33" i="438"/>
  <c r="R33" i="438" s="1"/>
  <c r="M32" i="438"/>
  <c r="R32" i="438" s="1"/>
  <c r="M30" i="438"/>
  <c r="M29" i="438"/>
  <c r="R29" i="438" s="1"/>
  <c r="M28" i="438"/>
  <c r="R28" i="438" s="1"/>
  <c r="M27" i="438"/>
  <c r="R27" i="438" s="1"/>
  <c r="M26" i="438"/>
  <c r="M25" i="438"/>
  <c r="R25" i="438" s="1"/>
  <c r="M24" i="438"/>
  <c r="R24" i="438" s="1"/>
  <c r="S22" i="438"/>
  <c r="M22" i="438"/>
  <c r="R22" i="438" s="1"/>
  <c r="M21" i="438"/>
  <c r="I19" i="438"/>
  <c r="I18" i="438"/>
  <c r="I17" i="438"/>
  <c r="I16" i="438"/>
  <c r="I15" i="438"/>
  <c r="O9" i="344"/>
  <c r="N9" i="344"/>
  <c r="N13" i="344" s="1"/>
  <c r="M9" i="344"/>
  <c r="C2" i="344"/>
  <c r="C3" i="344"/>
  <c r="C1" i="344"/>
  <c r="C13" i="344"/>
  <c r="G11" i="344"/>
  <c r="H11" i="344" s="1"/>
  <c r="F11" i="344"/>
  <c r="G10" i="344"/>
  <c r="H10" i="344" s="1"/>
  <c r="F10" i="344"/>
  <c r="N1044" i="436" l="1"/>
  <c r="N1035" i="436"/>
  <c r="N1058" i="436"/>
  <c r="N1129" i="436"/>
  <c r="N1105" i="436"/>
  <c r="N1018" i="436"/>
  <c r="N1154" i="436"/>
  <c r="N1145" i="436"/>
  <c r="N1107" i="436"/>
  <c r="N1025" i="436"/>
  <c r="N1016" i="436"/>
  <c r="N1164" i="436"/>
  <c r="N1148" i="436"/>
  <c r="N1156" i="436"/>
  <c r="N956" i="436"/>
  <c r="L964" i="436"/>
  <c r="N964" i="436" s="1"/>
  <c r="N917" i="436"/>
  <c r="L928" i="436"/>
  <c r="N928" i="436" s="1"/>
  <c r="N998" i="436"/>
  <c r="N932" i="436"/>
  <c r="N924" i="436"/>
  <c r="N1122" i="436"/>
  <c r="N1115" i="436"/>
  <c r="N1100" i="436"/>
  <c r="N1077" i="436"/>
  <c r="N937" i="436"/>
  <c r="N947" i="436"/>
  <c r="N996" i="436"/>
  <c r="N1005" i="436"/>
  <c r="N1072" i="436"/>
  <c r="N1064" i="436"/>
  <c r="N1177" i="436"/>
  <c r="N1182" i="436"/>
  <c r="N1162" i="436"/>
  <c r="N1133" i="436"/>
  <c r="N1125" i="436"/>
  <c r="N1117" i="436"/>
  <c r="N1069" i="436"/>
  <c r="N1059" i="436"/>
  <c r="N1150" i="436"/>
  <c r="N1157" i="436"/>
  <c r="N1134" i="436"/>
  <c r="N1123" i="436"/>
  <c r="N1114" i="436"/>
  <c r="N1083" i="436"/>
  <c r="N975" i="436"/>
  <c r="N985" i="436"/>
  <c r="L1073" i="436"/>
  <c r="N1073" i="436" s="1"/>
  <c r="N1065" i="436"/>
  <c r="N1178" i="436"/>
  <c r="L1183" i="436"/>
  <c r="N1183" i="436" s="1"/>
  <c r="N1149" i="436"/>
  <c r="N1155" i="436"/>
  <c r="N1132" i="436"/>
  <c r="N1111" i="436"/>
  <c r="N1121" i="436"/>
  <c r="N1094" i="436"/>
  <c r="N1104" i="436"/>
  <c r="N1037" i="436"/>
  <c r="N1163" i="436"/>
  <c r="N1082" i="436"/>
  <c r="N1180" i="436"/>
  <c r="L1184" i="436"/>
  <c r="N1184" i="436" s="1"/>
  <c r="N1102" i="436"/>
  <c r="N1085" i="436"/>
  <c r="L870" i="436"/>
  <c r="N870" i="436" s="1"/>
  <c r="N868" i="436"/>
  <c r="L416" i="436"/>
  <c r="N416" i="436" s="1"/>
  <c r="L911" i="436"/>
  <c r="N911" i="436" s="1"/>
  <c r="N909" i="436"/>
  <c r="N878" i="436"/>
  <c r="L880" i="436"/>
  <c r="N880" i="436" s="1"/>
  <c r="N873" i="436"/>
  <c r="L875" i="436"/>
  <c r="N875" i="436" s="1"/>
  <c r="N423" i="436"/>
  <c r="L429" i="436"/>
  <c r="N429" i="436" s="1"/>
  <c r="L854" i="436"/>
  <c r="N854" i="436" s="1"/>
  <c r="N847" i="436"/>
  <c r="L414" i="436"/>
  <c r="N414" i="436" s="1"/>
  <c r="N405" i="436"/>
  <c r="N812" i="436"/>
  <c r="L820" i="436"/>
  <c r="N820" i="436" s="1"/>
  <c r="L762" i="436"/>
  <c r="N762" i="436" s="1"/>
  <c r="N756" i="436"/>
  <c r="L373" i="436"/>
  <c r="N373" i="436" s="1"/>
  <c r="N367" i="436"/>
  <c r="L430" i="436"/>
  <c r="N430" i="436" s="1"/>
  <c r="N425" i="436"/>
  <c r="L804" i="436"/>
  <c r="N804" i="436" s="1"/>
  <c r="N798" i="436"/>
  <c r="L853" i="436"/>
  <c r="N853" i="436" s="1"/>
  <c r="N845" i="436"/>
  <c r="N783" i="436"/>
  <c r="L788" i="436"/>
  <c r="N788" i="436" s="1"/>
  <c r="L863" i="436"/>
  <c r="N863" i="436" s="1"/>
  <c r="N860" i="436"/>
  <c r="N758" i="436"/>
  <c r="L763" i="436"/>
  <c r="N763" i="436" s="1"/>
  <c r="N411" i="436"/>
  <c r="N782" i="436"/>
  <c r="L787" i="436"/>
  <c r="N787" i="436" s="1"/>
  <c r="N817" i="436"/>
  <c r="L822" i="436"/>
  <c r="N822" i="436" s="1"/>
  <c r="L374" i="436"/>
  <c r="N374" i="436" s="1"/>
  <c r="N369" i="436"/>
  <c r="L428" i="436"/>
  <c r="N428" i="436" s="1"/>
  <c r="N421" i="436"/>
  <c r="L372" i="436"/>
  <c r="N372" i="436" s="1"/>
  <c r="N365" i="436"/>
  <c r="N382" i="436"/>
  <c r="L389" i="436"/>
  <c r="N389" i="436" s="1"/>
  <c r="N811" i="436"/>
  <c r="L819" i="436"/>
  <c r="N819" i="436" s="1"/>
  <c r="L852" i="436"/>
  <c r="N852" i="436" s="1"/>
  <c r="N844" i="436"/>
  <c r="N397" i="436"/>
  <c r="L401" i="436"/>
  <c r="N401" i="436" s="1"/>
  <c r="N386" i="436"/>
  <c r="N378" i="436"/>
  <c r="L803" i="436"/>
  <c r="N803" i="436" s="1"/>
  <c r="N796" i="436"/>
  <c r="N770" i="436"/>
  <c r="L775" i="436"/>
  <c r="N775" i="436" s="1"/>
  <c r="N850" i="436"/>
  <c r="L855" i="436"/>
  <c r="N855" i="436" s="1"/>
  <c r="N785" i="436"/>
  <c r="L789" i="436"/>
  <c r="N789" i="436" s="1"/>
  <c r="L864" i="436"/>
  <c r="N864" i="436" s="1"/>
  <c r="N861" i="436"/>
  <c r="L399" i="436"/>
  <c r="N399" i="436" s="1"/>
  <c r="N393" i="436"/>
  <c r="L388" i="436"/>
  <c r="N388" i="436" s="1"/>
  <c r="N380" i="436"/>
  <c r="L760" i="436"/>
  <c r="N760" i="436" s="1"/>
  <c r="N753" i="436"/>
  <c r="C46" i="442"/>
  <c r="N335" i="436"/>
  <c r="L343" i="436"/>
  <c r="N343" i="436" s="1"/>
  <c r="L802" i="436"/>
  <c r="N802" i="436" s="1"/>
  <c r="N795" i="436"/>
  <c r="L400" i="436"/>
  <c r="N400" i="436" s="1"/>
  <c r="N395" i="436"/>
  <c r="N834" i="436"/>
  <c r="L839" i="436"/>
  <c r="N839" i="436" s="1"/>
  <c r="N769" i="436"/>
  <c r="L774" i="436"/>
  <c r="N774" i="436" s="1"/>
  <c r="L837" i="436"/>
  <c r="N837" i="436" s="1"/>
  <c r="N829" i="436"/>
  <c r="L805" i="436"/>
  <c r="N805" i="436" s="1"/>
  <c r="N800" i="436"/>
  <c r="L427" i="436"/>
  <c r="N427" i="436" s="1"/>
  <c r="N420" i="436"/>
  <c r="L761" i="436"/>
  <c r="N761" i="436" s="1"/>
  <c r="N754" i="436"/>
  <c r="L836" i="436"/>
  <c r="N836" i="436" s="1"/>
  <c r="N828" i="436"/>
  <c r="N341" i="436"/>
  <c r="N332" i="436"/>
  <c r="L371" i="436"/>
  <c r="N371" i="436" s="1"/>
  <c r="N364" i="436"/>
  <c r="L286" i="436"/>
  <c r="N317" i="436"/>
  <c r="N313" i="436"/>
  <c r="N300" i="436"/>
  <c r="N289" i="436"/>
  <c r="N319" i="436"/>
  <c r="N311" i="436"/>
  <c r="J9" i="401"/>
  <c r="S100" i="438"/>
  <c r="T100" i="438" s="1"/>
  <c r="S112" i="438"/>
  <c r="T112" i="438" s="1"/>
  <c r="L99" i="438"/>
  <c r="M99" i="438"/>
  <c r="R99" i="438" s="1"/>
  <c r="M123" i="438"/>
  <c r="R123" i="438" s="1"/>
  <c r="S123" i="438"/>
  <c r="T123" i="438" s="1"/>
  <c r="L123" i="438"/>
  <c r="N123" i="438" s="1"/>
  <c r="O123" i="438" s="1"/>
  <c r="L121" i="438"/>
  <c r="N121" i="438" s="1"/>
  <c r="O121" i="438" s="1"/>
  <c r="M121" i="438"/>
  <c r="R121" i="438" s="1"/>
  <c r="S121" i="438"/>
  <c r="T121" i="438" s="1"/>
  <c r="L118" i="438"/>
  <c r="N118" i="438" s="1"/>
  <c r="O118" i="438" s="1"/>
  <c r="M118" i="438"/>
  <c r="R118" i="438" s="1"/>
  <c r="S118" i="438"/>
  <c r="T118" i="438" s="1"/>
  <c r="L117" i="438"/>
  <c r="S117" i="438"/>
  <c r="T117" i="438" s="1"/>
  <c r="N119" i="438"/>
  <c r="O119" i="438" s="1"/>
  <c r="N122" i="438"/>
  <c r="O122" i="438" s="1"/>
  <c r="N114" i="438"/>
  <c r="O114" i="438" s="1"/>
  <c r="N116" i="438"/>
  <c r="O116" i="438" s="1"/>
  <c r="N111" i="438"/>
  <c r="O111" i="438" s="1"/>
  <c r="N112" i="438"/>
  <c r="O112" i="438" s="1"/>
  <c r="N124" i="438"/>
  <c r="O124" i="438" s="1"/>
  <c r="N120" i="438"/>
  <c r="O120" i="438" s="1"/>
  <c r="N117" i="438"/>
  <c r="O117" i="438" s="1"/>
  <c r="N113" i="438"/>
  <c r="O113" i="438" s="1"/>
  <c r="L101" i="438"/>
  <c r="U106" i="438"/>
  <c r="N109" i="438"/>
  <c r="O109" i="438" s="1"/>
  <c r="S101" i="438"/>
  <c r="T101" i="438" s="1"/>
  <c r="U101" i="438"/>
  <c r="N101" i="438" s="1"/>
  <c r="O101" i="438" s="1"/>
  <c r="L100" i="438"/>
  <c r="N100" i="438" s="1"/>
  <c r="O100" i="438" s="1"/>
  <c r="S99" i="438"/>
  <c r="T99" i="438" s="1"/>
  <c r="N98" i="438"/>
  <c r="O98" i="438" s="1"/>
  <c r="N106" i="438"/>
  <c r="O106" i="438" s="1"/>
  <c r="N103" i="438"/>
  <c r="O103" i="438" s="1"/>
  <c r="N108" i="438"/>
  <c r="O108" i="438" s="1"/>
  <c r="N99" i="438"/>
  <c r="O99" i="438" s="1"/>
  <c r="N104" i="438"/>
  <c r="O104" i="438" s="1"/>
  <c r="N107" i="438"/>
  <c r="O107" i="438" s="1"/>
  <c r="N110" i="438"/>
  <c r="O110" i="438" s="1"/>
  <c r="N105" i="438"/>
  <c r="O105" i="438" s="1"/>
  <c r="U30" i="438"/>
  <c r="R34" i="438"/>
  <c r="T30" i="438"/>
  <c r="R30" i="438"/>
  <c r="T26" i="438"/>
  <c r="S26" i="438"/>
  <c r="R26" i="438"/>
  <c r="T22" i="438"/>
  <c r="T21" i="438"/>
  <c r="R21" i="438"/>
  <c r="T24" i="438"/>
  <c r="T32" i="438"/>
  <c r="S21" i="438"/>
  <c r="J24" i="438"/>
  <c r="L24" i="438" s="1"/>
  <c r="U24" i="438"/>
  <c r="S25" i="438"/>
  <c r="J28" i="438"/>
  <c r="L28" i="438" s="1"/>
  <c r="U28" i="438"/>
  <c r="S29" i="438"/>
  <c r="J32" i="438"/>
  <c r="L32" i="438" s="1"/>
  <c r="U32" i="438"/>
  <c r="S33" i="438"/>
  <c r="T25" i="438"/>
  <c r="T29" i="438"/>
  <c r="T33" i="438"/>
  <c r="T28" i="438"/>
  <c r="J21" i="438"/>
  <c r="L21" i="438" s="1"/>
  <c r="J25" i="438"/>
  <c r="L25" i="438" s="1"/>
  <c r="J29" i="438"/>
  <c r="L29" i="438" s="1"/>
  <c r="J33" i="438"/>
  <c r="L33" i="438" s="1"/>
  <c r="J22" i="438"/>
  <c r="L22" i="438" s="1"/>
  <c r="J26" i="438"/>
  <c r="L26" i="438" s="1"/>
  <c r="S27" i="438"/>
  <c r="J30" i="438"/>
  <c r="L30" i="438" s="1"/>
  <c r="J34" i="438"/>
  <c r="L34" i="438" s="1"/>
  <c r="S35" i="438"/>
  <c r="T27" i="438"/>
  <c r="T35" i="438"/>
  <c r="J27" i="438"/>
  <c r="L27" i="438" s="1"/>
  <c r="J35" i="438"/>
  <c r="L35" i="438" s="1"/>
  <c r="P7" i="344"/>
  <c r="P9" i="344" s="1"/>
  <c r="I11" i="344"/>
  <c r="I10" i="344"/>
  <c r="J60" i="442" l="1"/>
  <c r="I60" i="442"/>
  <c r="G60" i="442"/>
  <c r="H60" i="442"/>
  <c r="I61" i="442"/>
  <c r="J61" i="442"/>
  <c r="H61" i="442"/>
  <c r="G61" i="442"/>
  <c r="I45" i="442"/>
  <c r="J45" i="442"/>
  <c r="H45" i="442"/>
  <c r="G45" i="442"/>
  <c r="K55" i="442"/>
  <c r="H55" i="442"/>
  <c r="I55" i="442"/>
  <c r="J55" i="442"/>
  <c r="H50" i="442"/>
  <c r="J50" i="442"/>
  <c r="I50" i="442"/>
  <c r="K50" i="442"/>
  <c r="G50" i="442"/>
  <c r="L413" i="436"/>
  <c r="N413" i="436" s="1"/>
  <c r="N404" i="436"/>
  <c r="N407" i="436"/>
  <c r="L415" i="436"/>
  <c r="N415" i="436" s="1"/>
  <c r="G46" i="442"/>
  <c r="I46" i="442"/>
  <c r="H46" i="442"/>
  <c r="J46" i="442"/>
  <c r="D57" i="442"/>
  <c r="D54" i="442"/>
  <c r="L417" i="436"/>
  <c r="N417" i="436" s="1"/>
  <c r="N409" i="436"/>
  <c r="L308" i="436"/>
  <c r="N308" i="436" s="1"/>
  <c r="L297" i="436"/>
  <c r="N297" i="436" s="1"/>
  <c r="N21" i="438"/>
  <c r="O21" i="438" s="1"/>
  <c r="N22" i="438"/>
  <c r="O22" i="438" s="1"/>
  <c r="N27" i="438"/>
  <c r="O27" i="438" s="1"/>
  <c r="N33" i="438"/>
  <c r="O33" i="438" s="1"/>
  <c r="N24" i="438"/>
  <c r="O24" i="438" s="1"/>
  <c r="N32" i="438"/>
  <c r="O32" i="438" s="1"/>
  <c r="N35" i="438"/>
  <c r="O35" i="438" s="1"/>
  <c r="N34" i="438"/>
  <c r="O34" i="438" s="1"/>
  <c r="N29" i="438"/>
  <c r="O29" i="438" s="1"/>
  <c r="N25" i="438"/>
  <c r="O25" i="438" s="1"/>
  <c r="N30" i="438"/>
  <c r="O30" i="438" s="1"/>
  <c r="N26" i="438"/>
  <c r="O26" i="438" s="1"/>
  <c r="N28" i="438"/>
  <c r="O28" i="438" s="1"/>
  <c r="K11" i="344"/>
  <c r="J11" i="344"/>
  <c r="J10" i="344"/>
  <c r="K10" i="344"/>
  <c r="N1030" i="436" l="1"/>
  <c r="N1024" i="436"/>
  <c r="N1011" i="436"/>
  <c r="N921" i="436"/>
  <c r="N930" i="436"/>
  <c r="N991" i="436"/>
  <c r="N1039" i="436"/>
  <c r="L1045" i="436"/>
  <c r="N1045" i="436" s="1"/>
  <c r="N983" i="436"/>
  <c r="N971" i="436"/>
  <c r="N1020" i="436"/>
  <c r="L1026" i="436"/>
  <c r="N1026" i="436" s="1"/>
  <c r="N1023" i="436"/>
  <c r="N1010" i="436"/>
  <c r="L987" i="436"/>
  <c r="N987" i="436" s="1"/>
  <c r="N981" i="436"/>
  <c r="N1049" i="436"/>
  <c r="N1053" i="436"/>
  <c r="N1042" i="436"/>
  <c r="L1027" i="436"/>
  <c r="N1027" i="436" s="1"/>
  <c r="N1021" i="436"/>
  <c r="N1003" i="436"/>
  <c r="N990" i="436"/>
  <c r="N1040" i="436"/>
  <c r="L1046" i="436"/>
  <c r="N1046" i="436" s="1"/>
  <c r="N1167" i="436"/>
  <c r="L1158" i="436"/>
  <c r="N1158" i="436" s="1"/>
  <c r="N1152" i="436"/>
  <c r="N1136" i="436"/>
  <c r="L1126" i="436"/>
  <c r="N1126" i="436" s="1"/>
  <c r="N1119" i="436"/>
  <c r="N986" i="436"/>
  <c r="N980" i="436"/>
  <c r="L927" i="436"/>
  <c r="N927" i="436" s="1"/>
  <c r="N885" i="436"/>
  <c r="N892" i="436"/>
  <c r="N906" i="436"/>
  <c r="N899" i="436"/>
  <c r="N1001" i="436" l="1"/>
  <c r="N1007" i="436"/>
  <c r="N1006" i="436"/>
  <c r="N1000" i="436"/>
  <c r="D55" i="433"/>
  <c r="D31" i="433"/>
  <c r="D33" i="433" s="1"/>
  <c r="D30" i="433"/>
  <c r="D62" i="433"/>
  <c r="D41" i="433"/>
  <c r="D9" i="433"/>
  <c r="D10" i="433"/>
  <c r="D8" i="433"/>
  <c r="D17" i="433"/>
  <c r="M27" i="433"/>
  <c r="M26" i="433"/>
  <c r="M25" i="433"/>
  <c r="M12" i="433"/>
  <c r="M13" i="433"/>
  <c r="M14" i="433"/>
  <c r="M15" i="433"/>
  <c r="M16" i="433"/>
  <c r="M17" i="433"/>
  <c r="M18" i="433"/>
  <c r="M19" i="433"/>
  <c r="M20" i="433"/>
  <c r="M21" i="433"/>
  <c r="M22" i="433"/>
  <c r="M23" i="433"/>
  <c r="M24" i="433"/>
  <c r="M11" i="433"/>
  <c r="L12" i="433"/>
  <c r="L13" i="433"/>
  <c r="L14" i="433"/>
  <c r="L15" i="433"/>
  <c r="L16" i="433"/>
  <c r="L17" i="433"/>
  <c r="L18" i="433"/>
  <c r="L19" i="433"/>
  <c r="L20" i="433"/>
  <c r="L21" i="433"/>
  <c r="L22" i="433"/>
  <c r="L23" i="433"/>
  <c r="L11" i="433"/>
  <c r="M10" i="433"/>
  <c r="M9" i="433"/>
  <c r="M8" i="433"/>
  <c r="M7" i="433"/>
  <c r="M6" i="433"/>
  <c r="M5" i="433"/>
  <c r="E12" i="432" l="1"/>
  <c r="D2" i="440"/>
  <c r="D3" i="440"/>
  <c r="D1" i="440"/>
  <c r="F12" i="440"/>
  <c r="F10" i="440"/>
  <c r="F9" i="440"/>
  <c r="F8" i="440"/>
  <c r="A8" i="440"/>
  <c r="A11" i="440" s="1"/>
  <c r="A12" i="440" s="1"/>
  <c r="F7" i="440"/>
  <c r="E11" i="440" l="1"/>
  <c r="F11" i="440" s="1"/>
  <c r="F6" i="440"/>
  <c r="A9" i="440"/>
  <c r="A10" i="440" s="1"/>
  <c r="N31" i="446" l="1"/>
  <c r="F13" i="440"/>
  <c r="N1384" i="436" l="1"/>
  <c r="N1382" i="436"/>
  <c r="N1381" i="436"/>
  <c r="N1379" i="436"/>
  <c r="N1375" i="436"/>
  <c r="N1373" i="436"/>
  <c r="N1341" i="436"/>
  <c r="N1337" i="436"/>
  <c r="N727" i="436"/>
  <c r="N717" i="436"/>
  <c r="N713" i="436"/>
  <c r="N711" i="436"/>
  <c r="N284" i="436"/>
  <c r="N282" i="436"/>
  <c r="N76" i="436"/>
  <c r="N74" i="436"/>
  <c r="N72" i="436"/>
  <c r="N59" i="436"/>
  <c r="N58" i="436"/>
  <c r="N57" i="436"/>
  <c r="N56" i="436"/>
  <c r="N52" i="436"/>
  <c r="N50" i="436"/>
  <c r="N49" i="436"/>
  <c r="N47" i="436"/>
  <c r="N46" i="436"/>
  <c r="N45" i="436"/>
  <c r="N44" i="436"/>
  <c r="N43" i="436"/>
  <c r="N42" i="436"/>
  <c r="N41" i="436"/>
  <c r="N40" i="436"/>
  <c r="N38" i="436"/>
  <c r="N35" i="436"/>
  <c r="N33" i="436"/>
  <c r="N32" i="436"/>
  <c r="N31" i="436"/>
  <c r="N29" i="436"/>
  <c r="N28" i="436"/>
  <c r="N25" i="436"/>
  <c r="N24" i="436"/>
  <c r="N20" i="436"/>
  <c r="N19" i="436"/>
  <c r="N17" i="436"/>
  <c r="N16" i="436"/>
  <c r="N14" i="436"/>
  <c r="N13" i="436"/>
  <c r="N11" i="436"/>
  <c r="E12" i="436"/>
  <c r="E13" i="436" s="1"/>
  <c r="E14" i="436" s="1"/>
  <c r="E15" i="436"/>
  <c r="E16" i="436" s="1"/>
  <c r="E17" i="436" s="1"/>
  <c r="E18" i="436"/>
  <c r="E19" i="436" s="1"/>
  <c r="E20" i="436" s="1"/>
  <c r="E21" i="436" s="1"/>
  <c r="E22" i="436" s="1"/>
  <c r="C21" i="436"/>
  <c r="C22" i="436" s="1"/>
  <c r="C23" i="436" s="1"/>
  <c r="C24" i="436" s="1"/>
  <c r="C25" i="436" s="1"/>
  <c r="D22" i="436"/>
  <c r="D23" i="436" s="1"/>
  <c r="D24" i="436" s="1"/>
  <c r="D25" i="436" s="1"/>
  <c r="E23" i="436"/>
  <c r="E24" i="436" s="1"/>
  <c r="E25" i="436" s="1"/>
  <c r="E30" i="436"/>
  <c r="E31" i="436" s="1"/>
  <c r="E32" i="436" s="1"/>
  <c r="E33" i="436" s="1"/>
  <c r="E34" i="436"/>
  <c r="E35" i="436" s="1"/>
  <c r="E36" i="436" s="1"/>
  <c r="D36" i="436"/>
  <c r="D37" i="436" s="1"/>
  <c r="D38" i="436" s="1"/>
  <c r="D39" i="436" s="1"/>
  <c r="D40" i="436" s="1"/>
  <c r="D41" i="436" s="1"/>
  <c r="D42" i="436" s="1"/>
  <c r="D43" i="436" s="1"/>
  <c r="D44" i="436" s="1"/>
  <c r="D45" i="436" s="1"/>
  <c r="D46" i="436" s="1"/>
  <c r="D47" i="436" s="1"/>
  <c r="D48" i="436" s="1"/>
  <c r="D49" i="436" s="1"/>
  <c r="D50" i="436" s="1"/>
  <c r="D51" i="436" s="1"/>
  <c r="D52" i="436" s="1"/>
  <c r="D53" i="436" s="1"/>
  <c r="E37" i="436"/>
  <c r="E38" i="436" s="1"/>
  <c r="E39" i="436"/>
  <c r="E40" i="436" s="1"/>
  <c r="E41" i="436" s="1"/>
  <c r="E42" i="436" s="1"/>
  <c r="E43" i="436" s="1"/>
  <c r="E44" i="436" s="1"/>
  <c r="E45" i="436" s="1"/>
  <c r="E46" i="436" s="1"/>
  <c r="E47" i="436" s="1"/>
  <c r="E48" i="436"/>
  <c r="E49" i="436" s="1"/>
  <c r="E50" i="436" s="1"/>
  <c r="E51" i="436"/>
  <c r="E52" i="436" s="1"/>
  <c r="E53" i="436" s="1"/>
  <c r="E54" i="436" s="1"/>
  <c r="C53" i="436"/>
  <c r="C54" i="436" s="1"/>
  <c r="C55" i="436" s="1"/>
  <c r="C56" i="436" s="1"/>
  <c r="C57" i="436" s="1"/>
  <c r="C58" i="436" s="1"/>
  <c r="C59" i="436" s="1"/>
  <c r="C60" i="436" s="1"/>
  <c r="D54" i="436"/>
  <c r="D55" i="436" s="1"/>
  <c r="D56" i="436" s="1"/>
  <c r="D57" i="436" s="1"/>
  <c r="D58" i="436" s="1"/>
  <c r="D59" i="436" s="1"/>
  <c r="D60" i="436" s="1"/>
  <c r="E55" i="436"/>
  <c r="E56" i="436" s="1"/>
  <c r="E57" i="436" s="1"/>
  <c r="E58" i="436" s="1"/>
  <c r="E59" i="436" s="1"/>
  <c r="E60" i="436" s="1"/>
  <c r="E61" i="436" s="1"/>
  <c r="E62" i="436"/>
  <c r="E63" i="436" s="1"/>
  <c r="E64" i="436" s="1"/>
  <c r="E65" i="436" s="1"/>
  <c r="E66" i="436" s="1"/>
  <c r="E67" i="436" s="1"/>
  <c r="E68" i="436" s="1"/>
  <c r="E69" i="436" s="1"/>
  <c r="E71" i="436"/>
  <c r="E72" i="436" s="1"/>
  <c r="E75" i="436"/>
  <c r="E76" i="436" s="1"/>
  <c r="E77" i="436" s="1"/>
  <c r="E78" i="436" s="1"/>
  <c r="C275" i="436"/>
  <c r="C276" i="436" s="1"/>
  <c r="C277" i="436" s="1"/>
  <c r="D276" i="436"/>
  <c r="D277" i="436" s="1"/>
  <c r="E277" i="436"/>
  <c r="E281" i="436"/>
  <c r="E282" i="436" s="1"/>
  <c r="E283" i="436" s="1"/>
  <c r="E284" i="436" s="1"/>
  <c r="E285" i="436"/>
  <c r="E286" i="436" s="1"/>
  <c r="E287" i="436" s="1"/>
  <c r="C329" i="436"/>
  <c r="C330" i="436" s="1"/>
  <c r="D330" i="436"/>
  <c r="E431" i="436"/>
  <c r="C431" i="436"/>
  <c r="D470" i="436"/>
  <c r="E470" i="436"/>
  <c r="C470" i="436"/>
  <c r="D609" i="436"/>
  <c r="E609" i="436"/>
  <c r="C609" i="436"/>
  <c r="D708" i="436"/>
  <c r="E708" i="436"/>
  <c r="E709" i="436" s="1"/>
  <c r="C708" i="436"/>
  <c r="C709" i="436" s="1"/>
  <c r="C710" i="436" s="1"/>
  <c r="C711" i="436" s="1"/>
  <c r="D709" i="436"/>
  <c r="D710" i="436" s="1"/>
  <c r="D711" i="436" s="1"/>
  <c r="E710" i="436"/>
  <c r="E711" i="436" s="1"/>
  <c r="E716" i="436"/>
  <c r="E717" i="436" s="1"/>
  <c r="E718" i="436" s="1"/>
  <c r="C718" i="436"/>
  <c r="D722" i="436"/>
  <c r="D723" i="436" s="1"/>
  <c r="D724" i="436" s="1"/>
  <c r="E723" i="436"/>
  <c r="E724" i="436" s="1"/>
  <c r="E725" i="436" s="1"/>
  <c r="E726" i="436"/>
  <c r="E727" i="436" s="1"/>
  <c r="E747" i="436"/>
  <c r="C747" i="436"/>
  <c r="D865" i="436"/>
  <c r="E865" i="436"/>
  <c r="C865" i="436"/>
  <c r="D912" i="436"/>
  <c r="E912" i="436"/>
  <c r="C912" i="436"/>
  <c r="D1055" i="436"/>
  <c r="E1055" i="436"/>
  <c r="C1055" i="436"/>
  <c r="D1185" i="436"/>
  <c r="E1185" i="436"/>
  <c r="C1185" i="436"/>
  <c r="D1308" i="436"/>
  <c r="E1308" i="436"/>
  <c r="C1308" i="436"/>
  <c r="D1335" i="436"/>
  <c r="D1336" i="436" s="1"/>
  <c r="D1337" i="436" s="1"/>
  <c r="E1336" i="436"/>
  <c r="E1337" i="436" s="1"/>
  <c r="E1340" i="436"/>
  <c r="E1341" i="436" s="1"/>
  <c r="E1342" i="436" s="1"/>
  <c r="C1342" i="436"/>
  <c r="E1353" i="436"/>
  <c r="C1353" i="436"/>
  <c r="D1367" i="436"/>
  <c r="E1367" i="436"/>
  <c r="E1368" i="436" s="1"/>
  <c r="C1367" i="436"/>
  <c r="C1368" i="436" s="1"/>
  <c r="C1369" i="436" s="1"/>
  <c r="D1368" i="436"/>
  <c r="D1369" i="436" s="1"/>
  <c r="E1369" i="436"/>
  <c r="D1371" i="436"/>
  <c r="D1372" i="436" s="1"/>
  <c r="D1373" i="436" s="1"/>
  <c r="D1374" i="436" s="1"/>
  <c r="D1375" i="436" s="1"/>
  <c r="E1372" i="436"/>
  <c r="E1373" i="436" s="1"/>
  <c r="E1374" i="436"/>
  <c r="E1375" i="436" s="1"/>
  <c r="E1378" i="436"/>
  <c r="E1379" i="436" s="1"/>
  <c r="E1380" i="436"/>
  <c r="E1381" i="436" s="1"/>
  <c r="E1382" i="436" s="1"/>
  <c r="E1383" i="436"/>
  <c r="E1384" i="436" s="1"/>
  <c r="E1385" i="436" s="1"/>
  <c r="E1386" i="436" s="1"/>
  <c r="C1385" i="436"/>
  <c r="C1386" i="436" s="1"/>
  <c r="C1387" i="436" s="1"/>
  <c r="C1388" i="436" s="1"/>
  <c r="C1389" i="436" s="1"/>
  <c r="C1390" i="436" s="1"/>
  <c r="C1391" i="436" s="1"/>
  <c r="C1392" i="436" s="1"/>
  <c r="C1393" i="436" s="1"/>
  <c r="C1394" i="436" s="1"/>
  <c r="C1395" i="436" s="1"/>
  <c r="C1396" i="436" s="1"/>
  <c r="C1397" i="436" s="1"/>
  <c r="C1398" i="436" s="1"/>
  <c r="C1399" i="436" s="1"/>
  <c r="C1400" i="436" s="1"/>
  <c r="C1401" i="436" s="1"/>
  <c r="C1402" i="436" s="1"/>
  <c r="C1403" i="436" s="1"/>
  <c r="C1404" i="436" s="1"/>
  <c r="C1405" i="436" s="1"/>
  <c r="C1406" i="436" s="1"/>
  <c r="C1407" i="436" s="1"/>
  <c r="C1408" i="436" s="1"/>
  <c r="C1409" i="436" s="1"/>
  <c r="C1410" i="436" s="1"/>
  <c r="C1411" i="436" s="1"/>
  <c r="C1412" i="436" s="1"/>
  <c r="C1413" i="436" s="1"/>
  <c r="C1414" i="436" s="1"/>
  <c r="C1415" i="436" s="1"/>
  <c r="C1416" i="436" s="1"/>
  <c r="C1417" i="436" s="1"/>
  <c r="C1418" i="436" s="1"/>
  <c r="C1419" i="436" s="1"/>
  <c r="C1420" i="436" s="1"/>
  <c r="C1421" i="436" s="1"/>
  <c r="C1422" i="436" s="1"/>
  <c r="C1423" i="436" s="1"/>
  <c r="C1424" i="436" s="1"/>
  <c r="C1425" i="436" s="1"/>
  <c r="C1426" i="436" s="1"/>
  <c r="C1427" i="436" s="1"/>
  <c r="C1428" i="436" s="1"/>
  <c r="C1429" i="436" s="1"/>
  <c r="C1430" i="436" s="1"/>
  <c r="C1431" i="436" s="1"/>
  <c r="C1432" i="436" s="1"/>
  <c r="C1433" i="436" s="1"/>
  <c r="C1434" i="436" s="1"/>
  <c r="C1435" i="436" s="1"/>
  <c r="C1436" i="436" s="1"/>
  <c r="C1437" i="436" s="1"/>
  <c r="C1438" i="436" s="1"/>
  <c r="C1439" i="436" s="1"/>
  <c r="C1440" i="436" s="1"/>
  <c r="C1441" i="436" s="1"/>
  <c r="C1442" i="436" s="1"/>
  <c r="C1443" i="436" s="1"/>
  <c r="C1444" i="436" s="1"/>
  <c r="C1445" i="436" s="1"/>
  <c r="C1446" i="436" s="1"/>
  <c r="C1447" i="436" s="1"/>
  <c r="C1448" i="436" s="1"/>
  <c r="C1449" i="436" s="1"/>
  <c r="C1450" i="436" s="1"/>
  <c r="C1451" i="436" s="1"/>
  <c r="C1452" i="436" s="1"/>
  <c r="C1453" i="436" s="1"/>
  <c r="C1454" i="436" s="1"/>
  <c r="C1455" i="436" s="1"/>
  <c r="C1456" i="436" s="1"/>
  <c r="C1457" i="436" s="1"/>
  <c r="C1458" i="436" s="1"/>
  <c r="C1459" i="436" s="1"/>
  <c r="C1460" i="436" s="1"/>
  <c r="C1461" i="436" s="1"/>
  <c r="C1462" i="436" s="1"/>
  <c r="C1463" i="436" s="1"/>
  <c r="C1464" i="436" s="1"/>
  <c r="C1465" i="436" s="1"/>
  <c r="C1466" i="436" s="1"/>
  <c r="C1467" i="436" s="1"/>
  <c r="C1468" i="436" s="1"/>
  <c r="C1469" i="436" s="1"/>
  <c r="C1470" i="436" s="1"/>
  <c r="C1471" i="436" s="1"/>
  <c r="C1472" i="436" s="1"/>
  <c r="C1473" i="436" s="1"/>
  <c r="C1474" i="436" s="1"/>
  <c r="C1475" i="436" s="1"/>
  <c r="C1476" i="436" s="1"/>
  <c r="C1477" i="436" s="1"/>
  <c r="C1478" i="436" s="1"/>
  <c r="C1479" i="436" s="1"/>
  <c r="C1480" i="436" s="1"/>
  <c r="C1481" i="436" s="1"/>
  <c r="C1482" i="436" s="1"/>
  <c r="C1483" i="436" s="1"/>
  <c r="C1484" i="436" s="1"/>
  <c r="C1485" i="436" s="1"/>
  <c r="C1486" i="436" s="1"/>
  <c r="C1487" i="436" s="1"/>
  <c r="C1488" i="436" s="1"/>
  <c r="C1489" i="436" s="1"/>
  <c r="C1490" i="436" s="1"/>
  <c r="C1491" i="436" s="1"/>
  <c r="C1492" i="436" s="1"/>
  <c r="C1493" i="436" s="1"/>
  <c r="C1494" i="436" s="1"/>
  <c r="C1495" i="436" s="1"/>
  <c r="C1496" i="436" s="1"/>
  <c r="C1497" i="436" s="1"/>
  <c r="C1498" i="436" s="1"/>
  <c r="C1499" i="436" s="1"/>
  <c r="C1500" i="436" s="1"/>
  <c r="C1501" i="436" s="1"/>
  <c r="C1502" i="436" s="1"/>
  <c r="C1503" i="436" s="1"/>
  <c r="C1504" i="436" s="1"/>
  <c r="C1505" i="436" s="1"/>
  <c r="C1506" i="436" s="1"/>
  <c r="C1507" i="436" s="1"/>
  <c r="C1508" i="436" s="1"/>
  <c r="C1509" i="436" s="1"/>
  <c r="C1510" i="436" s="1"/>
  <c r="C1511" i="436" s="1"/>
  <c r="C1512" i="436" s="1"/>
  <c r="C1513" i="436" s="1"/>
  <c r="C1514" i="436" s="1"/>
  <c r="C1515" i="436" s="1"/>
  <c r="C1516" i="436" s="1"/>
  <c r="C1517" i="436" s="1"/>
  <c r="C1518" i="436" s="1"/>
  <c r="C1519" i="436" s="1"/>
  <c r="C1520" i="436" s="1"/>
  <c r="C1521" i="436" s="1"/>
  <c r="C1522" i="436" s="1"/>
  <c r="C1523" i="436" s="1"/>
  <c r="C1524" i="436" s="1"/>
  <c r="C1525" i="436" s="1"/>
  <c r="C1526" i="436" s="1"/>
  <c r="C1527" i="436" s="1"/>
  <c r="C1528" i="436" s="1"/>
  <c r="C1529" i="436" s="1"/>
  <c r="C1530" i="436" s="1"/>
  <c r="C1531" i="436" s="1"/>
  <c r="C1532" i="436" s="1"/>
  <c r="C1533" i="436" s="1"/>
  <c r="C1534" i="436" s="1"/>
  <c r="C1535" i="436" s="1"/>
  <c r="C1536" i="436" s="1"/>
  <c r="C1537" i="436" s="1"/>
  <c r="C1538" i="436" s="1"/>
  <c r="C1539" i="436" s="1"/>
  <c r="C1540" i="436" s="1"/>
  <c r="C1541" i="436" s="1"/>
  <c r="C1542" i="436" s="1"/>
  <c r="C1543" i="436" s="1"/>
  <c r="C1544" i="436" s="1"/>
  <c r="C1545" i="436" s="1"/>
  <c r="C1546" i="436" s="1"/>
  <c r="C1547" i="436" s="1"/>
  <c r="C1548" i="436" s="1"/>
  <c r="C1549" i="436" s="1"/>
  <c r="C1550" i="436" s="1"/>
  <c r="C1551" i="436" s="1"/>
  <c r="C1552" i="436" s="1"/>
  <c r="C1553" i="436" s="1"/>
  <c r="C1554" i="436" s="1"/>
  <c r="C1555" i="436" s="1"/>
  <c r="C1556" i="436" s="1"/>
  <c r="C1557" i="436" s="1"/>
  <c r="C1558" i="436" s="1"/>
  <c r="C1559" i="436" s="1"/>
  <c r="C1560" i="436" s="1"/>
  <c r="C1561" i="436" s="1"/>
  <c r="C1562" i="436" s="1"/>
  <c r="C1563" i="436" s="1"/>
  <c r="C1564" i="436" s="1"/>
  <c r="C1565" i="436" s="1"/>
  <c r="C1566" i="436" s="1"/>
  <c r="C1567" i="436" s="1"/>
  <c r="C1568" i="436" s="1"/>
  <c r="C1569" i="436" s="1"/>
  <c r="C1570" i="436" s="1"/>
  <c r="C1571" i="436" s="1"/>
  <c r="C1572" i="436" s="1"/>
  <c r="C1573" i="436" s="1"/>
  <c r="C1574" i="436" s="1"/>
  <c r="C1575" i="436" s="1"/>
  <c r="C1576" i="436" s="1"/>
  <c r="C1577" i="436" s="1"/>
  <c r="C1578" i="436" s="1"/>
  <c r="C1579" i="436" s="1"/>
  <c r="C1580" i="436" s="1"/>
  <c r="C1581" i="436" s="1"/>
  <c r="C1582" i="436" s="1"/>
  <c r="C1583" i="436" s="1"/>
  <c r="C1584" i="436" s="1"/>
  <c r="C1585" i="436" s="1"/>
  <c r="C1586" i="436" s="1"/>
  <c r="C1587" i="436" s="1"/>
  <c r="C1588" i="436" s="1"/>
  <c r="C1589" i="436" s="1"/>
  <c r="C1590" i="436" s="1"/>
  <c r="C1591" i="436" s="1"/>
  <c r="C1592" i="436" s="1"/>
  <c r="C1593" i="436" s="1"/>
  <c r="C1594" i="436" s="1"/>
  <c r="C1595" i="436" s="1"/>
  <c r="C1596" i="436" s="1"/>
  <c r="C1597" i="436" s="1"/>
  <c r="C1598" i="436" s="1"/>
  <c r="C1599" i="436" s="1"/>
  <c r="C1600" i="436" s="1"/>
  <c r="C1601" i="436" s="1"/>
  <c r="C1602" i="436" s="1"/>
  <c r="C1603" i="436" s="1"/>
  <c r="C1604" i="436" s="1"/>
  <c r="C1605" i="436" s="1"/>
  <c r="C1606" i="436" s="1"/>
  <c r="C1607" i="436" s="1"/>
  <c r="C1608" i="436" s="1"/>
  <c r="C1609" i="436" s="1"/>
  <c r="C1610" i="436" s="1"/>
  <c r="C1611" i="436" s="1"/>
  <c r="C1612" i="436" s="1"/>
  <c r="C1613" i="436" s="1"/>
  <c r="C1614" i="436" s="1"/>
  <c r="C1615" i="436" s="1"/>
  <c r="C1616" i="436" s="1"/>
  <c r="C1617" i="436" s="1"/>
  <c r="C1618" i="436" s="1"/>
  <c r="C1619" i="436" s="1"/>
  <c r="C1620" i="436" s="1"/>
  <c r="C1621" i="436" s="1"/>
  <c r="C1622" i="436" s="1"/>
  <c r="C1623" i="436" s="1"/>
  <c r="C1624" i="436" s="1"/>
  <c r="C1625" i="436" s="1"/>
  <c r="C1626" i="436" s="1"/>
  <c r="C1627" i="436" s="1"/>
  <c r="C1628" i="436" s="1"/>
  <c r="C1629" i="436" s="1"/>
  <c r="C1630" i="436" s="1"/>
  <c r="C1631" i="436" s="1"/>
  <c r="C1632" i="436" s="1"/>
  <c r="C1633" i="436" s="1"/>
  <c r="C1634" i="436" s="1"/>
  <c r="C1635" i="436" s="1"/>
  <c r="C1636" i="436" s="1"/>
  <c r="C1637" i="436" s="1"/>
  <c r="C1638" i="436" s="1"/>
  <c r="C1639" i="436" s="1"/>
  <c r="C1640" i="436" s="1"/>
  <c r="C1641" i="436" s="1"/>
  <c r="C1642" i="436" s="1"/>
  <c r="C1643" i="436" s="1"/>
  <c r="C1644" i="436" s="1"/>
  <c r="C1645" i="436" s="1"/>
  <c r="C1646" i="436" s="1"/>
  <c r="C1647" i="436" s="1"/>
  <c r="C1648" i="436" s="1"/>
  <c r="C1649" i="436" s="1"/>
  <c r="C1650" i="436" s="1"/>
  <c r="C1651" i="436" s="1"/>
  <c r="C1652" i="436" s="1"/>
  <c r="C1653" i="436" s="1"/>
  <c r="C1654" i="436" s="1"/>
  <c r="C1655" i="436" s="1"/>
  <c r="C1656" i="436" s="1"/>
  <c r="C1657" i="436" s="1"/>
  <c r="C1658" i="436" s="1"/>
  <c r="C1659" i="436" s="1"/>
  <c r="C1660" i="436" s="1"/>
  <c r="C1661" i="436" s="1"/>
  <c r="C1662" i="436" s="1"/>
  <c r="C1663" i="436" s="1"/>
  <c r="C1664" i="436" s="1"/>
  <c r="C1665" i="436" s="1"/>
  <c r="C1666" i="436" s="1"/>
  <c r="C1667" i="436" s="1"/>
  <c r="C1668" i="436" s="1"/>
  <c r="C1669" i="436" s="1"/>
  <c r="C1670" i="436" s="1"/>
  <c r="C1671" i="436" s="1"/>
  <c r="C1672" i="436" s="1"/>
  <c r="C1673" i="436" s="1"/>
  <c r="C1674" i="436" s="1"/>
  <c r="C1675" i="436" s="1"/>
  <c r="C1676" i="436" s="1"/>
  <c r="C1677" i="436" s="1"/>
  <c r="C1678" i="436" s="1"/>
  <c r="C1679" i="436" s="1"/>
  <c r="C1680" i="436" s="1"/>
  <c r="C1681" i="436" s="1"/>
  <c r="C1682" i="436" s="1"/>
  <c r="C1683" i="436" s="1"/>
  <c r="C1684" i="436" s="1"/>
  <c r="C1685" i="436" s="1"/>
  <c r="C1686" i="436" s="1"/>
  <c r="C1687" i="436" s="1"/>
  <c r="C1688" i="436" s="1"/>
  <c r="C1689" i="436" s="1"/>
  <c r="C1690" i="436" s="1"/>
  <c r="C1691" i="436" s="1"/>
  <c r="C1692" i="436" s="1"/>
  <c r="C1693" i="436" s="1"/>
  <c r="C1694" i="436" s="1"/>
  <c r="C1695" i="436" s="1"/>
  <c r="C1696" i="436" s="1"/>
  <c r="C1697" i="436" s="1"/>
  <c r="C1698" i="436" s="1"/>
  <c r="C1699" i="436" s="1"/>
  <c r="C1700" i="436" s="1"/>
  <c r="C1701" i="436" s="1"/>
  <c r="C1702" i="436" s="1"/>
  <c r="C1703" i="436" s="1"/>
  <c r="C1704" i="436" s="1"/>
  <c r="C1705" i="436" s="1"/>
  <c r="C1706" i="436" s="1"/>
  <c r="C1707" i="436" s="1"/>
  <c r="C1708" i="436" s="1"/>
  <c r="C1709" i="436" s="1"/>
  <c r="C1710" i="436" s="1"/>
  <c r="C1711" i="436" s="1"/>
  <c r="C1712" i="436" s="1"/>
  <c r="C1713" i="436" s="1"/>
  <c r="C1714" i="436" s="1"/>
  <c r="C1715" i="436" s="1"/>
  <c r="C1716" i="436" s="1"/>
  <c r="C1717" i="436" s="1"/>
  <c r="C1718" i="436" s="1"/>
  <c r="C1719" i="436" s="1"/>
  <c r="C1720" i="436" s="1"/>
  <c r="C1721" i="436" s="1"/>
  <c r="C1722" i="436" s="1"/>
  <c r="C1723" i="436" s="1"/>
  <c r="C1724" i="436" s="1"/>
  <c r="C1725" i="436" s="1"/>
  <c r="C1726" i="436" s="1"/>
  <c r="C1727" i="436" s="1"/>
  <c r="C1728" i="436" s="1"/>
  <c r="C1729" i="436" s="1"/>
  <c r="C1730" i="436" s="1"/>
  <c r="C1731" i="436" s="1"/>
  <c r="C1732" i="436" s="1"/>
  <c r="C1733" i="436" s="1"/>
  <c r="C1734" i="436" s="1"/>
  <c r="C1735" i="436" s="1"/>
  <c r="C1736" i="436" s="1"/>
  <c r="C1737" i="436" s="1"/>
  <c r="C1738" i="436" s="1"/>
  <c r="C1739" i="436" s="1"/>
  <c r="C1740" i="436" s="1"/>
  <c r="C1741" i="436" s="1"/>
  <c r="C1742" i="436" s="1"/>
  <c r="C1743" i="436" s="1"/>
  <c r="C1744" i="436" s="1"/>
  <c r="C1745" i="436" s="1"/>
  <c r="C1746" i="436" s="1"/>
  <c r="C1747" i="436" s="1"/>
  <c r="C1748" i="436" s="1"/>
  <c r="C1749" i="436" s="1"/>
  <c r="C1750" i="436" s="1"/>
  <c r="C1751" i="436" s="1"/>
  <c r="C1752" i="436" s="1"/>
  <c r="C1753" i="436" s="1"/>
  <c r="C1754" i="436" s="1"/>
  <c r="C1755" i="436" s="1"/>
  <c r="C1756" i="436" s="1"/>
  <c r="C1757" i="436" s="1"/>
  <c r="C1758" i="436" s="1"/>
  <c r="C1759" i="436" s="1"/>
  <c r="C1760" i="436" s="1"/>
  <c r="C1761" i="436" s="1"/>
  <c r="C1762" i="436" s="1"/>
  <c r="C1763" i="436" s="1"/>
  <c r="C1764" i="436" s="1"/>
  <c r="C1765" i="436" s="1"/>
  <c r="C1766" i="436" s="1"/>
  <c r="C1767" i="436" s="1"/>
  <c r="C1768" i="436" s="1"/>
  <c r="C1769" i="436" s="1"/>
  <c r="C1770" i="436" s="1"/>
  <c r="C1771" i="436" s="1"/>
  <c r="C1772" i="436" s="1"/>
  <c r="C1773" i="436" s="1"/>
  <c r="C1774" i="436" s="1"/>
  <c r="C1775" i="436" s="1"/>
  <c r="C1776" i="436" s="1"/>
  <c r="C1777" i="436" s="1"/>
  <c r="C1778" i="436" s="1"/>
  <c r="C1779" i="436" s="1"/>
  <c r="C1780" i="436" s="1"/>
  <c r="C1781" i="436" s="1"/>
  <c r="C1782" i="436" s="1"/>
  <c r="C1783" i="436" s="1"/>
  <c r="C1784" i="436" s="1"/>
  <c r="C1785" i="436" s="1"/>
  <c r="C1786" i="436" s="1"/>
  <c r="C1787" i="436" s="1"/>
  <c r="C1788" i="436" s="1"/>
  <c r="C1789" i="436" s="1"/>
  <c r="C1790" i="436" s="1"/>
  <c r="C1791" i="436" s="1"/>
  <c r="C1792" i="436" s="1"/>
  <c r="C1793" i="436" s="1"/>
  <c r="C1794" i="436" s="1"/>
  <c r="C1795" i="436" s="1"/>
  <c r="C1796" i="436" s="1"/>
  <c r="C1797" i="436" s="1"/>
  <c r="C1798" i="436" s="1"/>
  <c r="C1799" i="436" s="1"/>
  <c r="C1800" i="436" s="1"/>
  <c r="C1801" i="436" s="1"/>
  <c r="C1802" i="436" s="1"/>
  <c r="C1803" i="436" s="1"/>
  <c r="C1804" i="436" s="1"/>
  <c r="C1805" i="436" s="1"/>
  <c r="C1806" i="436" s="1"/>
  <c r="C1807" i="436" s="1"/>
  <c r="C1808" i="436" s="1"/>
  <c r="C1809" i="436" s="1"/>
  <c r="C1810" i="436" s="1"/>
  <c r="C1811" i="436" s="1"/>
  <c r="C1812" i="436" s="1"/>
  <c r="C1813" i="436" s="1"/>
  <c r="C1814" i="436" s="1"/>
  <c r="C1815" i="436" s="1"/>
  <c r="C1816" i="436" s="1"/>
  <c r="C1817" i="436" s="1"/>
  <c r="C1818" i="436" s="1"/>
  <c r="C1819" i="436" s="1"/>
  <c r="C1820" i="436" s="1"/>
  <c r="C1821" i="436" s="1"/>
  <c r="C1822" i="436" s="1"/>
  <c r="C1823" i="436" s="1"/>
  <c r="C1824" i="436" s="1"/>
  <c r="C1825" i="436" s="1"/>
  <c r="C1826" i="436" s="1"/>
  <c r="C1827" i="436" s="1"/>
  <c r="C1828" i="436" s="1"/>
  <c r="C1829" i="436" s="1"/>
  <c r="C1830" i="436" s="1"/>
  <c r="C1831" i="436" s="1"/>
  <c r="C1832" i="436" s="1"/>
  <c r="C1833" i="436" s="1"/>
  <c r="C1834" i="436" s="1"/>
  <c r="C1835" i="436" s="1"/>
  <c r="C1836" i="436" s="1"/>
  <c r="C1837" i="436" s="1"/>
  <c r="C1838" i="436" s="1"/>
  <c r="C1839" i="436" s="1"/>
  <c r="C1840" i="436" s="1"/>
  <c r="C1841" i="436" s="1"/>
  <c r="C1842" i="436" s="1"/>
  <c r="C1843" i="436" s="1"/>
  <c r="C1844" i="436" s="1"/>
  <c r="C1845" i="436" s="1"/>
  <c r="C1846" i="436" s="1"/>
  <c r="C1847" i="436" s="1"/>
  <c r="C1848" i="436" s="1"/>
  <c r="C1849" i="436" s="1"/>
  <c r="C1850" i="436" s="1"/>
  <c r="C1851" i="436" s="1"/>
  <c r="C1852" i="436" s="1"/>
  <c r="C1853" i="436" s="1"/>
  <c r="C1854" i="436" s="1"/>
  <c r="C1855" i="436" s="1"/>
  <c r="C1856" i="436" s="1"/>
  <c r="C1857" i="436" s="1"/>
  <c r="C1858" i="436" s="1"/>
  <c r="C1859" i="436" s="1"/>
  <c r="C1860" i="436" s="1"/>
  <c r="C1861" i="436" s="1"/>
  <c r="C1862" i="436" s="1"/>
  <c r="C1863" i="436" s="1"/>
  <c r="C1864" i="436" s="1"/>
  <c r="C1865" i="436" s="1"/>
  <c r="C1866" i="436" s="1"/>
  <c r="C1867" i="436" s="1"/>
  <c r="C1868" i="436" s="1"/>
  <c r="C1869" i="436" s="1"/>
  <c r="C1870" i="436" s="1"/>
  <c r="C1871" i="436" s="1"/>
  <c r="C1872" i="436" s="1"/>
  <c r="C1873" i="436" s="1"/>
  <c r="C1874" i="436" s="1"/>
  <c r="C1875" i="436" s="1"/>
  <c r="C1876" i="436" s="1"/>
  <c r="C1877" i="436" s="1"/>
  <c r="C1878" i="436" s="1"/>
  <c r="C1879" i="436" s="1"/>
  <c r="C1880" i="436" s="1"/>
  <c r="C1881" i="436" s="1"/>
  <c r="C1882" i="436" s="1"/>
  <c r="C1883" i="436" s="1"/>
  <c r="C1884" i="436" s="1"/>
  <c r="C1885" i="436" s="1"/>
  <c r="C1886" i="436" s="1"/>
  <c r="C1887" i="436" s="1"/>
  <c r="C1888" i="436" s="1"/>
  <c r="C1889" i="436" s="1"/>
  <c r="C1890" i="436" s="1"/>
  <c r="C1891" i="436" s="1"/>
  <c r="C1892" i="436" s="1"/>
  <c r="C1893" i="436" s="1"/>
  <c r="C1894" i="436" s="1"/>
  <c r="C1895" i="436" s="1"/>
  <c r="C1896" i="436" s="1"/>
  <c r="C1897" i="436" s="1"/>
  <c r="C1898" i="436" s="1"/>
  <c r="C1899" i="436" s="1"/>
  <c r="C1900" i="436" s="1"/>
  <c r="C1901" i="436" s="1"/>
  <c r="C1902" i="436" s="1"/>
  <c r="C1903" i="436" s="1"/>
  <c r="C1904" i="436" s="1"/>
  <c r="C1905" i="436" s="1"/>
  <c r="C1906" i="436" s="1"/>
  <c r="C1907" i="436" s="1"/>
  <c r="C1908" i="436" s="1"/>
  <c r="C1909" i="436" s="1"/>
  <c r="C1910" i="436" s="1"/>
  <c r="C1911" i="436" s="1"/>
  <c r="C1912" i="436" s="1"/>
  <c r="C1913" i="436" s="1"/>
  <c r="C1914" i="436" s="1"/>
  <c r="C1915" i="436" s="1"/>
  <c r="C1916" i="436" s="1"/>
  <c r="C1917" i="436" s="1"/>
  <c r="C1918" i="436" s="1"/>
  <c r="C1919" i="436" s="1"/>
  <c r="C1920" i="436" s="1"/>
  <c r="C1921" i="436" s="1"/>
  <c r="C1922" i="436" s="1"/>
  <c r="C1923" i="436" s="1"/>
  <c r="C1924" i="436" s="1"/>
  <c r="C1925" i="436" s="1"/>
  <c r="C1926" i="436" s="1"/>
  <c r="C1927" i="436" s="1"/>
  <c r="C1928" i="436" s="1"/>
  <c r="C1929" i="436" s="1"/>
  <c r="C1930" i="436" s="1"/>
  <c r="C1931" i="436" s="1"/>
  <c r="C1932" i="436" s="1"/>
  <c r="C1933" i="436" s="1"/>
  <c r="C1934" i="436" s="1"/>
  <c r="C1935" i="436" s="1"/>
  <c r="C1936" i="436" s="1"/>
  <c r="C1937" i="436" s="1"/>
  <c r="C1938" i="436" s="1"/>
  <c r="C1939" i="436" s="1"/>
  <c r="C1940" i="436" s="1"/>
  <c r="C1941" i="436" s="1"/>
  <c r="C1942" i="436" s="1"/>
  <c r="C1943" i="436" s="1"/>
  <c r="C1944" i="436" s="1"/>
  <c r="C1945" i="436" s="1"/>
  <c r="C1946" i="436" s="1"/>
  <c r="C1947" i="436" s="1"/>
  <c r="C1948" i="436" s="1"/>
  <c r="C1949" i="436" s="1"/>
  <c r="C1950" i="436" s="1"/>
  <c r="C1951" i="436" s="1"/>
  <c r="C1952" i="436" s="1"/>
  <c r="C1953" i="436" s="1"/>
  <c r="C1954" i="436" s="1"/>
  <c r="C1955" i="436" s="1"/>
  <c r="C1956" i="436" s="1"/>
  <c r="C1957" i="436" s="1"/>
  <c r="C1958" i="436" s="1"/>
  <c r="C1959" i="436" s="1"/>
  <c r="C1960" i="436" s="1"/>
  <c r="C1961" i="436" s="1"/>
  <c r="C1962" i="436" s="1"/>
  <c r="C1963" i="436" s="1"/>
  <c r="C1964" i="436" s="1"/>
  <c r="C1965" i="436" s="1"/>
  <c r="C1966" i="436" s="1"/>
  <c r="C1967" i="436" s="1"/>
  <c r="C1968" i="436" s="1"/>
  <c r="C1969" i="436" s="1"/>
  <c r="C1970" i="436" s="1"/>
  <c r="C1971" i="436" s="1"/>
  <c r="C1972" i="436" s="1"/>
  <c r="C1973" i="436" s="1"/>
  <c r="C1974" i="436" s="1"/>
  <c r="C1975" i="436" s="1"/>
  <c r="C1976" i="436" s="1"/>
  <c r="C1977" i="436" s="1"/>
  <c r="C1978" i="436" s="1"/>
  <c r="C1979" i="436" s="1"/>
  <c r="C1980" i="436" s="1"/>
  <c r="C1981" i="436" s="1"/>
  <c r="C1982" i="436" s="1"/>
  <c r="C1983" i="436" s="1"/>
  <c r="C1984" i="436" s="1"/>
  <c r="C1985" i="436" s="1"/>
  <c r="C1986" i="436" s="1"/>
  <c r="C1987" i="436" s="1"/>
  <c r="C1988" i="436" s="1"/>
  <c r="C1989" i="436" s="1"/>
  <c r="C1990" i="436" s="1"/>
  <c r="C1991" i="436" s="1"/>
  <c r="C1992" i="436" s="1"/>
  <c r="C1993" i="436" s="1"/>
  <c r="C1994" i="436" s="1"/>
  <c r="C1995" i="436" s="1"/>
  <c r="C1996" i="436" s="1"/>
  <c r="C1997" i="436" s="1"/>
  <c r="C1998" i="436" s="1"/>
  <c r="C1999" i="436" s="1"/>
  <c r="C2000" i="436" s="1"/>
  <c r="C2001" i="436" s="1"/>
  <c r="C2002" i="436" s="1"/>
  <c r="C2003" i="436" s="1"/>
  <c r="C2004" i="436" s="1"/>
  <c r="C2005" i="436" s="1"/>
  <c r="C2006" i="436" s="1"/>
  <c r="C2007" i="436" s="1"/>
  <c r="C2008" i="436" s="1"/>
  <c r="C2009" i="436" s="1"/>
  <c r="C2010" i="436" s="1"/>
  <c r="C2011" i="436" s="1"/>
  <c r="C2012" i="436" s="1"/>
  <c r="C2013" i="436" s="1"/>
  <c r="C2014" i="436" s="1"/>
  <c r="C2015" i="436" s="1"/>
  <c r="C2016" i="436" s="1"/>
  <c r="C2017" i="436" s="1"/>
  <c r="C2018" i="436" s="1"/>
  <c r="C2019" i="436" s="1"/>
  <c r="C2020" i="436" s="1"/>
  <c r="C2021" i="436" s="1"/>
  <c r="C2022" i="436" s="1"/>
  <c r="C2023" i="436" s="1"/>
  <c r="C2024" i="436" s="1"/>
  <c r="C2025" i="436" s="1"/>
  <c r="C2026" i="436" s="1"/>
  <c r="D1386" i="436"/>
  <c r="D1387" i="436" s="1"/>
  <c r="D1388" i="436" s="1"/>
  <c r="D1389" i="436" s="1"/>
  <c r="D1390" i="436" s="1"/>
  <c r="D1391" i="436" s="1"/>
  <c r="D1392" i="436" s="1"/>
  <c r="D1393" i="436" s="1"/>
  <c r="D1394" i="436" s="1"/>
  <c r="D1395" i="436" s="1"/>
  <c r="D1396" i="436" s="1"/>
  <c r="D1397" i="436" s="1"/>
  <c r="D1398" i="436" s="1"/>
  <c r="D1399" i="436" s="1"/>
  <c r="D1400" i="436" s="1"/>
  <c r="D1401" i="436" s="1"/>
  <c r="D1402" i="436" s="1"/>
  <c r="D1403" i="436" s="1"/>
  <c r="D1404" i="436" s="1"/>
  <c r="D1405" i="436" s="1"/>
  <c r="D1406" i="436" s="1"/>
  <c r="D1407" i="436" s="1"/>
  <c r="D1408" i="436" s="1"/>
  <c r="D1409" i="436" s="1"/>
  <c r="D1410" i="436" s="1"/>
  <c r="D1411" i="436" s="1"/>
  <c r="D1412" i="436" s="1"/>
  <c r="D1413" i="436" s="1"/>
  <c r="D1414" i="436" s="1"/>
  <c r="D1415" i="436" s="1"/>
  <c r="D1416" i="436" s="1"/>
  <c r="D1417" i="436" s="1"/>
  <c r="D1418" i="436" s="1"/>
  <c r="D1419" i="436" s="1"/>
  <c r="D1420" i="436" s="1"/>
  <c r="D1421" i="436" s="1"/>
  <c r="D1422" i="436" s="1"/>
  <c r="D1423" i="436" s="1"/>
  <c r="D1424" i="436" s="1"/>
  <c r="D1425" i="436" s="1"/>
  <c r="D1426" i="436" s="1"/>
  <c r="D1427" i="436" s="1"/>
  <c r="D1428" i="436" s="1"/>
  <c r="D1429" i="436" s="1"/>
  <c r="D1430" i="436" s="1"/>
  <c r="D1431" i="436" s="1"/>
  <c r="D1432" i="436" s="1"/>
  <c r="D1433" i="436" s="1"/>
  <c r="D1434" i="436" s="1"/>
  <c r="D1435" i="436" s="1"/>
  <c r="D1436" i="436" s="1"/>
  <c r="D1437" i="436" s="1"/>
  <c r="D1438" i="436" s="1"/>
  <c r="D1439" i="436" s="1"/>
  <c r="D1440" i="436" s="1"/>
  <c r="D1441" i="436" s="1"/>
  <c r="D1442" i="436" s="1"/>
  <c r="D1443" i="436" s="1"/>
  <c r="D1444" i="436" s="1"/>
  <c r="D1445" i="436" s="1"/>
  <c r="D1446" i="436" s="1"/>
  <c r="D1447" i="436" s="1"/>
  <c r="D1448" i="436" s="1"/>
  <c r="D1449" i="436" s="1"/>
  <c r="D1450" i="436" s="1"/>
  <c r="D1451" i="436" s="1"/>
  <c r="D1452" i="436" s="1"/>
  <c r="D1453" i="436" s="1"/>
  <c r="D1454" i="436" s="1"/>
  <c r="D1455" i="436" s="1"/>
  <c r="D1456" i="436" s="1"/>
  <c r="D1457" i="436" s="1"/>
  <c r="D1458" i="436" s="1"/>
  <c r="D1459" i="436" s="1"/>
  <c r="D1460" i="436" s="1"/>
  <c r="D1461" i="436" s="1"/>
  <c r="D1462" i="436" s="1"/>
  <c r="D1463" i="436" s="1"/>
  <c r="D1464" i="436" s="1"/>
  <c r="D1465" i="436" s="1"/>
  <c r="D1466" i="436" s="1"/>
  <c r="D1467" i="436" s="1"/>
  <c r="D1468" i="436" s="1"/>
  <c r="D1469" i="436" s="1"/>
  <c r="D1470" i="436" s="1"/>
  <c r="D1471" i="436" s="1"/>
  <c r="D1472" i="436" s="1"/>
  <c r="D1473" i="436" s="1"/>
  <c r="D1474" i="436" s="1"/>
  <c r="D1475" i="436" s="1"/>
  <c r="D1476" i="436" s="1"/>
  <c r="D1477" i="436" s="1"/>
  <c r="D1478" i="436" s="1"/>
  <c r="D1479" i="436" s="1"/>
  <c r="D1480" i="436" s="1"/>
  <c r="D1481" i="436" s="1"/>
  <c r="D1482" i="436" s="1"/>
  <c r="D1483" i="436" s="1"/>
  <c r="D1484" i="436" s="1"/>
  <c r="D1485" i="436" s="1"/>
  <c r="D1486" i="436" s="1"/>
  <c r="D1487" i="436" s="1"/>
  <c r="D1488" i="436" s="1"/>
  <c r="D1489" i="436" s="1"/>
  <c r="D1490" i="436" s="1"/>
  <c r="D1491" i="436" s="1"/>
  <c r="D1492" i="436" s="1"/>
  <c r="D1493" i="436" s="1"/>
  <c r="D1494" i="436" s="1"/>
  <c r="D1495" i="436" s="1"/>
  <c r="D1496" i="436" s="1"/>
  <c r="D1497" i="436" s="1"/>
  <c r="D1498" i="436" s="1"/>
  <c r="D1499" i="436" s="1"/>
  <c r="D1500" i="436" s="1"/>
  <c r="D1501" i="436" s="1"/>
  <c r="D1502" i="436" s="1"/>
  <c r="D1503" i="436" s="1"/>
  <c r="D1504" i="436" s="1"/>
  <c r="D1505" i="436" s="1"/>
  <c r="D1506" i="436" s="1"/>
  <c r="D1507" i="436" s="1"/>
  <c r="D1508" i="436" s="1"/>
  <c r="D1509" i="436" s="1"/>
  <c r="D1510" i="436" s="1"/>
  <c r="D1511" i="436" s="1"/>
  <c r="D1512" i="436" s="1"/>
  <c r="D1513" i="436" s="1"/>
  <c r="D1514" i="436" s="1"/>
  <c r="D1515" i="436" s="1"/>
  <c r="D1516" i="436" s="1"/>
  <c r="D1517" i="436" s="1"/>
  <c r="D1518" i="436" s="1"/>
  <c r="D1519" i="436" s="1"/>
  <c r="D1520" i="436" s="1"/>
  <c r="D1521" i="436" s="1"/>
  <c r="D1522" i="436" s="1"/>
  <c r="D1523" i="436" s="1"/>
  <c r="D1524" i="436" s="1"/>
  <c r="D1525" i="436" s="1"/>
  <c r="D1526" i="436" s="1"/>
  <c r="D1527" i="436" s="1"/>
  <c r="D1528" i="436" s="1"/>
  <c r="D1529" i="436" s="1"/>
  <c r="D1530" i="436" s="1"/>
  <c r="D1531" i="436" s="1"/>
  <c r="D1532" i="436" s="1"/>
  <c r="D1533" i="436" s="1"/>
  <c r="D1534" i="436" s="1"/>
  <c r="D1535" i="436" s="1"/>
  <c r="D1536" i="436" s="1"/>
  <c r="D1537" i="436" s="1"/>
  <c r="D1538" i="436" s="1"/>
  <c r="D1539" i="436" s="1"/>
  <c r="D1540" i="436" s="1"/>
  <c r="D1541" i="436" s="1"/>
  <c r="D1542" i="436" s="1"/>
  <c r="D1543" i="436" s="1"/>
  <c r="D1544" i="436" s="1"/>
  <c r="D1545" i="436" s="1"/>
  <c r="D1546" i="436" s="1"/>
  <c r="D1547" i="436" s="1"/>
  <c r="D1548" i="436" s="1"/>
  <c r="D1549" i="436" s="1"/>
  <c r="D1550" i="436" s="1"/>
  <c r="D1551" i="436" s="1"/>
  <c r="D1552" i="436" s="1"/>
  <c r="D1553" i="436" s="1"/>
  <c r="D1554" i="436" s="1"/>
  <c r="D1555" i="436" s="1"/>
  <c r="D1556" i="436" s="1"/>
  <c r="D1557" i="436" s="1"/>
  <c r="D1558" i="436" s="1"/>
  <c r="D1559" i="436" s="1"/>
  <c r="D1560" i="436" s="1"/>
  <c r="D1561" i="436" s="1"/>
  <c r="D1562" i="436" s="1"/>
  <c r="D1563" i="436" s="1"/>
  <c r="D1564" i="436" s="1"/>
  <c r="D1565" i="436" s="1"/>
  <c r="D1566" i="436" s="1"/>
  <c r="D1567" i="436" s="1"/>
  <c r="D1568" i="436" s="1"/>
  <c r="D1569" i="436" s="1"/>
  <c r="D1570" i="436" s="1"/>
  <c r="D1571" i="436" s="1"/>
  <c r="D1572" i="436" s="1"/>
  <c r="D1573" i="436" s="1"/>
  <c r="D1574" i="436" s="1"/>
  <c r="D1575" i="436" s="1"/>
  <c r="D1576" i="436" s="1"/>
  <c r="D1577" i="436" s="1"/>
  <c r="D1578" i="436" s="1"/>
  <c r="D1579" i="436" s="1"/>
  <c r="D1580" i="436" s="1"/>
  <c r="D1581" i="436" s="1"/>
  <c r="D1582" i="436" s="1"/>
  <c r="D1583" i="436" s="1"/>
  <c r="D1584" i="436" s="1"/>
  <c r="D1585" i="436" s="1"/>
  <c r="D1586" i="436" s="1"/>
  <c r="D1587" i="436" s="1"/>
  <c r="D1588" i="436" s="1"/>
  <c r="D1589" i="436" s="1"/>
  <c r="D1590" i="436" s="1"/>
  <c r="D1591" i="436" s="1"/>
  <c r="D1592" i="436" s="1"/>
  <c r="D1593" i="436" s="1"/>
  <c r="D1594" i="436" s="1"/>
  <c r="D1595" i="436" s="1"/>
  <c r="D1596" i="436" s="1"/>
  <c r="D1597" i="436" s="1"/>
  <c r="D1598" i="436" s="1"/>
  <c r="D1599" i="436" s="1"/>
  <c r="D1600" i="436" s="1"/>
  <c r="D1601" i="436" s="1"/>
  <c r="D1602" i="436" s="1"/>
  <c r="D1603" i="436" s="1"/>
  <c r="D1604" i="436" s="1"/>
  <c r="D1605" i="436" s="1"/>
  <c r="D1606" i="436" s="1"/>
  <c r="D1607" i="436" s="1"/>
  <c r="D1608" i="436" s="1"/>
  <c r="D1609" i="436" s="1"/>
  <c r="D1610" i="436" s="1"/>
  <c r="D1611" i="436" s="1"/>
  <c r="D1612" i="436" s="1"/>
  <c r="D1613" i="436" s="1"/>
  <c r="D1614" i="436" s="1"/>
  <c r="D1615" i="436" s="1"/>
  <c r="D1616" i="436" s="1"/>
  <c r="D1617" i="436" s="1"/>
  <c r="D1618" i="436" s="1"/>
  <c r="D1619" i="436" s="1"/>
  <c r="D1620" i="436" s="1"/>
  <c r="D1621" i="436" s="1"/>
  <c r="D1622" i="436" s="1"/>
  <c r="D1623" i="436" s="1"/>
  <c r="D1624" i="436" s="1"/>
  <c r="D1625" i="436" s="1"/>
  <c r="D1626" i="436" s="1"/>
  <c r="D1627" i="436" s="1"/>
  <c r="D1628" i="436" s="1"/>
  <c r="D1629" i="436" s="1"/>
  <c r="D1630" i="436" s="1"/>
  <c r="D1631" i="436" s="1"/>
  <c r="D1632" i="436" s="1"/>
  <c r="D1633" i="436" s="1"/>
  <c r="D1634" i="436" s="1"/>
  <c r="D1635" i="436" s="1"/>
  <c r="D1636" i="436" s="1"/>
  <c r="D1637" i="436" s="1"/>
  <c r="D1638" i="436" s="1"/>
  <c r="D1639" i="436" s="1"/>
  <c r="D1640" i="436" s="1"/>
  <c r="D1641" i="436" s="1"/>
  <c r="D1642" i="436" s="1"/>
  <c r="D1643" i="436" s="1"/>
  <c r="D1644" i="436" s="1"/>
  <c r="D1645" i="436" s="1"/>
  <c r="D1646" i="436" s="1"/>
  <c r="D1647" i="436" s="1"/>
  <c r="D1648" i="436" s="1"/>
  <c r="D1649" i="436" s="1"/>
  <c r="D1650" i="436" s="1"/>
  <c r="D1651" i="436" s="1"/>
  <c r="D1652" i="436" s="1"/>
  <c r="D1653" i="436" s="1"/>
  <c r="D1654" i="436" s="1"/>
  <c r="D1655" i="436" s="1"/>
  <c r="D1656" i="436" s="1"/>
  <c r="D1657" i="436" s="1"/>
  <c r="D1658" i="436" s="1"/>
  <c r="D1659" i="436" s="1"/>
  <c r="D1660" i="436" s="1"/>
  <c r="D1661" i="436" s="1"/>
  <c r="D1662" i="436" s="1"/>
  <c r="D1663" i="436" s="1"/>
  <c r="D1664" i="436" s="1"/>
  <c r="D1665" i="436" s="1"/>
  <c r="D1666" i="436" s="1"/>
  <c r="D1667" i="436" s="1"/>
  <c r="D1668" i="436" s="1"/>
  <c r="D1669" i="436" s="1"/>
  <c r="D1670" i="436" s="1"/>
  <c r="D1671" i="436" s="1"/>
  <c r="D1672" i="436" s="1"/>
  <c r="D1673" i="436" s="1"/>
  <c r="D1674" i="436" s="1"/>
  <c r="D1675" i="436" s="1"/>
  <c r="D1676" i="436" s="1"/>
  <c r="D1677" i="436" s="1"/>
  <c r="D1678" i="436" s="1"/>
  <c r="D1679" i="436" s="1"/>
  <c r="D1680" i="436" s="1"/>
  <c r="D1681" i="436" s="1"/>
  <c r="D1682" i="436" s="1"/>
  <c r="D1683" i="436" s="1"/>
  <c r="D1684" i="436" s="1"/>
  <c r="D1685" i="436" s="1"/>
  <c r="D1686" i="436" s="1"/>
  <c r="D1687" i="436" s="1"/>
  <c r="D1688" i="436" s="1"/>
  <c r="D1689" i="436" s="1"/>
  <c r="D1690" i="436" s="1"/>
  <c r="D1691" i="436" s="1"/>
  <c r="D1692" i="436" s="1"/>
  <c r="D1693" i="436" s="1"/>
  <c r="D1694" i="436" s="1"/>
  <c r="D1695" i="436" s="1"/>
  <c r="D1696" i="436" s="1"/>
  <c r="D1697" i="436" s="1"/>
  <c r="D1698" i="436" s="1"/>
  <c r="D1699" i="436" s="1"/>
  <c r="D1700" i="436" s="1"/>
  <c r="D1701" i="436" s="1"/>
  <c r="D1702" i="436" s="1"/>
  <c r="D1703" i="436" s="1"/>
  <c r="D1704" i="436" s="1"/>
  <c r="D1705" i="436" s="1"/>
  <c r="D1706" i="436" s="1"/>
  <c r="D1707" i="436" s="1"/>
  <c r="D1708" i="436" s="1"/>
  <c r="D1709" i="436" s="1"/>
  <c r="D1710" i="436" s="1"/>
  <c r="D1711" i="436" s="1"/>
  <c r="D1712" i="436" s="1"/>
  <c r="D1713" i="436" s="1"/>
  <c r="D1714" i="436" s="1"/>
  <c r="D1715" i="436" s="1"/>
  <c r="D1716" i="436" s="1"/>
  <c r="D1717" i="436" s="1"/>
  <c r="D1718" i="436" s="1"/>
  <c r="D1719" i="436" s="1"/>
  <c r="D1720" i="436" s="1"/>
  <c r="D1721" i="436" s="1"/>
  <c r="D1722" i="436" s="1"/>
  <c r="D1723" i="436" s="1"/>
  <c r="D1724" i="436" s="1"/>
  <c r="D1725" i="436" s="1"/>
  <c r="D1726" i="436" s="1"/>
  <c r="D1727" i="436" s="1"/>
  <c r="D1728" i="436" s="1"/>
  <c r="D1729" i="436" s="1"/>
  <c r="D1730" i="436" s="1"/>
  <c r="D1731" i="436" s="1"/>
  <c r="D1732" i="436" s="1"/>
  <c r="D1733" i="436" s="1"/>
  <c r="D1734" i="436" s="1"/>
  <c r="D1735" i="436" s="1"/>
  <c r="D1736" i="436" s="1"/>
  <c r="D1737" i="436" s="1"/>
  <c r="D1738" i="436" s="1"/>
  <c r="D1739" i="436" s="1"/>
  <c r="D1740" i="436" s="1"/>
  <c r="D1741" i="436" s="1"/>
  <c r="D1742" i="436" s="1"/>
  <c r="D1743" i="436" s="1"/>
  <c r="D1744" i="436" s="1"/>
  <c r="D1745" i="436" s="1"/>
  <c r="D1746" i="436" s="1"/>
  <c r="D1747" i="436" s="1"/>
  <c r="D1748" i="436" s="1"/>
  <c r="D1749" i="436" s="1"/>
  <c r="D1750" i="436" s="1"/>
  <c r="D1751" i="436" s="1"/>
  <c r="D1752" i="436" s="1"/>
  <c r="D1753" i="436" s="1"/>
  <c r="D1754" i="436" s="1"/>
  <c r="D1755" i="436" s="1"/>
  <c r="D1756" i="436" s="1"/>
  <c r="D1757" i="436" s="1"/>
  <c r="D1758" i="436" s="1"/>
  <c r="D1759" i="436" s="1"/>
  <c r="D1760" i="436" s="1"/>
  <c r="D1761" i="436" s="1"/>
  <c r="D1762" i="436" s="1"/>
  <c r="D1763" i="436" s="1"/>
  <c r="D1764" i="436" s="1"/>
  <c r="D1765" i="436" s="1"/>
  <c r="D1766" i="436" s="1"/>
  <c r="D1767" i="436" s="1"/>
  <c r="D1768" i="436" s="1"/>
  <c r="D1769" i="436" s="1"/>
  <c r="D1770" i="436" s="1"/>
  <c r="D1771" i="436" s="1"/>
  <c r="D1772" i="436" s="1"/>
  <c r="D1773" i="436" s="1"/>
  <c r="D1774" i="436" s="1"/>
  <c r="D1775" i="436" s="1"/>
  <c r="D1776" i="436" s="1"/>
  <c r="D1777" i="436" s="1"/>
  <c r="D1778" i="436" s="1"/>
  <c r="D1779" i="436" s="1"/>
  <c r="D1780" i="436" s="1"/>
  <c r="D1781" i="436" s="1"/>
  <c r="D1782" i="436" s="1"/>
  <c r="D1783" i="436" s="1"/>
  <c r="D1784" i="436" s="1"/>
  <c r="D1785" i="436" s="1"/>
  <c r="D1786" i="436" s="1"/>
  <c r="D1787" i="436" s="1"/>
  <c r="D1788" i="436" s="1"/>
  <c r="D1789" i="436" s="1"/>
  <c r="D1790" i="436" s="1"/>
  <c r="D1791" i="436" s="1"/>
  <c r="D1792" i="436" s="1"/>
  <c r="D1793" i="436" s="1"/>
  <c r="D1794" i="436" s="1"/>
  <c r="D1795" i="436" s="1"/>
  <c r="D1796" i="436" s="1"/>
  <c r="D1797" i="436" s="1"/>
  <c r="D1798" i="436" s="1"/>
  <c r="D1799" i="436" s="1"/>
  <c r="D1800" i="436" s="1"/>
  <c r="D1801" i="436" s="1"/>
  <c r="D1802" i="436" s="1"/>
  <c r="D1803" i="436" s="1"/>
  <c r="D1804" i="436" s="1"/>
  <c r="D1805" i="436" s="1"/>
  <c r="D1806" i="436" s="1"/>
  <c r="D1807" i="436" s="1"/>
  <c r="D1808" i="436" s="1"/>
  <c r="D1809" i="436" s="1"/>
  <c r="D1810" i="436" s="1"/>
  <c r="D1811" i="436" s="1"/>
  <c r="D1812" i="436" s="1"/>
  <c r="D1813" i="436" s="1"/>
  <c r="D1814" i="436" s="1"/>
  <c r="D1815" i="436" s="1"/>
  <c r="D1816" i="436" s="1"/>
  <c r="D1817" i="436" s="1"/>
  <c r="D1818" i="436" s="1"/>
  <c r="D1819" i="436" s="1"/>
  <c r="D1820" i="436" s="1"/>
  <c r="D1821" i="436" s="1"/>
  <c r="D1822" i="436" s="1"/>
  <c r="D1823" i="436" s="1"/>
  <c r="D1824" i="436" s="1"/>
  <c r="D1825" i="436" s="1"/>
  <c r="D1826" i="436" s="1"/>
  <c r="D1827" i="436" s="1"/>
  <c r="D1828" i="436" s="1"/>
  <c r="D1829" i="436" s="1"/>
  <c r="D1830" i="436" s="1"/>
  <c r="D1831" i="436" s="1"/>
  <c r="D1832" i="436" s="1"/>
  <c r="D1833" i="436" s="1"/>
  <c r="D1834" i="436" s="1"/>
  <c r="D1835" i="436" s="1"/>
  <c r="D1836" i="436" s="1"/>
  <c r="D1837" i="436" s="1"/>
  <c r="D1838" i="436" s="1"/>
  <c r="D1839" i="436" s="1"/>
  <c r="D1840" i="436" s="1"/>
  <c r="D1841" i="436" s="1"/>
  <c r="D1842" i="436" s="1"/>
  <c r="D1843" i="436" s="1"/>
  <c r="D1844" i="436" s="1"/>
  <c r="D1845" i="436" s="1"/>
  <c r="D1846" i="436" s="1"/>
  <c r="D1847" i="436" s="1"/>
  <c r="D1848" i="436" s="1"/>
  <c r="D1849" i="436" s="1"/>
  <c r="D1850" i="436" s="1"/>
  <c r="D1851" i="436" s="1"/>
  <c r="D1852" i="436" s="1"/>
  <c r="D1853" i="436" s="1"/>
  <c r="D1854" i="436" s="1"/>
  <c r="D1855" i="436" s="1"/>
  <c r="D1856" i="436" s="1"/>
  <c r="D1857" i="436" s="1"/>
  <c r="D1858" i="436" s="1"/>
  <c r="D1859" i="436" s="1"/>
  <c r="D1860" i="436" s="1"/>
  <c r="D1861" i="436" s="1"/>
  <c r="D1862" i="436" s="1"/>
  <c r="D1863" i="436" s="1"/>
  <c r="D1864" i="436" s="1"/>
  <c r="D1865" i="436" s="1"/>
  <c r="D1866" i="436" s="1"/>
  <c r="D1867" i="436" s="1"/>
  <c r="D1868" i="436" s="1"/>
  <c r="D1869" i="436" s="1"/>
  <c r="D1870" i="436" s="1"/>
  <c r="D1871" i="436" s="1"/>
  <c r="D1872" i="436" s="1"/>
  <c r="D1873" i="436" s="1"/>
  <c r="D1874" i="436" s="1"/>
  <c r="D1875" i="436" s="1"/>
  <c r="D1876" i="436" s="1"/>
  <c r="D1877" i="436" s="1"/>
  <c r="D1878" i="436" s="1"/>
  <c r="D1879" i="436" s="1"/>
  <c r="D1880" i="436" s="1"/>
  <c r="D1881" i="436" s="1"/>
  <c r="D1882" i="436" s="1"/>
  <c r="D1883" i="436" s="1"/>
  <c r="D1884" i="436" s="1"/>
  <c r="D1885" i="436" s="1"/>
  <c r="D1886" i="436" s="1"/>
  <c r="D1887" i="436" s="1"/>
  <c r="D1888" i="436" s="1"/>
  <c r="D1889" i="436" s="1"/>
  <c r="D1890" i="436" s="1"/>
  <c r="D1891" i="436" s="1"/>
  <c r="D1892" i="436" s="1"/>
  <c r="D1893" i="436" s="1"/>
  <c r="D1894" i="436" s="1"/>
  <c r="D1895" i="436" s="1"/>
  <c r="D1896" i="436" s="1"/>
  <c r="D1897" i="436" s="1"/>
  <c r="D1898" i="436" s="1"/>
  <c r="D1899" i="436" s="1"/>
  <c r="D1900" i="436" s="1"/>
  <c r="D1901" i="436" s="1"/>
  <c r="D1902" i="436" s="1"/>
  <c r="D1903" i="436" s="1"/>
  <c r="D1904" i="436" s="1"/>
  <c r="D1905" i="436" s="1"/>
  <c r="D1906" i="436" s="1"/>
  <c r="D1907" i="436" s="1"/>
  <c r="D1908" i="436" s="1"/>
  <c r="D1909" i="436" s="1"/>
  <c r="D1910" i="436" s="1"/>
  <c r="D1911" i="436" s="1"/>
  <c r="D1912" i="436" s="1"/>
  <c r="D1913" i="436" s="1"/>
  <c r="D1914" i="436" s="1"/>
  <c r="D1915" i="436" s="1"/>
  <c r="D1916" i="436" s="1"/>
  <c r="D1917" i="436" s="1"/>
  <c r="D1918" i="436" s="1"/>
  <c r="D1919" i="436" s="1"/>
  <c r="D1920" i="436" s="1"/>
  <c r="D1921" i="436" s="1"/>
  <c r="D1922" i="436" s="1"/>
  <c r="D1923" i="436" s="1"/>
  <c r="D1924" i="436" s="1"/>
  <c r="D1925" i="436" s="1"/>
  <c r="D1926" i="436" s="1"/>
  <c r="D1927" i="436" s="1"/>
  <c r="D1928" i="436" s="1"/>
  <c r="D1929" i="436" s="1"/>
  <c r="D1930" i="436" s="1"/>
  <c r="D1931" i="436" s="1"/>
  <c r="D1932" i="436" s="1"/>
  <c r="D1933" i="436" s="1"/>
  <c r="D1934" i="436" s="1"/>
  <c r="D1935" i="436" s="1"/>
  <c r="D1936" i="436" s="1"/>
  <c r="D1937" i="436" s="1"/>
  <c r="D1938" i="436" s="1"/>
  <c r="D1939" i="436" s="1"/>
  <c r="D1940" i="436" s="1"/>
  <c r="D1941" i="436" s="1"/>
  <c r="D1942" i="436" s="1"/>
  <c r="D1943" i="436" s="1"/>
  <c r="D1944" i="436" s="1"/>
  <c r="D1945" i="436" s="1"/>
  <c r="D1946" i="436" s="1"/>
  <c r="D1947" i="436" s="1"/>
  <c r="D1948" i="436" s="1"/>
  <c r="D1949" i="436" s="1"/>
  <c r="D1950" i="436" s="1"/>
  <c r="D1951" i="436" s="1"/>
  <c r="D1952" i="436" s="1"/>
  <c r="D1953" i="436" s="1"/>
  <c r="D1954" i="436" s="1"/>
  <c r="D1955" i="436" s="1"/>
  <c r="D1956" i="436" s="1"/>
  <c r="D1957" i="436" s="1"/>
  <c r="D1958" i="436" s="1"/>
  <c r="D1959" i="436" s="1"/>
  <c r="D1960" i="436" s="1"/>
  <c r="D1961" i="436" s="1"/>
  <c r="D1962" i="436" s="1"/>
  <c r="D1963" i="436" s="1"/>
  <c r="D1964" i="436" s="1"/>
  <c r="D1965" i="436" s="1"/>
  <c r="D1966" i="436" s="1"/>
  <c r="D1967" i="436" s="1"/>
  <c r="D1968" i="436" s="1"/>
  <c r="D1969" i="436" s="1"/>
  <c r="D1970" i="436" s="1"/>
  <c r="D1971" i="436" s="1"/>
  <c r="D1972" i="436" s="1"/>
  <c r="D1973" i="436" s="1"/>
  <c r="D1974" i="436" s="1"/>
  <c r="D1975" i="436" s="1"/>
  <c r="D1976" i="436" s="1"/>
  <c r="D1977" i="436" s="1"/>
  <c r="D1978" i="436" s="1"/>
  <c r="D1979" i="436" s="1"/>
  <c r="D1980" i="436" s="1"/>
  <c r="D1981" i="436" s="1"/>
  <c r="D1982" i="436" s="1"/>
  <c r="D1983" i="436" s="1"/>
  <c r="D1984" i="436" s="1"/>
  <c r="D1985" i="436" s="1"/>
  <c r="D1986" i="436" s="1"/>
  <c r="D1987" i="436" s="1"/>
  <c r="D1988" i="436" s="1"/>
  <c r="D1989" i="436" s="1"/>
  <c r="D1990" i="436" s="1"/>
  <c r="D1991" i="436" s="1"/>
  <c r="D1992" i="436" s="1"/>
  <c r="D1993" i="436" s="1"/>
  <c r="D1994" i="436" s="1"/>
  <c r="D1995" i="436" s="1"/>
  <c r="D1996" i="436" s="1"/>
  <c r="D1997" i="436" s="1"/>
  <c r="D1998" i="436" s="1"/>
  <c r="D1999" i="436" s="1"/>
  <c r="D2000" i="436" s="1"/>
  <c r="D2001" i="436" s="1"/>
  <c r="D2002" i="436" s="1"/>
  <c r="D2003" i="436" s="1"/>
  <c r="D2004" i="436" s="1"/>
  <c r="D2005" i="436" s="1"/>
  <c r="D2006" i="436" s="1"/>
  <c r="D2007" i="436" s="1"/>
  <c r="D2008" i="436" s="1"/>
  <c r="D2009" i="436" s="1"/>
  <c r="D2010" i="436" s="1"/>
  <c r="D2011" i="436" s="1"/>
  <c r="D2012" i="436" s="1"/>
  <c r="D2013" i="436" s="1"/>
  <c r="D2014" i="436" s="1"/>
  <c r="D2015" i="436" s="1"/>
  <c r="D2016" i="436" s="1"/>
  <c r="D2017" i="436" s="1"/>
  <c r="D2018" i="436" s="1"/>
  <c r="D2019" i="436" s="1"/>
  <c r="D2020" i="436" s="1"/>
  <c r="D2021" i="436" s="1"/>
  <c r="D2022" i="436" s="1"/>
  <c r="D2023" i="436" s="1"/>
  <c r="D2024" i="436" s="1"/>
  <c r="D2025" i="436" s="1"/>
  <c r="D2026" i="436" s="1"/>
  <c r="E1387" i="436"/>
  <c r="E1388" i="436" s="1"/>
  <c r="E1389" i="436" s="1"/>
  <c r="E1390" i="436" s="1"/>
  <c r="E1391" i="436" s="1"/>
  <c r="E1392" i="436" s="1"/>
  <c r="E1393" i="436" s="1"/>
  <c r="E1394" i="436" s="1"/>
  <c r="E1395" i="436" s="1"/>
  <c r="E1396" i="436" s="1"/>
  <c r="E1397" i="436" s="1"/>
  <c r="E1398" i="436" s="1"/>
  <c r="E1399" i="436" s="1"/>
  <c r="E1400" i="436" s="1"/>
  <c r="E1401" i="436" s="1"/>
  <c r="E1402" i="436" s="1"/>
  <c r="E1403" i="436" s="1"/>
  <c r="E1404" i="436" s="1"/>
  <c r="E1405" i="436" s="1"/>
  <c r="E1406" i="436" s="1"/>
  <c r="E1407" i="436" s="1"/>
  <c r="E1408" i="436" s="1"/>
  <c r="E1409" i="436" s="1"/>
  <c r="E1410" i="436" s="1"/>
  <c r="E1411" i="436" s="1"/>
  <c r="E1412" i="436" s="1"/>
  <c r="E1413" i="436" s="1"/>
  <c r="E1414" i="436" s="1"/>
  <c r="E1415" i="436" s="1"/>
  <c r="E1416" i="436" s="1"/>
  <c r="E1417" i="436" s="1"/>
  <c r="E1418" i="436" s="1"/>
  <c r="E1419" i="436" s="1"/>
  <c r="E1420" i="436" s="1"/>
  <c r="E1421" i="436" s="1"/>
  <c r="E1422" i="436" s="1"/>
  <c r="E1423" i="436" s="1"/>
  <c r="E1424" i="436" s="1"/>
  <c r="E1425" i="436" s="1"/>
  <c r="E1426" i="436" s="1"/>
  <c r="E1427" i="436" s="1"/>
  <c r="E1428" i="436" s="1"/>
  <c r="E1429" i="436" s="1"/>
  <c r="E1430" i="436" s="1"/>
  <c r="E1431" i="436" s="1"/>
  <c r="E1432" i="436" s="1"/>
  <c r="E1433" i="436" s="1"/>
  <c r="E1434" i="436" s="1"/>
  <c r="E1435" i="436" s="1"/>
  <c r="E1436" i="436" s="1"/>
  <c r="E1437" i="436" s="1"/>
  <c r="E1438" i="436" s="1"/>
  <c r="E1439" i="436" s="1"/>
  <c r="E1440" i="436" s="1"/>
  <c r="E1441" i="436" s="1"/>
  <c r="E1442" i="436" s="1"/>
  <c r="E1443" i="436" s="1"/>
  <c r="E1444" i="436" s="1"/>
  <c r="E1445" i="436" s="1"/>
  <c r="E1446" i="436" s="1"/>
  <c r="E1447" i="436" s="1"/>
  <c r="E1448" i="436" s="1"/>
  <c r="E1449" i="436" s="1"/>
  <c r="E1450" i="436" s="1"/>
  <c r="E1451" i="436" s="1"/>
  <c r="E1452" i="436" s="1"/>
  <c r="E1453" i="436" s="1"/>
  <c r="E1454" i="436" s="1"/>
  <c r="E1455" i="436" s="1"/>
  <c r="E1456" i="436" s="1"/>
  <c r="E1457" i="436" s="1"/>
  <c r="E1458" i="436" s="1"/>
  <c r="E1459" i="436" s="1"/>
  <c r="E1460" i="436" s="1"/>
  <c r="E1461" i="436" s="1"/>
  <c r="E1462" i="436" s="1"/>
  <c r="E1463" i="436" s="1"/>
  <c r="E1464" i="436" s="1"/>
  <c r="E1465" i="436" s="1"/>
  <c r="E1466" i="436" s="1"/>
  <c r="E1467" i="436" s="1"/>
  <c r="E1468" i="436" s="1"/>
  <c r="E1469" i="436" s="1"/>
  <c r="E1470" i="436" s="1"/>
  <c r="E1471" i="436" s="1"/>
  <c r="E1472" i="436" s="1"/>
  <c r="E1473" i="436" s="1"/>
  <c r="E1474" i="436" s="1"/>
  <c r="E1475" i="436" s="1"/>
  <c r="E1476" i="436" s="1"/>
  <c r="E1477" i="436" s="1"/>
  <c r="E1478" i="436" s="1"/>
  <c r="E1479" i="436" s="1"/>
  <c r="E1480" i="436" s="1"/>
  <c r="E1481" i="436" s="1"/>
  <c r="E1482" i="436" s="1"/>
  <c r="E1483" i="436" s="1"/>
  <c r="E1484" i="436" s="1"/>
  <c r="E1485" i="436" s="1"/>
  <c r="E1486" i="436" s="1"/>
  <c r="E1487" i="436" s="1"/>
  <c r="E1488" i="436" s="1"/>
  <c r="E1489" i="436" s="1"/>
  <c r="E1490" i="436" s="1"/>
  <c r="E1491" i="436" s="1"/>
  <c r="E1492" i="436" s="1"/>
  <c r="E1493" i="436" s="1"/>
  <c r="E1494" i="436" s="1"/>
  <c r="E1495" i="436" s="1"/>
  <c r="E1496" i="436" s="1"/>
  <c r="E1497" i="436" s="1"/>
  <c r="E1498" i="436" s="1"/>
  <c r="E1499" i="436" s="1"/>
  <c r="E1500" i="436" s="1"/>
  <c r="E1501" i="436" s="1"/>
  <c r="E1502" i="436" s="1"/>
  <c r="E1503" i="436" s="1"/>
  <c r="E1504" i="436" s="1"/>
  <c r="E1505" i="436" s="1"/>
  <c r="E1506" i="436" s="1"/>
  <c r="E1507" i="436" s="1"/>
  <c r="E1508" i="436" s="1"/>
  <c r="E1509" i="436" s="1"/>
  <c r="E1510" i="436" s="1"/>
  <c r="E1511" i="436" s="1"/>
  <c r="E1512" i="436" s="1"/>
  <c r="E1513" i="436" s="1"/>
  <c r="E1514" i="436" s="1"/>
  <c r="E1515" i="436" s="1"/>
  <c r="E1516" i="436" s="1"/>
  <c r="E1517" i="436" s="1"/>
  <c r="E1518" i="436" s="1"/>
  <c r="E1519" i="436" s="1"/>
  <c r="E1520" i="436" s="1"/>
  <c r="E1521" i="436" s="1"/>
  <c r="E1522" i="436" s="1"/>
  <c r="E1523" i="436" s="1"/>
  <c r="E1524" i="436" s="1"/>
  <c r="E1525" i="436" s="1"/>
  <c r="E1526" i="436" s="1"/>
  <c r="E1527" i="436" s="1"/>
  <c r="E1528" i="436" s="1"/>
  <c r="E1529" i="436" s="1"/>
  <c r="E1530" i="436" s="1"/>
  <c r="E1531" i="436" s="1"/>
  <c r="E1532" i="436" s="1"/>
  <c r="E1533" i="436" s="1"/>
  <c r="E1534" i="436" s="1"/>
  <c r="E1535" i="436" s="1"/>
  <c r="E1536" i="436" s="1"/>
  <c r="E1537" i="436" s="1"/>
  <c r="E1538" i="436" s="1"/>
  <c r="E1539" i="436" s="1"/>
  <c r="E1540" i="436" s="1"/>
  <c r="E1541" i="436" s="1"/>
  <c r="E1542" i="436" s="1"/>
  <c r="E1543" i="436" s="1"/>
  <c r="E1544" i="436" s="1"/>
  <c r="E1545" i="436" s="1"/>
  <c r="E1546" i="436" s="1"/>
  <c r="E1547" i="436" s="1"/>
  <c r="E1548" i="436" s="1"/>
  <c r="E1549" i="436" s="1"/>
  <c r="E1550" i="436" s="1"/>
  <c r="E1551" i="436" s="1"/>
  <c r="E1552" i="436" s="1"/>
  <c r="E1553" i="436" s="1"/>
  <c r="E1554" i="436" s="1"/>
  <c r="E1555" i="436" s="1"/>
  <c r="E1556" i="436" s="1"/>
  <c r="E1557" i="436" s="1"/>
  <c r="E1558" i="436" s="1"/>
  <c r="E1559" i="436" s="1"/>
  <c r="E1560" i="436" s="1"/>
  <c r="E1561" i="436" s="1"/>
  <c r="E1562" i="436" s="1"/>
  <c r="E1563" i="436" s="1"/>
  <c r="E1564" i="436" s="1"/>
  <c r="E1565" i="436" s="1"/>
  <c r="E1566" i="436" s="1"/>
  <c r="E1567" i="436" s="1"/>
  <c r="E1568" i="436" s="1"/>
  <c r="E1569" i="436" s="1"/>
  <c r="E1570" i="436" s="1"/>
  <c r="E1571" i="436" s="1"/>
  <c r="E1572" i="436" s="1"/>
  <c r="E1573" i="436" s="1"/>
  <c r="E1574" i="436" s="1"/>
  <c r="E1575" i="436" s="1"/>
  <c r="E1576" i="436" s="1"/>
  <c r="E1577" i="436" s="1"/>
  <c r="E1578" i="436" s="1"/>
  <c r="E1579" i="436" s="1"/>
  <c r="E1580" i="436" s="1"/>
  <c r="E1581" i="436" s="1"/>
  <c r="E1582" i="436" s="1"/>
  <c r="E1583" i="436" s="1"/>
  <c r="E1584" i="436" s="1"/>
  <c r="E1585" i="436" s="1"/>
  <c r="E1586" i="436" s="1"/>
  <c r="E1587" i="436" s="1"/>
  <c r="E1588" i="436" s="1"/>
  <c r="E1589" i="436" s="1"/>
  <c r="E1590" i="436" s="1"/>
  <c r="E1591" i="436" s="1"/>
  <c r="E1592" i="436" s="1"/>
  <c r="E1593" i="436" s="1"/>
  <c r="E1594" i="436" s="1"/>
  <c r="E1595" i="436" s="1"/>
  <c r="E1596" i="436" s="1"/>
  <c r="E1597" i="436" s="1"/>
  <c r="E1598" i="436" s="1"/>
  <c r="E1599" i="436" s="1"/>
  <c r="E1600" i="436" s="1"/>
  <c r="E1601" i="436" s="1"/>
  <c r="E1602" i="436" s="1"/>
  <c r="E1603" i="436" s="1"/>
  <c r="E1604" i="436" s="1"/>
  <c r="E1605" i="436" s="1"/>
  <c r="E1606" i="436" s="1"/>
  <c r="E1607" i="436" s="1"/>
  <c r="E1608" i="436" s="1"/>
  <c r="E1609" i="436" s="1"/>
  <c r="E1610" i="436" s="1"/>
  <c r="E1611" i="436" s="1"/>
  <c r="E1612" i="436" s="1"/>
  <c r="E1613" i="436" s="1"/>
  <c r="E1614" i="436" s="1"/>
  <c r="E1615" i="436" s="1"/>
  <c r="E1616" i="436" s="1"/>
  <c r="E1617" i="436" s="1"/>
  <c r="E1618" i="436" s="1"/>
  <c r="E1619" i="436" s="1"/>
  <c r="E1620" i="436" s="1"/>
  <c r="E1621" i="436" s="1"/>
  <c r="E1622" i="436" s="1"/>
  <c r="E1623" i="436" s="1"/>
  <c r="E1624" i="436" s="1"/>
  <c r="E1625" i="436" s="1"/>
  <c r="E1626" i="436" s="1"/>
  <c r="E1627" i="436" s="1"/>
  <c r="E1628" i="436" s="1"/>
  <c r="E1629" i="436" s="1"/>
  <c r="E1630" i="436" s="1"/>
  <c r="E1631" i="436" s="1"/>
  <c r="E1632" i="436" s="1"/>
  <c r="E1633" i="436" s="1"/>
  <c r="E1634" i="436" s="1"/>
  <c r="E1635" i="436" s="1"/>
  <c r="E1636" i="436" s="1"/>
  <c r="E1637" i="436" s="1"/>
  <c r="E1638" i="436" s="1"/>
  <c r="E1639" i="436" s="1"/>
  <c r="E1640" i="436" s="1"/>
  <c r="E1641" i="436" s="1"/>
  <c r="E1642" i="436" s="1"/>
  <c r="E1643" i="436" s="1"/>
  <c r="E1644" i="436" s="1"/>
  <c r="E1645" i="436" s="1"/>
  <c r="E1646" i="436" s="1"/>
  <c r="E1647" i="436" s="1"/>
  <c r="E1648" i="436" s="1"/>
  <c r="E1649" i="436" s="1"/>
  <c r="E1650" i="436" s="1"/>
  <c r="E1651" i="436" s="1"/>
  <c r="E1652" i="436" s="1"/>
  <c r="E1653" i="436" s="1"/>
  <c r="E1654" i="436" s="1"/>
  <c r="E1655" i="436" s="1"/>
  <c r="E1656" i="436" s="1"/>
  <c r="E1657" i="436" s="1"/>
  <c r="E1658" i="436" s="1"/>
  <c r="E1659" i="436" s="1"/>
  <c r="E1660" i="436" s="1"/>
  <c r="E1661" i="436" s="1"/>
  <c r="E1662" i="436" s="1"/>
  <c r="E1663" i="436" s="1"/>
  <c r="E1664" i="436" s="1"/>
  <c r="E1665" i="436" s="1"/>
  <c r="E1666" i="436" s="1"/>
  <c r="E1667" i="436" s="1"/>
  <c r="E1668" i="436" s="1"/>
  <c r="E1669" i="436" s="1"/>
  <c r="E1670" i="436" s="1"/>
  <c r="E1671" i="436" s="1"/>
  <c r="E1672" i="436" s="1"/>
  <c r="E1673" i="436" s="1"/>
  <c r="E1674" i="436" s="1"/>
  <c r="E1675" i="436" s="1"/>
  <c r="E1676" i="436" s="1"/>
  <c r="E1677" i="436" s="1"/>
  <c r="E1678" i="436" s="1"/>
  <c r="E1679" i="436" s="1"/>
  <c r="E1680" i="436" s="1"/>
  <c r="E1681" i="436" s="1"/>
  <c r="E1682" i="436" s="1"/>
  <c r="E1683" i="436" s="1"/>
  <c r="E1684" i="436" s="1"/>
  <c r="E1685" i="436" s="1"/>
  <c r="E1686" i="436" s="1"/>
  <c r="E1687" i="436" s="1"/>
  <c r="E1688" i="436" s="1"/>
  <c r="E1689" i="436" s="1"/>
  <c r="E1690" i="436" s="1"/>
  <c r="E1691" i="436" s="1"/>
  <c r="E1692" i="436" s="1"/>
  <c r="E1693" i="436" s="1"/>
  <c r="E1694" i="436" s="1"/>
  <c r="E1695" i="436" s="1"/>
  <c r="E1696" i="436" s="1"/>
  <c r="E1697" i="436" s="1"/>
  <c r="E1698" i="436" s="1"/>
  <c r="E1699" i="436" s="1"/>
  <c r="E1700" i="436" s="1"/>
  <c r="E1701" i="436" s="1"/>
  <c r="E1702" i="436" s="1"/>
  <c r="E1703" i="436" s="1"/>
  <c r="E1704" i="436" s="1"/>
  <c r="E1705" i="436" s="1"/>
  <c r="E1706" i="436" s="1"/>
  <c r="E1707" i="436" s="1"/>
  <c r="E1708" i="436" s="1"/>
  <c r="E1709" i="436" s="1"/>
  <c r="E1710" i="436" s="1"/>
  <c r="E1711" i="436" s="1"/>
  <c r="E1712" i="436" s="1"/>
  <c r="E1713" i="436" s="1"/>
  <c r="E1714" i="436" s="1"/>
  <c r="E1715" i="436" s="1"/>
  <c r="E1716" i="436" s="1"/>
  <c r="E1717" i="436" s="1"/>
  <c r="E1718" i="436" s="1"/>
  <c r="E1719" i="436" s="1"/>
  <c r="E1720" i="436" s="1"/>
  <c r="E1721" i="436" s="1"/>
  <c r="E1722" i="436" s="1"/>
  <c r="E1723" i="436" s="1"/>
  <c r="E1724" i="436" s="1"/>
  <c r="E1725" i="436" s="1"/>
  <c r="E1726" i="436" s="1"/>
  <c r="E1727" i="436" s="1"/>
  <c r="E1728" i="436" s="1"/>
  <c r="E1729" i="436" s="1"/>
  <c r="E1730" i="436" s="1"/>
  <c r="E1731" i="436" s="1"/>
  <c r="E1732" i="436" s="1"/>
  <c r="E1733" i="436" s="1"/>
  <c r="E1734" i="436" s="1"/>
  <c r="E1735" i="436" s="1"/>
  <c r="E1736" i="436" s="1"/>
  <c r="E1737" i="436" s="1"/>
  <c r="E1738" i="436" s="1"/>
  <c r="E1739" i="436" s="1"/>
  <c r="E1740" i="436" s="1"/>
  <c r="E1741" i="436" s="1"/>
  <c r="E1742" i="436" s="1"/>
  <c r="E1743" i="436" s="1"/>
  <c r="E1744" i="436" s="1"/>
  <c r="E1745" i="436" s="1"/>
  <c r="E1746" i="436" s="1"/>
  <c r="E1747" i="436" s="1"/>
  <c r="E1748" i="436" s="1"/>
  <c r="E1749" i="436" s="1"/>
  <c r="E1750" i="436" s="1"/>
  <c r="E1751" i="436" s="1"/>
  <c r="E1752" i="436" s="1"/>
  <c r="E1753" i="436" s="1"/>
  <c r="E1754" i="436" s="1"/>
  <c r="E1755" i="436" s="1"/>
  <c r="E1756" i="436" s="1"/>
  <c r="E1757" i="436" s="1"/>
  <c r="E1758" i="436" s="1"/>
  <c r="E1759" i="436" s="1"/>
  <c r="E1760" i="436" s="1"/>
  <c r="E1761" i="436" s="1"/>
  <c r="E1762" i="436" s="1"/>
  <c r="E1763" i="436" s="1"/>
  <c r="E1764" i="436" s="1"/>
  <c r="E1765" i="436" s="1"/>
  <c r="E1766" i="436" s="1"/>
  <c r="E1767" i="436" s="1"/>
  <c r="E1768" i="436" s="1"/>
  <c r="E1769" i="436" s="1"/>
  <c r="E1770" i="436" s="1"/>
  <c r="E1771" i="436" s="1"/>
  <c r="E1772" i="436" s="1"/>
  <c r="E1773" i="436" s="1"/>
  <c r="E1774" i="436" s="1"/>
  <c r="E1775" i="436" s="1"/>
  <c r="E1776" i="436" s="1"/>
  <c r="E1777" i="436" s="1"/>
  <c r="E1778" i="436" s="1"/>
  <c r="E1779" i="436" s="1"/>
  <c r="E1780" i="436" s="1"/>
  <c r="E1781" i="436" s="1"/>
  <c r="E1782" i="436" s="1"/>
  <c r="E1783" i="436" s="1"/>
  <c r="E1784" i="436" s="1"/>
  <c r="E1785" i="436" s="1"/>
  <c r="E1786" i="436" s="1"/>
  <c r="E1787" i="436" s="1"/>
  <c r="E1788" i="436" s="1"/>
  <c r="E1789" i="436" s="1"/>
  <c r="E1790" i="436" s="1"/>
  <c r="E1791" i="436" s="1"/>
  <c r="E1792" i="436" s="1"/>
  <c r="E1793" i="436" s="1"/>
  <c r="E1794" i="436" s="1"/>
  <c r="E1795" i="436" s="1"/>
  <c r="E1796" i="436" s="1"/>
  <c r="E1797" i="436" s="1"/>
  <c r="E1798" i="436" s="1"/>
  <c r="E1799" i="436" s="1"/>
  <c r="E1800" i="436" s="1"/>
  <c r="E1801" i="436" s="1"/>
  <c r="E1802" i="436" s="1"/>
  <c r="E1803" i="436" s="1"/>
  <c r="E1804" i="436" s="1"/>
  <c r="E1805" i="436" s="1"/>
  <c r="E1806" i="436" s="1"/>
  <c r="E1807" i="436" s="1"/>
  <c r="E1808" i="436" s="1"/>
  <c r="E1809" i="436" s="1"/>
  <c r="E1810" i="436" s="1"/>
  <c r="E1811" i="436" s="1"/>
  <c r="E1812" i="436" s="1"/>
  <c r="E1813" i="436" s="1"/>
  <c r="E1814" i="436" s="1"/>
  <c r="E1815" i="436" s="1"/>
  <c r="E1816" i="436" s="1"/>
  <c r="E1817" i="436" s="1"/>
  <c r="E1818" i="436" s="1"/>
  <c r="E1819" i="436" s="1"/>
  <c r="E1820" i="436" s="1"/>
  <c r="E1821" i="436" s="1"/>
  <c r="E1822" i="436" s="1"/>
  <c r="E1823" i="436" s="1"/>
  <c r="E1824" i="436" s="1"/>
  <c r="E1825" i="436" s="1"/>
  <c r="E1826" i="436" s="1"/>
  <c r="E1827" i="436" s="1"/>
  <c r="E1828" i="436" s="1"/>
  <c r="E1829" i="436" s="1"/>
  <c r="E1830" i="436" s="1"/>
  <c r="E1831" i="436" s="1"/>
  <c r="E1832" i="436" s="1"/>
  <c r="E1833" i="436" s="1"/>
  <c r="E1834" i="436" s="1"/>
  <c r="E1835" i="436" s="1"/>
  <c r="E1836" i="436" s="1"/>
  <c r="E1837" i="436" s="1"/>
  <c r="E1838" i="436" s="1"/>
  <c r="E1839" i="436" s="1"/>
  <c r="E1840" i="436" s="1"/>
  <c r="E1841" i="436" s="1"/>
  <c r="E1842" i="436" s="1"/>
  <c r="E1843" i="436" s="1"/>
  <c r="E1844" i="436" s="1"/>
  <c r="E1845" i="436" s="1"/>
  <c r="E1846" i="436" s="1"/>
  <c r="E1847" i="436" s="1"/>
  <c r="E1848" i="436" s="1"/>
  <c r="E1849" i="436" s="1"/>
  <c r="E1850" i="436" s="1"/>
  <c r="E1851" i="436" s="1"/>
  <c r="E1852" i="436" s="1"/>
  <c r="E1853" i="436" s="1"/>
  <c r="E1854" i="436" s="1"/>
  <c r="E1855" i="436" s="1"/>
  <c r="E1856" i="436" s="1"/>
  <c r="E1857" i="436" s="1"/>
  <c r="E1858" i="436" s="1"/>
  <c r="E1859" i="436" s="1"/>
  <c r="E1860" i="436" s="1"/>
  <c r="E1861" i="436" s="1"/>
  <c r="E1862" i="436" s="1"/>
  <c r="E1863" i="436" s="1"/>
  <c r="E1864" i="436" s="1"/>
  <c r="E1865" i="436" s="1"/>
  <c r="E1866" i="436" s="1"/>
  <c r="E1867" i="436" s="1"/>
  <c r="E1868" i="436" s="1"/>
  <c r="E1869" i="436" s="1"/>
  <c r="E1870" i="436" s="1"/>
  <c r="E1871" i="436" s="1"/>
  <c r="E1872" i="436" s="1"/>
  <c r="E1873" i="436" s="1"/>
  <c r="E1874" i="436" s="1"/>
  <c r="E1875" i="436" s="1"/>
  <c r="E1876" i="436" s="1"/>
  <c r="E1877" i="436" s="1"/>
  <c r="E1878" i="436" s="1"/>
  <c r="E1879" i="436" s="1"/>
  <c r="E1880" i="436" s="1"/>
  <c r="E1881" i="436" s="1"/>
  <c r="E1882" i="436" s="1"/>
  <c r="E1883" i="436" s="1"/>
  <c r="E1884" i="436" s="1"/>
  <c r="E1885" i="436" s="1"/>
  <c r="E1886" i="436" s="1"/>
  <c r="E1887" i="436" s="1"/>
  <c r="E1888" i="436" s="1"/>
  <c r="E1889" i="436" s="1"/>
  <c r="E1890" i="436" s="1"/>
  <c r="E1891" i="436" s="1"/>
  <c r="E1892" i="436" s="1"/>
  <c r="E1893" i="436" s="1"/>
  <c r="E1894" i="436" s="1"/>
  <c r="E1895" i="436" s="1"/>
  <c r="E1896" i="436" s="1"/>
  <c r="E1897" i="436" s="1"/>
  <c r="E1898" i="436" s="1"/>
  <c r="E1899" i="436" s="1"/>
  <c r="E1900" i="436" s="1"/>
  <c r="E1901" i="436" s="1"/>
  <c r="E1902" i="436" s="1"/>
  <c r="E1903" i="436" s="1"/>
  <c r="E1904" i="436" s="1"/>
  <c r="E1905" i="436" s="1"/>
  <c r="E1906" i="436" s="1"/>
  <c r="E1907" i="436" s="1"/>
  <c r="E1908" i="436" s="1"/>
  <c r="E1909" i="436" s="1"/>
  <c r="E1910" i="436" s="1"/>
  <c r="E1911" i="436" s="1"/>
  <c r="E1912" i="436" s="1"/>
  <c r="E1913" i="436" s="1"/>
  <c r="E1914" i="436" s="1"/>
  <c r="E1915" i="436" s="1"/>
  <c r="E1916" i="436" s="1"/>
  <c r="E1917" i="436" s="1"/>
  <c r="E1918" i="436" s="1"/>
  <c r="E1919" i="436" s="1"/>
  <c r="E1920" i="436" s="1"/>
  <c r="E1921" i="436" s="1"/>
  <c r="E1922" i="436" s="1"/>
  <c r="E1923" i="436" s="1"/>
  <c r="E1924" i="436" s="1"/>
  <c r="E1925" i="436" s="1"/>
  <c r="E1926" i="436" s="1"/>
  <c r="E1927" i="436" s="1"/>
  <c r="E1928" i="436" s="1"/>
  <c r="E1929" i="436" s="1"/>
  <c r="E1930" i="436" s="1"/>
  <c r="E1931" i="436" s="1"/>
  <c r="E1932" i="436" s="1"/>
  <c r="E1933" i="436" s="1"/>
  <c r="E1934" i="436" s="1"/>
  <c r="E1935" i="436" s="1"/>
  <c r="E1936" i="436" s="1"/>
  <c r="E1937" i="436" s="1"/>
  <c r="E1938" i="436" s="1"/>
  <c r="E1939" i="436" s="1"/>
  <c r="E1940" i="436" s="1"/>
  <c r="E1941" i="436" s="1"/>
  <c r="E1942" i="436" s="1"/>
  <c r="E1943" i="436" s="1"/>
  <c r="E1944" i="436" s="1"/>
  <c r="E1945" i="436" s="1"/>
  <c r="E1946" i="436" s="1"/>
  <c r="E1947" i="436" s="1"/>
  <c r="E1948" i="436" s="1"/>
  <c r="E1949" i="436" s="1"/>
  <c r="E1950" i="436" s="1"/>
  <c r="E1951" i="436" s="1"/>
  <c r="E1952" i="436" s="1"/>
  <c r="E1953" i="436" s="1"/>
  <c r="E1954" i="436" s="1"/>
  <c r="E1955" i="436" s="1"/>
  <c r="E1956" i="436" s="1"/>
  <c r="E1957" i="436" s="1"/>
  <c r="E1958" i="436" s="1"/>
  <c r="E1959" i="436" s="1"/>
  <c r="E1960" i="436" s="1"/>
  <c r="E1961" i="436" s="1"/>
  <c r="E1962" i="436" s="1"/>
  <c r="E1963" i="436" s="1"/>
  <c r="E1964" i="436" s="1"/>
  <c r="E1965" i="436" s="1"/>
  <c r="E1966" i="436" s="1"/>
  <c r="E1967" i="436" s="1"/>
  <c r="E1968" i="436" s="1"/>
  <c r="E1969" i="436" s="1"/>
  <c r="E1970" i="436" s="1"/>
  <c r="E1971" i="436" s="1"/>
  <c r="E1972" i="436" s="1"/>
  <c r="E1973" i="436" s="1"/>
  <c r="E1974" i="436" s="1"/>
  <c r="E1975" i="436" s="1"/>
  <c r="E1976" i="436" s="1"/>
  <c r="E1977" i="436" s="1"/>
  <c r="E1978" i="436" s="1"/>
  <c r="E1979" i="436" s="1"/>
  <c r="E1980" i="436" s="1"/>
  <c r="E1981" i="436" s="1"/>
  <c r="E1982" i="436" s="1"/>
  <c r="E1983" i="436" s="1"/>
  <c r="E1984" i="436" s="1"/>
  <c r="E1985" i="436" s="1"/>
  <c r="E1986" i="436" s="1"/>
  <c r="E1987" i="436" s="1"/>
  <c r="E1988" i="436" s="1"/>
  <c r="E1989" i="436" s="1"/>
  <c r="E1990" i="436" s="1"/>
  <c r="E1991" i="436" s="1"/>
  <c r="E1992" i="436" s="1"/>
  <c r="E1993" i="436" s="1"/>
  <c r="E1994" i="436" s="1"/>
  <c r="E1995" i="436" s="1"/>
  <c r="E1996" i="436" s="1"/>
  <c r="E1997" i="436" s="1"/>
  <c r="E1998" i="436" s="1"/>
  <c r="E1999" i="436" s="1"/>
  <c r="E2000" i="436" s="1"/>
  <c r="E2001" i="436" s="1"/>
  <c r="E2002" i="436" s="1"/>
  <c r="E2003" i="436" s="1"/>
  <c r="E2004" i="436" s="1"/>
  <c r="E2005" i="436" s="1"/>
  <c r="E2006" i="436" s="1"/>
  <c r="E2007" i="436" s="1"/>
  <c r="E2008" i="436" s="1"/>
  <c r="E2009" i="436" s="1"/>
  <c r="E2010" i="436" s="1"/>
  <c r="E2011" i="436" s="1"/>
  <c r="E2012" i="436" s="1"/>
  <c r="E2013" i="436" s="1"/>
  <c r="E2014" i="436" s="1"/>
  <c r="E2015" i="436" s="1"/>
  <c r="E2016" i="436" s="1"/>
  <c r="E2017" i="436" s="1"/>
  <c r="E2018" i="436" s="1"/>
  <c r="E2019" i="436" s="1"/>
  <c r="E2020" i="436" s="1"/>
  <c r="E2021" i="436" s="1"/>
  <c r="E2022" i="436" s="1"/>
  <c r="E2023" i="436" s="1"/>
  <c r="E2024" i="436" s="1"/>
  <c r="E2025" i="436" s="1"/>
  <c r="E2026" i="436" s="1"/>
  <c r="D1338" i="436" l="1"/>
  <c r="D1339" i="436" s="1"/>
  <c r="D1340" i="436" s="1"/>
  <c r="D1341" i="436" s="1"/>
  <c r="D1342" i="436" s="1"/>
  <c r="E728" i="436"/>
  <c r="E729" i="436" s="1"/>
  <c r="C719" i="436"/>
  <c r="C720" i="436" s="1"/>
  <c r="C721" i="436" s="1"/>
  <c r="C722" i="436" s="1"/>
  <c r="C723" i="436" s="1"/>
  <c r="C724" i="436" s="1"/>
  <c r="C725" i="436" s="1"/>
  <c r="C726" i="436" s="1"/>
  <c r="C727" i="436" s="1"/>
  <c r="E722" i="436"/>
  <c r="E719" i="436"/>
  <c r="E1370" i="436"/>
  <c r="E1371" i="436" s="1"/>
  <c r="D1370" i="436"/>
  <c r="D919" i="436" s="1"/>
  <c r="D920" i="436" s="1"/>
  <c r="D921" i="436" s="1"/>
  <c r="C712" i="436"/>
  <c r="C713" i="436" s="1"/>
  <c r="E712" i="436"/>
  <c r="E713" i="436" s="1"/>
  <c r="E714" i="436" s="1"/>
  <c r="E715" i="436" s="1"/>
  <c r="D712" i="436"/>
  <c r="D713" i="436" s="1"/>
  <c r="D1376" i="436"/>
  <c r="D1377" i="436" s="1"/>
  <c r="D1378" i="436" s="1"/>
  <c r="D1379" i="436" s="1"/>
  <c r="D1380" i="436" s="1"/>
  <c r="D1381" i="436" s="1"/>
  <c r="D1382" i="436" s="1"/>
  <c r="D1383" i="436" s="1"/>
  <c r="D1384" i="436" s="1"/>
  <c r="D1385" i="436" s="1"/>
  <c r="E1354" i="436"/>
  <c r="C1354" i="436"/>
  <c r="C1355" i="436" s="1"/>
  <c r="C1356" i="436" s="1"/>
  <c r="C1343" i="436"/>
  <c r="E1343" i="436"/>
  <c r="D1353" i="436"/>
  <c r="C1186" i="436"/>
  <c r="C1187" i="436" s="1"/>
  <c r="C1188" i="436" s="1"/>
  <c r="E1186" i="436"/>
  <c r="C1056" i="436"/>
  <c r="C1057" i="436" s="1"/>
  <c r="C1058" i="436" s="1"/>
  <c r="C1059" i="436" s="1"/>
  <c r="C1060" i="436" s="1"/>
  <c r="C1061" i="436" s="1"/>
  <c r="C1062" i="436" s="1"/>
  <c r="C1063" i="436" s="1"/>
  <c r="C1064" i="436" s="1"/>
  <c r="C1065" i="436" s="1"/>
  <c r="C1066" i="436" s="1"/>
  <c r="C1067" i="436" s="1"/>
  <c r="C1068" i="436" s="1"/>
  <c r="C1069" i="436" s="1"/>
  <c r="C1070" i="436" s="1"/>
  <c r="C1071" i="436" s="1"/>
  <c r="C1072" i="436" s="1"/>
  <c r="C1073" i="436" s="1"/>
  <c r="C1074" i="436" s="1"/>
  <c r="C1075" i="436" s="1"/>
  <c r="C1076" i="436" s="1"/>
  <c r="C1077" i="436" s="1"/>
  <c r="C1078" i="436" s="1"/>
  <c r="C1079" i="436" s="1"/>
  <c r="C1080" i="436" s="1"/>
  <c r="C1081" i="436" s="1"/>
  <c r="C1082" i="436" s="1"/>
  <c r="C1083" i="436" s="1"/>
  <c r="C1084" i="436" s="1"/>
  <c r="C1085" i="436" s="1"/>
  <c r="C1086" i="436" s="1"/>
  <c r="E1056" i="436"/>
  <c r="C913" i="436"/>
  <c r="C914" i="436" s="1"/>
  <c r="C915" i="436" s="1"/>
  <c r="C916" i="436" s="1"/>
  <c r="C917" i="436" s="1"/>
  <c r="E913" i="436"/>
  <c r="C866" i="436"/>
  <c r="C867" i="436" s="1"/>
  <c r="C868" i="436" s="1"/>
  <c r="E866" i="436"/>
  <c r="E748" i="436"/>
  <c r="C748" i="436"/>
  <c r="C749" i="436" s="1"/>
  <c r="C750" i="436" s="1"/>
  <c r="C751" i="436" s="1"/>
  <c r="C752" i="436" s="1"/>
  <c r="C753" i="436" s="1"/>
  <c r="C754" i="436" s="1"/>
  <c r="C755" i="436" s="1"/>
  <c r="C756" i="436" s="1"/>
  <c r="C757" i="436" s="1"/>
  <c r="C758" i="436" s="1"/>
  <c r="C759" i="436" s="1"/>
  <c r="C760" i="436" s="1"/>
  <c r="C761" i="436" s="1"/>
  <c r="C762" i="436" s="1"/>
  <c r="C763" i="436" s="1"/>
  <c r="C764" i="436" s="1"/>
  <c r="C765" i="436" s="1"/>
  <c r="C766" i="436" s="1"/>
  <c r="C767" i="436" s="1"/>
  <c r="C768" i="436" s="1"/>
  <c r="C769" i="436" s="1"/>
  <c r="C770" i="436" s="1"/>
  <c r="C1309" i="436"/>
  <c r="C1310" i="436" s="1"/>
  <c r="C1311" i="436" s="1"/>
  <c r="C1312" i="436" s="1"/>
  <c r="C1313" i="436" s="1"/>
  <c r="C1314" i="436" s="1"/>
  <c r="C1315" i="436" s="1"/>
  <c r="C1316" i="436" s="1"/>
  <c r="C1317" i="436" s="1"/>
  <c r="C1318" i="436" s="1"/>
  <c r="C1319" i="436" s="1"/>
  <c r="C1320" i="436" s="1"/>
  <c r="C1321" i="436" s="1"/>
  <c r="C1322" i="436" s="1"/>
  <c r="C1323" i="436" s="1"/>
  <c r="E1335" i="436"/>
  <c r="E1309" i="436"/>
  <c r="D725" i="436"/>
  <c r="D726" i="436" s="1"/>
  <c r="D727" i="436" s="1"/>
  <c r="C610" i="436"/>
  <c r="C611" i="436" s="1"/>
  <c r="C612" i="436" s="1"/>
  <c r="C613" i="436" s="1"/>
  <c r="C614" i="436" s="1"/>
  <c r="C615" i="436" s="1"/>
  <c r="C616" i="436" s="1"/>
  <c r="C617" i="436" s="1"/>
  <c r="C618" i="436" s="1"/>
  <c r="C619" i="436" s="1"/>
  <c r="C620" i="436" s="1"/>
  <c r="C621" i="436" s="1"/>
  <c r="C622" i="436" s="1"/>
  <c r="C623" i="436" s="1"/>
  <c r="C624" i="436" s="1"/>
  <c r="C625" i="436" s="1"/>
  <c r="C626" i="436" s="1"/>
  <c r="C627" i="436" s="1"/>
  <c r="C628" i="436" s="1"/>
  <c r="C629" i="436" s="1"/>
  <c r="C630" i="436" s="1"/>
  <c r="C631" i="436" s="1"/>
  <c r="C632" i="436" s="1"/>
  <c r="C633" i="436" s="1"/>
  <c r="C634" i="436" s="1"/>
  <c r="C635" i="436" s="1"/>
  <c r="C636" i="436" s="1"/>
  <c r="C637" i="436" s="1"/>
  <c r="C638" i="436" s="1"/>
  <c r="C639" i="436" s="1"/>
  <c r="C640" i="436" s="1"/>
  <c r="C641" i="436" s="1"/>
  <c r="C642" i="436" s="1"/>
  <c r="C643" i="436" s="1"/>
  <c r="C644" i="436" s="1"/>
  <c r="C645" i="436" s="1"/>
  <c r="C646" i="436" s="1"/>
  <c r="C647" i="436" s="1"/>
  <c r="C648" i="436" s="1"/>
  <c r="C649" i="436" s="1"/>
  <c r="C650" i="436" s="1"/>
  <c r="C651" i="436" s="1"/>
  <c r="C652" i="436" s="1"/>
  <c r="C653" i="436" s="1"/>
  <c r="C654" i="436" s="1"/>
  <c r="C655" i="436" s="1"/>
  <c r="C656" i="436" s="1"/>
  <c r="C657" i="436" s="1"/>
  <c r="C658" i="436" s="1"/>
  <c r="C659" i="436" s="1"/>
  <c r="C660" i="436" s="1"/>
  <c r="C661" i="436" s="1"/>
  <c r="C662" i="436" s="1"/>
  <c r="C663" i="436" s="1"/>
  <c r="C664" i="436" s="1"/>
  <c r="C665" i="436" s="1"/>
  <c r="C666" i="436" s="1"/>
  <c r="C667" i="436" s="1"/>
  <c r="C668" i="436" s="1"/>
  <c r="C669" i="436" s="1"/>
  <c r="C670" i="436" s="1"/>
  <c r="C671" i="436" s="1"/>
  <c r="C672" i="436" s="1"/>
  <c r="C673" i="436" s="1"/>
  <c r="C674" i="436" s="1"/>
  <c r="C675" i="436" s="1"/>
  <c r="C676" i="436" s="1"/>
  <c r="C677" i="436" s="1"/>
  <c r="C678" i="436" s="1"/>
  <c r="C679" i="436" s="1"/>
  <c r="E610" i="436"/>
  <c r="C471" i="436"/>
  <c r="E471" i="436"/>
  <c r="C432" i="436"/>
  <c r="C433" i="436" s="1"/>
  <c r="C434" i="436" s="1"/>
  <c r="C435" i="436" s="1"/>
  <c r="C436" i="436" s="1"/>
  <c r="C437" i="436" s="1"/>
  <c r="C438" i="436" s="1"/>
  <c r="C439" i="436" s="1"/>
  <c r="C440" i="436" s="1"/>
  <c r="C441" i="436" s="1"/>
  <c r="C442" i="436" s="1"/>
  <c r="C443" i="436" s="1"/>
  <c r="C444" i="436" s="1"/>
  <c r="C445" i="436" s="1"/>
  <c r="C446" i="436" s="1"/>
  <c r="C447" i="436" s="1"/>
  <c r="C448" i="436" s="1"/>
  <c r="C449" i="436" s="1"/>
  <c r="C450" i="436" s="1"/>
  <c r="C451" i="436" s="1"/>
  <c r="C452" i="436" s="1"/>
  <c r="C453" i="436" s="1"/>
  <c r="C454" i="436" s="1"/>
  <c r="C455" i="436" s="1"/>
  <c r="C456" i="436" s="1"/>
  <c r="E432" i="436"/>
  <c r="C331" i="436"/>
  <c r="C332" i="436" s="1"/>
  <c r="D331" i="436"/>
  <c r="D332" i="436" s="1"/>
  <c r="D61" i="436"/>
  <c r="D62" i="436" s="1"/>
  <c r="D63" i="436" s="1"/>
  <c r="D64" i="436" s="1"/>
  <c r="D65" i="436" s="1"/>
  <c r="D66" i="436" s="1"/>
  <c r="D67" i="436" s="1"/>
  <c r="D68" i="436" s="1"/>
  <c r="D69" i="436" s="1"/>
  <c r="C61" i="436"/>
  <c r="C62" i="436" s="1"/>
  <c r="C63" i="436" s="1"/>
  <c r="C64" i="436" s="1"/>
  <c r="C65" i="436" s="1"/>
  <c r="C66" i="436" s="1"/>
  <c r="C67" i="436" s="1"/>
  <c r="C68" i="436" s="1"/>
  <c r="C69" i="436" s="1"/>
  <c r="E275" i="436"/>
  <c r="E276" i="436" s="1"/>
  <c r="E161" i="436"/>
  <c r="E329" i="436"/>
  <c r="E330" i="436" s="1"/>
  <c r="D278" i="436"/>
  <c r="C278" i="436"/>
  <c r="E278" i="436"/>
  <c r="E73" i="436"/>
  <c r="E74" i="436" s="1"/>
  <c r="E26" i="436"/>
  <c r="E27" i="436" s="1"/>
  <c r="E28" i="436" s="1"/>
  <c r="E29" i="436" s="1"/>
  <c r="D26" i="436"/>
  <c r="D27" i="436" s="1"/>
  <c r="D28" i="436" s="1"/>
  <c r="D29" i="436" s="1"/>
  <c r="D30" i="436" s="1"/>
  <c r="D31" i="436" s="1"/>
  <c r="D32" i="436" s="1"/>
  <c r="D33" i="436" s="1"/>
  <c r="D34" i="436" s="1"/>
  <c r="D35" i="436" s="1"/>
  <c r="C26" i="436"/>
  <c r="C27" i="436" s="1"/>
  <c r="C28" i="436" s="1"/>
  <c r="C29" i="436" s="1"/>
  <c r="C30" i="436" s="1"/>
  <c r="C31" i="436" s="1"/>
  <c r="C32" i="436" s="1"/>
  <c r="C33" i="436" s="1"/>
  <c r="C34" i="436" s="1"/>
  <c r="C35" i="436" s="1"/>
  <c r="C36" i="436" s="1"/>
  <c r="C37" i="436" s="1"/>
  <c r="C38" i="436" s="1"/>
  <c r="C39" i="436" s="1"/>
  <c r="C40" i="436" s="1"/>
  <c r="C41" i="436" s="1"/>
  <c r="C42" i="436" s="1"/>
  <c r="C43" i="436" s="1"/>
  <c r="C44" i="436" s="1"/>
  <c r="C45" i="436" s="1"/>
  <c r="C46" i="436" s="1"/>
  <c r="C47" i="436" s="1"/>
  <c r="C48" i="436" s="1"/>
  <c r="C49" i="436" s="1"/>
  <c r="C50" i="436" s="1"/>
  <c r="C51" i="436" s="1"/>
  <c r="C52" i="436" s="1"/>
  <c r="D922" i="436" l="1"/>
  <c r="D923" i="436" s="1"/>
  <c r="D924" i="436" s="1"/>
  <c r="D925" i="436" s="1"/>
  <c r="D926" i="436" s="1"/>
  <c r="D927" i="436" s="1"/>
  <c r="D928" i="436" s="1"/>
  <c r="D929" i="436" s="1"/>
  <c r="D930" i="436" s="1"/>
  <c r="C714" i="436"/>
  <c r="D714" i="436"/>
  <c r="C1344" i="436"/>
  <c r="C1345" i="436" s="1"/>
  <c r="C1346" i="436" s="1"/>
  <c r="C1347" i="436" s="1"/>
  <c r="C1348" i="436" s="1"/>
  <c r="C1349" i="436" s="1"/>
  <c r="C1350" i="436" s="1"/>
  <c r="C1189" i="436"/>
  <c r="C1190" i="436" s="1"/>
  <c r="C1191" i="436" s="1"/>
  <c r="C1192" i="436" s="1"/>
  <c r="C1193" i="436" s="1"/>
  <c r="C1324" i="436"/>
  <c r="C1325" i="436" s="1"/>
  <c r="C1326" i="436" s="1"/>
  <c r="C1327" i="436" s="1"/>
  <c r="C1328" i="436" s="1"/>
  <c r="C1329" i="436" s="1"/>
  <c r="C1330" i="436" s="1"/>
  <c r="C472" i="436"/>
  <c r="C473" i="436" s="1"/>
  <c r="C474" i="436" s="1"/>
  <c r="C475" i="436" s="1"/>
  <c r="C476" i="436" s="1"/>
  <c r="C477" i="436" s="1"/>
  <c r="C478" i="436" s="1"/>
  <c r="C479" i="436" s="1"/>
  <c r="C480" i="436" s="1"/>
  <c r="C481" i="436" s="1"/>
  <c r="C482" i="436" s="1"/>
  <c r="C483" i="436" s="1"/>
  <c r="C484" i="436" s="1"/>
  <c r="C485" i="436" s="1"/>
  <c r="C486" i="436" s="1"/>
  <c r="C487" i="436" s="1"/>
  <c r="D747" i="436"/>
  <c r="D728" i="436"/>
  <c r="C728" i="436"/>
  <c r="C729" i="436" s="1"/>
  <c r="C730" i="436" s="1"/>
  <c r="C731" i="436" s="1"/>
  <c r="C732" i="436" s="1"/>
  <c r="C733" i="436" s="1"/>
  <c r="C734" i="436" s="1"/>
  <c r="C735" i="436" s="1"/>
  <c r="C736" i="436" s="1"/>
  <c r="C737" i="436" s="1"/>
  <c r="C738" i="436" s="1"/>
  <c r="C739" i="436" s="1"/>
  <c r="C740" i="436" s="1"/>
  <c r="C741" i="436" s="1"/>
  <c r="C742" i="436" s="1"/>
  <c r="C743" i="436" s="1"/>
  <c r="C744" i="436" s="1"/>
  <c r="C745" i="436" s="1"/>
  <c r="C746" i="436" s="1"/>
  <c r="C1357" i="436"/>
  <c r="C1358" i="436" s="1"/>
  <c r="C1359" i="436" s="1"/>
  <c r="C1360" i="436" s="1"/>
  <c r="C1361" i="436" s="1"/>
  <c r="C1362" i="436" s="1"/>
  <c r="C1363" i="436" s="1"/>
  <c r="C1364" i="436" s="1"/>
  <c r="C1365" i="436" s="1"/>
  <c r="C1366" i="436" s="1"/>
  <c r="C1087" i="436"/>
  <c r="C1088" i="436" s="1"/>
  <c r="C1089" i="436" s="1"/>
  <c r="C1090" i="436" s="1"/>
  <c r="C1091" i="436" s="1"/>
  <c r="C1092" i="436" s="1"/>
  <c r="C1093" i="436" s="1"/>
  <c r="C1094" i="436" s="1"/>
  <c r="C1095" i="436" s="1"/>
  <c r="C1096" i="436" s="1"/>
  <c r="C1097" i="436" s="1"/>
  <c r="C1098" i="436" s="1"/>
  <c r="C1099" i="436" s="1"/>
  <c r="C1100" i="436" s="1"/>
  <c r="C1101" i="436" s="1"/>
  <c r="C1102" i="436" s="1"/>
  <c r="C1103" i="436" s="1"/>
  <c r="C1104" i="436" s="1"/>
  <c r="C1105" i="436" s="1"/>
  <c r="C1106" i="436" s="1"/>
  <c r="C1107" i="436" s="1"/>
  <c r="C1108" i="436" s="1"/>
  <c r="C1109" i="436" s="1"/>
  <c r="C1110" i="436" s="1"/>
  <c r="C1111" i="436" s="1"/>
  <c r="C1112" i="436" s="1"/>
  <c r="C1113" i="436" s="1"/>
  <c r="C1114" i="436" s="1"/>
  <c r="C1115" i="436" s="1"/>
  <c r="C1116" i="436" s="1"/>
  <c r="C1117" i="436" s="1"/>
  <c r="C1118" i="436" s="1"/>
  <c r="C1119" i="436" s="1"/>
  <c r="C1120" i="436" s="1"/>
  <c r="C1121" i="436" s="1"/>
  <c r="C1122" i="436" s="1"/>
  <c r="C1123" i="436" s="1"/>
  <c r="C1124" i="436" s="1"/>
  <c r="C1125" i="436" s="1"/>
  <c r="C1126" i="436" s="1"/>
  <c r="C1127" i="436" s="1"/>
  <c r="C1128" i="436" s="1"/>
  <c r="C1129" i="436" s="1"/>
  <c r="C1130" i="436" s="1"/>
  <c r="C1131" i="436" s="1"/>
  <c r="C1132" i="436" s="1"/>
  <c r="C1133" i="436" s="1"/>
  <c r="C1134" i="436" s="1"/>
  <c r="C1135" i="436" s="1"/>
  <c r="C1136" i="436" s="1"/>
  <c r="C1137" i="436" s="1"/>
  <c r="C918" i="436"/>
  <c r="C771" i="436"/>
  <c r="C772" i="436" s="1"/>
  <c r="C773" i="436" s="1"/>
  <c r="C774" i="436" s="1"/>
  <c r="C775" i="436" s="1"/>
  <c r="C333" i="436"/>
  <c r="C334" i="436" s="1"/>
  <c r="C335" i="436" s="1"/>
  <c r="C336" i="436" s="1"/>
  <c r="C337" i="436" s="1"/>
  <c r="D333" i="436"/>
  <c r="D334" i="436" s="1"/>
  <c r="D335" i="436" s="1"/>
  <c r="D336" i="436" s="1"/>
  <c r="D337" i="436" s="1"/>
  <c r="C869" i="436"/>
  <c r="C870" i="436" s="1"/>
  <c r="C871" i="436" s="1"/>
  <c r="C872" i="436" s="1"/>
  <c r="C873" i="436" s="1"/>
  <c r="C680" i="436"/>
  <c r="C681" i="436" s="1"/>
  <c r="C682" i="436" s="1"/>
  <c r="C683" i="436" s="1"/>
  <c r="C684" i="436" s="1"/>
  <c r="C685" i="436" s="1"/>
  <c r="C686" i="436" s="1"/>
  <c r="C687" i="436" s="1"/>
  <c r="C688" i="436" s="1"/>
  <c r="C689" i="436" s="1"/>
  <c r="C690" i="436" s="1"/>
  <c r="C691" i="436" s="1"/>
  <c r="C692" i="436" s="1"/>
  <c r="C693" i="436" s="1"/>
  <c r="C694" i="436" s="1"/>
  <c r="C695" i="436" s="1"/>
  <c r="C696" i="436" s="1"/>
  <c r="C697" i="436" s="1"/>
  <c r="C698" i="436" s="1"/>
  <c r="C699" i="436" s="1"/>
  <c r="C700" i="436" s="1"/>
  <c r="C701" i="436" s="1"/>
  <c r="C702" i="436" s="1"/>
  <c r="C457" i="436"/>
  <c r="C458" i="436" s="1"/>
  <c r="C459" i="436" s="1"/>
  <c r="C460" i="436" s="1"/>
  <c r="C461" i="436" s="1"/>
  <c r="C462" i="436" s="1"/>
  <c r="C463" i="436" s="1"/>
  <c r="C464" i="436" s="1"/>
  <c r="C465" i="436" s="1"/>
  <c r="C466" i="436" s="1"/>
  <c r="C467" i="436" s="1"/>
  <c r="C468" i="436" s="1"/>
  <c r="C469" i="436" s="1"/>
  <c r="E70" i="436"/>
  <c r="C70" i="436"/>
  <c r="C71" i="436" s="1"/>
  <c r="C72" i="436" s="1"/>
  <c r="D70" i="436"/>
  <c r="D71" i="436" s="1"/>
  <c r="D72" i="436" s="1"/>
  <c r="D931" i="436" l="1"/>
  <c r="D932" i="436" s="1"/>
  <c r="D715" i="436"/>
  <c r="D716" i="436" s="1"/>
  <c r="D717" i="436" s="1"/>
  <c r="D718" i="436" s="1"/>
  <c r="C715" i="436"/>
  <c r="C716" i="436" s="1"/>
  <c r="C717" i="436" s="1"/>
  <c r="C1351" i="436"/>
  <c r="C1352" i="436" s="1"/>
  <c r="C1331" i="436"/>
  <c r="C1332" i="436" s="1"/>
  <c r="C1333" i="436" s="1"/>
  <c r="C1334" i="436" s="1"/>
  <c r="C1335" i="436" s="1"/>
  <c r="C1336" i="436" s="1"/>
  <c r="C1337" i="436" s="1"/>
  <c r="C488" i="436"/>
  <c r="C489" i="436" s="1"/>
  <c r="C490" i="436" s="1"/>
  <c r="C491" i="436" s="1"/>
  <c r="C492" i="436" s="1"/>
  <c r="C493" i="436" s="1"/>
  <c r="C494" i="436" s="1"/>
  <c r="C495" i="436" s="1"/>
  <c r="C496" i="436" s="1"/>
  <c r="C497" i="436" s="1"/>
  <c r="C498" i="436" s="1"/>
  <c r="C499" i="436" s="1"/>
  <c r="C500" i="436" s="1"/>
  <c r="C501" i="436" s="1"/>
  <c r="C502" i="436" s="1"/>
  <c r="C503" i="436" s="1"/>
  <c r="C504" i="436" s="1"/>
  <c r="C505" i="436" s="1"/>
  <c r="C506" i="436" s="1"/>
  <c r="C507" i="436" s="1"/>
  <c r="C508" i="436" s="1"/>
  <c r="C509" i="436" s="1"/>
  <c r="C510" i="436" s="1"/>
  <c r="C511" i="436" s="1"/>
  <c r="C512" i="436" s="1"/>
  <c r="C513" i="436" s="1"/>
  <c r="C514" i="436" s="1"/>
  <c r="C515" i="436" s="1"/>
  <c r="C516" i="436" s="1"/>
  <c r="C517" i="436" s="1"/>
  <c r="C518" i="436" s="1"/>
  <c r="C519" i="436" s="1"/>
  <c r="C520" i="436" s="1"/>
  <c r="C521" i="436" s="1"/>
  <c r="C522" i="436" s="1"/>
  <c r="C523" i="436" s="1"/>
  <c r="C524" i="436" s="1"/>
  <c r="C525" i="436" s="1"/>
  <c r="C526" i="436" s="1"/>
  <c r="C527" i="436" s="1"/>
  <c r="C528" i="436" s="1"/>
  <c r="C529" i="436" s="1"/>
  <c r="C530" i="436" s="1"/>
  <c r="C531" i="436" s="1"/>
  <c r="C532" i="436" s="1"/>
  <c r="C533" i="436" s="1"/>
  <c r="C534" i="436" s="1"/>
  <c r="C535" i="436" s="1"/>
  <c r="C536" i="436" s="1"/>
  <c r="C537" i="436" s="1"/>
  <c r="C538" i="436" s="1"/>
  <c r="C539" i="436" s="1"/>
  <c r="C540" i="436" s="1"/>
  <c r="C541" i="436" s="1"/>
  <c r="C542" i="436" s="1"/>
  <c r="C543" i="436" s="1"/>
  <c r="C544" i="436" s="1"/>
  <c r="C545" i="436" s="1"/>
  <c r="C546" i="436" s="1"/>
  <c r="C547" i="436" s="1"/>
  <c r="C548" i="436" s="1"/>
  <c r="C549" i="436" s="1"/>
  <c r="C550" i="436" s="1"/>
  <c r="C551" i="436" s="1"/>
  <c r="C552" i="436" s="1"/>
  <c r="C553" i="436" s="1"/>
  <c r="C554" i="436" s="1"/>
  <c r="C555" i="436" s="1"/>
  <c r="C556" i="436" s="1"/>
  <c r="C557" i="436" s="1"/>
  <c r="C558" i="436" s="1"/>
  <c r="C559" i="436" s="1"/>
  <c r="C560" i="436" s="1"/>
  <c r="C561" i="436" s="1"/>
  <c r="C562" i="436" s="1"/>
  <c r="C563" i="436" s="1"/>
  <c r="C564" i="436" s="1"/>
  <c r="C565" i="436" s="1"/>
  <c r="C566" i="436" s="1"/>
  <c r="C567" i="436" s="1"/>
  <c r="C568" i="436" s="1"/>
  <c r="C569" i="436" s="1"/>
  <c r="C570" i="436" s="1"/>
  <c r="C571" i="436" s="1"/>
  <c r="C572" i="436" s="1"/>
  <c r="C573" i="436" s="1"/>
  <c r="C574" i="436" s="1"/>
  <c r="C575" i="436" s="1"/>
  <c r="C576" i="436" s="1"/>
  <c r="C577" i="436" s="1"/>
  <c r="C578" i="436" s="1"/>
  <c r="C579" i="436" s="1"/>
  <c r="C580" i="436" s="1"/>
  <c r="C581" i="436" s="1"/>
  <c r="C582" i="436" s="1"/>
  <c r="C583" i="436" s="1"/>
  <c r="C584" i="436" s="1"/>
  <c r="C585" i="436" s="1"/>
  <c r="C586" i="436" s="1"/>
  <c r="C587" i="436" s="1"/>
  <c r="C588" i="436" s="1"/>
  <c r="C589" i="436" s="1"/>
  <c r="C590" i="436" s="1"/>
  <c r="C591" i="436" s="1"/>
  <c r="C592" i="436" s="1"/>
  <c r="C593" i="436" s="1"/>
  <c r="C594" i="436" s="1"/>
  <c r="C595" i="436" s="1"/>
  <c r="C596" i="436" s="1"/>
  <c r="C597" i="436" s="1"/>
  <c r="C598" i="436" s="1"/>
  <c r="C599" i="436" s="1"/>
  <c r="C600" i="436" s="1"/>
  <c r="C601" i="436" s="1"/>
  <c r="C602" i="436" s="1"/>
  <c r="C603" i="436" s="1"/>
  <c r="C604" i="436" s="1"/>
  <c r="C605" i="436" s="1"/>
  <c r="C606" i="436" s="1"/>
  <c r="C607" i="436" s="1"/>
  <c r="C608" i="436" s="1"/>
  <c r="C703" i="436"/>
  <c r="C704" i="436" s="1"/>
  <c r="C705" i="436" s="1"/>
  <c r="C706" i="436" s="1"/>
  <c r="C707" i="436" s="1"/>
  <c r="C1138" i="436"/>
  <c r="C1139" i="436" s="1"/>
  <c r="C1140" i="436" s="1"/>
  <c r="C1141" i="436" s="1"/>
  <c r="C1142" i="436" s="1"/>
  <c r="C1143" i="436" s="1"/>
  <c r="C1144" i="436" s="1"/>
  <c r="C1145" i="436" s="1"/>
  <c r="C1146" i="436" s="1"/>
  <c r="C1147" i="436" s="1"/>
  <c r="C1148" i="436" s="1"/>
  <c r="C1149" i="436" s="1"/>
  <c r="C1150" i="436" s="1"/>
  <c r="C1151" i="436" s="1"/>
  <c r="C1152" i="436" s="1"/>
  <c r="C1153" i="436" s="1"/>
  <c r="C1154" i="436" s="1"/>
  <c r="C1155" i="436" s="1"/>
  <c r="C1156" i="436" s="1"/>
  <c r="C1157" i="436" s="1"/>
  <c r="C1158" i="436" s="1"/>
  <c r="C1159" i="436" s="1"/>
  <c r="C1160" i="436" s="1"/>
  <c r="C1161" i="436" s="1"/>
  <c r="C1162" i="436" s="1"/>
  <c r="C1163" i="436" s="1"/>
  <c r="C1164" i="436" s="1"/>
  <c r="C1165" i="436" s="1"/>
  <c r="C1166" i="436" s="1"/>
  <c r="C1167" i="436" s="1"/>
  <c r="C1168" i="436" s="1"/>
  <c r="C1370" i="436"/>
  <c r="C776" i="436"/>
  <c r="C777" i="436" s="1"/>
  <c r="C778" i="436" s="1"/>
  <c r="C779" i="436" s="1"/>
  <c r="C780" i="436" s="1"/>
  <c r="C781" i="436" s="1"/>
  <c r="C782" i="436" s="1"/>
  <c r="C783" i="436" s="1"/>
  <c r="C784" i="436" s="1"/>
  <c r="C785" i="436" s="1"/>
  <c r="C786" i="436" s="1"/>
  <c r="C787" i="436" s="1"/>
  <c r="C788" i="436" s="1"/>
  <c r="C789" i="436" s="1"/>
  <c r="C790" i="436" s="1"/>
  <c r="C791" i="436" s="1"/>
  <c r="C792" i="436" s="1"/>
  <c r="C793" i="436" s="1"/>
  <c r="C794" i="436" s="1"/>
  <c r="C795" i="436" s="1"/>
  <c r="C796" i="436" s="1"/>
  <c r="C797" i="436" s="1"/>
  <c r="C798" i="436" s="1"/>
  <c r="C799" i="436" s="1"/>
  <c r="C800" i="436" s="1"/>
  <c r="C801" i="436" s="1"/>
  <c r="C802" i="436" s="1"/>
  <c r="C803" i="436" s="1"/>
  <c r="C804" i="436" s="1"/>
  <c r="C805" i="436" s="1"/>
  <c r="C806" i="436" s="1"/>
  <c r="C807" i="436" s="1"/>
  <c r="C808" i="436" s="1"/>
  <c r="C809" i="436" s="1"/>
  <c r="C810" i="436" s="1"/>
  <c r="C811" i="436" s="1"/>
  <c r="C812" i="436" s="1"/>
  <c r="D338" i="436"/>
  <c r="D339" i="436" s="1"/>
  <c r="D340" i="436" s="1"/>
  <c r="D341" i="436" s="1"/>
  <c r="C338" i="436"/>
  <c r="C339" i="436" s="1"/>
  <c r="C340" i="436" s="1"/>
  <c r="C341" i="436" s="1"/>
  <c r="C874" i="436"/>
  <c r="C875" i="436" s="1"/>
  <c r="C876" i="436" s="1"/>
  <c r="C877" i="436" s="1"/>
  <c r="C878" i="436" s="1"/>
  <c r="D73" i="436"/>
  <c r="D74" i="436" s="1"/>
  <c r="D75" i="436" s="1"/>
  <c r="D76" i="436" s="1"/>
  <c r="D77" i="436" s="1"/>
  <c r="D275" i="436" s="1"/>
  <c r="C73" i="436"/>
  <c r="C74" i="436" s="1"/>
  <c r="C75" i="436" s="1"/>
  <c r="C76" i="436" s="1"/>
  <c r="C77" i="436" s="1"/>
  <c r="E1" i="438"/>
  <c r="E2" i="438"/>
  <c r="E3" i="438"/>
  <c r="Y170" i="438"/>
  <c r="X170" i="438"/>
  <c r="R170" i="438"/>
  <c r="A170" i="438"/>
  <c r="U169" i="438"/>
  <c r="T169" i="438"/>
  <c r="S169" i="438"/>
  <c r="Q169" i="438"/>
  <c r="K169" i="438"/>
  <c r="U168" i="438"/>
  <c r="T168" i="438"/>
  <c r="S168" i="438"/>
  <c r="Q168" i="438"/>
  <c r="K168" i="438"/>
  <c r="U167" i="438"/>
  <c r="T167" i="438"/>
  <c r="S167" i="438"/>
  <c r="Q167" i="438"/>
  <c r="K167" i="438"/>
  <c r="U166" i="438"/>
  <c r="T166" i="438"/>
  <c r="S166" i="438"/>
  <c r="Q166" i="438"/>
  <c r="K166" i="438"/>
  <c r="Q158" i="438"/>
  <c r="A158" i="438"/>
  <c r="U157" i="438"/>
  <c r="T157" i="438"/>
  <c r="S157" i="438"/>
  <c r="M157" i="438"/>
  <c r="R157" i="438" s="1"/>
  <c r="J157" i="438"/>
  <c r="L157" i="438" s="1"/>
  <c r="M156" i="438"/>
  <c r="J156" i="438"/>
  <c r="L156" i="438" s="1"/>
  <c r="Q7" i="438"/>
  <c r="M155" i="438"/>
  <c r="J155" i="438"/>
  <c r="L155" i="438" s="1"/>
  <c r="U154" i="438"/>
  <c r="T154" i="438"/>
  <c r="S154" i="438"/>
  <c r="M154" i="438"/>
  <c r="J154" i="438"/>
  <c r="L154" i="438" s="1"/>
  <c r="Q146" i="438"/>
  <c r="A146" i="438"/>
  <c r="U145" i="438"/>
  <c r="S145" i="438"/>
  <c r="T145" i="438" s="1"/>
  <c r="M145" i="438"/>
  <c r="R145" i="438" s="1"/>
  <c r="J145" i="438"/>
  <c r="L145" i="438" s="1"/>
  <c r="U144" i="438"/>
  <c r="S144" i="438"/>
  <c r="T144" i="438" s="1"/>
  <c r="M144" i="438"/>
  <c r="R144" i="438" s="1"/>
  <c r="J144" i="438"/>
  <c r="L144" i="438" s="1"/>
  <c r="U143" i="438"/>
  <c r="S143" i="438"/>
  <c r="T143" i="438" s="1"/>
  <c r="M143" i="438"/>
  <c r="R143" i="438" s="1"/>
  <c r="J143" i="438"/>
  <c r="L143" i="438" s="1"/>
  <c r="U142" i="438"/>
  <c r="S142" i="438"/>
  <c r="T142" i="438" s="1"/>
  <c r="M142" i="438"/>
  <c r="R142" i="438" s="1"/>
  <c r="J142" i="438"/>
  <c r="L142" i="438" s="1"/>
  <c r="U141" i="438"/>
  <c r="S141" i="438"/>
  <c r="T141" i="438" s="1"/>
  <c r="M141" i="438"/>
  <c r="R141" i="438" s="1"/>
  <c r="J141" i="438"/>
  <c r="L141" i="438" s="1"/>
  <c r="U140" i="438"/>
  <c r="S140" i="438"/>
  <c r="T140" i="438" s="1"/>
  <c r="M140" i="438"/>
  <c r="R140" i="438" s="1"/>
  <c r="J140" i="438"/>
  <c r="L140" i="438" s="1"/>
  <c r="U139" i="438"/>
  <c r="S139" i="438"/>
  <c r="T139" i="438" s="1"/>
  <c r="M139" i="438"/>
  <c r="R139" i="438" s="1"/>
  <c r="J139" i="438"/>
  <c r="L139" i="438" s="1"/>
  <c r="U138" i="438"/>
  <c r="S138" i="438"/>
  <c r="T138" i="438" s="1"/>
  <c r="M138" i="438"/>
  <c r="R138" i="438" s="1"/>
  <c r="J138" i="438"/>
  <c r="L138" i="438" s="1"/>
  <c r="U137" i="438"/>
  <c r="S137" i="438"/>
  <c r="T137" i="438" s="1"/>
  <c r="M137" i="438"/>
  <c r="R137" i="438" s="1"/>
  <c r="J137" i="438"/>
  <c r="L137" i="438" s="1"/>
  <c r="U136" i="438"/>
  <c r="S136" i="438"/>
  <c r="T136" i="438" s="1"/>
  <c r="M136" i="438"/>
  <c r="R136" i="438" s="1"/>
  <c r="J136" i="438"/>
  <c r="L136" i="438" s="1"/>
  <c r="U135" i="438"/>
  <c r="S135" i="438"/>
  <c r="T135" i="438" s="1"/>
  <c r="M135" i="438"/>
  <c r="R135" i="438" s="1"/>
  <c r="J135" i="438"/>
  <c r="L135" i="438" s="1"/>
  <c r="U134" i="438"/>
  <c r="S134" i="438"/>
  <c r="T134" i="438" s="1"/>
  <c r="M134" i="438"/>
  <c r="R134" i="438" s="1"/>
  <c r="J134" i="438"/>
  <c r="L134" i="438" s="1"/>
  <c r="U133" i="438"/>
  <c r="S133" i="438"/>
  <c r="M133" i="438"/>
  <c r="R133" i="438" s="1"/>
  <c r="J133" i="438"/>
  <c r="L133" i="438" s="1"/>
  <c r="Q125" i="438"/>
  <c r="A125" i="438"/>
  <c r="U97" i="438"/>
  <c r="S97" i="438"/>
  <c r="T97" i="438" s="1"/>
  <c r="M97" i="438"/>
  <c r="R97" i="438" s="1"/>
  <c r="J97" i="438"/>
  <c r="L97" i="438" s="1"/>
  <c r="U96" i="438"/>
  <c r="S96" i="438"/>
  <c r="T96" i="438" s="1"/>
  <c r="M96" i="438"/>
  <c r="R96" i="438" s="1"/>
  <c r="J96" i="438"/>
  <c r="L96" i="438" s="1"/>
  <c r="S95" i="438"/>
  <c r="T95" i="438" s="1"/>
  <c r="J95" i="438"/>
  <c r="L95" i="438" s="1"/>
  <c r="M95" i="438"/>
  <c r="R95" i="438" s="1"/>
  <c r="S94" i="438"/>
  <c r="T94" i="438" s="1"/>
  <c r="M94" i="438"/>
  <c r="R94" i="438" s="1"/>
  <c r="J94" i="438"/>
  <c r="U94" i="438"/>
  <c r="S93" i="438"/>
  <c r="J93" i="438"/>
  <c r="U92" i="438"/>
  <c r="S92" i="438"/>
  <c r="T92" i="438" s="1"/>
  <c r="M92" i="438"/>
  <c r="R92" i="438" s="1"/>
  <c r="J92" i="438"/>
  <c r="L92" i="438" s="1"/>
  <c r="U91" i="438"/>
  <c r="S91" i="438"/>
  <c r="T91" i="438" s="1"/>
  <c r="M91" i="438"/>
  <c r="R91" i="438" s="1"/>
  <c r="J91" i="438"/>
  <c r="L91" i="438" s="1"/>
  <c r="U90" i="438"/>
  <c r="S90" i="438"/>
  <c r="T90" i="438" s="1"/>
  <c r="M90" i="438"/>
  <c r="R90" i="438" s="1"/>
  <c r="J90" i="438"/>
  <c r="L90" i="438" s="1"/>
  <c r="U88" i="438"/>
  <c r="S88" i="438"/>
  <c r="T88" i="438" s="1"/>
  <c r="M88" i="438"/>
  <c r="R88" i="438" s="1"/>
  <c r="J88" i="438"/>
  <c r="L88" i="438" s="1"/>
  <c r="U87" i="438"/>
  <c r="S87" i="438"/>
  <c r="J87" i="438"/>
  <c r="U86" i="438"/>
  <c r="S86" i="438"/>
  <c r="T86" i="438" s="1"/>
  <c r="M86" i="438"/>
  <c r="R86" i="438" s="1"/>
  <c r="J86" i="438"/>
  <c r="L86" i="438" s="1"/>
  <c r="U85" i="438"/>
  <c r="S85" i="438"/>
  <c r="T85" i="438" s="1"/>
  <c r="M85" i="438"/>
  <c r="R85" i="438" s="1"/>
  <c r="J85" i="438"/>
  <c r="L85" i="438" s="1"/>
  <c r="S84" i="438"/>
  <c r="T84" i="438" s="1"/>
  <c r="J84" i="438"/>
  <c r="U84" i="438"/>
  <c r="S83" i="438"/>
  <c r="T83" i="438" s="1"/>
  <c r="M83" i="438"/>
  <c r="R83" i="438" s="1"/>
  <c r="J83" i="438"/>
  <c r="U83" i="438"/>
  <c r="U82" i="438"/>
  <c r="S82" i="438"/>
  <c r="T82" i="438" s="1"/>
  <c r="M82" i="438"/>
  <c r="R82" i="438" s="1"/>
  <c r="J82" i="438"/>
  <c r="L82" i="438" s="1"/>
  <c r="U81" i="438"/>
  <c r="S81" i="438"/>
  <c r="T81" i="438" s="1"/>
  <c r="M81" i="438"/>
  <c r="R81" i="438" s="1"/>
  <c r="J81" i="438"/>
  <c r="L81" i="438" s="1"/>
  <c r="S80" i="438"/>
  <c r="M80" i="438"/>
  <c r="R80" i="438" s="1"/>
  <c r="J80" i="438"/>
  <c r="U80" i="438"/>
  <c r="U79" i="438"/>
  <c r="S79" i="438"/>
  <c r="T79" i="438" s="1"/>
  <c r="M79" i="438"/>
  <c r="R79" i="438" s="1"/>
  <c r="J79" i="438"/>
  <c r="L79" i="438" s="1"/>
  <c r="S78" i="438"/>
  <c r="J78" i="438"/>
  <c r="M78" i="438"/>
  <c r="R78" i="438" s="1"/>
  <c r="U77" i="438"/>
  <c r="S77" i="438"/>
  <c r="T77" i="438" s="1"/>
  <c r="M77" i="438"/>
  <c r="R77" i="438" s="1"/>
  <c r="J77" i="438"/>
  <c r="L77" i="438" s="1"/>
  <c r="T68" i="438"/>
  <c r="Q68" i="438"/>
  <c r="A68" i="438"/>
  <c r="U67" i="438"/>
  <c r="S67" i="438"/>
  <c r="R67" i="438"/>
  <c r="M67" i="438"/>
  <c r="J67" i="438"/>
  <c r="L67" i="438" s="1"/>
  <c r="U66" i="438"/>
  <c r="S66" i="438"/>
  <c r="R66" i="438"/>
  <c r="M66" i="438"/>
  <c r="J66" i="438"/>
  <c r="L66" i="438" s="1"/>
  <c r="U65" i="438"/>
  <c r="S65" i="438"/>
  <c r="R65" i="438"/>
  <c r="M65" i="438"/>
  <c r="J65" i="438"/>
  <c r="L65" i="438" s="1"/>
  <c r="U64" i="438"/>
  <c r="S64" i="438"/>
  <c r="R64" i="438"/>
  <c r="M64" i="438"/>
  <c r="J64" i="438"/>
  <c r="L64" i="438" s="1"/>
  <c r="U63" i="438"/>
  <c r="S63" i="438"/>
  <c r="R63" i="438"/>
  <c r="M63" i="438"/>
  <c r="J63" i="438"/>
  <c r="L63" i="438" s="1"/>
  <c r="U62" i="438"/>
  <c r="S62" i="438"/>
  <c r="R62" i="438"/>
  <c r="M62" i="438"/>
  <c r="J62" i="438"/>
  <c r="L62" i="438" s="1"/>
  <c r="U61" i="438"/>
  <c r="S61" i="438"/>
  <c r="R61" i="438"/>
  <c r="M61" i="438"/>
  <c r="J61" i="438"/>
  <c r="L61" i="438" s="1"/>
  <c r="U60" i="438"/>
  <c r="S60" i="438"/>
  <c r="R60" i="438"/>
  <c r="M60" i="438"/>
  <c r="J60" i="438"/>
  <c r="L60" i="438" s="1"/>
  <c r="U59" i="438"/>
  <c r="S59" i="438"/>
  <c r="R59" i="438"/>
  <c r="M59" i="438"/>
  <c r="J59" i="438"/>
  <c r="L59" i="438" s="1"/>
  <c r="U58" i="438"/>
  <c r="S58" i="438"/>
  <c r="R58" i="438"/>
  <c r="M58" i="438"/>
  <c r="J58" i="438"/>
  <c r="L58" i="438" s="1"/>
  <c r="U57" i="438"/>
  <c r="S57" i="438"/>
  <c r="T50" i="438"/>
  <c r="Q50" i="438"/>
  <c r="A50" i="438"/>
  <c r="U49" i="438"/>
  <c r="S49" i="438"/>
  <c r="M49" i="438"/>
  <c r="R49" i="438" s="1"/>
  <c r="L49" i="438"/>
  <c r="U48" i="438"/>
  <c r="S48" i="438"/>
  <c r="M48" i="438"/>
  <c r="R48" i="438" s="1"/>
  <c r="L48" i="438"/>
  <c r="U47" i="438"/>
  <c r="M45" i="438"/>
  <c r="R45" i="438" s="1"/>
  <c r="L43" i="438"/>
  <c r="M43" i="438"/>
  <c r="Q36" i="438"/>
  <c r="A36" i="438"/>
  <c r="U19" i="438"/>
  <c r="S19" i="438"/>
  <c r="M19" i="438"/>
  <c r="T19" i="438" s="1"/>
  <c r="J19" i="438"/>
  <c r="L19" i="438" s="1"/>
  <c r="U18" i="438"/>
  <c r="S18" i="438"/>
  <c r="M18" i="438"/>
  <c r="T18" i="438" s="1"/>
  <c r="J18" i="438"/>
  <c r="L18" i="438" s="1"/>
  <c r="U17" i="438"/>
  <c r="S17" i="438"/>
  <c r="M17" i="438"/>
  <c r="T17" i="438" s="1"/>
  <c r="J17" i="438"/>
  <c r="L17" i="438" s="1"/>
  <c r="U16" i="438"/>
  <c r="S16" i="438"/>
  <c r="M16" i="438"/>
  <c r="R16" i="438" s="1"/>
  <c r="J16" i="438"/>
  <c r="L16" i="438" s="1"/>
  <c r="U15" i="438"/>
  <c r="S15" i="438"/>
  <c r="M15" i="438"/>
  <c r="J15" i="438"/>
  <c r="L15" i="438" s="1"/>
  <c r="S8" i="438"/>
  <c r="R8" i="438"/>
  <c r="Q8" i="438"/>
  <c r="P8" i="438"/>
  <c r="L8" i="438"/>
  <c r="J8" i="438"/>
  <c r="I8" i="438"/>
  <c r="H8" i="438"/>
  <c r="G8" i="438"/>
  <c r="R7" i="438"/>
  <c r="P7" i="438"/>
  <c r="O7" i="438"/>
  <c r="N724" i="436"/>
  <c r="N283" i="436"/>
  <c r="L77" i="436"/>
  <c r="N77" i="436" s="1"/>
  <c r="E10" i="436"/>
  <c r="E11" i="436" s="1"/>
  <c r="D9" i="436"/>
  <c r="D10" i="436" s="1"/>
  <c r="D11" i="436" s="1"/>
  <c r="D12" i="436" s="1"/>
  <c r="D13" i="436" s="1"/>
  <c r="D14" i="436" s="1"/>
  <c r="D15" i="436" s="1"/>
  <c r="D16" i="436" s="1"/>
  <c r="D17" i="436" s="1"/>
  <c r="D18" i="436" s="1"/>
  <c r="D19" i="436" s="1"/>
  <c r="D20" i="436" s="1"/>
  <c r="D21" i="436" s="1"/>
  <c r="E8" i="436"/>
  <c r="E9" i="436" s="1"/>
  <c r="D8" i="436"/>
  <c r="C8" i="436"/>
  <c r="C9" i="436" s="1"/>
  <c r="C10" i="436" s="1"/>
  <c r="C11" i="436" s="1"/>
  <c r="C12" i="436" s="1"/>
  <c r="C13" i="436" s="1"/>
  <c r="C14" i="436" s="1"/>
  <c r="C15" i="436" s="1"/>
  <c r="C16" i="436" s="1"/>
  <c r="C17" i="436" s="1"/>
  <c r="C18" i="436" s="1"/>
  <c r="C19" i="436" s="1"/>
  <c r="C20" i="436" s="1"/>
  <c r="B8" i="436"/>
  <c r="A8" i="436"/>
  <c r="N102" i="446"/>
  <c r="N74" i="446"/>
  <c r="P70" i="434"/>
  <c r="P66" i="434"/>
  <c r="P64" i="434"/>
  <c r="G63" i="434"/>
  <c r="G62" i="434"/>
  <c r="P61" i="434"/>
  <c r="G61" i="434"/>
  <c r="G60" i="434"/>
  <c r="P59" i="434"/>
  <c r="G59" i="434"/>
  <c r="G58" i="434"/>
  <c r="P54" i="434"/>
  <c r="P52" i="434"/>
  <c r="E50" i="434"/>
  <c r="G50" i="434" s="1"/>
  <c r="G49" i="434"/>
  <c r="E49" i="434"/>
  <c r="E48" i="434"/>
  <c r="G48" i="434" s="1"/>
  <c r="E47" i="434"/>
  <c r="G47" i="434" s="1"/>
  <c r="E46" i="434"/>
  <c r="G46" i="434" s="1"/>
  <c r="E45" i="434"/>
  <c r="G45" i="434" s="1"/>
  <c r="G44" i="434"/>
  <c r="E44" i="434"/>
  <c r="E43" i="434"/>
  <c r="G43" i="434" s="1"/>
  <c r="E42" i="434"/>
  <c r="G42" i="434" s="1"/>
  <c r="E41" i="434"/>
  <c r="G41" i="434" s="1"/>
  <c r="G40" i="434"/>
  <c r="E40" i="434"/>
  <c r="E39" i="434"/>
  <c r="G39" i="434" s="1"/>
  <c r="E38" i="434"/>
  <c r="G38" i="434" s="1"/>
  <c r="G37" i="434"/>
  <c r="E37" i="434"/>
  <c r="E36" i="434"/>
  <c r="G36" i="434" s="1"/>
  <c r="P34" i="434"/>
  <c r="F30" i="434"/>
  <c r="F29" i="434"/>
  <c r="F28" i="434"/>
  <c r="F31" i="434" s="1"/>
  <c r="D28" i="434"/>
  <c r="D25" i="434"/>
  <c r="F25" i="434" s="1"/>
  <c r="F24" i="434"/>
  <c r="F23" i="434"/>
  <c r="F22" i="434"/>
  <c r="D21" i="434"/>
  <c r="F21" i="434" s="1"/>
  <c r="P20" i="434"/>
  <c r="D13" i="434"/>
  <c r="P12" i="434"/>
  <c r="P14" i="434" s="1"/>
  <c r="P11" i="434"/>
  <c r="D8" i="434"/>
  <c r="P6" i="434"/>
  <c r="P33" i="434" s="1"/>
  <c r="T4" i="434"/>
  <c r="B3" i="434"/>
  <c r="B2" i="434"/>
  <c r="B1" i="434"/>
  <c r="D70" i="433"/>
  <c r="B63" i="433"/>
  <c r="B57" i="433"/>
  <c r="D57" i="433"/>
  <c r="D49" i="433"/>
  <c r="B49" i="433"/>
  <c r="D47" i="433"/>
  <c r="B42" i="433"/>
  <c r="D42" i="433"/>
  <c r="D36" i="433"/>
  <c r="B36" i="433"/>
  <c r="D23" i="433"/>
  <c r="D25" i="433" s="1"/>
  <c r="D18" i="433"/>
  <c r="D12" i="433"/>
  <c r="D11" i="433"/>
  <c r="B3" i="433"/>
  <c r="B2" i="433"/>
  <c r="B1" i="433"/>
  <c r="D10" i="434"/>
  <c r="D12" i="434" s="1"/>
  <c r="C813" i="436" l="1"/>
  <c r="C814" i="436" s="1"/>
  <c r="C1338" i="436"/>
  <c r="C1339" i="436" s="1"/>
  <c r="C1340" i="436" s="1"/>
  <c r="C1341" i="436" s="1"/>
  <c r="A9" i="436"/>
  <c r="A10" i="436" s="1"/>
  <c r="A11" i="436" s="1"/>
  <c r="A12" i="436" s="1"/>
  <c r="C919" i="436"/>
  <c r="C920" i="436" s="1"/>
  <c r="C921" i="436" s="1"/>
  <c r="C1371" i="436"/>
  <c r="C1372" i="436" s="1"/>
  <c r="C1373" i="436" s="1"/>
  <c r="C1374" i="436" s="1"/>
  <c r="C1375" i="436" s="1"/>
  <c r="C1376" i="436" s="1"/>
  <c r="C1377" i="436" s="1"/>
  <c r="C1378" i="436" s="1"/>
  <c r="C1379" i="436" s="1"/>
  <c r="C1380" i="436" s="1"/>
  <c r="C1381" i="436" s="1"/>
  <c r="C1382" i="436" s="1"/>
  <c r="C1383" i="436" s="1"/>
  <c r="C1384" i="436" s="1"/>
  <c r="C1169" i="436"/>
  <c r="C1170" i="436" s="1"/>
  <c r="C1171" i="436" s="1"/>
  <c r="C1172" i="436" s="1"/>
  <c r="C1173" i="436" s="1"/>
  <c r="C1174" i="436" s="1"/>
  <c r="C1175" i="436" s="1"/>
  <c r="C1176" i="436" s="1"/>
  <c r="C1177" i="436" s="1"/>
  <c r="C1178" i="436" s="1"/>
  <c r="C1179" i="436" s="1"/>
  <c r="C1180" i="436" s="1"/>
  <c r="C1181" i="436" s="1"/>
  <c r="C1182" i="436" s="1"/>
  <c r="C1183" i="436" s="1"/>
  <c r="C1184" i="436" s="1"/>
  <c r="C342" i="436"/>
  <c r="D342" i="436"/>
  <c r="D431" i="436"/>
  <c r="N63" i="446"/>
  <c r="N103" i="446"/>
  <c r="N101" i="446" s="1"/>
  <c r="N14" i="446"/>
  <c r="N22" i="446"/>
  <c r="N44" i="446"/>
  <c r="N17" i="446"/>
  <c r="N13" i="446"/>
  <c r="N87" i="446"/>
  <c r="N70" i="446"/>
  <c r="N49" i="446"/>
  <c r="N45" i="446"/>
  <c r="N16" i="446"/>
  <c r="N12" i="446"/>
  <c r="N86" i="446"/>
  <c r="N48" i="446"/>
  <c r="N20" i="446"/>
  <c r="N11" i="446"/>
  <c r="N85" i="446"/>
  <c r="N19" i="446"/>
  <c r="N100" i="446"/>
  <c r="N84" i="446"/>
  <c r="N23" i="446"/>
  <c r="N99" i="446"/>
  <c r="C879" i="436"/>
  <c r="C880" i="436" s="1"/>
  <c r="C881" i="436" s="1"/>
  <c r="C78" i="436"/>
  <c r="C79" i="436" s="1"/>
  <c r="C80" i="436" s="1"/>
  <c r="C81" i="436" s="1"/>
  <c r="C82" i="436" s="1"/>
  <c r="C83" i="436" s="1"/>
  <c r="C84" i="436" s="1"/>
  <c r="C85" i="436" s="1"/>
  <c r="C86" i="436" s="1"/>
  <c r="C87" i="436" s="1"/>
  <c r="C88" i="436" s="1"/>
  <c r="C89" i="436" s="1"/>
  <c r="C90" i="436" s="1"/>
  <c r="C91" i="436" s="1"/>
  <c r="C92" i="436" s="1"/>
  <c r="C93" i="436" s="1"/>
  <c r="C94" i="436" s="1"/>
  <c r="C95" i="436" s="1"/>
  <c r="C96" i="436" s="1"/>
  <c r="C97" i="436" s="1"/>
  <c r="C98" i="436" s="1"/>
  <c r="C99" i="436" s="1"/>
  <c r="C100" i="436" s="1"/>
  <c r="D279" i="436"/>
  <c r="D280" i="436" s="1"/>
  <c r="D281" i="436" s="1"/>
  <c r="D282" i="436" s="1"/>
  <c r="D283" i="436" s="1"/>
  <c r="D284" i="436" s="1"/>
  <c r="D285" i="436" s="1"/>
  <c r="D286" i="436" s="1"/>
  <c r="D329" i="436" s="1"/>
  <c r="C279" i="436"/>
  <c r="C280" i="436" s="1"/>
  <c r="C281" i="436" s="1"/>
  <c r="C282" i="436" s="1"/>
  <c r="C283" i="436" s="1"/>
  <c r="C284" i="436" s="1"/>
  <c r="C285" i="436" s="1"/>
  <c r="C286" i="436" s="1"/>
  <c r="N18" i="438"/>
  <c r="O18" i="438" s="1"/>
  <c r="T170" i="438"/>
  <c r="N8" i="438" s="1"/>
  <c r="O8" i="438"/>
  <c r="N91" i="438"/>
  <c r="O91" i="438" s="1"/>
  <c r="N90" i="438"/>
  <c r="O90" i="438" s="1"/>
  <c r="T16" i="438"/>
  <c r="S36" i="438"/>
  <c r="N48" i="438"/>
  <c r="O48" i="438" s="1"/>
  <c r="N154" i="438"/>
  <c r="O154" i="438" s="1"/>
  <c r="N140" i="438"/>
  <c r="O140" i="438" s="1"/>
  <c r="N49" i="438"/>
  <c r="O49" i="438" s="1"/>
  <c r="K7" i="438"/>
  <c r="K170" i="438"/>
  <c r="F8" i="438" s="1"/>
  <c r="S125" i="438"/>
  <c r="N96" i="438"/>
  <c r="O96" i="438" s="1"/>
  <c r="N17" i="438"/>
  <c r="O17" i="438" s="1"/>
  <c r="N139" i="438"/>
  <c r="O139" i="438" s="1"/>
  <c r="S158" i="438"/>
  <c r="N138" i="438"/>
  <c r="O138" i="438" s="1"/>
  <c r="N134" i="438"/>
  <c r="O134" i="438" s="1"/>
  <c r="M36" i="438"/>
  <c r="T80" i="438"/>
  <c r="U95" i="438"/>
  <c r="N95" i="438" s="1"/>
  <c r="O95" i="438" s="1"/>
  <c r="U170" i="438"/>
  <c r="S68" i="438"/>
  <c r="U146" i="438"/>
  <c r="U68" i="438"/>
  <c r="S170" i="438"/>
  <c r="M8" i="438" s="1"/>
  <c r="L45" i="438"/>
  <c r="M47" i="438"/>
  <c r="R47" i="438" s="1"/>
  <c r="M68" i="438"/>
  <c r="L84" i="438"/>
  <c r="N84" i="438" s="1"/>
  <c r="O84" i="438" s="1"/>
  <c r="T93" i="438"/>
  <c r="S47" i="438"/>
  <c r="R68" i="438"/>
  <c r="T158" i="438"/>
  <c r="Q170" i="438"/>
  <c r="K8" i="438" s="1"/>
  <c r="L80" i="438"/>
  <c r="N80" i="438" s="1"/>
  <c r="O80" i="438" s="1"/>
  <c r="L83" i="438"/>
  <c r="M84" i="438"/>
  <c r="R84" i="438" s="1"/>
  <c r="T87" i="438"/>
  <c r="L94" i="438"/>
  <c r="R15" i="438"/>
  <c r="U36" i="438"/>
  <c r="N63" i="438"/>
  <c r="O63" i="438" s="1"/>
  <c r="N60" i="438"/>
  <c r="O60" i="438" s="1"/>
  <c r="N65" i="438"/>
  <c r="O65" i="438" s="1"/>
  <c r="N16" i="438"/>
  <c r="O16" i="438" s="1"/>
  <c r="L36" i="438"/>
  <c r="N15" i="438"/>
  <c r="O15" i="438" s="1"/>
  <c r="N62" i="438"/>
  <c r="O62" i="438" s="1"/>
  <c r="R43" i="438"/>
  <c r="N59" i="438"/>
  <c r="O59" i="438" s="1"/>
  <c r="N67" i="438"/>
  <c r="O67" i="438" s="1"/>
  <c r="N97" i="438"/>
  <c r="O97" i="438" s="1"/>
  <c r="N64" i="438"/>
  <c r="O64" i="438" s="1"/>
  <c r="N61" i="438"/>
  <c r="O61" i="438" s="1"/>
  <c r="N81" i="438"/>
  <c r="O81" i="438" s="1"/>
  <c r="L68" i="438"/>
  <c r="N58" i="438"/>
  <c r="O58" i="438" s="1"/>
  <c r="N66" i="438"/>
  <c r="O66" i="438" s="1"/>
  <c r="L47" i="438"/>
  <c r="S146" i="438"/>
  <c r="T133" i="438"/>
  <c r="T146" i="438" s="1"/>
  <c r="N137" i="438"/>
  <c r="O137" i="438" s="1"/>
  <c r="N86" i="438"/>
  <c r="O86" i="438" s="1"/>
  <c r="M93" i="438"/>
  <c r="R93" i="438" s="1"/>
  <c r="L93" i="438"/>
  <c r="N142" i="438"/>
  <c r="O142" i="438" s="1"/>
  <c r="N156" i="438"/>
  <c r="O156" i="438" s="1"/>
  <c r="N19" i="438"/>
  <c r="O19" i="438" s="1"/>
  <c r="S43" i="438"/>
  <c r="N145" i="438"/>
  <c r="O145" i="438" s="1"/>
  <c r="N155" i="438"/>
  <c r="O155" i="438" s="1"/>
  <c r="T15" i="438"/>
  <c r="R17" i="438"/>
  <c r="R18" i="438"/>
  <c r="U43" i="438"/>
  <c r="N43" i="438" s="1"/>
  <c r="S45" i="438"/>
  <c r="N85" i="438"/>
  <c r="O85" i="438" s="1"/>
  <c r="N133" i="438"/>
  <c r="L146" i="438"/>
  <c r="N135" i="438"/>
  <c r="O135" i="438" s="1"/>
  <c r="N141" i="438"/>
  <c r="O141" i="438" s="1"/>
  <c r="L158" i="438"/>
  <c r="R19" i="438"/>
  <c r="U45" i="438"/>
  <c r="N79" i="438"/>
  <c r="O79" i="438" s="1"/>
  <c r="M87" i="438"/>
  <c r="R87" i="438" s="1"/>
  <c r="L87" i="438"/>
  <c r="N92" i="438"/>
  <c r="O92" i="438" s="1"/>
  <c r="U93" i="438"/>
  <c r="M146" i="438"/>
  <c r="M158" i="438"/>
  <c r="R154" i="438"/>
  <c r="R158" i="438" s="1"/>
  <c r="N82" i="438"/>
  <c r="O82" i="438" s="1"/>
  <c r="R146" i="438"/>
  <c r="N143" i="438"/>
  <c r="O143" i="438" s="1"/>
  <c r="U158" i="438"/>
  <c r="N157" i="438"/>
  <c r="T78" i="438"/>
  <c r="U78" i="438"/>
  <c r="N77" i="438"/>
  <c r="O77" i="438" s="1"/>
  <c r="L78" i="438"/>
  <c r="N88" i="438"/>
  <c r="O88" i="438" s="1"/>
  <c r="N136" i="438"/>
  <c r="O136" i="438" s="1"/>
  <c r="N144" i="438"/>
  <c r="O144" i="438" s="1"/>
  <c r="G51" i="434"/>
  <c r="B9" i="436"/>
  <c r="I8" i="436"/>
  <c r="N286" i="436"/>
  <c r="F26" i="434"/>
  <c r="D16" i="434"/>
  <c r="G64" i="434"/>
  <c r="D63" i="433"/>
  <c r="P31" i="434"/>
  <c r="P17" i="434"/>
  <c r="C815" i="436" l="1"/>
  <c r="C816" i="436" s="1"/>
  <c r="C817" i="436" s="1"/>
  <c r="C818" i="436" s="1"/>
  <c r="C819" i="436" s="1"/>
  <c r="C820" i="436" s="1"/>
  <c r="C821" i="436" s="1"/>
  <c r="C822" i="436" s="1"/>
  <c r="C823" i="436" s="1"/>
  <c r="C824" i="436" s="1"/>
  <c r="C825" i="436" s="1"/>
  <c r="C826" i="436" s="1"/>
  <c r="C827" i="436" s="1"/>
  <c r="C828" i="436" s="1"/>
  <c r="C829" i="436" s="1"/>
  <c r="C830" i="436" s="1"/>
  <c r="C831" i="436" s="1"/>
  <c r="C922" i="436"/>
  <c r="C923" i="436" s="1"/>
  <c r="C924" i="436" s="1"/>
  <c r="C925" i="436" s="1"/>
  <c r="C926" i="436" s="1"/>
  <c r="C927" i="436" s="1"/>
  <c r="C928" i="436" s="1"/>
  <c r="C929" i="436" s="1"/>
  <c r="C930" i="436" s="1"/>
  <c r="M120" i="446"/>
  <c r="N120" i="446" s="1"/>
  <c r="A13" i="436"/>
  <c r="A14" i="436" s="1"/>
  <c r="A15" i="436" s="1"/>
  <c r="A16" i="436" s="1"/>
  <c r="C882" i="436"/>
  <c r="C883" i="436" s="1"/>
  <c r="C884" i="436" s="1"/>
  <c r="C885" i="436" s="1"/>
  <c r="C886" i="436" s="1"/>
  <c r="C887" i="436" s="1"/>
  <c r="C888" i="436" s="1"/>
  <c r="C889" i="436" s="1"/>
  <c r="C890" i="436" s="1"/>
  <c r="C891" i="436" s="1"/>
  <c r="C892" i="436" s="1"/>
  <c r="N98" i="446"/>
  <c r="N47" i="446"/>
  <c r="N83" i="446"/>
  <c r="N66" i="446"/>
  <c r="N58" i="446" s="1"/>
  <c r="N18" i="446"/>
  <c r="N43" i="446"/>
  <c r="N42" i="446"/>
  <c r="N89" i="446"/>
  <c r="N71" i="446"/>
  <c r="N92" i="446"/>
  <c r="N91" i="446" s="1"/>
  <c r="N38" i="446"/>
  <c r="N39" i="446"/>
  <c r="N30" i="446"/>
  <c r="N80" i="446"/>
  <c r="N25" i="446"/>
  <c r="N10" i="446"/>
  <c r="N40" i="446"/>
  <c r="N24" i="446"/>
  <c r="N21" i="446"/>
  <c r="N36" i="446"/>
  <c r="N57" i="446"/>
  <c r="N56" i="446"/>
  <c r="N82" i="446"/>
  <c r="N37" i="446"/>
  <c r="N68" i="446"/>
  <c r="N27" i="446" s="1"/>
  <c r="N79" i="446"/>
  <c r="N69" i="446"/>
  <c r="N41" i="446"/>
  <c r="N35" i="446"/>
  <c r="N73" i="446" s="1"/>
  <c r="N26" i="446"/>
  <c r="N88" i="446"/>
  <c r="N81" i="446"/>
  <c r="C101" i="436"/>
  <c r="C102" i="436" s="1"/>
  <c r="C103" i="436" s="1"/>
  <c r="C104" i="436" s="1"/>
  <c r="C105" i="436" s="1"/>
  <c r="C106" i="436" s="1"/>
  <c r="C107" i="436" s="1"/>
  <c r="C108" i="436" s="1"/>
  <c r="C109" i="436" s="1"/>
  <c r="C110" i="436" s="1"/>
  <c r="C111" i="436" s="1"/>
  <c r="C112" i="436" s="1"/>
  <c r="C113" i="436" s="1"/>
  <c r="C114" i="436" s="1"/>
  <c r="C115" i="436" s="1"/>
  <c r="C116" i="436" s="1"/>
  <c r="C117" i="436" s="1"/>
  <c r="C118" i="436" s="1"/>
  <c r="C119" i="436" s="1"/>
  <c r="C120" i="436" s="1"/>
  <c r="C121" i="436" s="1"/>
  <c r="C287" i="436"/>
  <c r="C288" i="436" s="1"/>
  <c r="C289" i="436" s="1"/>
  <c r="C290" i="436" s="1"/>
  <c r="C291" i="436" s="1"/>
  <c r="C292" i="436" s="1"/>
  <c r="C293" i="436" s="1"/>
  <c r="C294" i="436" s="1"/>
  <c r="C295" i="436" s="1"/>
  <c r="C296" i="436" s="1"/>
  <c r="C297" i="436" s="1"/>
  <c r="L50" i="438"/>
  <c r="N45" i="438"/>
  <c r="O45" i="438" s="1"/>
  <c r="S7" i="438"/>
  <c r="T125" i="438"/>
  <c r="N158" i="438"/>
  <c r="N94" i="438"/>
  <c r="O94" i="438" s="1"/>
  <c r="N83" i="438"/>
  <c r="O83" i="438" s="1"/>
  <c r="L125" i="438"/>
  <c r="U125" i="438"/>
  <c r="O43" i="438"/>
  <c r="N146" i="438"/>
  <c r="N93" i="438"/>
  <c r="O93" i="438" s="1"/>
  <c r="N78" i="438"/>
  <c r="O78" i="438" s="1"/>
  <c r="O157" i="438"/>
  <c r="O158" i="438" s="1"/>
  <c r="N68" i="438"/>
  <c r="N36" i="438"/>
  <c r="O68" i="438"/>
  <c r="O36" i="438"/>
  <c r="O133" i="438"/>
  <c r="O146" i="438" s="1"/>
  <c r="R36" i="438"/>
  <c r="R50" i="438"/>
  <c r="T36" i="438"/>
  <c r="M125" i="438"/>
  <c r="M50" i="438"/>
  <c r="N47" i="438"/>
  <c r="R125" i="438"/>
  <c r="N87" i="438"/>
  <c r="O87" i="438" s="1"/>
  <c r="U50" i="438"/>
  <c r="S50" i="438"/>
  <c r="M7" i="438" s="1"/>
  <c r="B10" i="436"/>
  <c r="I9" i="436"/>
  <c r="C832" i="436" l="1"/>
  <c r="C833" i="436" s="1"/>
  <c r="C834" i="436" s="1"/>
  <c r="C835" i="436" s="1"/>
  <c r="C836" i="436" s="1"/>
  <c r="C837" i="436" s="1"/>
  <c r="C838" i="436" s="1"/>
  <c r="C839" i="436" s="1"/>
  <c r="C840" i="436" s="1"/>
  <c r="C841" i="436" s="1"/>
  <c r="C931" i="436"/>
  <c r="C932" i="436" s="1"/>
  <c r="C933" i="436" s="1"/>
  <c r="C934" i="436" s="1"/>
  <c r="C935" i="436" s="1"/>
  <c r="C936" i="436" s="1"/>
  <c r="C937" i="436" s="1"/>
  <c r="C938" i="436" s="1"/>
  <c r="C939" i="436" s="1"/>
  <c r="C940" i="436" s="1"/>
  <c r="C941" i="436" s="1"/>
  <c r="C942" i="436" s="1"/>
  <c r="N105" i="446"/>
  <c r="N106" i="446"/>
  <c r="N107" i="446"/>
  <c r="C893" i="436"/>
  <c r="C894" i="436" s="1"/>
  <c r="C895" i="436" s="1"/>
  <c r="C896" i="436" s="1"/>
  <c r="C897" i="436" s="1"/>
  <c r="C898" i="436" s="1"/>
  <c r="C899" i="436" s="1"/>
  <c r="A17" i="436"/>
  <c r="A18" i="436" s="1"/>
  <c r="N15" i="446"/>
  <c r="N67" i="446"/>
  <c r="N9" i="446"/>
  <c r="M127" i="446"/>
  <c r="N55" i="446"/>
  <c r="N53" i="446"/>
  <c r="N54" i="446"/>
  <c r="N78" i="446"/>
  <c r="N72" i="446"/>
  <c r="N33" i="446"/>
  <c r="N34" i="446"/>
  <c r="N8" i="446"/>
  <c r="C122" i="436"/>
  <c r="C123" i="436" s="1"/>
  <c r="C124" i="436" s="1"/>
  <c r="C125" i="436" s="1"/>
  <c r="C126" i="436" s="1"/>
  <c r="C127" i="436" s="1"/>
  <c r="C128" i="436" s="1"/>
  <c r="C129" i="436" s="1"/>
  <c r="C130" i="436" s="1"/>
  <c r="C131" i="436" s="1"/>
  <c r="C132" i="436" s="1"/>
  <c r="C133" i="436" s="1"/>
  <c r="C134" i="436" s="1"/>
  <c r="C135" i="436" s="1"/>
  <c r="C136" i="436" s="1"/>
  <c r="C137" i="436" s="1"/>
  <c r="C138" i="436" s="1"/>
  <c r="C139" i="436" s="1"/>
  <c r="C140" i="436" s="1"/>
  <c r="C141" i="436" s="1"/>
  <c r="C142" i="436" s="1"/>
  <c r="C143" i="436" s="1"/>
  <c r="C144" i="436" s="1"/>
  <c r="C145" i="436" s="1"/>
  <c r="C146" i="436" s="1"/>
  <c r="C147" i="436" s="1"/>
  <c r="C148" i="436" s="1"/>
  <c r="C149" i="436" s="1"/>
  <c r="C150" i="436" s="1"/>
  <c r="C151" i="436" s="1"/>
  <c r="C152" i="436" s="1"/>
  <c r="C153" i="436" s="1"/>
  <c r="C154" i="436" s="1"/>
  <c r="C298" i="436"/>
  <c r="C299" i="436" s="1"/>
  <c r="C300" i="436" s="1"/>
  <c r="C301" i="436" s="1"/>
  <c r="C302" i="436" s="1"/>
  <c r="C303" i="436" s="1"/>
  <c r="C304" i="436" s="1"/>
  <c r="C305" i="436" s="1"/>
  <c r="C306" i="436" s="1"/>
  <c r="C307" i="436" s="1"/>
  <c r="C308" i="436" s="1"/>
  <c r="N7" i="438"/>
  <c r="B11" i="436"/>
  <c r="G7" i="438"/>
  <c r="N50" i="438"/>
  <c r="H7" i="438"/>
  <c r="L7" i="438"/>
  <c r="N125" i="438"/>
  <c r="O47" i="438"/>
  <c r="O50" i="438" s="1"/>
  <c r="O125" i="438"/>
  <c r="I10" i="436"/>
  <c r="C842" i="436" l="1"/>
  <c r="C843" i="436" s="1"/>
  <c r="C844" i="436" s="1"/>
  <c r="C845" i="436" s="1"/>
  <c r="C846" i="436" s="1"/>
  <c r="C847" i="436" s="1"/>
  <c r="C900" i="436"/>
  <c r="C901" i="436" s="1"/>
  <c r="C902" i="436" s="1"/>
  <c r="C903" i="436" s="1"/>
  <c r="C904" i="436" s="1"/>
  <c r="C905" i="436" s="1"/>
  <c r="C906" i="436" s="1"/>
  <c r="C907" i="436" s="1"/>
  <c r="C908" i="436" s="1"/>
  <c r="C909" i="436" s="1"/>
  <c r="C910" i="436" s="1"/>
  <c r="C911" i="436" s="1"/>
  <c r="A19" i="436"/>
  <c r="C943" i="436"/>
  <c r="C944" i="436" s="1"/>
  <c r="C945" i="436" s="1"/>
  <c r="C946" i="436" s="1"/>
  <c r="C947" i="436" s="1"/>
  <c r="M125" i="446"/>
  <c r="M124" i="446"/>
  <c r="M126" i="446"/>
  <c r="N123" i="446"/>
  <c r="C32" i="432" s="1"/>
  <c r="D4" i="475" s="1"/>
  <c r="C155" i="436"/>
  <c r="C156" i="436" s="1"/>
  <c r="C157" i="436" s="1"/>
  <c r="C158" i="436" s="1"/>
  <c r="C159" i="436" s="1"/>
  <c r="C160" i="436" s="1"/>
  <c r="C161" i="436" s="1"/>
  <c r="C162" i="436" s="1"/>
  <c r="C163" i="436" s="1"/>
  <c r="C164" i="436" s="1"/>
  <c r="C165" i="436" s="1"/>
  <c r="C166" i="436" s="1"/>
  <c r="C167" i="436" s="1"/>
  <c r="C168" i="436" s="1"/>
  <c r="C309" i="436"/>
  <c r="C310" i="436" s="1"/>
  <c r="C311" i="436" s="1"/>
  <c r="B12" i="436"/>
  <c r="I7" i="438"/>
  <c r="J7" i="438"/>
  <c r="I11" i="436"/>
  <c r="C848" i="436" l="1"/>
  <c r="C849" i="436" s="1"/>
  <c r="C850" i="436" s="1"/>
  <c r="C851" i="436" s="1"/>
  <c r="C852" i="436" s="1"/>
  <c r="C853" i="436" s="1"/>
  <c r="C854" i="436" s="1"/>
  <c r="C855" i="436" s="1"/>
  <c r="C856" i="436" s="1"/>
  <c r="C857" i="436" s="1"/>
  <c r="C858" i="436" s="1"/>
  <c r="C859" i="436" s="1"/>
  <c r="C860" i="436" s="1"/>
  <c r="C861" i="436" s="1"/>
  <c r="C862" i="436" s="1"/>
  <c r="C863" i="436" s="1"/>
  <c r="C864" i="436" s="1"/>
  <c r="A20" i="436"/>
  <c r="C948" i="436"/>
  <c r="C949" i="436" s="1"/>
  <c r="C950" i="436" s="1"/>
  <c r="C169" i="436"/>
  <c r="C170" i="436" s="1"/>
  <c r="C171" i="436" s="1"/>
  <c r="C172" i="436" s="1"/>
  <c r="C173" i="436" s="1"/>
  <c r="C174" i="436" s="1"/>
  <c r="C175" i="436" s="1"/>
  <c r="C176" i="436" s="1"/>
  <c r="C177" i="436" s="1"/>
  <c r="C178" i="436" s="1"/>
  <c r="C179" i="436" s="1"/>
  <c r="C180" i="436" s="1"/>
  <c r="C181" i="436" s="1"/>
  <c r="C182" i="436" s="1"/>
  <c r="C183" i="436" s="1"/>
  <c r="C184" i="436" s="1"/>
  <c r="C185" i="436" s="1"/>
  <c r="C186" i="436" s="1"/>
  <c r="C187" i="436" s="1"/>
  <c r="C188" i="436" s="1"/>
  <c r="C189" i="436" s="1"/>
  <c r="C190" i="436" s="1"/>
  <c r="C191" i="436" s="1"/>
  <c r="C192" i="436" s="1"/>
  <c r="C193" i="436" s="1"/>
  <c r="C194" i="436" s="1"/>
  <c r="C195" i="436" s="1"/>
  <c r="C196" i="436" s="1"/>
  <c r="C197" i="436" s="1"/>
  <c r="C198" i="436" s="1"/>
  <c r="C199" i="436" s="1"/>
  <c r="C200" i="436" s="1"/>
  <c r="C201" i="436" s="1"/>
  <c r="C202" i="436" s="1"/>
  <c r="C203" i="436" s="1"/>
  <c r="C204" i="436" s="1"/>
  <c r="C312" i="436"/>
  <c r="C313" i="436" s="1"/>
  <c r="C314" i="436" s="1"/>
  <c r="C315" i="436" s="1"/>
  <c r="C316" i="436" s="1"/>
  <c r="C317" i="436" s="1"/>
  <c r="B13" i="436"/>
  <c r="I12" i="436"/>
  <c r="A21" i="436" l="1"/>
  <c r="A22" i="436" s="1"/>
  <c r="C951" i="436"/>
  <c r="C952" i="436" s="1"/>
  <c r="C953" i="436" s="1"/>
  <c r="C954" i="436" s="1"/>
  <c r="C955" i="436" s="1"/>
  <c r="C956" i="436" s="1"/>
  <c r="C957" i="436" s="1"/>
  <c r="C958" i="436" s="1"/>
  <c r="C959" i="436" s="1"/>
  <c r="C960" i="436" s="1"/>
  <c r="C961" i="436" s="1"/>
  <c r="C962" i="436" s="1"/>
  <c r="C963" i="436" s="1"/>
  <c r="C964" i="436" s="1"/>
  <c r="C205" i="436"/>
  <c r="C206" i="436" s="1"/>
  <c r="C318" i="436"/>
  <c r="C319" i="436" s="1"/>
  <c r="C320" i="436" s="1"/>
  <c r="B14" i="436"/>
  <c r="I13" i="436"/>
  <c r="A23" i="436" l="1"/>
  <c r="C965" i="436"/>
  <c r="C966" i="436" s="1"/>
  <c r="C967" i="436" s="1"/>
  <c r="C968" i="436" s="1"/>
  <c r="C969" i="436" s="1"/>
  <c r="C970" i="436" s="1"/>
  <c r="C971" i="436" s="1"/>
  <c r="C972" i="436" s="1"/>
  <c r="C973" i="436" s="1"/>
  <c r="C974" i="436" s="1"/>
  <c r="C975" i="436" s="1"/>
  <c r="C976" i="436" s="1"/>
  <c r="C977" i="436" s="1"/>
  <c r="C978" i="436" s="1"/>
  <c r="C979" i="436" s="1"/>
  <c r="C980" i="436" s="1"/>
  <c r="C981" i="436" s="1"/>
  <c r="C982" i="436" s="1"/>
  <c r="C983" i="436" s="1"/>
  <c r="C207" i="436"/>
  <c r="C208" i="436" s="1"/>
  <c r="C209" i="436" s="1"/>
  <c r="C210" i="436" s="1"/>
  <c r="C211" i="436" s="1"/>
  <c r="B15" i="436"/>
  <c r="I14" i="436"/>
  <c r="A24" i="436" l="1"/>
  <c r="A25" i="436" s="1"/>
  <c r="A26" i="436" s="1"/>
  <c r="A27" i="436" s="1"/>
  <c r="A28" i="436" s="1"/>
  <c r="A29" i="436" s="1"/>
  <c r="C984" i="436"/>
  <c r="C985" i="436" s="1"/>
  <c r="C986" i="436" s="1"/>
  <c r="C987" i="436" s="1"/>
  <c r="C988" i="436" s="1"/>
  <c r="C989" i="436" s="1"/>
  <c r="C990" i="436" s="1"/>
  <c r="C991" i="436" s="1"/>
  <c r="C992" i="436" s="1"/>
  <c r="C993" i="436" s="1"/>
  <c r="C994" i="436" s="1"/>
  <c r="C995" i="436" s="1"/>
  <c r="C996" i="436" s="1"/>
  <c r="C997" i="436" s="1"/>
  <c r="C998" i="436" s="1"/>
  <c r="C999" i="436" s="1"/>
  <c r="C1000" i="436" s="1"/>
  <c r="C1001" i="436" s="1"/>
  <c r="C1002" i="436" s="1"/>
  <c r="C1003" i="436" s="1"/>
  <c r="C212" i="436"/>
  <c r="C213" i="436" s="1"/>
  <c r="C214" i="436" s="1"/>
  <c r="C215" i="436" s="1"/>
  <c r="C216" i="436" s="1"/>
  <c r="C217" i="436" s="1"/>
  <c r="C218" i="436" s="1"/>
  <c r="C219" i="436" s="1"/>
  <c r="C321" i="436"/>
  <c r="C322" i="436" s="1"/>
  <c r="B16" i="436"/>
  <c r="I15" i="436"/>
  <c r="A30" i="436" l="1"/>
  <c r="A31" i="436" s="1"/>
  <c r="A32" i="436" s="1"/>
  <c r="A33" i="436" s="1"/>
  <c r="A34" i="436" s="1"/>
  <c r="A35" i="436" s="1"/>
  <c r="A36" i="436" s="1"/>
  <c r="A37" i="436" s="1"/>
  <c r="A38" i="436" s="1"/>
  <c r="A39" i="436" s="1"/>
  <c r="A40" i="436" s="1"/>
  <c r="A41" i="436" s="1"/>
  <c r="A42" i="436" s="1"/>
  <c r="A43" i="436" s="1"/>
  <c r="A44" i="436" s="1"/>
  <c r="A45" i="436" s="1"/>
  <c r="A46" i="436" s="1"/>
  <c r="A47" i="436" s="1"/>
  <c r="A48" i="436" s="1"/>
  <c r="A49" i="436" s="1"/>
  <c r="A50" i="436" s="1"/>
  <c r="A51" i="436" s="1"/>
  <c r="A52" i="436" s="1"/>
  <c r="A53" i="436" s="1"/>
  <c r="A54" i="436" s="1"/>
  <c r="A55" i="436" s="1"/>
  <c r="A56" i="436" s="1"/>
  <c r="A57" i="436" s="1"/>
  <c r="A58" i="436" s="1"/>
  <c r="A59" i="436" s="1"/>
  <c r="A60" i="436" s="1"/>
  <c r="A61" i="436" s="1"/>
  <c r="A62" i="436" s="1"/>
  <c r="A63" i="436" s="1"/>
  <c r="A64" i="436" s="1"/>
  <c r="A65" i="436" s="1"/>
  <c r="A66" i="436" s="1"/>
  <c r="A67" i="436" s="1"/>
  <c r="A68" i="436" s="1"/>
  <c r="A69" i="436" s="1"/>
  <c r="A70" i="436" s="1"/>
  <c r="A71" i="436" s="1"/>
  <c r="A72" i="436" s="1"/>
  <c r="A73" i="436" s="1"/>
  <c r="A74" i="436" s="1"/>
  <c r="A75" i="436" s="1"/>
  <c r="A76" i="436" s="1"/>
  <c r="A77" i="436" s="1"/>
  <c r="A78" i="436" s="1"/>
  <c r="A79" i="436" s="1"/>
  <c r="A80" i="436" s="1"/>
  <c r="A81" i="436" s="1"/>
  <c r="A82" i="436" s="1"/>
  <c r="A83" i="436" s="1"/>
  <c r="A84" i="436" s="1"/>
  <c r="A85" i="436" s="1"/>
  <c r="A86" i="436" s="1"/>
  <c r="A87" i="436" s="1"/>
  <c r="A88" i="436" s="1"/>
  <c r="A89" i="436" s="1"/>
  <c r="A90" i="436" s="1"/>
  <c r="A91" i="436" s="1"/>
  <c r="A92" i="436" s="1"/>
  <c r="A93" i="436" s="1"/>
  <c r="A94" i="436" s="1"/>
  <c r="A95" i="436" s="1"/>
  <c r="A96" i="436" s="1"/>
  <c r="A97" i="436" s="1"/>
  <c r="A98" i="436" s="1"/>
  <c r="A99" i="436" s="1"/>
  <c r="A100" i="436" s="1"/>
  <c r="A101" i="436" s="1"/>
  <c r="A102" i="436" s="1"/>
  <c r="A103" i="436" s="1"/>
  <c r="A104" i="436" s="1"/>
  <c r="A105" i="436" s="1"/>
  <c r="A106" i="436" s="1"/>
  <c r="A107" i="436" s="1"/>
  <c r="A108" i="436" s="1"/>
  <c r="A109" i="436" s="1"/>
  <c r="A110" i="436" s="1"/>
  <c r="A111" i="436" s="1"/>
  <c r="A112" i="436" s="1"/>
  <c r="A113" i="436" s="1"/>
  <c r="A114" i="436" s="1"/>
  <c r="A115" i="436" s="1"/>
  <c r="A116" i="436" s="1"/>
  <c r="A117" i="436" s="1"/>
  <c r="A118" i="436" s="1"/>
  <c r="A119" i="436" s="1"/>
  <c r="A120" i="436" s="1"/>
  <c r="A121" i="436" s="1"/>
  <c r="A122" i="436" s="1"/>
  <c r="A123" i="436" s="1"/>
  <c r="A124" i="436" s="1"/>
  <c r="A125" i="436" s="1"/>
  <c r="A126" i="436" s="1"/>
  <c r="A127" i="436" s="1"/>
  <c r="A128" i="436" s="1"/>
  <c r="A129" i="436" s="1"/>
  <c r="A130" i="436" s="1"/>
  <c r="A131" i="436" s="1"/>
  <c r="A132" i="436" s="1"/>
  <c r="A133" i="436" s="1"/>
  <c r="A134" i="436" s="1"/>
  <c r="A135" i="436" s="1"/>
  <c r="A136" i="436" s="1"/>
  <c r="A137" i="436" s="1"/>
  <c r="A138" i="436" s="1"/>
  <c r="A139" i="436" s="1"/>
  <c r="A140" i="436" s="1"/>
  <c r="A141" i="436" s="1"/>
  <c r="A142" i="436" s="1"/>
  <c r="A143" i="436" s="1"/>
  <c r="A144" i="436" s="1"/>
  <c r="A145" i="436" s="1"/>
  <c r="A146" i="436" s="1"/>
  <c r="A147" i="436" s="1"/>
  <c r="A148" i="436" s="1"/>
  <c r="A149" i="436" s="1"/>
  <c r="A150" i="436" s="1"/>
  <c r="A151" i="436" s="1"/>
  <c r="A152" i="436" s="1"/>
  <c r="A153" i="436" s="1"/>
  <c r="A154" i="436" s="1"/>
  <c r="A155" i="436" s="1"/>
  <c r="A156" i="436" s="1"/>
  <c r="A157" i="436" s="1"/>
  <c r="A158" i="436" s="1"/>
  <c r="A159" i="436" s="1"/>
  <c r="A160" i="436" s="1"/>
  <c r="A161" i="436" s="1"/>
  <c r="A162" i="436" s="1"/>
  <c r="A163" i="436" s="1"/>
  <c r="A164" i="436" s="1"/>
  <c r="A165" i="436" s="1"/>
  <c r="A166" i="436" s="1"/>
  <c r="A167" i="436" s="1"/>
  <c r="A168" i="436" s="1"/>
  <c r="A169" i="436" s="1"/>
  <c r="A170" i="436" s="1"/>
  <c r="A171" i="436" s="1"/>
  <c r="A172" i="436" s="1"/>
  <c r="A173" i="436" s="1"/>
  <c r="A174" i="436" s="1"/>
  <c r="A175" i="436" s="1"/>
  <c r="A176" i="436" s="1"/>
  <c r="A177" i="436" s="1"/>
  <c r="A178" i="436" s="1"/>
  <c r="A179" i="436" s="1"/>
  <c r="A180" i="436" s="1"/>
  <c r="A181" i="436" s="1"/>
  <c r="A182" i="436" s="1"/>
  <c r="A183" i="436" s="1"/>
  <c r="A184" i="436" s="1"/>
  <c r="A185" i="436" s="1"/>
  <c r="A186" i="436" s="1"/>
  <c r="A187" i="436" s="1"/>
  <c r="A188" i="436" s="1"/>
  <c r="A189" i="436" s="1"/>
  <c r="A190" i="436" s="1"/>
  <c r="A191" i="436" s="1"/>
  <c r="A192" i="436" s="1"/>
  <c r="A193" i="436" s="1"/>
  <c r="A194" i="436" s="1"/>
  <c r="A195" i="436" s="1"/>
  <c r="A196" i="436" s="1"/>
  <c r="A197" i="436" s="1"/>
  <c r="A198" i="436" s="1"/>
  <c r="A199" i="436" s="1"/>
  <c r="A200" i="436" s="1"/>
  <c r="A201" i="436" s="1"/>
  <c r="A202" i="436" s="1"/>
  <c r="A203" i="436" s="1"/>
  <c r="A204" i="436" s="1"/>
  <c r="A205" i="436" s="1"/>
  <c r="A206" i="436" s="1"/>
  <c r="A207" i="436" s="1"/>
  <c r="A208" i="436" s="1"/>
  <c r="A209" i="436" s="1"/>
  <c r="A210" i="436" s="1"/>
  <c r="A211" i="436" s="1"/>
  <c r="A212" i="436" s="1"/>
  <c r="A213" i="436" s="1"/>
  <c r="A214" i="436" s="1"/>
  <c r="A215" i="436" s="1"/>
  <c r="A216" i="436" s="1"/>
  <c r="A217" i="436" s="1"/>
  <c r="A218" i="436" s="1"/>
  <c r="A219" i="436" s="1"/>
  <c r="A220" i="436" s="1"/>
  <c r="A221" i="436" s="1"/>
  <c r="A222" i="436" s="1"/>
  <c r="A223" i="436" s="1"/>
  <c r="A224" i="436" s="1"/>
  <c r="A225" i="436" s="1"/>
  <c r="A226" i="436" s="1"/>
  <c r="C1004" i="436"/>
  <c r="C1005" i="436" s="1"/>
  <c r="C1006" i="436" s="1"/>
  <c r="C1007" i="436" s="1"/>
  <c r="C1008" i="436" s="1"/>
  <c r="C1009" i="436" s="1"/>
  <c r="C1010" i="436" s="1"/>
  <c r="C1011" i="436" s="1"/>
  <c r="C1012" i="436" s="1"/>
  <c r="C1013" i="436" s="1"/>
  <c r="C1014" i="436" s="1"/>
  <c r="C1015" i="436" s="1"/>
  <c r="C1016" i="436" s="1"/>
  <c r="C1017" i="436" s="1"/>
  <c r="C1018" i="436" s="1"/>
  <c r="C1019" i="436" s="1"/>
  <c r="C1020" i="436" s="1"/>
  <c r="C1021" i="436" s="1"/>
  <c r="C1022" i="436" s="1"/>
  <c r="C1023" i="436" s="1"/>
  <c r="C1024" i="436" s="1"/>
  <c r="C1025" i="436" s="1"/>
  <c r="C1026" i="436" s="1"/>
  <c r="C1027" i="436" s="1"/>
  <c r="C1028" i="436" s="1"/>
  <c r="C1029" i="436" s="1"/>
  <c r="C1030" i="436" s="1"/>
  <c r="C1031" i="436" s="1"/>
  <c r="C1032" i="436" s="1"/>
  <c r="C1033" i="436" s="1"/>
  <c r="C1034" i="436" s="1"/>
  <c r="C1035" i="436" s="1"/>
  <c r="C1036" i="436" s="1"/>
  <c r="C1037" i="436" s="1"/>
  <c r="C1038" i="436" s="1"/>
  <c r="C1039" i="436" s="1"/>
  <c r="C1040" i="436" s="1"/>
  <c r="C1041" i="436" s="1"/>
  <c r="C1042" i="436" s="1"/>
  <c r="C270" i="436"/>
  <c r="C271" i="436" s="1"/>
  <c r="C272" i="436" s="1"/>
  <c r="C273" i="436" s="1"/>
  <c r="C274" i="436" s="1"/>
  <c r="C323" i="436"/>
  <c r="B17" i="436"/>
  <c r="I16" i="436"/>
  <c r="A229" i="436" l="1"/>
  <c r="A227" i="436"/>
  <c r="A228" i="436" s="1"/>
  <c r="C1043" i="436"/>
  <c r="C1044" i="436" s="1"/>
  <c r="C1045" i="436" s="1"/>
  <c r="C1046" i="436" s="1"/>
  <c r="C1047" i="436" s="1"/>
  <c r="C1048" i="436" s="1"/>
  <c r="C1049" i="436" s="1"/>
  <c r="C1050" i="436" s="1"/>
  <c r="C1051" i="436" s="1"/>
  <c r="C1052" i="436" s="1"/>
  <c r="C1053" i="436" s="1"/>
  <c r="C1054" i="436" s="1"/>
  <c r="C324" i="436"/>
  <c r="C325" i="436" s="1"/>
  <c r="C326" i="436" s="1"/>
  <c r="B18" i="436"/>
  <c r="I17" i="436"/>
  <c r="A230" i="436" l="1"/>
  <c r="A231" i="436" s="1"/>
  <c r="A232" i="436" s="1"/>
  <c r="A233" i="436" s="1"/>
  <c r="A234" i="436" s="1"/>
  <c r="C327" i="436"/>
  <c r="C328" i="436" s="1"/>
  <c r="B19" i="436"/>
  <c r="I18" i="436"/>
  <c r="A237" i="436" l="1"/>
  <c r="A235" i="436"/>
  <c r="A236" i="436" s="1"/>
  <c r="B20" i="436"/>
  <c r="I19" i="436"/>
  <c r="A238" i="436" l="1"/>
  <c r="A239" i="436" s="1"/>
  <c r="A240" i="436" s="1"/>
  <c r="A241" i="436" s="1"/>
  <c r="A242" i="436" s="1"/>
  <c r="B21" i="436"/>
  <c r="I20" i="436"/>
  <c r="A245" i="436" l="1"/>
  <c r="A243" i="436"/>
  <c r="A244" i="436" s="1"/>
  <c r="B22" i="436"/>
  <c r="I21" i="436"/>
  <c r="A246" i="436" l="1"/>
  <c r="B23" i="436"/>
  <c r="I22" i="436"/>
  <c r="A247" i="436" l="1"/>
  <c r="B24" i="436"/>
  <c r="I23" i="436"/>
  <c r="L25" i="211"/>
  <c r="M23" i="211"/>
  <c r="L23" i="211"/>
  <c r="M25" i="211"/>
  <c r="G12" i="344"/>
  <c r="H12" i="344" s="1"/>
  <c r="F12" i="344"/>
  <c r="A248" i="436" l="1"/>
  <c r="B25" i="436"/>
  <c r="B26" i="436" s="1"/>
  <c r="I24" i="436"/>
  <c r="C29" i="211"/>
  <c r="I12" i="344"/>
  <c r="A249" i="436" l="1"/>
  <c r="I26" i="436"/>
  <c r="B27" i="436"/>
  <c r="I27" i="436" s="1"/>
  <c r="I25" i="436"/>
  <c r="J12" i="344"/>
  <c r="K12" i="344"/>
  <c r="A250" i="436" l="1"/>
  <c r="A251" i="436" s="1"/>
  <c r="A252" i="436" s="1"/>
  <c r="B28" i="436"/>
  <c r="B29" i="436" s="1"/>
  <c r="A253" i="436" l="1"/>
  <c r="I28" i="436"/>
  <c r="B30" i="436"/>
  <c r="I29" i="436"/>
  <c r="A254" i="436" l="1"/>
  <c r="B31" i="436"/>
  <c r="I30" i="436"/>
  <c r="A255" i="436" l="1"/>
  <c r="B32" i="436"/>
  <c r="I31" i="436"/>
  <c r="A256" i="436" l="1"/>
  <c r="B33" i="436"/>
  <c r="B34" i="436" s="1"/>
  <c r="I32" i="436"/>
  <c r="A257" i="436" l="1"/>
  <c r="B35" i="436"/>
  <c r="I33" i="436"/>
  <c r="A258" i="436" l="1"/>
  <c r="A259" i="436" s="1"/>
  <c r="A260" i="436" s="1"/>
  <c r="B36" i="436"/>
  <c r="I34" i="436"/>
  <c r="A261" i="436" l="1"/>
  <c r="B37" i="436"/>
  <c r="I35" i="436"/>
  <c r="A262" i="436" l="1"/>
  <c r="B38" i="436"/>
  <c r="I36" i="436"/>
  <c r="A263" i="436" l="1"/>
  <c r="B39" i="436"/>
  <c r="I37" i="436"/>
  <c r="A264" i="436" l="1"/>
  <c r="B40" i="436"/>
  <c r="I38" i="436"/>
  <c r="A265" i="436" l="1"/>
  <c r="B41" i="436"/>
  <c r="I39" i="436"/>
  <c r="A266" i="436" l="1"/>
  <c r="B42" i="436"/>
  <c r="I40" i="436"/>
  <c r="A267" i="436" l="1"/>
  <c r="A268" i="436" s="1"/>
  <c r="A269" i="436" s="1"/>
  <c r="B43" i="436"/>
  <c r="I41" i="436"/>
  <c r="A270" i="436" l="1"/>
  <c r="B44" i="436"/>
  <c r="B45" i="436" s="1"/>
  <c r="B46" i="436" s="1"/>
  <c r="B47" i="436" s="1"/>
  <c r="B48" i="436" s="1"/>
  <c r="I42" i="436"/>
  <c r="A271" i="436" l="1"/>
  <c r="B49" i="436"/>
  <c r="I43" i="436"/>
  <c r="A272" i="436" l="1"/>
  <c r="B50" i="436"/>
  <c r="I44" i="436"/>
  <c r="A273" i="436" l="1"/>
  <c r="B51" i="436"/>
  <c r="I45" i="436"/>
  <c r="A274" i="436" l="1"/>
  <c r="B52" i="436"/>
  <c r="I46" i="436"/>
  <c r="H14" i="344"/>
  <c r="A275" i="436" l="1"/>
  <c r="B53" i="436"/>
  <c r="I47" i="436"/>
  <c r="A276" i="436" l="1"/>
  <c r="B54" i="436"/>
  <c r="I48" i="436"/>
  <c r="P59" i="401"/>
  <c r="F34" i="401"/>
  <c r="S64" i="401"/>
  <c r="R64" i="401"/>
  <c r="P64" i="401"/>
  <c r="M64" i="401"/>
  <c r="K64" i="401"/>
  <c r="J64" i="401"/>
  <c r="I64" i="401"/>
  <c r="H64" i="401"/>
  <c r="G64" i="401"/>
  <c r="F64" i="401"/>
  <c r="E64" i="401"/>
  <c r="D64" i="401"/>
  <c r="C64" i="401"/>
  <c r="B64" i="401"/>
  <c r="F59" i="401"/>
  <c r="D59" i="401"/>
  <c r="C59" i="401"/>
  <c r="B59" i="401"/>
  <c r="R59" i="401"/>
  <c r="K59" i="401"/>
  <c r="I59" i="401"/>
  <c r="H59" i="401"/>
  <c r="G59" i="401"/>
  <c r="E59" i="401"/>
  <c r="F54" i="401"/>
  <c r="D54" i="401"/>
  <c r="C54" i="401"/>
  <c r="R54" i="401"/>
  <c r="K54" i="401"/>
  <c r="I54" i="401"/>
  <c r="H54" i="401"/>
  <c r="G54" i="401"/>
  <c r="E54" i="401"/>
  <c r="D49" i="401"/>
  <c r="C49" i="401"/>
  <c r="R49" i="401"/>
  <c r="K49" i="401"/>
  <c r="I49" i="401"/>
  <c r="H49" i="401"/>
  <c r="G49" i="401"/>
  <c r="E49" i="401"/>
  <c r="F44" i="401"/>
  <c r="D44" i="401"/>
  <c r="J44" i="401"/>
  <c r="R44" i="401"/>
  <c r="K44" i="401"/>
  <c r="I44" i="401"/>
  <c r="H44" i="401"/>
  <c r="G44" i="401"/>
  <c r="E44" i="401"/>
  <c r="C44" i="401"/>
  <c r="F39" i="401"/>
  <c r="D39" i="401"/>
  <c r="C39" i="401"/>
  <c r="R39" i="401"/>
  <c r="K39" i="401"/>
  <c r="I39" i="401"/>
  <c r="H39" i="401"/>
  <c r="G39" i="401"/>
  <c r="E39" i="401"/>
  <c r="C34" i="401"/>
  <c r="R34" i="401"/>
  <c r="K34" i="401"/>
  <c r="I34" i="401"/>
  <c r="H34" i="401"/>
  <c r="G34" i="401"/>
  <c r="E34" i="401"/>
  <c r="F29" i="401"/>
  <c r="D29" i="401"/>
  <c r="C29" i="401"/>
  <c r="R29" i="401"/>
  <c r="K29" i="401"/>
  <c r="I29" i="401"/>
  <c r="H29" i="401"/>
  <c r="G29" i="401"/>
  <c r="E29" i="401"/>
  <c r="F23" i="401"/>
  <c r="D23" i="401"/>
  <c r="C23" i="401"/>
  <c r="B23" i="401"/>
  <c r="R23" i="401"/>
  <c r="K23" i="401"/>
  <c r="I23" i="401"/>
  <c r="H23" i="401"/>
  <c r="G23" i="401"/>
  <c r="E23" i="401"/>
  <c r="F18" i="401"/>
  <c r="D18" i="401"/>
  <c r="C18" i="401"/>
  <c r="B18" i="401"/>
  <c r="R18" i="401"/>
  <c r="K18" i="401"/>
  <c r="I18" i="401"/>
  <c r="H18" i="401"/>
  <c r="G18" i="401"/>
  <c r="E18" i="401"/>
  <c r="M13" i="401"/>
  <c r="F13" i="401"/>
  <c r="D13" i="401"/>
  <c r="D28" i="401" s="1"/>
  <c r="C13" i="401"/>
  <c r="C28" i="401" s="1"/>
  <c r="R13" i="401"/>
  <c r="R28" i="401" s="1"/>
  <c r="K13" i="401"/>
  <c r="I13" i="401"/>
  <c r="H13" i="401"/>
  <c r="G13" i="401"/>
  <c r="E13" i="401"/>
  <c r="E28" i="401" s="1"/>
  <c r="P8" i="401"/>
  <c r="M8" i="401"/>
  <c r="F8" i="401"/>
  <c r="D8" i="401"/>
  <c r="C8" i="401"/>
  <c r="B8" i="401"/>
  <c r="R8" i="401"/>
  <c r="K8" i="401"/>
  <c r="I8" i="401"/>
  <c r="H8" i="401"/>
  <c r="G8" i="401"/>
  <c r="E8" i="401"/>
  <c r="A277" i="436" l="1"/>
  <c r="F28" i="401"/>
  <c r="H28" i="401"/>
  <c r="G28" i="401"/>
  <c r="I28" i="401"/>
  <c r="K28" i="401"/>
  <c r="N64" i="436"/>
  <c r="N66" i="436"/>
  <c r="N68" i="436"/>
  <c r="N70" i="436"/>
  <c r="N69" i="436"/>
  <c r="J13" i="401"/>
  <c r="B55" i="436"/>
  <c r="I49" i="436"/>
  <c r="J54" i="401"/>
  <c r="J23" i="401"/>
  <c r="J18" i="401"/>
  <c r="J39" i="401"/>
  <c r="M18" i="401"/>
  <c r="J8" i="401"/>
  <c r="B44" i="401"/>
  <c r="J59" i="401"/>
  <c r="B13" i="401"/>
  <c r="B28" i="401" s="1"/>
  <c r="P18" i="401"/>
  <c r="B49" i="401"/>
  <c r="P13" i="401"/>
  <c r="D34" i="401"/>
  <c r="N65" i="436" s="1"/>
  <c r="F49" i="401"/>
  <c r="N67" i="436" s="1"/>
  <c r="B54" i="401"/>
  <c r="P23" i="401"/>
  <c r="B39" i="401"/>
  <c r="A278" i="436" l="1"/>
  <c r="J28" i="401"/>
  <c r="B56" i="436"/>
  <c r="I50" i="436"/>
  <c r="M54" i="401"/>
  <c r="M34" i="401"/>
  <c r="M49" i="401"/>
  <c r="M29" i="401"/>
  <c r="M44" i="401"/>
  <c r="M39" i="401"/>
  <c r="M59" i="401"/>
  <c r="J49" i="401"/>
  <c r="J29" i="401"/>
  <c r="B29" i="401"/>
  <c r="M23" i="401"/>
  <c r="P49" i="401"/>
  <c r="P34" i="401"/>
  <c r="P29" i="401"/>
  <c r="P54" i="401"/>
  <c r="P44" i="401"/>
  <c r="P39" i="401"/>
  <c r="J34" i="401"/>
  <c r="B34" i="401"/>
  <c r="A279" i="436" l="1"/>
  <c r="M28" i="401"/>
  <c r="N63" i="436"/>
  <c r="E73" i="401"/>
  <c r="N60" i="436" s="1"/>
  <c r="B57" i="436"/>
  <c r="I51" i="436"/>
  <c r="A280" i="436" l="1"/>
  <c r="M1388" i="436"/>
  <c r="N73" i="436"/>
  <c r="B58" i="436"/>
  <c r="I52" i="436"/>
  <c r="A281" i="436" l="1"/>
  <c r="N1388" i="436"/>
  <c r="I53" i="436"/>
  <c r="A282" i="436" l="1"/>
  <c r="B59" i="436"/>
  <c r="I54" i="436"/>
  <c r="A283" i="436" l="1"/>
  <c r="I55" i="436"/>
  <c r="A284" i="436" l="1"/>
  <c r="A285" i="436" s="1"/>
  <c r="A286" i="436" s="1"/>
  <c r="A287" i="436" s="1"/>
  <c r="A288" i="436" s="1"/>
  <c r="A289" i="436" s="1"/>
  <c r="A290" i="436" s="1"/>
  <c r="A291" i="436" s="1"/>
  <c r="A292" i="436" s="1"/>
  <c r="A293" i="436" s="1"/>
  <c r="A294" i="436" s="1"/>
  <c r="A295" i="436" s="1"/>
  <c r="A296" i="436" s="1"/>
  <c r="A297" i="436" s="1"/>
  <c r="A298" i="436" s="1"/>
  <c r="A299" i="436" s="1"/>
  <c r="A300" i="436" s="1"/>
  <c r="A301" i="436" s="1"/>
  <c r="A302" i="436" s="1"/>
  <c r="A303" i="436" s="1"/>
  <c r="A304" i="436" s="1"/>
  <c r="A305" i="436" s="1"/>
  <c r="A306" i="436" s="1"/>
  <c r="A307" i="436" s="1"/>
  <c r="A308" i="436" s="1"/>
  <c r="A309" i="436" s="1"/>
  <c r="A310" i="436" s="1"/>
  <c r="A311" i="436" s="1"/>
  <c r="A312" i="436" s="1"/>
  <c r="A313" i="436" s="1"/>
  <c r="A314" i="436" s="1"/>
  <c r="A315" i="436" s="1"/>
  <c r="A316" i="436" s="1"/>
  <c r="A317" i="436" s="1"/>
  <c r="A318" i="436" s="1"/>
  <c r="A319" i="436" s="1"/>
  <c r="A320" i="436" s="1"/>
  <c r="A321" i="436" s="1"/>
  <c r="A322" i="436" s="1"/>
  <c r="A323" i="436" s="1"/>
  <c r="A324" i="436" s="1"/>
  <c r="A325" i="436" s="1"/>
  <c r="A326" i="436" s="1"/>
  <c r="A327" i="436" s="1"/>
  <c r="A328" i="436" s="1"/>
  <c r="A329" i="436" s="1"/>
  <c r="A330" i="436" s="1"/>
  <c r="A331" i="436" s="1"/>
  <c r="A332" i="436" s="1"/>
  <c r="A333" i="436" s="1"/>
  <c r="A334" i="436" s="1"/>
  <c r="A335" i="436" s="1"/>
  <c r="A336" i="436" s="1"/>
  <c r="A337" i="436" s="1"/>
  <c r="A338" i="436" s="1"/>
  <c r="A339" i="436" s="1"/>
  <c r="A340" i="436" s="1"/>
  <c r="A341" i="436" s="1"/>
  <c r="A342" i="436" s="1"/>
  <c r="A343" i="436" s="1"/>
  <c r="A344" i="436" s="1"/>
  <c r="A345" i="436" s="1"/>
  <c r="A346" i="436" s="1"/>
  <c r="A347" i="436" s="1"/>
  <c r="A348" i="436" s="1"/>
  <c r="A349" i="436" s="1"/>
  <c r="A350" i="436" s="1"/>
  <c r="A351" i="436" s="1"/>
  <c r="A352" i="436" s="1"/>
  <c r="A353" i="436" s="1"/>
  <c r="A354" i="436" s="1"/>
  <c r="A355" i="436" s="1"/>
  <c r="A356" i="436" s="1"/>
  <c r="A357" i="436" s="1"/>
  <c r="A358" i="436" s="1"/>
  <c r="A359" i="436" s="1"/>
  <c r="A360" i="436" s="1"/>
  <c r="A361" i="436" s="1"/>
  <c r="A362" i="436" s="1"/>
  <c r="A363" i="436" s="1"/>
  <c r="A364" i="436" s="1"/>
  <c r="A365" i="436" s="1"/>
  <c r="A366" i="436" s="1"/>
  <c r="A367" i="436" s="1"/>
  <c r="A368" i="436" s="1"/>
  <c r="A369" i="436" s="1"/>
  <c r="A370" i="436" s="1"/>
  <c r="A371" i="436" s="1"/>
  <c r="A372" i="436" s="1"/>
  <c r="A373" i="436" s="1"/>
  <c r="A374" i="436" s="1"/>
  <c r="A375" i="436" s="1"/>
  <c r="A376" i="436" s="1"/>
  <c r="A377" i="436" s="1"/>
  <c r="A378" i="436" s="1"/>
  <c r="A379" i="436" s="1"/>
  <c r="A380" i="436" s="1"/>
  <c r="A381" i="436" s="1"/>
  <c r="A382" i="436" s="1"/>
  <c r="A383" i="436" s="1"/>
  <c r="A384" i="436" s="1"/>
  <c r="A385" i="436" s="1"/>
  <c r="A386" i="436" s="1"/>
  <c r="A387" i="436" s="1"/>
  <c r="A388" i="436" s="1"/>
  <c r="A389" i="436" s="1"/>
  <c r="A390" i="436" s="1"/>
  <c r="A391" i="436" s="1"/>
  <c r="A392" i="436" s="1"/>
  <c r="A393" i="436" s="1"/>
  <c r="A394" i="436" s="1"/>
  <c r="A395" i="436" s="1"/>
  <c r="A396" i="436" s="1"/>
  <c r="A397" i="436" s="1"/>
  <c r="A398" i="436" s="1"/>
  <c r="A399" i="436" s="1"/>
  <c r="A400" i="436" s="1"/>
  <c r="A401" i="436" s="1"/>
  <c r="A402" i="436" s="1"/>
  <c r="A403" i="436" s="1"/>
  <c r="A404" i="436" s="1"/>
  <c r="A405" i="436" s="1"/>
  <c r="A406" i="436" s="1"/>
  <c r="A407" i="436" s="1"/>
  <c r="A408" i="436" s="1"/>
  <c r="A409" i="436" s="1"/>
  <c r="A410" i="436" s="1"/>
  <c r="A411" i="436" s="1"/>
  <c r="A412" i="436" s="1"/>
  <c r="A413" i="436" s="1"/>
  <c r="A414" i="436" s="1"/>
  <c r="A415" i="436" s="1"/>
  <c r="A416" i="436" s="1"/>
  <c r="A417" i="436" s="1"/>
  <c r="A418" i="436" s="1"/>
  <c r="A419" i="436" s="1"/>
  <c r="A420" i="436" s="1"/>
  <c r="A421" i="436" s="1"/>
  <c r="A422" i="436" s="1"/>
  <c r="A423" i="436" s="1"/>
  <c r="A424" i="436" s="1"/>
  <c r="A425" i="436" s="1"/>
  <c r="A426" i="436" s="1"/>
  <c r="A427" i="436" s="1"/>
  <c r="A428" i="436" s="1"/>
  <c r="A429" i="436" s="1"/>
  <c r="A430" i="436" s="1"/>
  <c r="A431" i="436" s="1"/>
  <c r="A432" i="436" s="1"/>
  <c r="A433" i="436" s="1"/>
  <c r="A434" i="436" s="1"/>
  <c r="A435" i="436" s="1"/>
  <c r="A436" i="436" s="1"/>
  <c r="A437" i="436" s="1"/>
  <c r="A438" i="436" s="1"/>
  <c r="A439" i="436" s="1"/>
  <c r="A440" i="436" s="1"/>
  <c r="A441" i="436" s="1"/>
  <c r="A442" i="436" s="1"/>
  <c r="A443" i="436" s="1"/>
  <c r="A444" i="436" s="1"/>
  <c r="A445" i="436" s="1"/>
  <c r="A446" i="436" s="1"/>
  <c r="A447" i="436" s="1"/>
  <c r="A448" i="436" s="1"/>
  <c r="A449" i="436" s="1"/>
  <c r="A450" i="436" s="1"/>
  <c r="A451" i="436" s="1"/>
  <c r="A452" i="436" s="1"/>
  <c r="A453" i="436" s="1"/>
  <c r="A454" i="436" s="1"/>
  <c r="A455" i="436" s="1"/>
  <c r="A456" i="436" s="1"/>
  <c r="A457" i="436" s="1"/>
  <c r="A458" i="436" s="1"/>
  <c r="A459" i="436" s="1"/>
  <c r="A460" i="436" s="1"/>
  <c r="A461" i="436" s="1"/>
  <c r="A462" i="436" s="1"/>
  <c r="A463" i="436" s="1"/>
  <c r="A464" i="436" s="1"/>
  <c r="A465" i="436" s="1"/>
  <c r="A466" i="436" s="1"/>
  <c r="A467" i="436" s="1"/>
  <c r="A468" i="436" s="1"/>
  <c r="A469" i="436" s="1"/>
  <c r="A470" i="436" s="1"/>
  <c r="A471" i="436" s="1"/>
  <c r="A472" i="436" s="1"/>
  <c r="A473" i="436" s="1"/>
  <c r="A474" i="436" s="1"/>
  <c r="A475" i="436" s="1"/>
  <c r="A476" i="436" s="1"/>
  <c r="A477" i="436" s="1"/>
  <c r="A478" i="436" s="1"/>
  <c r="A479" i="436" s="1"/>
  <c r="A480" i="436" s="1"/>
  <c r="A481" i="436" s="1"/>
  <c r="A482" i="436" s="1"/>
  <c r="A483" i="436" s="1"/>
  <c r="A484" i="436" s="1"/>
  <c r="A485" i="436" s="1"/>
  <c r="A486" i="436" s="1"/>
  <c r="A487" i="436" s="1"/>
  <c r="A488" i="436" s="1"/>
  <c r="A489" i="436" s="1"/>
  <c r="A490" i="436" s="1"/>
  <c r="A491" i="436" s="1"/>
  <c r="A492" i="436" s="1"/>
  <c r="A493" i="436" s="1"/>
  <c r="A494" i="436" s="1"/>
  <c r="A495" i="436" s="1"/>
  <c r="A496" i="436" s="1"/>
  <c r="A497" i="436" s="1"/>
  <c r="A498" i="436" s="1"/>
  <c r="A499" i="436" s="1"/>
  <c r="A500" i="436" s="1"/>
  <c r="A501" i="436" s="1"/>
  <c r="A502" i="436" s="1"/>
  <c r="A503" i="436" s="1"/>
  <c r="A504" i="436" s="1"/>
  <c r="A505" i="436" s="1"/>
  <c r="A506" i="436" s="1"/>
  <c r="A507" i="436" s="1"/>
  <c r="A508" i="436" s="1"/>
  <c r="A509" i="436" s="1"/>
  <c r="A510" i="436" s="1"/>
  <c r="A511" i="436" s="1"/>
  <c r="A512" i="436" s="1"/>
  <c r="A513" i="436" s="1"/>
  <c r="A514" i="436" s="1"/>
  <c r="A515" i="436" s="1"/>
  <c r="A516" i="436" s="1"/>
  <c r="A517" i="436" s="1"/>
  <c r="A518" i="436" s="1"/>
  <c r="A519" i="436" s="1"/>
  <c r="A520" i="436" s="1"/>
  <c r="A521" i="436" s="1"/>
  <c r="A522" i="436" s="1"/>
  <c r="A523" i="436" s="1"/>
  <c r="A524" i="436" s="1"/>
  <c r="A525" i="436" s="1"/>
  <c r="A526" i="436" s="1"/>
  <c r="A527" i="436" s="1"/>
  <c r="A528" i="436" s="1"/>
  <c r="A529" i="436" s="1"/>
  <c r="A530" i="436" s="1"/>
  <c r="A531" i="436" s="1"/>
  <c r="A532" i="436" s="1"/>
  <c r="A533" i="436" s="1"/>
  <c r="A534" i="436" s="1"/>
  <c r="A535" i="436" s="1"/>
  <c r="A536" i="436" s="1"/>
  <c r="A537" i="436" s="1"/>
  <c r="A538" i="436" s="1"/>
  <c r="A539" i="436" s="1"/>
  <c r="A540" i="436" s="1"/>
  <c r="A541" i="436" s="1"/>
  <c r="A542" i="436" s="1"/>
  <c r="A543" i="436" s="1"/>
  <c r="A544" i="436" s="1"/>
  <c r="A545" i="436" s="1"/>
  <c r="A546" i="436" s="1"/>
  <c r="A547" i="436" s="1"/>
  <c r="A548" i="436" s="1"/>
  <c r="A549" i="436" s="1"/>
  <c r="A550" i="436" s="1"/>
  <c r="A551" i="436" s="1"/>
  <c r="A552" i="436" s="1"/>
  <c r="A553" i="436" s="1"/>
  <c r="A554" i="436" s="1"/>
  <c r="A555" i="436" s="1"/>
  <c r="A556" i="436" s="1"/>
  <c r="A557" i="436" s="1"/>
  <c r="A558" i="436" s="1"/>
  <c r="A559" i="436" s="1"/>
  <c r="A560" i="436" s="1"/>
  <c r="A561" i="436" s="1"/>
  <c r="A562" i="436" s="1"/>
  <c r="A563" i="436" s="1"/>
  <c r="A564" i="436" s="1"/>
  <c r="A565" i="436" s="1"/>
  <c r="A566" i="436" s="1"/>
  <c r="A567" i="436" s="1"/>
  <c r="A568" i="436" s="1"/>
  <c r="A569" i="436" s="1"/>
  <c r="A570" i="436" s="1"/>
  <c r="A571" i="436" s="1"/>
  <c r="A572" i="436" s="1"/>
  <c r="A573" i="436" s="1"/>
  <c r="A574" i="436" s="1"/>
  <c r="A575" i="436" s="1"/>
  <c r="A576" i="436" s="1"/>
  <c r="A577" i="436" s="1"/>
  <c r="A578" i="436" s="1"/>
  <c r="A579" i="436" s="1"/>
  <c r="A580" i="436" s="1"/>
  <c r="A581" i="436" s="1"/>
  <c r="A582" i="436" s="1"/>
  <c r="A583" i="436" s="1"/>
  <c r="A584" i="436" s="1"/>
  <c r="A585" i="436" s="1"/>
  <c r="A586" i="436" s="1"/>
  <c r="A587" i="436" s="1"/>
  <c r="A588" i="436" s="1"/>
  <c r="A589" i="436" s="1"/>
  <c r="A590" i="436" s="1"/>
  <c r="A591" i="436" s="1"/>
  <c r="A592" i="436" s="1"/>
  <c r="A593" i="436" s="1"/>
  <c r="A594" i="436" s="1"/>
  <c r="A595" i="436" s="1"/>
  <c r="A596" i="436" s="1"/>
  <c r="A597" i="436" s="1"/>
  <c r="A598" i="436" s="1"/>
  <c r="A599" i="436" s="1"/>
  <c r="A600" i="436" s="1"/>
  <c r="A601" i="436" s="1"/>
  <c r="A602" i="436" s="1"/>
  <c r="A603" i="436" s="1"/>
  <c r="A604" i="436" s="1"/>
  <c r="A605" i="436" s="1"/>
  <c r="A606" i="436" s="1"/>
  <c r="A607" i="436" s="1"/>
  <c r="A608" i="436" s="1"/>
  <c r="A609" i="436" s="1"/>
  <c r="A610" i="436" s="1"/>
  <c r="A611" i="436" s="1"/>
  <c r="A612" i="436" s="1"/>
  <c r="A613" i="436" s="1"/>
  <c r="A614" i="436" s="1"/>
  <c r="A615" i="436" s="1"/>
  <c r="A616" i="436" s="1"/>
  <c r="A617" i="436" s="1"/>
  <c r="A618" i="436" s="1"/>
  <c r="A619" i="436" s="1"/>
  <c r="A620" i="436" s="1"/>
  <c r="A621" i="436" s="1"/>
  <c r="A622" i="436" s="1"/>
  <c r="A623" i="436" s="1"/>
  <c r="A624" i="436" s="1"/>
  <c r="A625" i="436" s="1"/>
  <c r="A626" i="436" s="1"/>
  <c r="A627" i="436" s="1"/>
  <c r="A628" i="436" s="1"/>
  <c r="A629" i="436" s="1"/>
  <c r="A630" i="436" s="1"/>
  <c r="A631" i="436" s="1"/>
  <c r="A632" i="436" s="1"/>
  <c r="A633" i="436" s="1"/>
  <c r="A634" i="436" s="1"/>
  <c r="A635" i="436" s="1"/>
  <c r="A636" i="436" s="1"/>
  <c r="A637" i="436" s="1"/>
  <c r="A638" i="436" s="1"/>
  <c r="A639" i="436" s="1"/>
  <c r="A640" i="436" s="1"/>
  <c r="A641" i="436" s="1"/>
  <c r="A642" i="436" s="1"/>
  <c r="A643" i="436" s="1"/>
  <c r="A644" i="436" s="1"/>
  <c r="A645" i="436" s="1"/>
  <c r="A646" i="436" s="1"/>
  <c r="A647" i="436" s="1"/>
  <c r="A648" i="436" s="1"/>
  <c r="A649" i="436" s="1"/>
  <c r="A650" i="436" s="1"/>
  <c r="A651" i="436" s="1"/>
  <c r="A652" i="436" s="1"/>
  <c r="A653" i="436" s="1"/>
  <c r="A654" i="436" s="1"/>
  <c r="A655" i="436" s="1"/>
  <c r="A656" i="436" s="1"/>
  <c r="A657" i="436" s="1"/>
  <c r="A658" i="436" s="1"/>
  <c r="A659" i="436" s="1"/>
  <c r="A660" i="436" s="1"/>
  <c r="A661" i="436" s="1"/>
  <c r="A662" i="436" s="1"/>
  <c r="A663" i="436" s="1"/>
  <c r="A664" i="436" s="1"/>
  <c r="A665" i="436" s="1"/>
  <c r="A666" i="436" s="1"/>
  <c r="A667" i="436" s="1"/>
  <c r="A668" i="436" s="1"/>
  <c r="A669" i="436" s="1"/>
  <c r="A670" i="436" s="1"/>
  <c r="A671" i="436" s="1"/>
  <c r="A672" i="436" s="1"/>
  <c r="A673" i="436" s="1"/>
  <c r="A674" i="436" s="1"/>
  <c r="A675" i="436" s="1"/>
  <c r="A676" i="436" s="1"/>
  <c r="A677" i="436" s="1"/>
  <c r="A678" i="436" s="1"/>
  <c r="A679" i="436" s="1"/>
  <c r="A680" i="436" s="1"/>
  <c r="A681" i="436" s="1"/>
  <c r="A682" i="436" s="1"/>
  <c r="A683" i="436" s="1"/>
  <c r="A684" i="436" s="1"/>
  <c r="A685" i="436" s="1"/>
  <c r="A686" i="436" s="1"/>
  <c r="A687" i="436" s="1"/>
  <c r="A688" i="436" s="1"/>
  <c r="A689" i="436" s="1"/>
  <c r="A690" i="436" s="1"/>
  <c r="A691" i="436" s="1"/>
  <c r="A692" i="436" s="1"/>
  <c r="A693" i="436" s="1"/>
  <c r="A694" i="436" s="1"/>
  <c r="A695" i="436" s="1"/>
  <c r="A696" i="436" s="1"/>
  <c r="A697" i="436" s="1"/>
  <c r="A698" i="436" s="1"/>
  <c r="A699" i="436" s="1"/>
  <c r="A700" i="436" s="1"/>
  <c r="A701" i="436" s="1"/>
  <c r="A702" i="436" s="1"/>
  <c r="B60" i="436"/>
  <c r="B61" i="436" s="1"/>
  <c r="I61" i="436" s="1"/>
  <c r="I56" i="436"/>
  <c r="A705" i="436" l="1"/>
  <c r="A703" i="436"/>
  <c r="A704" i="436" s="1"/>
  <c r="B62" i="436"/>
  <c r="I57" i="436"/>
  <c r="A706" i="436" l="1"/>
  <c r="B63" i="436"/>
  <c r="B64" i="436" s="1"/>
  <c r="B65" i="436" s="1"/>
  <c r="B66" i="436" s="1"/>
  <c r="B67" i="436" s="1"/>
  <c r="B68" i="436" s="1"/>
  <c r="B69" i="436" s="1"/>
  <c r="I58" i="436"/>
  <c r="A708" i="436" l="1"/>
  <c r="A707" i="436"/>
  <c r="B70" i="436"/>
  <c r="I70" i="436" s="1"/>
  <c r="I59" i="436"/>
  <c r="A709" i="436" l="1"/>
  <c r="A710" i="436" s="1"/>
  <c r="A719" i="436" s="1"/>
  <c r="B71" i="436"/>
  <c r="B72" i="436" s="1"/>
  <c r="A711" i="436" l="1"/>
  <c r="A712" i="436" s="1"/>
  <c r="A713" i="436" s="1"/>
  <c r="I60" i="436"/>
  <c r="A716" i="436" l="1"/>
  <c r="A714" i="436"/>
  <c r="A715" i="436" s="1"/>
  <c r="B73" i="436"/>
  <c r="B74" i="436" s="1"/>
  <c r="I62" i="436"/>
  <c r="A717" i="436" l="1"/>
  <c r="A718" i="436" s="1"/>
  <c r="A722" i="436" s="1"/>
  <c r="I63" i="436"/>
  <c r="A720" i="436" l="1"/>
  <c r="A721" i="436" s="1"/>
  <c r="A723" i="436" s="1"/>
  <c r="A724" i="436" s="1"/>
  <c r="A725" i="436" s="1"/>
  <c r="A726" i="436" s="1"/>
  <c r="A727" i="436" s="1"/>
  <c r="B75" i="436"/>
  <c r="I64" i="436"/>
  <c r="A728" i="436" l="1"/>
  <c r="A729" i="436"/>
  <c r="B76" i="436"/>
  <c r="I65" i="436"/>
  <c r="A730" i="436" l="1"/>
  <c r="A731" i="436" s="1"/>
  <c r="A732" i="436" s="1"/>
  <c r="A733" i="436" s="1"/>
  <c r="A734" i="436" s="1"/>
  <c r="A735" i="436" s="1"/>
  <c r="A736" i="436" s="1"/>
  <c r="A737" i="436" s="1"/>
  <c r="A738" i="436" s="1"/>
  <c r="A739" i="436" s="1"/>
  <c r="A740" i="436" s="1"/>
  <c r="A741" i="436" s="1"/>
  <c r="A742" i="436" s="1"/>
  <c r="A743" i="436" s="1"/>
  <c r="A744" i="436" s="1"/>
  <c r="A745" i="436" s="1"/>
  <c r="A746" i="436" s="1"/>
  <c r="A747" i="436" s="1"/>
  <c r="A748" i="436" s="1"/>
  <c r="A749" i="436" s="1"/>
  <c r="A750" i="436" s="1"/>
  <c r="A751" i="436" s="1"/>
  <c r="A752" i="436" s="1"/>
  <c r="A753" i="436" s="1"/>
  <c r="A754" i="436" s="1"/>
  <c r="A755" i="436" s="1"/>
  <c r="A756" i="436" s="1"/>
  <c r="A757" i="436" s="1"/>
  <c r="A758" i="436" s="1"/>
  <c r="A759" i="436" s="1"/>
  <c r="A760" i="436" s="1"/>
  <c r="A761" i="436" s="1"/>
  <c r="A762" i="436" s="1"/>
  <c r="A763" i="436" s="1"/>
  <c r="A764" i="436" s="1"/>
  <c r="A765" i="436" s="1"/>
  <c r="A766" i="436" s="1"/>
  <c r="A767" i="436" s="1"/>
  <c r="A768" i="436" s="1"/>
  <c r="A769" i="436" s="1"/>
  <c r="A770" i="436" s="1"/>
  <c r="A771" i="436" s="1"/>
  <c r="A772" i="436" s="1"/>
  <c r="A773" i="436" s="1"/>
  <c r="A774" i="436" s="1"/>
  <c r="A775" i="436" s="1"/>
  <c r="A776" i="436" s="1"/>
  <c r="A777" i="436" s="1"/>
  <c r="A778" i="436" s="1"/>
  <c r="A779" i="436" s="1"/>
  <c r="A780" i="436" s="1"/>
  <c r="A781" i="436" s="1"/>
  <c r="A782" i="436" s="1"/>
  <c r="A783" i="436" s="1"/>
  <c r="A784" i="436" s="1"/>
  <c r="A785" i="436" s="1"/>
  <c r="A786" i="436" s="1"/>
  <c r="A787" i="436" s="1"/>
  <c r="A788" i="436" s="1"/>
  <c r="A789" i="436" s="1"/>
  <c r="A790" i="436" s="1"/>
  <c r="A791" i="436" s="1"/>
  <c r="A792" i="436" s="1"/>
  <c r="A793" i="436" s="1"/>
  <c r="A794" i="436" s="1"/>
  <c r="A795" i="436" s="1"/>
  <c r="A796" i="436" s="1"/>
  <c r="A797" i="436" s="1"/>
  <c r="A798" i="436" s="1"/>
  <c r="A799" i="436" s="1"/>
  <c r="A800" i="436" s="1"/>
  <c r="A801" i="436" s="1"/>
  <c r="A802" i="436" s="1"/>
  <c r="A803" i="436" s="1"/>
  <c r="A804" i="436" s="1"/>
  <c r="A805" i="436" s="1"/>
  <c r="A806" i="436" s="1"/>
  <c r="A807" i="436" s="1"/>
  <c r="A808" i="436" s="1"/>
  <c r="A809" i="436" s="1"/>
  <c r="A810" i="436" s="1"/>
  <c r="A811" i="436" s="1"/>
  <c r="A812" i="436" s="1"/>
  <c r="B77" i="436"/>
  <c r="I66" i="436"/>
  <c r="A813" i="436" l="1"/>
  <c r="A814" i="436" s="1"/>
  <c r="A815" i="436" s="1"/>
  <c r="A816" i="436"/>
  <c r="B78" i="436"/>
  <c r="I67" i="436"/>
  <c r="A817" i="436" l="1"/>
  <c r="A818" i="436" s="1"/>
  <c r="A819" i="436" s="1"/>
  <c r="A820" i="436" s="1"/>
  <c r="A821" i="436" s="1"/>
  <c r="B79" i="436"/>
  <c r="I78" i="436"/>
  <c r="I68" i="436"/>
  <c r="A822" i="436" l="1"/>
  <c r="A823" i="436" s="1"/>
  <c r="I79" i="436"/>
  <c r="I69" i="436"/>
  <c r="A824" i="436" l="1"/>
  <c r="B80" i="436"/>
  <c r="A825" i="436" l="1"/>
  <c r="A826" i="436" s="1"/>
  <c r="A827" i="436" s="1"/>
  <c r="A828" i="436" s="1"/>
  <c r="A829" i="436" s="1"/>
  <c r="B81" i="436"/>
  <c r="I80" i="436"/>
  <c r="I71" i="436"/>
  <c r="A833" i="436" l="1"/>
  <c r="A830" i="436"/>
  <c r="A831" i="436" s="1"/>
  <c r="A832" i="436" s="1"/>
  <c r="B82" i="436"/>
  <c r="I81" i="436"/>
  <c r="I72" i="436"/>
  <c r="A834" i="436" l="1"/>
  <c r="A835" i="436" s="1"/>
  <c r="B83" i="436"/>
  <c r="I82" i="436"/>
  <c r="I73" i="436"/>
  <c r="A836" i="436" l="1"/>
  <c r="A837" i="436" s="1"/>
  <c r="A838" i="436" s="1"/>
  <c r="B84" i="436"/>
  <c r="I83" i="436"/>
  <c r="I74" i="436"/>
  <c r="A839" i="436" l="1"/>
  <c r="A840" i="436" s="1"/>
  <c r="B85" i="436"/>
  <c r="I84" i="436"/>
  <c r="A841" i="436" l="1"/>
  <c r="B86" i="436"/>
  <c r="I85" i="436"/>
  <c r="A842" i="436" l="1"/>
  <c r="A843" i="436" s="1"/>
  <c r="B87" i="436"/>
  <c r="I86" i="436"/>
  <c r="A844" i="436" l="1"/>
  <c r="B88" i="436"/>
  <c r="I87" i="436"/>
  <c r="I75" i="436"/>
  <c r="A845" i="436" l="1"/>
  <c r="B89" i="436"/>
  <c r="I88" i="436"/>
  <c r="I76" i="436"/>
  <c r="A846" i="436" l="1"/>
  <c r="B90" i="436"/>
  <c r="I89" i="436"/>
  <c r="I77" i="436"/>
  <c r="A847" i="436" l="1"/>
  <c r="A848" i="436" s="1"/>
  <c r="B91" i="436"/>
  <c r="I90" i="436"/>
  <c r="A849" i="436" l="1"/>
  <c r="B92" i="436"/>
  <c r="I91" i="436"/>
  <c r="A850" i="436" l="1"/>
  <c r="B93" i="436"/>
  <c r="I92" i="436"/>
  <c r="A851" i="436" l="1"/>
  <c r="I93" i="436"/>
  <c r="A852" i="436" l="1"/>
  <c r="B94" i="436"/>
  <c r="A853" i="436" l="1"/>
  <c r="I94" i="436"/>
  <c r="B95" i="436"/>
  <c r="K20" i="344"/>
  <c r="A854" i="436" l="1"/>
  <c r="I95" i="436"/>
  <c r="A855" i="436" l="1"/>
  <c r="B96" i="436"/>
  <c r="A856" i="436" l="1"/>
  <c r="I96" i="436"/>
  <c r="A857" i="436" l="1"/>
  <c r="B97" i="436"/>
  <c r="A858" i="436" l="1"/>
  <c r="I97" i="436"/>
  <c r="B98" i="436"/>
  <c r="A859" i="436" l="1"/>
  <c r="I98" i="436"/>
  <c r="B99" i="436"/>
  <c r="A860" i="436" l="1"/>
  <c r="A861" i="436" s="1"/>
  <c r="A862" i="436" s="1"/>
  <c r="A863" i="436" s="1"/>
  <c r="A864" i="436" s="1"/>
  <c r="A865" i="436" s="1"/>
  <c r="A866" i="436" s="1"/>
  <c r="A867" i="436" s="1"/>
  <c r="A868" i="436" s="1"/>
  <c r="A869" i="436" s="1"/>
  <c r="A870" i="436" s="1"/>
  <c r="A871" i="436" s="1"/>
  <c r="A872" i="436" s="1"/>
  <c r="A873" i="436" s="1"/>
  <c r="A874" i="436" s="1"/>
  <c r="A875" i="436" s="1"/>
  <c r="A876" i="436" s="1"/>
  <c r="A877" i="436" s="1"/>
  <c r="A878" i="436" s="1"/>
  <c r="A879" i="436" s="1"/>
  <c r="A880" i="436" s="1"/>
  <c r="A881" i="436" s="1"/>
  <c r="A882" i="436" s="1"/>
  <c r="A883" i="436" s="1"/>
  <c r="A884" i="436" s="1"/>
  <c r="A885" i="436" s="1"/>
  <c r="A886" i="436" s="1"/>
  <c r="A887" i="436" s="1"/>
  <c r="A888" i="436" s="1"/>
  <c r="A889" i="436" s="1"/>
  <c r="A890" i="436" s="1"/>
  <c r="A891" i="436" s="1"/>
  <c r="A892" i="436" s="1"/>
  <c r="B100" i="436"/>
  <c r="B101" i="436" s="1"/>
  <c r="I99" i="436"/>
  <c r="A897" i="436" l="1"/>
  <c r="A893" i="436"/>
  <c r="A894" i="436" s="1"/>
  <c r="A895" i="436" s="1"/>
  <c r="A896" i="436" s="1"/>
  <c r="B102" i="436"/>
  <c r="I101" i="436"/>
  <c r="I100" i="436"/>
  <c r="A898" i="436" l="1"/>
  <c r="A899" i="436" s="1"/>
  <c r="I102" i="436"/>
  <c r="F9" i="344"/>
  <c r="A900" i="436" l="1"/>
  <c r="A901" i="436" s="1"/>
  <c r="A902" i="436" s="1"/>
  <c r="A903" i="436" s="1"/>
  <c r="A904" i="436"/>
  <c r="B103" i="436"/>
  <c r="A905" i="436" l="1"/>
  <c r="A906" i="436" s="1"/>
  <c r="A907" i="436" s="1"/>
  <c r="A908" i="436" s="1"/>
  <c r="A909" i="436" s="1"/>
  <c r="A910" i="436" s="1"/>
  <c r="A911" i="436" s="1"/>
  <c r="A912" i="436" s="1"/>
  <c r="A913" i="436" s="1"/>
  <c r="A914" i="436" s="1"/>
  <c r="A915" i="436" s="1"/>
  <c r="A916" i="436" s="1"/>
  <c r="A917" i="436" s="1"/>
  <c r="A918" i="436" s="1"/>
  <c r="A919" i="436" s="1"/>
  <c r="A920" i="436" s="1"/>
  <c r="A921" i="436" s="1"/>
  <c r="B104" i="436"/>
  <c r="I103" i="436"/>
  <c r="A923" i="436" l="1"/>
  <c r="A922" i="436"/>
  <c r="B105" i="436"/>
  <c r="I104" i="436"/>
  <c r="A924" i="436" l="1"/>
  <c r="A925" i="436" s="1"/>
  <c r="A926" i="436" s="1"/>
  <c r="A927" i="436" s="1"/>
  <c r="A928" i="436" s="1"/>
  <c r="A929" i="436" s="1"/>
  <c r="A930" i="436" s="1"/>
  <c r="B106" i="436"/>
  <c r="I105" i="436"/>
  <c r="K22" i="344"/>
  <c r="K21" i="344"/>
  <c r="K19" i="344"/>
  <c r="K17" i="344"/>
  <c r="K15" i="344"/>
  <c r="H22" i="344"/>
  <c r="H21" i="344"/>
  <c r="G9" i="344"/>
  <c r="K14" i="344"/>
  <c r="A932" i="436" l="1"/>
  <c r="A931" i="436"/>
  <c r="B107" i="436"/>
  <c r="I106" i="436"/>
  <c r="H9" i="344"/>
  <c r="H15" i="344"/>
  <c r="H20" i="344"/>
  <c r="H19" i="344"/>
  <c r="H17" i="344"/>
  <c r="H18" i="344"/>
  <c r="A933" i="436" l="1"/>
  <c r="A934" i="436" s="1"/>
  <c r="A935" i="436" s="1"/>
  <c r="A936" i="436" s="1"/>
  <c r="A937" i="436" s="1"/>
  <c r="A938" i="436" s="1"/>
  <c r="A939" i="436" s="1"/>
  <c r="A940" i="436" s="1"/>
  <c r="A941" i="436" s="1"/>
  <c r="A942" i="436" s="1"/>
  <c r="A943" i="436" s="1"/>
  <c r="A944" i="436" s="1"/>
  <c r="A945" i="436" s="1"/>
  <c r="A946" i="436" s="1"/>
  <c r="A947" i="436" s="1"/>
  <c r="A948" i="436" s="1"/>
  <c r="A949" i="436" s="1"/>
  <c r="A950" i="436" s="1"/>
  <c r="A951" i="436" s="1"/>
  <c r="A952" i="436" s="1"/>
  <c r="A953" i="436" s="1"/>
  <c r="A954" i="436" s="1"/>
  <c r="A955" i="436" s="1"/>
  <c r="A956" i="436" s="1"/>
  <c r="A957" i="436" s="1"/>
  <c r="A958" i="436" s="1"/>
  <c r="A959" i="436" s="1"/>
  <c r="A960" i="436" s="1"/>
  <c r="A961" i="436" s="1"/>
  <c r="A962" i="436" s="1"/>
  <c r="A963" i="436" s="1"/>
  <c r="A964" i="436" s="1"/>
  <c r="A965" i="436" s="1"/>
  <c r="A966" i="436" s="1"/>
  <c r="A967" i="436" s="1"/>
  <c r="A968" i="436" s="1"/>
  <c r="A969" i="436" s="1"/>
  <c r="A970" i="436" s="1"/>
  <c r="A971" i="436" s="1"/>
  <c r="A972" i="436" s="1"/>
  <c r="A973" i="436" s="1"/>
  <c r="A974" i="436" s="1"/>
  <c r="A975" i="436" s="1"/>
  <c r="A976" i="436" s="1"/>
  <c r="A977" i="436" s="1"/>
  <c r="A978" i="436" s="1"/>
  <c r="A979" i="436" s="1"/>
  <c r="A980" i="436" s="1"/>
  <c r="A981" i="436" s="1"/>
  <c r="A982" i="436" s="1"/>
  <c r="A983" i="436" s="1"/>
  <c r="A984" i="436" s="1"/>
  <c r="A985" i="436" s="1"/>
  <c r="A986" i="436" s="1"/>
  <c r="A987" i="436" s="1"/>
  <c r="A988" i="436" s="1"/>
  <c r="A989" i="436" s="1"/>
  <c r="A990" i="436" s="1"/>
  <c r="A991" i="436" s="1"/>
  <c r="A992" i="436" s="1"/>
  <c r="A993" i="436" s="1"/>
  <c r="A994" i="436" s="1"/>
  <c r="A995" i="436" s="1"/>
  <c r="A996" i="436" s="1"/>
  <c r="A997" i="436" s="1"/>
  <c r="A998" i="436" s="1"/>
  <c r="A999" i="436" s="1"/>
  <c r="A1000" i="436" s="1"/>
  <c r="A1001" i="436" s="1"/>
  <c r="A1002" i="436" s="1"/>
  <c r="A1003" i="436" s="1"/>
  <c r="A1004" i="436" s="1"/>
  <c r="A1005" i="436" s="1"/>
  <c r="A1006" i="436" s="1"/>
  <c r="A1007" i="436" s="1"/>
  <c r="A1008" i="436" s="1"/>
  <c r="A1009" i="436" s="1"/>
  <c r="A1010" i="436" s="1"/>
  <c r="A1011" i="436" s="1"/>
  <c r="A1012" i="436" s="1"/>
  <c r="A1013" i="436" s="1"/>
  <c r="A1014" i="436" s="1"/>
  <c r="A1015" i="436" s="1"/>
  <c r="A1016" i="436" s="1"/>
  <c r="A1017" i="436" s="1"/>
  <c r="A1018" i="436" s="1"/>
  <c r="A1019" i="436" s="1"/>
  <c r="A1020" i="436" s="1"/>
  <c r="A1021" i="436" s="1"/>
  <c r="A1022" i="436" s="1"/>
  <c r="A1023" i="436" s="1"/>
  <c r="A1024" i="436" s="1"/>
  <c r="A1025" i="436" s="1"/>
  <c r="A1026" i="436" s="1"/>
  <c r="A1027" i="436" s="1"/>
  <c r="A1028" i="436" s="1"/>
  <c r="A1029" i="436" s="1"/>
  <c r="A1030" i="436" s="1"/>
  <c r="A1031" i="436" s="1"/>
  <c r="A1032" i="436" s="1"/>
  <c r="A1033" i="436" s="1"/>
  <c r="A1034" i="436" s="1"/>
  <c r="A1035" i="436" s="1"/>
  <c r="A1036" i="436" s="1"/>
  <c r="A1037" i="436" s="1"/>
  <c r="A1038" i="436" s="1"/>
  <c r="A1039" i="436" s="1"/>
  <c r="A1040" i="436" s="1"/>
  <c r="A1041" i="436" s="1"/>
  <c r="A1042" i="436" s="1"/>
  <c r="A1043" i="436" s="1"/>
  <c r="A1044" i="436" s="1"/>
  <c r="A1045" i="436" s="1"/>
  <c r="A1046" i="436" s="1"/>
  <c r="A1047" i="436" s="1"/>
  <c r="A1048" i="436" s="1"/>
  <c r="A1049" i="436" s="1"/>
  <c r="A1050" i="436" s="1"/>
  <c r="A1051" i="436" s="1"/>
  <c r="A1052" i="436" s="1"/>
  <c r="A1053" i="436" s="1"/>
  <c r="A1054" i="436" s="1"/>
  <c r="A1055" i="436" s="1"/>
  <c r="A1056" i="436" s="1"/>
  <c r="A1057" i="436" s="1"/>
  <c r="A1058" i="436" s="1"/>
  <c r="A1059" i="436" s="1"/>
  <c r="A1060" i="436" s="1"/>
  <c r="A1061" i="436" s="1"/>
  <c r="A1062" i="436" s="1"/>
  <c r="A1063" i="436" s="1"/>
  <c r="A1064" i="436" s="1"/>
  <c r="A1065" i="436" s="1"/>
  <c r="A1066" i="436" s="1"/>
  <c r="A1067" i="436" s="1"/>
  <c r="A1068" i="436" s="1"/>
  <c r="A1069" i="436" s="1"/>
  <c r="A1070" i="436" s="1"/>
  <c r="A1071" i="436" s="1"/>
  <c r="A1072" i="436" s="1"/>
  <c r="A1073" i="436" s="1"/>
  <c r="A1074" i="436" s="1"/>
  <c r="A1075" i="436" s="1"/>
  <c r="A1076" i="436" s="1"/>
  <c r="A1077" i="436" s="1"/>
  <c r="A1078" i="436" s="1"/>
  <c r="A1079" i="436" s="1"/>
  <c r="A1080" i="436" s="1"/>
  <c r="A1081" i="436" s="1"/>
  <c r="A1082" i="436" s="1"/>
  <c r="A1083" i="436" s="1"/>
  <c r="A1084" i="436" s="1"/>
  <c r="A1085" i="436" s="1"/>
  <c r="A1086" i="436" s="1"/>
  <c r="A1087" i="436" s="1"/>
  <c r="A1088" i="436" s="1"/>
  <c r="A1089" i="436" s="1"/>
  <c r="A1090" i="436" s="1"/>
  <c r="A1091" i="436" s="1"/>
  <c r="A1092" i="436" s="1"/>
  <c r="A1093" i="436" s="1"/>
  <c r="A1094" i="436" s="1"/>
  <c r="A1095" i="436" s="1"/>
  <c r="A1096" i="436" s="1"/>
  <c r="A1097" i="436" s="1"/>
  <c r="A1098" i="436" s="1"/>
  <c r="A1099" i="436" s="1"/>
  <c r="A1100" i="436" s="1"/>
  <c r="A1101" i="436" s="1"/>
  <c r="A1102" i="436" s="1"/>
  <c r="A1103" i="436" s="1"/>
  <c r="A1104" i="436" s="1"/>
  <c r="A1105" i="436" s="1"/>
  <c r="A1106" i="436" s="1"/>
  <c r="A1107" i="436" s="1"/>
  <c r="A1108" i="436" s="1"/>
  <c r="A1109" i="436" s="1"/>
  <c r="A1110" i="436" s="1"/>
  <c r="A1111" i="436" s="1"/>
  <c r="A1112" i="436" s="1"/>
  <c r="A1113" i="436" s="1"/>
  <c r="A1114" i="436" s="1"/>
  <c r="A1115" i="436" s="1"/>
  <c r="A1116" i="436" s="1"/>
  <c r="A1117" i="436" s="1"/>
  <c r="A1118" i="436" s="1"/>
  <c r="A1119" i="436" s="1"/>
  <c r="A1120" i="436" s="1"/>
  <c r="A1121" i="436" s="1"/>
  <c r="A1122" i="436" s="1"/>
  <c r="A1123" i="436" s="1"/>
  <c r="A1124" i="436" s="1"/>
  <c r="A1125" i="436" s="1"/>
  <c r="A1126" i="436" s="1"/>
  <c r="A1127" i="436" s="1"/>
  <c r="A1128" i="436" s="1"/>
  <c r="A1129" i="436" s="1"/>
  <c r="A1130" i="436" s="1"/>
  <c r="A1131" i="436" s="1"/>
  <c r="A1132" i="436" s="1"/>
  <c r="A1133" i="436" s="1"/>
  <c r="A1134" i="436" s="1"/>
  <c r="A1135" i="436" s="1"/>
  <c r="A1136" i="436" s="1"/>
  <c r="A1137" i="436" s="1"/>
  <c r="A1138" i="436" s="1"/>
  <c r="A1139" i="436" s="1"/>
  <c r="A1140" i="436" s="1"/>
  <c r="A1141" i="436" s="1"/>
  <c r="A1142" i="436" s="1"/>
  <c r="A1143" i="436" s="1"/>
  <c r="A1144" i="436" s="1"/>
  <c r="A1145" i="436" s="1"/>
  <c r="A1146" i="436" s="1"/>
  <c r="A1147" i="436" s="1"/>
  <c r="A1148" i="436" s="1"/>
  <c r="A1149" i="436" s="1"/>
  <c r="A1150" i="436" s="1"/>
  <c r="A1151" i="436" s="1"/>
  <c r="A1152" i="436" s="1"/>
  <c r="A1153" i="436" s="1"/>
  <c r="A1154" i="436" s="1"/>
  <c r="A1155" i="436" s="1"/>
  <c r="A1156" i="436" s="1"/>
  <c r="A1157" i="436" s="1"/>
  <c r="A1158" i="436" s="1"/>
  <c r="A1159" i="436" s="1"/>
  <c r="A1160" i="436" s="1"/>
  <c r="A1161" i="436" s="1"/>
  <c r="A1162" i="436" s="1"/>
  <c r="A1163" i="436" s="1"/>
  <c r="A1164" i="436" s="1"/>
  <c r="A1165" i="436" s="1"/>
  <c r="A1166" i="436" s="1"/>
  <c r="A1167" i="436" s="1"/>
  <c r="A1168" i="436" s="1"/>
  <c r="A1169" i="436" s="1"/>
  <c r="A1170" i="436" s="1"/>
  <c r="A1171" i="436" s="1"/>
  <c r="A1172" i="436" s="1"/>
  <c r="A1173" i="436" s="1"/>
  <c r="A1174" i="436" s="1"/>
  <c r="A1175" i="436" s="1"/>
  <c r="A1176" i="436" s="1"/>
  <c r="A1177" i="436" s="1"/>
  <c r="A1178" i="436" s="1"/>
  <c r="A1179" i="436" s="1"/>
  <c r="A1180" i="436" s="1"/>
  <c r="A1181" i="436" s="1"/>
  <c r="A1182" i="436" s="1"/>
  <c r="A1183" i="436" s="1"/>
  <c r="A1184" i="436" s="1"/>
  <c r="A1185" i="436" s="1"/>
  <c r="A1186" i="436" s="1"/>
  <c r="A1187" i="436" s="1"/>
  <c r="A1188" i="436" s="1"/>
  <c r="B108" i="436"/>
  <c r="I107" i="436"/>
  <c r="I9" i="344"/>
  <c r="K9" i="344" s="1"/>
  <c r="H16" i="344"/>
  <c r="H13" i="344"/>
  <c r="K18" i="344"/>
  <c r="K16" i="344"/>
  <c r="I13" i="344"/>
  <c r="A1189" i="436" l="1"/>
  <c r="A1190" i="436"/>
  <c r="I108" i="436"/>
  <c r="B109" i="436"/>
  <c r="J9" i="344"/>
  <c r="O13" i="344"/>
  <c r="J13" i="344"/>
  <c r="A1191" i="436" l="1"/>
  <c r="A1192" i="436" s="1"/>
  <c r="A1193" i="436" s="1"/>
  <c r="A1194" i="436" s="1"/>
  <c r="A1195" i="436" s="1"/>
  <c r="A1196" i="436" s="1"/>
  <c r="A1197" i="436" s="1"/>
  <c r="A1198" i="436" s="1"/>
  <c r="A1199" i="436" s="1"/>
  <c r="A1200" i="436" s="1"/>
  <c r="A1201" i="436" s="1"/>
  <c r="B110" i="436"/>
  <c r="I109" i="436"/>
  <c r="M13" i="344"/>
  <c r="P13" i="344"/>
  <c r="A1202" i="436" l="1"/>
  <c r="A1203" i="436"/>
  <c r="B111" i="436"/>
  <c r="I110" i="436"/>
  <c r="A1204" i="436" l="1"/>
  <c r="A1205" i="436" s="1"/>
  <c r="A1206" i="436" s="1"/>
  <c r="A1207" i="436" s="1"/>
  <c r="A1208" i="436" s="1"/>
  <c r="A1209" i="436" s="1"/>
  <c r="A1210" i="436" s="1"/>
  <c r="A1211" i="436" s="1"/>
  <c r="I111" i="436"/>
  <c r="B112" i="436"/>
  <c r="A1213" i="436" l="1"/>
  <c r="A1212" i="436"/>
  <c r="A1214" i="436" s="1"/>
  <c r="A1215" i="436" s="1"/>
  <c r="A1216" i="436" s="1"/>
  <c r="A1217" i="436" s="1"/>
  <c r="A1218" i="436" s="1"/>
  <c r="A1219" i="436" s="1"/>
  <c r="A1220" i="436" s="1"/>
  <c r="A1221" i="436" s="1"/>
  <c r="I112" i="436"/>
  <c r="B113" i="436"/>
  <c r="A1223" i="436" l="1"/>
  <c r="A1222" i="436"/>
  <c r="I113" i="436"/>
  <c r="B114" i="436"/>
  <c r="A1224" i="436" l="1"/>
  <c r="A1225" i="436" s="1"/>
  <c r="A1226" i="436" s="1"/>
  <c r="A1227" i="436" s="1"/>
  <c r="A1228" i="436" s="1"/>
  <c r="A1229" i="436" s="1"/>
  <c r="A1230" i="436" s="1"/>
  <c r="A1231" i="436" s="1"/>
  <c r="A1232" i="436" s="1"/>
  <c r="A1233" i="436" s="1"/>
  <c r="A1234" i="436" s="1"/>
  <c r="A1235" i="436" s="1"/>
  <c r="A1236" i="436" s="1"/>
  <c r="A1237" i="436" s="1"/>
  <c r="A1238" i="436" s="1"/>
  <c r="I114" i="436"/>
  <c r="B115" i="436"/>
  <c r="A1240" i="436" l="1"/>
  <c r="A1239" i="436"/>
  <c r="I115" i="436"/>
  <c r="B116" i="436"/>
  <c r="A1241" i="436" l="1"/>
  <c r="A1242" i="436" s="1"/>
  <c r="A1243" i="436" s="1"/>
  <c r="A1244" i="436" s="1"/>
  <c r="A1245" i="436" s="1"/>
  <c r="A1246" i="436" s="1"/>
  <c r="A1247" i="436" s="1"/>
  <c r="A1248" i="436" s="1"/>
  <c r="A1249" i="436" s="1"/>
  <c r="A1250" i="436" s="1"/>
  <c r="A1251" i="436" s="1"/>
  <c r="A1252" i="436" s="1"/>
  <c r="A1253" i="436" s="1"/>
  <c r="A1254" i="436" s="1"/>
  <c r="A1255" i="436" s="1"/>
  <c r="A1256" i="436" s="1"/>
  <c r="A1257" i="436" s="1"/>
  <c r="A1258" i="436" s="1"/>
  <c r="A1259" i="436" s="1"/>
  <c r="A1260" i="436" s="1"/>
  <c r="A1261" i="436" s="1"/>
  <c r="I116" i="436"/>
  <c r="B117" i="436"/>
  <c r="A1262" i="436" l="1"/>
  <c r="A1263" i="436"/>
  <c r="I117" i="436"/>
  <c r="B118" i="436"/>
  <c r="A1264" i="436" l="1"/>
  <c r="A1265" i="436" s="1"/>
  <c r="A1266" i="436" s="1"/>
  <c r="A1267" i="436" s="1"/>
  <c r="A1268" i="436" s="1"/>
  <c r="A1269" i="436" s="1"/>
  <c r="A1270" i="436" s="1"/>
  <c r="A1271" i="436" s="1"/>
  <c r="A1272" i="436" s="1"/>
  <c r="A1273" i="436" s="1"/>
  <c r="A1274" i="436" s="1"/>
  <c r="A1275" i="436" s="1"/>
  <c r="A1276" i="436" s="1"/>
  <c r="A1277" i="436" s="1"/>
  <c r="A1278" i="436" s="1"/>
  <c r="A1279" i="436" s="1"/>
  <c r="A1280" i="436" s="1"/>
  <c r="A1281" i="436" s="1"/>
  <c r="A1282" i="436" s="1"/>
  <c r="A1283" i="436" s="1"/>
  <c r="A1284" i="436" s="1"/>
  <c r="I118" i="436"/>
  <c r="B119" i="436"/>
  <c r="A1285" i="436" l="1"/>
  <c r="A1286" i="436"/>
  <c r="I119" i="436"/>
  <c r="B120" i="436"/>
  <c r="A1287" i="436" l="1"/>
  <c r="A1288" i="436" s="1"/>
  <c r="A1289" i="436" s="1"/>
  <c r="A1290" i="436" s="1"/>
  <c r="A1291" i="436" s="1"/>
  <c r="A1292" i="436" s="1"/>
  <c r="A1293" i="436" s="1"/>
  <c r="A1294" i="436" s="1"/>
  <c r="A1295" i="436" s="1"/>
  <c r="A1296" i="436" s="1"/>
  <c r="A1297" i="436" s="1"/>
  <c r="A1298" i="436" s="1"/>
  <c r="A1299" i="436" s="1"/>
  <c r="A1300" i="436" s="1"/>
  <c r="A1301" i="436" s="1"/>
  <c r="A1302" i="436" s="1"/>
  <c r="A1303" i="436" s="1"/>
  <c r="A1304" i="436" s="1"/>
  <c r="A1305" i="436" s="1"/>
  <c r="I120" i="436"/>
  <c r="B121" i="436"/>
  <c r="B122" i="436" s="1"/>
  <c r="A1306" i="436" l="1"/>
  <c r="A1307" i="436" s="1"/>
  <c r="A1308" i="436"/>
  <c r="B123" i="436"/>
  <c r="I122" i="436"/>
  <c r="I121" i="436"/>
  <c r="A1309" i="436" l="1"/>
  <c r="A1310" i="436" s="1"/>
  <c r="A1311" i="436" s="1"/>
  <c r="A1312" i="436" s="1"/>
  <c r="A1313" i="436" s="1"/>
  <c r="A1314" i="436" s="1"/>
  <c r="A1315" i="436" s="1"/>
  <c r="A1316" i="436" s="1"/>
  <c r="A1317" i="436" s="1"/>
  <c r="A1318" i="436" s="1"/>
  <c r="A1319" i="436" s="1"/>
  <c r="A1320" i="436" s="1"/>
  <c r="A1321" i="436" s="1"/>
  <c r="B124" i="436"/>
  <c r="I123" i="436"/>
  <c r="A1322" i="436" l="1"/>
  <c r="A1323" i="436" s="1"/>
  <c r="A1326" i="436" s="1"/>
  <c r="B125" i="436"/>
  <c r="I124" i="436"/>
  <c r="A1324" i="436" l="1"/>
  <c r="A1325" i="436" s="1"/>
  <c r="A1327" i="436" s="1"/>
  <c r="A1328" i="436" s="1"/>
  <c r="A1329" i="436" s="1"/>
  <c r="B126" i="436"/>
  <c r="I125" i="436"/>
  <c r="A1330" i="436" l="1"/>
  <c r="A1331" i="436" s="1"/>
  <c r="A1332" i="436" s="1"/>
  <c r="B127" i="436"/>
  <c r="I126" i="436"/>
  <c r="A1333" i="436" l="1"/>
  <c r="A1334" i="436"/>
  <c r="A1335" i="436" s="1"/>
  <c r="A1336" i="436" s="1"/>
  <c r="A1337" i="436" s="1"/>
  <c r="A1340" i="436" s="1"/>
  <c r="B128" i="436"/>
  <c r="I127" i="436"/>
  <c r="A1338" i="436" l="1"/>
  <c r="A1339" i="436" s="1"/>
  <c r="A1341" i="436" s="1"/>
  <c r="A1342" i="436" s="1"/>
  <c r="A1343" i="436" s="1"/>
  <c r="B129" i="436"/>
  <c r="I128" i="436"/>
  <c r="A1348" i="436" l="1"/>
  <c r="A1344" i="436"/>
  <c r="A1345" i="436" s="1"/>
  <c r="A1346" i="436" s="1"/>
  <c r="A1347" i="436" s="1"/>
  <c r="B130" i="436"/>
  <c r="I129" i="436"/>
  <c r="A1349" i="436" l="1"/>
  <c r="A1353" i="436" s="1"/>
  <c r="I130" i="436"/>
  <c r="B131" i="436"/>
  <c r="A1350" i="436" l="1"/>
  <c r="A1351" i="436" s="1"/>
  <c r="A1352" i="436" s="1"/>
  <c r="A1354" i="436" s="1"/>
  <c r="A1355" i="436" s="1"/>
  <c r="A1356" i="436" s="1"/>
  <c r="A1357" i="436" s="1"/>
  <c r="A1358" i="436" s="1"/>
  <c r="A1359" i="436" s="1"/>
  <c r="A1360" i="436" s="1"/>
  <c r="A1361" i="436" s="1"/>
  <c r="A1362" i="436" s="1"/>
  <c r="A1363" i="436" s="1"/>
  <c r="A1364" i="436" s="1"/>
  <c r="A1365" i="436" s="1"/>
  <c r="A1366" i="436" s="1"/>
  <c r="A1367" i="436" s="1"/>
  <c r="A1368" i="436" s="1"/>
  <c r="A1369" i="436" s="1"/>
  <c r="A1370" i="436" s="1"/>
  <c r="A1371" i="436" s="1"/>
  <c r="A1372" i="436" s="1"/>
  <c r="A1373" i="436" s="1"/>
  <c r="A1374" i="436" s="1"/>
  <c r="A1375" i="436" s="1"/>
  <c r="A1376" i="436" s="1"/>
  <c r="A1377" i="436" s="1"/>
  <c r="A1378" i="436" s="1"/>
  <c r="A1379" i="436" s="1"/>
  <c r="A1380" i="436" s="1"/>
  <c r="A1381" i="436" s="1"/>
  <c r="A1382" i="436" s="1"/>
  <c r="A1383" i="436" s="1"/>
  <c r="A1384" i="436" s="1"/>
  <c r="A1385" i="436" s="1"/>
  <c r="A1386" i="436" s="1"/>
  <c r="A1387" i="436" s="1"/>
  <c r="A1388" i="436" s="1"/>
  <c r="A1389" i="436" s="1"/>
  <c r="A1390" i="436" s="1"/>
  <c r="A1391" i="436" s="1"/>
  <c r="A1392" i="436" s="1"/>
  <c r="A1393" i="436" s="1"/>
  <c r="A1394" i="436" s="1"/>
  <c r="A1395" i="436" s="1"/>
  <c r="A1396" i="436" s="1"/>
  <c r="A1397" i="436" s="1"/>
  <c r="A1398" i="436" s="1"/>
  <c r="A1399" i="436" s="1"/>
  <c r="A1400" i="436" s="1"/>
  <c r="A1401" i="436" s="1"/>
  <c r="A1402" i="436" s="1"/>
  <c r="A1403" i="436" s="1"/>
  <c r="A1404" i="436" s="1"/>
  <c r="A1405" i="436" s="1"/>
  <c r="A1406" i="436" s="1"/>
  <c r="A1407" i="436" s="1"/>
  <c r="A1408" i="436" s="1"/>
  <c r="A1409" i="436" s="1"/>
  <c r="A1410" i="436" s="1"/>
  <c r="A1411" i="436" s="1"/>
  <c r="A1412" i="436" s="1"/>
  <c r="A1413" i="436" s="1"/>
  <c r="A1414" i="436" s="1"/>
  <c r="A1415" i="436" s="1"/>
  <c r="A1416" i="436" s="1"/>
  <c r="A1417" i="436" s="1"/>
  <c r="A1418" i="436" s="1"/>
  <c r="A1419" i="436" s="1"/>
  <c r="A1420" i="436" s="1"/>
  <c r="A1421" i="436" s="1"/>
  <c r="A1422" i="436" s="1"/>
  <c r="A1423" i="436" s="1"/>
  <c r="A1424" i="436" s="1"/>
  <c r="A1425" i="436" s="1"/>
  <c r="A1426" i="436" s="1"/>
  <c r="A1427" i="436" s="1"/>
  <c r="A1428" i="436" s="1"/>
  <c r="A1429" i="436" s="1"/>
  <c r="A1430" i="436" s="1"/>
  <c r="A1431" i="436" s="1"/>
  <c r="A1432" i="436" s="1"/>
  <c r="A1433" i="436" s="1"/>
  <c r="A1434" i="436" s="1"/>
  <c r="A1435" i="436" s="1"/>
  <c r="A1436" i="436" s="1"/>
  <c r="A1437" i="436" s="1"/>
  <c r="A1438" i="436" s="1"/>
  <c r="A1439" i="436" s="1"/>
  <c r="A1440" i="436" s="1"/>
  <c r="A1441" i="436" s="1"/>
  <c r="A1442" i="436" s="1"/>
  <c r="A1443" i="436" s="1"/>
  <c r="A1444" i="436" s="1"/>
  <c r="A1445" i="436" s="1"/>
  <c r="A1446" i="436" s="1"/>
  <c r="A1447" i="436" s="1"/>
  <c r="A1448" i="436" s="1"/>
  <c r="A1449" i="436" s="1"/>
  <c r="A1450" i="436" s="1"/>
  <c r="A1451" i="436" s="1"/>
  <c r="A1452" i="436" s="1"/>
  <c r="A1453" i="436" s="1"/>
  <c r="A1454" i="436" s="1"/>
  <c r="A1455" i="436" s="1"/>
  <c r="A1456" i="436" s="1"/>
  <c r="A1457" i="436" s="1"/>
  <c r="A1458" i="436" s="1"/>
  <c r="A1459" i="436" s="1"/>
  <c r="A1460" i="436" s="1"/>
  <c r="A1461" i="436" s="1"/>
  <c r="A1462" i="436" s="1"/>
  <c r="A1463" i="436" s="1"/>
  <c r="A1464" i="436" s="1"/>
  <c r="A1465" i="436" s="1"/>
  <c r="A1466" i="436" s="1"/>
  <c r="A1467" i="436" s="1"/>
  <c r="A1468" i="436" s="1"/>
  <c r="A1469" i="436" s="1"/>
  <c r="A1470" i="436" s="1"/>
  <c r="A1471" i="436" s="1"/>
  <c r="A1472" i="436" s="1"/>
  <c r="A1473" i="436" s="1"/>
  <c r="A1474" i="436" s="1"/>
  <c r="A1475" i="436" s="1"/>
  <c r="A1476" i="436" s="1"/>
  <c r="A1477" i="436" s="1"/>
  <c r="A1478" i="436" s="1"/>
  <c r="A1479" i="436" s="1"/>
  <c r="A1480" i="436" s="1"/>
  <c r="A1481" i="436" s="1"/>
  <c r="A1482" i="436" s="1"/>
  <c r="A1483" i="436" s="1"/>
  <c r="A1484" i="436" s="1"/>
  <c r="A1485" i="436" s="1"/>
  <c r="A1486" i="436" s="1"/>
  <c r="A1487" i="436" s="1"/>
  <c r="A1488" i="436" s="1"/>
  <c r="A1489" i="436" s="1"/>
  <c r="A1490" i="436" s="1"/>
  <c r="A1491" i="436" s="1"/>
  <c r="A1492" i="436" s="1"/>
  <c r="A1493" i="436" s="1"/>
  <c r="A1494" i="436" s="1"/>
  <c r="A1495" i="436" s="1"/>
  <c r="A1496" i="436" s="1"/>
  <c r="A1497" i="436" s="1"/>
  <c r="A1498" i="436" s="1"/>
  <c r="A1499" i="436" s="1"/>
  <c r="A1500" i="436" s="1"/>
  <c r="A1501" i="436" s="1"/>
  <c r="A1502" i="436" s="1"/>
  <c r="A1503" i="436" s="1"/>
  <c r="A1504" i="436" s="1"/>
  <c r="A1505" i="436" s="1"/>
  <c r="A1506" i="436" s="1"/>
  <c r="A1507" i="436" s="1"/>
  <c r="A1508" i="436" s="1"/>
  <c r="A1509" i="436" s="1"/>
  <c r="A1510" i="436" s="1"/>
  <c r="A1511" i="436" s="1"/>
  <c r="A1512" i="436" s="1"/>
  <c r="A1513" i="436" s="1"/>
  <c r="A1514" i="436" s="1"/>
  <c r="A1515" i="436" s="1"/>
  <c r="A1516" i="436" s="1"/>
  <c r="A1517" i="436" s="1"/>
  <c r="A1518" i="436" s="1"/>
  <c r="A1519" i="436" s="1"/>
  <c r="A1520" i="436" s="1"/>
  <c r="A1521" i="436" s="1"/>
  <c r="A1522" i="436" s="1"/>
  <c r="A1523" i="436" s="1"/>
  <c r="A1524" i="436" s="1"/>
  <c r="A1525" i="436" s="1"/>
  <c r="A1526" i="436" s="1"/>
  <c r="A1527" i="436" s="1"/>
  <c r="A1528" i="436" s="1"/>
  <c r="A1529" i="436" s="1"/>
  <c r="A1530" i="436" s="1"/>
  <c r="A1531" i="436" s="1"/>
  <c r="A1532" i="436" s="1"/>
  <c r="A1533" i="436" s="1"/>
  <c r="A1534" i="436" s="1"/>
  <c r="A1535" i="436" s="1"/>
  <c r="A1536" i="436" s="1"/>
  <c r="A1537" i="436" s="1"/>
  <c r="A1538" i="436" s="1"/>
  <c r="A1539" i="436" s="1"/>
  <c r="A1540" i="436" s="1"/>
  <c r="A1541" i="436" s="1"/>
  <c r="A1542" i="436" s="1"/>
  <c r="A1543" i="436" s="1"/>
  <c r="A1544" i="436" s="1"/>
  <c r="A1545" i="436" s="1"/>
  <c r="A1546" i="436" s="1"/>
  <c r="A1547" i="436" s="1"/>
  <c r="A1548" i="436" s="1"/>
  <c r="A1549" i="436" s="1"/>
  <c r="A1550" i="436" s="1"/>
  <c r="A1551" i="436" s="1"/>
  <c r="A1552" i="436" s="1"/>
  <c r="A1553" i="436" s="1"/>
  <c r="A1554" i="436" s="1"/>
  <c r="A1555" i="436" s="1"/>
  <c r="A1556" i="436" s="1"/>
  <c r="A1557" i="436" s="1"/>
  <c r="A1558" i="436" s="1"/>
  <c r="A1559" i="436" s="1"/>
  <c r="A1560" i="436" s="1"/>
  <c r="A1561" i="436" s="1"/>
  <c r="A1562" i="436" s="1"/>
  <c r="A1563" i="436" s="1"/>
  <c r="A1564" i="436" s="1"/>
  <c r="A1565" i="436" s="1"/>
  <c r="A1566" i="436" s="1"/>
  <c r="A1567" i="436" s="1"/>
  <c r="A1568" i="436" s="1"/>
  <c r="A1569" i="436" s="1"/>
  <c r="A1570" i="436" s="1"/>
  <c r="A1571" i="436" s="1"/>
  <c r="A1572" i="436" s="1"/>
  <c r="A1573" i="436" s="1"/>
  <c r="A1574" i="436" s="1"/>
  <c r="A1575" i="436" s="1"/>
  <c r="A1576" i="436" s="1"/>
  <c r="A1577" i="436" s="1"/>
  <c r="A1578" i="436" s="1"/>
  <c r="A1579" i="436" s="1"/>
  <c r="A1580" i="436" s="1"/>
  <c r="A1581" i="436" s="1"/>
  <c r="A1582" i="436" s="1"/>
  <c r="A1583" i="436" s="1"/>
  <c r="A1584" i="436" s="1"/>
  <c r="A1585" i="436" s="1"/>
  <c r="A1586" i="436" s="1"/>
  <c r="A1587" i="436" s="1"/>
  <c r="A1588" i="436" s="1"/>
  <c r="A1589" i="436" s="1"/>
  <c r="A1590" i="436" s="1"/>
  <c r="A1591" i="436" s="1"/>
  <c r="A1592" i="436" s="1"/>
  <c r="A1593" i="436" s="1"/>
  <c r="A1594" i="436" s="1"/>
  <c r="A1595" i="436" s="1"/>
  <c r="A1596" i="436" s="1"/>
  <c r="A1597" i="436" s="1"/>
  <c r="A1598" i="436" s="1"/>
  <c r="A1599" i="436" s="1"/>
  <c r="A1600" i="436" s="1"/>
  <c r="A1601" i="436" s="1"/>
  <c r="A1602" i="436" s="1"/>
  <c r="A1603" i="436" s="1"/>
  <c r="A1604" i="436" s="1"/>
  <c r="A1605" i="436" s="1"/>
  <c r="A1606" i="436" s="1"/>
  <c r="A1607" i="436" s="1"/>
  <c r="A1608" i="436" s="1"/>
  <c r="A1609" i="436" s="1"/>
  <c r="A1610" i="436" s="1"/>
  <c r="A1611" i="436" s="1"/>
  <c r="A1612" i="436" s="1"/>
  <c r="A1613" i="436" s="1"/>
  <c r="A1614" i="436" s="1"/>
  <c r="A1615" i="436" s="1"/>
  <c r="A1616" i="436" s="1"/>
  <c r="A1617" i="436" s="1"/>
  <c r="A1618" i="436" s="1"/>
  <c r="A1619" i="436" s="1"/>
  <c r="A1620" i="436" s="1"/>
  <c r="A1621" i="436" s="1"/>
  <c r="A1622" i="436" s="1"/>
  <c r="A1623" i="436" s="1"/>
  <c r="A1624" i="436" s="1"/>
  <c r="A1625" i="436" s="1"/>
  <c r="A1626" i="436" s="1"/>
  <c r="A1627" i="436" s="1"/>
  <c r="A1628" i="436" s="1"/>
  <c r="A1629" i="436" s="1"/>
  <c r="A1630" i="436" s="1"/>
  <c r="A1631" i="436" s="1"/>
  <c r="A1632" i="436" s="1"/>
  <c r="A1633" i="436" s="1"/>
  <c r="A1634" i="436" s="1"/>
  <c r="A1635" i="436" s="1"/>
  <c r="A1636" i="436" s="1"/>
  <c r="A1637" i="436" s="1"/>
  <c r="A1638" i="436" s="1"/>
  <c r="A1639" i="436" s="1"/>
  <c r="A1640" i="436" s="1"/>
  <c r="A1641" i="436" s="1"/>
  <c r="A1642" i="436" s="1"/>
  <c r="A1643" i="436" s="1"/>
  <c r="A1644" i="436" s="1"/>
  <c r="A1645" i="436" s="1"/>
  <c r="A1646" i="436" s="1"/>
  <c r="A1647" i="436" s="1"/>
  <c r="A1648" i="436" s="1"/>
  <c r="A1649" i="436" s="1"/>
  <c r="A1650" i="436" s="1"/>
  <c r="A1651" i="436" s="1"/>
  <c r="A1652" i="436" s="1"/>
  <c r="A1653" i="436" s="1"/>
  <c r="A1654" i="436" s="1"/>
  <c r="A1655" i="436" s="1"/>
  <c r="A1656" i="436" s="1"/>
  <c r="A1657" i="436" s="1"/>
  <c r="A1658" i="436" s="1"/>
  <c r="A1659" i="436" s="1"/>
  <c r="A1660" i="436" s="1"/>
  <c r="A1661" i="436" s="1"/>
  <c r="A1662" i="436" s="1"/>
  <c r="A1663" i="436" s="1"/>
  <c r="A1664" i="436" s="1"/>
  <c r="A1665" i="436" s="1"/>
  <c r="A1666" i="436" s="1"/>
  <c r="A1667" i="436" s="1"/>
  <c r="A1668" i="436" s="1"/>
  <c r="A1669" i="436" s="1"/>
  <c r="A1670" i="436" s="1"/>
  <c r="A1671" i="436" s="1"/>
  <c r="A1672" i="436" s="1"/>
  <c r="A1673" i="436" s="1"/>
  <c r="A1674" i="436" s="1"/>
  <c r="A1675" i="436" s="1"/>
  <c r="A1676" i="436" s="1"/>
  <c r="A1677" i="436" s="1"/>
  <c r="A1678" i="436" s="1"/>
  <c r="A1679" i="436" s="1"/>
  <c r="A1680" i="436" s="1"/>
  <c r="A1681" i="436" s="1"/>
  <c r="A1682" i="436" s="1"/>
  <c r="A1683" i="436" s="1"/>
  <c r="A1684" i="436" s="1"/>
  <c r="A1685" i="436" s="1"/>
  <c r="A1686" i="436" s="1"/>
  <c r="A1687" i="436" s="1"/>
  <c r="A1688" i="436" s="1"/>
  <c r="A1689" i="436" s="1"/>
  <c r="A1690" i="436" s="1"/>
  <c r="A1691" i="436" s="1"/>
  <c r="A1692" i="436" s="1"/>
  <c r="A1693" i="436" s="1"/>
  <c r="A1694" i="436" s="1"/>
  <c r="A1695" i="436" s="1"/>
  <c r="A1696" i="436" s="1"/>
  <c r="A1697" i="436" s="1"/>
  <c r="A1698" i="436" s="1"/>
  <c r="A1699" i="436" s="1"/>
  <c r="A1700" i="436" s="1"/>
  <c r="A1701" i="436" s="1"/>
  <c r="A1702" i="436" s="1"/>
  <c r="A1703" i="436" s="1"/>
  <c r="A1704" i="436" s="1"/>
  <c r="A1705" i="436" s="1"/>
  <c r="A1706" i="436" s="1"/>
  <c r="A1707" i="436" s="1"/>
  <c r="A1708" i="436" s="1"/>
  <c r="A1709" i="436" s="1"/>
  <c r="A1710" i="436" s="1"/>
  <c r="A1711" i="436" s="1"/>
  <c r="A1712" i="436" s="1"/>
  <c r="A1713" i="436" s="1"/>
  <c r="A1714" i="436" s="1"/>
  <c r="A1715" i="436" s="1"/>
  <c r="A1716" i="436" s="1"/>
  <c r="A1717" i="436" s="1"/>
  <c r="A1718" i="436" s="1"/>
  <c r="A1719" i="436" s="1"/>
  <c r="A1720" i="436" s="1"/>
  <c r="A1721" i="436" s="1"/>
  <c r="A1722" i="436" s="1"/>
  <c r="A1723" i="436" s="1"/>
  <c r="A1724" i="436" s="1"/>
  <c r="A1725" i="436" s="1"/>
  <c r="A1726" i="436" s="1"/>
  <c r="A1727" i="436" s="1"/>
  <c r="A1728" i="436" s="1"/>
  <c r="A1729" i="436" s="1"/>
  <c r="A1730" i="436" s="1"/>
  <c r="A1731" i="436" s="1"/>
  <c r="A1732" i="436" s="1"/>
  <c r="A1733" i="436" s="1"/>
  <c r="A1734" i="436" s="1"/>
  <c r="A1735" i="436" s="1"/>
  <c r="A1736" i="436" s="1"/>
  <c r="A1737" i="436" s="1"/>
  <c r="A1738" i="436" s="1"/>
  <c r="A1739" i="436" s="1"/>
  <c r="A1740" i="436" s="1"/>
  <c r="A1741" i="436" s="1"/>
  <c r="A1742" i="436" s="1"/>
  <c r="A1743" i="436" s="1"/>
  <c r="A1744" i="436" s="1"/>
  <c r="A1745" i="436" s="1"/>
  <c r="A1746" i="436" s="1"/>
  <c r="A1747" i="436" s="1"/>
  <c r="A1748" i="436" s="1"/>
  <c r="A1749" i="436" s="1"/>
  <c r="A1750" i="436" s="1"/>
  <c r="A1751" i="436" s="1"/>
  <c r="A1752" i="436" s="1"/>
  <c r="A1753" i="436" s="1"/>
  <c r="A1754" i="436" s="1"/>
  <c r="A1755" i="436" s="1"/>
  <c r="A1756" i="436" s="1"/>
  <c r="A1757" i="436" s="1"/>
  <c r="A1758" i="436" s="1"/>
  <c r="A1759" i="436" s="1"/>
  <c r="A1760" i="436" s="1"/>
  <c r="A1761" i="436" s="1"/>
  <c r="A1762" i="436" s="1"/>
  <c r="A1763" i="436" s="1"/>
  <c r="A1764" i="436" s="1"/>
  <c r="A1765" i="436" s="1"/>
  <c r="A1766" i="436" s="1"/>
  <c r="A1767" i="436" s="1"/>
  <c r="A1768" i="436" s="1"/>
  <c r="A1769" i="436" s="1"/>
  <c r="A1770" i="436" s="1"/>
  <c r="A1771" i="436" s="1"/>
  <c r="A1772" i="436" s="1"/>
  <c r="A1773" i="436" s="1"/>
  <c r="A1774" i="436" s="1"/>
  <c r="A1775" i="436" s="1"/>
  <c r="A1776" i="436" s="1"/>
  <c r="A1777" i="436" s="1"/>
  <c r="A1778" i="436" s="1"/>
  <c r="A1779" i="436" s="1"/>
  <c r="A1780" i="436" s="1"/>
  <c r="A1781" i="436" s="1"/>
  <c r="A1782" i="436" s="1"/>
  <c r="A1783" i="436" s="1"/>
  <c r="A1784" i="436" s="1"/>
  <c r="A1785" i="436" s="1"/>
  <c r="A1786" i="436" s="1"/>
  <c r="A1787" i="436" s="1"/>
  <c r="A1788" i="436" s="1"/>
  <c r="A1789" i="436" s="1"/>
  <c r="A1790" i="436" s="1"/>
  <c r="A1791" i="436" s="1"/>
  <c r="A1792" i="436" s="1"/>
  <c r="A1793" i="436" s="1"/>
  <c r="A1794" i="436" s="1"/>
  <c r="A1795" i="436" s="1"/>
  <c r="A1796" i="436" s="1"/>
  <c r="A1797" i="436" s="1"/>
  <c r="A1798" i="436" s="1"/>
  <c r="A1799" i="436" s="1"/>
  <c r="A1800" i="436" s="1"/>
  <c r="A1801" i="436" s="1"/>
  <c r="A1802" i="436" s="1"/>
  <c r="A1803" i="436" s="1"/>
  <c r="A1804" i="436" s="1"/>
  <c r="A1805" i="436" s="1"/>
  <c r="A1806" i="436" s="1"/>
  <c r="A1807" i="436" s="1"/>
  <c r="A1808" i="436" s="1"/>
  <c r="A1809" i="436" s="1"/>
  <c r="A1810" i="436" s="1"/>
  <c r="A1811" i="436" s="1"/>
  <c r="A1812" i="436" s="1"/>
  <c r="A1813" i="436" s="1"/>
  <c r="A1814" i="436" s="1"/>
  <c r="A1815" i="436" s="1"/>
  <c r="A1816" i="436" s="1"/>
  <c r="A1817" i="436" s="1"/>
  <c r="A1818" i="436" s="1"/>
  <c r="A1819" i="436" s="1"/>
  <c r="A1820" i="436" s="1"/>
  <c r="A1821" i="436" s="1"/>
  <c r="A1822" i="436" s="1"/>
  <c r="A1823" i="436" s="1"/>
  <c r="A1824" i="436" s="1"/>
  <c r="A1825" i="436" s="1"/>
  <c r="A1826" i="436" s="1"/>
  <c r="A1827" i="436" s="1"/>
  <c r="A1828" i="436" s="1"/>
  <c r="A1829" i="436" s="1"/>
  <c r="A1830" i="436" s="1"/>
  <c r="A1831" i="436" s="1"/>
  <c r="A1832" i="436" s="1"/>
  <c r="A1833" i="436" s="1"/>
  <c r="A1834" i="436" s="1"/>
  <c r="A1835" i="436" s="1"/>
  <c r="A1836" i="436" s="1"/>
  <c r="A1837" i="436" s="1"/>
  <c r="A1838" i="436" s="1"/>
  <c r="A1839" i="436" s="1"/>
  <c r="A1840" i="436" s="1"/>
  <c r="A1841" i="436" s="1"/>
  <c r="A1842" i="436" s="1"/>
  <c r="A1843" i="436" s="1"/>
  <c r="A1844" i="436" s="1"/>
  <c r="A1845" i="436" s="1"/>
  <c r="A1846" i="436" s="1"/>
  <c r="A1847" i="436" s="1"/>
  <c r="A1848" i="436" s="1"/>
  <c r="A1849" i="436" s="1"/>
  <c r="A1850" i="436" s="1"/>
  <c r="A1851" i="436" s="1"/>
  <c r="A1852" i="436" s="1"/>
  <c r="A1853" i="436" s="1"/>
  <c r="A1854" i="436" s="1"/>
  <c r="A1855" i="436" s="1"/>
  <c r="A1856" i="436" s="1"/>
  <c r="A1857" i="436" s="1"/>
  <c r="A1858" i="436" s="1"/>
  <c r="A1859" i="436" s="1"/>
  <c r="A1860" i="436" s="1"/>
  <c r="A1861" i="436" s="1"/>
  <c r="A1862" i="436" s="1"/>
  <c r="A1863" i="436" s="1"/>
  <c r="A1864" i="436" s="1"/>
  <c r="A1865" i="436" s="1"/>
  <c r="A1866" i="436" s="1"/>
  <c r="A1867" i="436" s="1"/>
  <c r="A1868" i="436" s="1"/>
  <c r="A1869" i="436" s="1"/>
  <c r="A1870" i="436" s="1"/>
  <c r="A1871" i="436" s="1"/>
  <c r="A1872" i="436" s="1"/>
  <c r="A1873" i="436" s="1"/>
  <c r="A1874" i="436" s="1"/>
  <c r="A1875" i="436" s="1"/>
  <c r="A1876" i="436" s="1"/>
  <c r="A1877" i="436" s="1"/>
  <c r="A1878" i="436" s="1"/>
  <c r="A1879" i="436" s="1"/>
  <c r="A1880" i="436" s="1"/>
  <c r="A1881" i="436" s="1"/>
  <c r="A1882" i="436" s="1"/>
  <c r="A1883" i="436" s="1"/>
  <c r="A1884" i="436" s="1"/>
  <c r="A1885" i="436" s="1"/>
  <c r="A1886" i="436" s="1"/>
  <c r="A1887" i="436" s="1"/>
  <c r="A1888" i="436" s="1"/>
  <c r="A1889" i="436" s="1"/>
  <c r="A1890" i="436" s="1"/>
  <c r="A1891" i="436" s="1"/>
  <c r="A1892" i="436" s="1"/>
  <c r="A1893" i="436" s="1"/>
  <c r="A1894" i="436" s="1"/>
  <c r="A1895" i="436" s="1"/>
  <c r="A1896" i="436" s="1"/>
  <c r="A1897" i="436" s="1"/>
  <c r="A1898" i="436" s="1"/>
  <c r="A1899" i="436" s="1"/>
  <c r="A1900" i="436" s="1"/>
  <c r="A1901" i="436" s="1"/>
  <c r="A1902" i="436" s="1"/>
  <c r="A1903" i="436" s="1"/>
  <c r="A1904" i="436" s="1"/>
  <c r="A1905" i="436" s="1"/>
  <c r="A1906" i="436" s="1"/>
  <c r="A1907" i="436" s="1"/>
  <c r="A1908" i="436" s="1"/>
  <c r="A1909" i="436" s="1"/>
  <c r="A1910" i="436" s="1"/>
  <c r="A1911" i="436" s="1"/>
  <c r="A1912" i="436" s="1"/>
  <c r="A1913" i="436" s="1"/>
  <c r="A1914" i="436" s="1"/>
  <c r="A1915" i="436" s="1"/>
  <c r="A1916" i="436" s="1"/>
  <c r="A1917" i="436" s="1"/>
  <c r="A1918" i="436" s="1"/>
  <c r="A1919" i="436" s="1"/>
  <c r="A1920" i="436" s="1"/>
  <c r="A1921" i="436" s="1"/>
  <c r="A1922" i="436" s="1"/>
  <c r="A1923" i="436" s="1"/>
  <c r="A1924" i="436" s="1"/>
  <c r="A1925" i="436" s="1"/>
  <c r="A1926" i="436" s="1"/>
  <c r="A1927" i="436" s="1"/>
  <c r="A1928" i="436" s="1"/>
  <c r="A1929" i="436" s="1"/>
  <c r="A1930" i="436" s="1"/>
  <c r="A1931" i="436" s="1"/>
  <c r="A1932" i="436" s="1"/>
  <c r="A1933" i="436" s="1"/>
  <c r="A1934" i="436" s="1"/>
  <c r="A1935" i="436" s="1"/>
  <c r="A1936" i="436" s="1"/>
  <c r="A1937" i="436" s="1"/>
  <c r="A1938" i="436" s="1"/>
  <c r="A1939" i="436" s="1"/>
  <c r="A1940" i="436" s="1"/>
  <c r="A1941" i="436" s="1"/>
  <c r="A1942" i="436" s="1"/>
  <c r="A1943" i="436" s="1"/>
  <c r="A1944" i="436" s="1"/>
  <c r="A1945" i="436" s="1"/>
  <c r="A1946" i="436" s="1"/>
  <c r="A1947" i="436" s="1"/>
  <c r="A1948" i="436" s="1"/>
  <c r="A1949" i="436" s="1"/>
  <c r="A1950" i="436" s="1"/>
  <c r="A1951" i="436" s="1"/>
  <c r="A1952" i="436" s="1"/>
  <c r="A1953" i="436" s="1"/>
  <c r="A1954" i="436" s="1"/>
  <c r="A1955" i="436" s="1"/>
  <c r="A1956" i="436" s="1"/>
  <c r="A1957" i="436" s="1"/>
  <c r="A1958" i="436" s="1"/>
  <c r="A1959" i="436" s="1"/>
  <c r="A1960" i="436" s="1"/>
  <c r="A1961" i="436" s="1"/>
  <c r="A1962" i="436" s="1"/>
  <c r="A1963" i="436" s="1"/>
  <c r="A1964" i="436" s="1"/>
  <c r="A1965" i="436" s="1"/>
  <c r="A1966" i="436" s="1"/>
  <c r="A1967" i="436" s="1"/>
  <c r="A1968" i="436" s="1"/>
  <c r="A1969" i="436" s="1"/>
  <c r="A1970" i="436" s="1"/>
  <c r="A1971" i="436" s="1"/>
  <c r="A1972" i="436" s="1"/>
  <c r="A1973" i="436" s="1"/>
  <c r="A1974" i="436" s="1"/>
  <c r="A1975" i="436" s="1"/>
  <c r="A1976" i="436" s="1"/>
  <c r="A1977" i="436" s="1"/>
  <c r="A1978" i="436" s="1"/>
  <c r="A1979" i="436" s="1"/>
  <c r="A1980" i="436" s="1"/>
  <c r="A1981" i="436" s="1"/>
  <c r="A1982" i="436" s="1"/>
  <c r="A1983" i="436" s="1"/>
  <c r="A1984" i="436" s="1"/>
  <c r="A1985" i="436" s="1"/>
  <c r="A1986" i="436" s="1"/>
  <c r="A1987" i="436" s="1"/>
  <c r="A1988" i="436" s="1"/>
  <c r="A1989" i="436" s="1"/>
  <c r="A1990" i="436" s="1"/>
  <c r="A1991" i="436" s="1"/>
  <c r="A1992" i="436" s="1"/>
  <c r="A1993" i="436" s="1"/>
  <c r="A1994" i="436" s="1"/>
  <c r="A1995" i="436" s="1"/>
  <c r="A1996" i="436" s="1"/>
  <c r="A1997" i="436" s="1"/>
  <c r="A1998" i="436" s="1"/>
  <c r="A1999" i="436" s="1"/>
  <c r="A2000" i="436" s="1"/>
  <c r="A2001" i="436" s="1"/>
  <c r="A2002" i="436" s="1"/>
  <c r="A2003" i="436" s="1"/>
  <c r="A2004" i="436" s="1"/>
  <c r="A2005" i="436" s="1"/>
  <c r="A2006" i="436" s="1"/>
  <c r="A2007" i="436" s="1"/>
  <c r="A2008" i="436" s="1"/>
  <c r="A2009" i="436" s="1"/>
  <c r="A2010" i="436" s="1"/>
  <c r="A2011" i="436" s="1"/>
  <c r="A2012" i="436" s="1"/>
  <c r="A2013" i="436" s="1"/>
  <c r="A2014" i="436" s="1"/>
  <c r="A2015" i="436" s="1"/>
  <c r="A2016" i="436" s="1"/>
  <c r="A2017" i="436" s="1"/>
  <c r="A2018" i="436" s="1"/>
  <c r="A2019" i="436" s="1"/>
  <c r="A2020" i="436" s="1"/>
  <c r="A2021" i="436" s="1"/>
  <c r="A2022" i="436" s="1"/>
  <c r="A2023" i="436" s="1"/>
  <c r="A2024" i="436" s="1"/>
  <c r="A2025" i="436" s="1"/>
  <c r="A2026" i="436" s="1"/>
  <c r="B132" i="436"/>
  <c r="I131" i="436"/>
  <c r="I132" i="436" l="1"/>
  <c r="B133" i="436"/>
  <c r="B134" i="436" l="1"/>
  <c r="I133" i="436"/>
  <c r="I134" i="436" l="1"/>
  <c r="B135" i="436"/>
  <c r="I135" i="436" l="1"/>
  <c r="B136" i="436"/>
  <c r="I136" i="436" l="1"/>
  <c r="B137" i="436"/>
  <c r="I137" i="436" l="1"/>
  <c r="B138" i="436"/>
  <c r="I138" i="436" l="1"/>
  <c r="B139" i="436"/>
  <c r="I139" i="436" l="1"/>
  <c r="B140" i="436"/>
  <c r="I140" i="436" l="1"/>
  <c r="B141" i="436"/>
  <c r="I141" i="436" l="1"/>
  <c r="B142" i="436"/>
  <c r="B143" i="436" s="1"/>
  <c r="B144" i="436" l="1"/>
  <c r="I143" i="436"/>
  <c r="I142" i="436"/>
  <c r="I144" i="436" l="1"/>
  <c r="B145" i="436" l="1"/>
  <c r="B146" i="436" l="1"/>
  <c r="I145" i="436"/>
  <c r="I146" i="436" l="1"/>
  <c r="B147" i="436"/>
  <c r="I147" i="436" l="1"/>
  <c r="B148" i="436"/>
  <c r="I148" i="436" l="1"/>
  <c r="B149" i="436"/>
  <c r="I149" i="436" l="1"/>
  <c r="B150" i="436"/>
  <c r="I150" i="436" l="1"/>
  <c r="B151" i="436"/>
  <c r="I151" i="436" l="1"/>
  <c r="B152" i="436"/>
  <c r="I152" i="436" l="1"/>
  <c r="B153" i="436"/>
  <c r="I153" i="436" l="1"/>
  <c r="B154" i="436"/>
  <c r="B155" i="436" s="1"/>
  <c r="I155" i="436" s="1"/>
  <c r="I154" i="436" l="1"/>
  <c r="B156" i="436"/>
  <c r="I156" i="436" l="1"/>
  <c r="B157" i="436"/>
  <c r="I157" i="436" l="1"/>
  <c r="B158" i="436" l="1"/>
  <c r="I158" i="436" l="1"/>
  <c r="B159" i="436" l="1"/>
  <c r="I159" i="436" l="1"/>
  <c r="B160" i="436"/>
  <c r="I160" i="436" l="1"/>
  <c r="B161" i="436" l="1"/>
  <c r="I161" i="436" l="1"/>
  <c r="B162" i="436"/>
  <c r="I162" i="436" l="1"/>
  <c r="B163" i="436"/>
  <c r="I163" i="436" l="1"/>
  <c r="B164" i="436"/>
  <c r="I164" i="436" l="1"/>
  <c r="B165" i="436"/>
  <c r="I165" i="436" l="1"/>
  <c r="B166" i="436" l="1"/>
  <c r="B167" i="436" l="1"/>
  <c r="I166" i="436"/>
  <c r="I167" i="436" l="1"/>
  <c r="B168" i="436"/>
  <c r="I168" i="436" l="1"/>
  <c r="B169" i="436" l="1"/>
  <c r="I169" i="436" s="1"/>
  <c r="B170" i="436" l="1"/>
  <c r="B171" i="436" s="1"/>
  <c r="I170" i="436" l="1"/>
  <c r="I171" i="436"/>
  <c r="B172" i="436"/>
  <c r="I172" i="436" l="1"/>
  <c r="B173" i="436"/>
  <c r="I173" i="436" l="1"/>
  <c r="B174" i="436"/>
  <c r="B175" i="436" s="1"/>
  <c r="B176" i="436" l="1"/>
  <c r="I175" i="436"/>
  <c r="I174" i="436"/>
  <c r="B177" i="436" l="1"/>
  <c r="I176" i="436"/>
  <c r="I177" i="436" l="1"/>
  <c r="B178" i="436" l="1"/>
  <c r="I178" i="436" l="1"/>
  <c r="B179" i="436" l="1"/>
  <c r="B180" i="436" l="1"/>
  <c r="I179" i="436"/>
  <c r="B181" i="436" l="1"/>
  <c r="I180" i="436"/>
  <c r="I181" i="436" l="1"/>
  <c r="B182" i="436" l="1"/>
  <c r="B183" i="436" l="1"/>
  <c r="I182" i="436"/>
  <c r="B184" i="436" l="1"/>
  <c r="I183" i="436"/>
  <c r="B185" i="436" l="1"/>
  <c r="I184" i="436"/>
  <c r="I185" i="436" l="1"/>
  <c r="B186" i="436"/>
  <c r="I186" i="436" l="1"/>
  <c r="B187" i="436"/>
  <c r="B188" i="436" s="1"/>
  <c r="B189" i="436" l="1"/>
  <c r="I188" i="436"/>
  <c r="I187" i="436"/>
  <c r="B190" i="436" l="1"/>
  <c r="I189" i="436"/>
  <c r="B191" i="436" l="1"/>
  <c r="I190" i="436"/>
  <c r="B192" i="436" l="1"/>
  <c r="I191" i="436"/>
  <c r="I192" i="436" l="1"/>
  <c r="B193" i="436"/>
  <c r="I193" i="436" l="1"/>
  <c r="B194" i="436"/>
  <c r="B195" i="436" s="1"/>
  <c r="I195" i="436" s="1"/>
  <c r="I194" i="436" l="1"/>
  <c r="B196" i="436"/>
  <c r="B197" i="436" l="1"/>
  <c r="I196" i="436"/>
  <c r="B198" i="436" l="1"/>
  <c r="I197" i="436"/>
  <c r="B199" i="436" l="1"/>
  <c r="I198" i="436"/>
  <c r="I199" i="436" l="1"/>
  <c r="B200" i="436"/>
  <c r="I200" i="436" l="1"/>
  <c r="B201" i="436"/>
  <c r="B202" i="436" s="1"/>
  <c r="B203" i="436" l="1"/>
  <c r="I202" i="436"/>
  <c r="I201" i="436"/>
  <c r="B204" i="436" l="1"/>
  <c r="B205" i="436" s="1"/>
  <c r="I205" i="436" s="1"/>
  <c r="I203" i="436"/>
  <c r="B206" i="436" l="1"/>
  <c r="B207" i="436" s="1"/>
  <c r="I207" i="436" s="1"/>
  <c r="I204" i="436"/>
  <c r="B208" i="436" l="1"/>
  <c r="I206" i="436"/>
  <c r="B209" i="436" l="1"/>
  <c r="I208" i="436"/>
  <c r="B210" i="436" l="1"/>
  <c r="I209" i="436"/>
  <c r="B211" i="436" l="1"/>
  <c r="B212" i="436" s="1"/>
  <c r="I210" i="436"/>
  <c r="I212" i="436" l="1"/>
  <c r="B213" i="436"/>
  <c r="I213" i="436" s="1"/>
  <c r="I211" i="436"/>
  <c r="B214" i="436" l="1"/>
  <c r="B215" i="436" s="1"/>
  <c r="I214" i="436" l="1"/>
  <c r="B216" i="436"/>
  <c r="I215" i="436"/>
  <c r="B217" i="436" l="1"/>
  <c r="I216" i="436"/>
  <c r="I217" i="436" l="1"/>
  <c r="B218" i="436"/>
  <c r="I218" i="436" l="1"/>
  <c r="B219" i="436"/>
  <c r="B220" i="436" s="1"/>
  <c r="B221" i="436" s="1"/>
  <c r="I221" i="436" l="1"/>
  <c r="B222" i="436"/>
  <c r="I220" i="436"/>
  <c r="I219" i="436"/>
  <c r="B223" i="436" l="1"/>
  <c r="I222" i="436"/>
  <c r="I223" i="436" l="1"/>
  <c r="B224" i="436" l="1"/>
  <c r="I224" i="436" l="1"/>
  <c r="B225" i="436"/>
  <c r="B226" i="436" l="1"/>
  <c r="B227" i="436" s="1"/>
  <c r="I225" i="436"/>
  <c r="I227" i="436" l="1"/>
  <c r="B228" i="436"/>
  <c r="I228" i="436" s="1"/>
  <c r="I226" i="436"/>
  <c r="B229" i="436" l="1"/>
  <c r="I229" i="436" l="1"/>
  <c r="B230" i="436"/>
  <c r="I230" i="436" s="1"/>
  <c r="B231" i="436" l="1"/>
  <c r="I231" i="436" l="1"/>
  <c r="B232" i="436"/>
  <c r="I232" i="436" s="1"/>
  <c r="B233" i="436" l="1"/>
  <c r="B234" i="436" l="1"/>
  <c r="B235" i="436" s="1"/>
  <c r="I233" i="436"/>
  <c r="B236" i="436" l="1"/>
  <c r="I236" i="436" s="1"/>
  <c r="I235" i="436"/>
  <c r="I234" i="436"/>
  <c r="B237" i="436" l="1"/>
  <c r="B238" i="436" l="1"/>
  <c r="I237" i="436"/>
  <c r="I238" i="436" l="1"/>
  <c r="B239" i="436"/>
  <c r="B240" i="436" l="1"/>
  <c r="I239" i="436"/>
  <c r="I240" i="436" l="1"/>
  <c r="B241" i="436"/>
  <c r="I241" i="436" l="1"/>
  <c r="B242" i="436"/>
  <c r="B243" i="436" s="1"/>
  <c r="I243" i="436" l="1"/>
  <c r="B244" i="436"/>
  <c r="I244" i="436" s="1"/>
  <c r="I242" i="436"/>
  <c r="B245" i="436" l="1"/>
  <c r="B246" i="436" l="1"/>
  <c r="I245" i="436"/>
  <c r="B253" i="436"/>
  <c r="B247" i="436" l="1"/>
  <c r="I246" i="436"/>
  <c r="I253" i="436"/>
  <c r="B254" i="436"/>
  <c r="I247" i="436" l="1"/>
  <c r="B255" i="436"/>
  <c r="I254" i="436"/>
  <c r="I255" i="436" l="1"/>
  <c r="B261" i="436" l="1"/>
  <c r="B262" i="436" l="1"/>
  <c r="I261" i="436"/>
  <c r="B263" i="436" l="1"/>
  <c r="I262" i="436"/>
  <c r="E32" i="432"/>
  <c r="E4" i="475" s="1"/>
  <c r="I263" i="436" l="1"/>
  <c r="B270" i="436" l="1"/>
  <c r="I270" i="436" l="1"/>
  <c r="B271" i="436"/>
  <c r="B272" i="436" l="1"/>
  <c r="I271" i="436"/>
  <c r="B273" i="436" l="1"/>
  <c r="I272" i="436"/>
  <c r="I273" i="436" l="1"/>
  <c r="B274" i="436"/>
  <c r="I274" i="436" s="1"/>
  <c r="B275" i="436" l="1"/>
  <c r="I275" i="436" s="1"/>
  <c r="B276" i="436" l="1"/>
  <c r="I276" i="436" s="1"/>
  <c r="B277" i="436" l="1"/>
  <c r="I277" i="436" s="1"/>
  <c r="B278" i="436" l="1"/>
  <c r="I278" i="436" l="1"/>
  <c r="B279" i="436" l="1"/>
  <c r="I279" i="436" l="1"/>
  <c r="B280" i="436"/>
  <c r="I280" i="436" l="1"/>
  <c r="B281" i="436"/>
  <c r="I281" i="436" l="1"/>
  <c r="B282" i="436"/>
  <c r="B283" i="436" l="1"/>
  <c r="I282" i="436"/>
  <c r="B284" i="436" l="1"/>
  <c r="I283" i="436"/>
  <c r="B285" i="436" l="1"/>
  <c r="I284" i="436"/>
  <c r="I285" i="436" l="1"/>
  <c r="B286" i="436"/>
  <c r="I286" i="436" l="1"/>
  <c r="B287" i="436" l="1"/>
  <c r="B288" i="436" l="1"/>
  <c r="I287" i="436"/>
  <c r="I288" i="436" l="1"/>
  <c r="B289" i="436"/>
  <c r="I289" i="436" l="1"/>
  <c r="B290" i="436" l="1"/>
  <c r="I290" i="436" l="1"/>
  <c r="B291" i="436"/>
  <c r="B292" i="436" l="1"/>
  <c r="I291" i="436"/>
  <c r="I292" i="436" l="1"/>
  <c r="B293" i="436"/>
  <c r="I293" i="436" l="1"/>
  <c r="B294" i="436"/>
  <c r="B295" i="436" l="1"/>
  <c r="I294" i="436"/>
  <c r="I295" i="436" l="1"/>
  <c r="B296" i="436"/>
  <c r="I296" i="436" l="1"/>
  <c r="B297" i="436"/>
  <c r="I297" i="436" l="1"/>
  <c r="B298" i="436" l="1"/>
  <c r="B299" i="436" l="1"/>
  <c r="I298" i="436"/>
  <c r="B300" i="436" l="1"/>
  <c r="I299" i="436"/>
  <c r="I300" i="436" l="1"/>
  <c r="B301" i="436" l="1"/>
  <c r="I301" i="436" l="1"/>
  <c r="B302" i="436"/>
  <c r="I302" i="436" l="1"/>
  <c r="B303" i="436"/>
  <c r="I303" i="436" l="1"/>
  <c r="B304" i="436"/>
  <c r="B305" i="436" l="1"/>
  <c r="I304" i="436"/>
  <c r="B306" i="436" l="1"/>
  <c r="I305" i="436"/>
  <c r="B307" i="436" l="1"/>
  <c r="I306" i="436"/>
  <c r="B308" i="436" l="1"/>
  <c r="I307" i="436"/>
  <c r="I308" i="436" l="1"/>
  <c r="B309" i="436" l="1"/>
  <c r="I309" i="436" l="1"/>
  <c r="B310" i="436"/>
  <c r="I310" i="436" l="1"/>
  <c r="B311" i="436"/>
  <c r="I311" i="436" l="1"/>
  <c r="B312" i="436" l="1"/>
  <c r="B313" i="436" l="1"/>
  <c r="I312" i="436"/>
  <c r="I313" i="436" l="1"/>
  <c r="B314" i="436"/>
  <c r="B315" i="436" l="1"/>
  <c r="I314" i="436"/>
  <c r="B316" i="436" l="1"/>
  <c r="I315" i="436"/>
  <c r="I316" i="436" l="1"/>
  <c r="B317" i="436"/>
  <c r="I317" i="436" l="1"/>
  <c r="B318" i="436" l="1"/>
  <c r="I318" i="436" l="1"/>
  <c r="B319" i="436"/>
  <c r="B320" i="436" s="1"/>
  <c r="I320" i="436" l="1"/>
  <c r="I319" i="436"/>
  <c r="B321" i="436" l="1"/>
  <c r="B322" i="436" l="1"/>
  <c r="I321" i="436"/>
  <c r="I322" i="436" l="1"/>
  <c r="B323" i="436" l="1"/>
  <c r="I323" i="436" l="1"/>
  <c r="B324" i="436" l="1"/>
  <c r="I324" i="436" l="1"/>
  <c r="B325" i="436"/>
  <c r="I325" i="436" l="1"/>
  <c r="B326" i="436" l="1"/>
  <c r="I326" i="436" l="1"/>
  <c r="B327" i="436" l="1"/>
  <c r="I327" i="436" l="1"/>
  <c r="B328" i="436"/>
  <c r="I328" i="436" l="1"/>
  <c r="B329" i="436" l="1"/>
  <c r="B330" i="436" l="1"/>
  <c r="I329" i="436"/>
  <c r="B331" i="436" l="1"/>
  <c r="I330" i="436"/>
  <c r="I331" i="436" l="1"/>
  <c r="B332" i="436"/>
  <c r="B333" i="436" s="1"/>
  <c r="I333" i="436" s="1"/>
  <c r="I332" i="436" l="1"/>
  <c r="B334" i="436"/>
  <c r="I334" i="436" l="1"/>
  <c r="B335" i="436"/>
  <c r="B336" i="436" l="1"/>
  <c r="I335" i="436"/>
  <c r="I336" i="436" l="1"/>
  <c r="B337" i="436"/>
  <c r="B338" i="436" s="1"/>
  <c r="I338" i="436" l="1"/>
  <c r="B339" i="436"/>
  <c r="I339" i="436" s="1"/>
  <c r="I337" i="436"/>
  <c r="B340" i="436" l="1"/>
  <c r="B341" i="436" l="1"/>
  <c r="B342" i="436" s="1"/>
  <c r="I342" i="436" s="1"/>
  <c r="I340" i="436"/>
  <c r="I341" i="436" l="1"/>
  <c r="B343" i="436" l="1"/>
  <c r="B344" i="436" l="1"/>
  <c r="B345" i="436" l="1"/>
  <c r="B346" i="436" l="1"/>
  <c r="B347" i="436" l="1"/>
  <c r="B348" i="436" l="1"/>
  <c r="B349" i="436" l="1"/>
  <c r="B350" i="436" l="1"/>
  <c r="B351" i="436" l="1"/>
  <c r="B352" i="436" l="1"/>
  <c r="B353" i="436" l="1"/>
  <c r="B354" i="436" l="1"/>
  <c r="B355" i="436" l="1"/>
  <c r="B356" i="436" l="1"/>
  <c r="B357" i="436" l="1"/>
  <c r="B358" i="436" l="1"/>
  <c r="B359" i="436" l="1"/>
  <c r="B360" i="436" l="1"/>
  <c r="B361" i="436" l="1"/>
  <c r="B362" i="436" l="1"/>
  <c r="B363" i="436" l="1"/>
  <c r="B364" i="436" l="1"/>
  <c r="B365" i="436" l="1"/>
  <c r="B366" i="436" l="1"/>
  <c r="B367" i="436" l="1"/>
  <c r="B368" i="436" l="1"/>
  <c r="B369" i="436" l="1"/>
  <c r="B370" i="436" l="1"/>
  <c r="B371" i="436" l="1"/>
  <c r="B372" i="436" l="1"/>
  <c r="B373" i="436" l="1"/>
  <c r="B374" i="436" l="1"/>
  <c r="B375" i="436" l="1"/>
  <c r="B376" i="436" l="1"/>
  <c r="B377" i="436" l="1"/>
  <c r="B378" i="436" l="1"/>
  <c r="B379" i="436" l="1"/>
  <c r="B380" i="436" l="1"/>
  <c r="B381" i="436" l="1"/>
  <c r="B382" i="436" l="1"/>
  <c r="B383" i="436" s="1"/>
  <c r="B384" i="436" l="1"/>
  <c r="B385" i="436" l="1"/>
  <c r="B386" i="436" s="1"/>
  <c r="B387" i="436" s="1"/>
  <c r="B388" i="436" l="1"/>
  <c r="B389" i="436" l="1"/>
  <c r="B390" i="436" s="1"/>
  <c r="B391" i="436" l="1"/>
  <c r="B392" i="436" l="1"/>
  <c r="B393" i="436" l="1"/>
  <c r="B394" i="436" l="1"/>
  <c r="B395" i="436" l="1"/>
  <c r="B396" i="436" l="1"/>
  <c r="B397" i="436" l="1"/>
  <c r="B398" i="436" l="1"/>
  <c r="B399" i="436" l="1"/>
  <c r="B400" i="436" l="1"/>
  <c r="B401" i="436" l="1"/>
  <c r="B402" i="436" l="1"/>
  <c r="B403" i="436" l="1"/>
  <c r="B404" i="436" l="1"/>
  <c r="B405" i="436" l="1"/>
  <c r="B406" i="436" l="1"/>
  <c r="B407" i="436" l="1"/>
  <c r="B408" i="436" l="1"/>
  <c r="B409" i="436" l="1"/>
  <c r="B410" i="436" l="1"/>
  <c r="B411" i="436" l="1"/>
  <c r="B412" i="436" l="1"/>
  <c r="B413" i="436" l="1"/>
  <c r="B414" i="436" l="1"/>
  <c r="B415" i="436" l="1"/>
  <c r="B416" i="436" l="1"/>
  <c r="B417" i="436" l="1"/>
  <c r="B418" i="436" l="1"/>
  <c r="B419" i="436" l="1"/>
  <c r="B420" i="436" l="1"/>
  <c r="B421" i="436" l="1"/>
  <c r="B422" i="436" l="1"/>
  <c r="B423" i="436" l="1"/>
  <c r="B424" i="436" l="1"/>
  <c r="B425" i="436" l="1"/>
  <c r="B426" i="436" l="1"/>
  <c r="B427" i="436" l="1"/>
  <c r="B428" i="436" l="1"/>
  <c r="B429" i="436" l="1"/>
  <c r="B430" i="436" l="1"/>
  <c r="B431" i="436" l="1"/>
  <c r="I431" i="436" l="1"/>
  <c r="B432" i="436"/>
  <c r="B433" i="436" l="1"/>
  <c r="I432" i="436"/>
  <c r="I433" i="436" l="1"/>
  <c r="B434" i="436"/>
  <c r="I434" i="436" l="1"/>
  <c r="B435" i="436" l="1"/>
  <c r="I435" i="436" l="1"/>
  <c r="B436" i="436"/>
  <c r="B437" i="436" l="1"/>
  <c r="I436" i="436"/>
  <c r="B438" i="436" l="1"/>
  <c r="I437" i="436"/>
  <c r="B439" i="436" l="1"/>
  <c r="I438" i="436"/>
  <c r="I439" i="436" l="1"/>
  <c r="B440" i="436" l="1"/>
  <c r="B441" i="436" l="1"/>
  <c r="I440" i="436"/>
  <c r="I441" i="436" l="1"/>
  <c r="B442" i="436" l="1"/>
  <c r="B443" i="436" l="1"/>
  <c r="I442" i="436"/>
  <c r="I443" i="436" l="1"/>
  <c r="B444" i="436"/>
  <c r="I444" i="436" l="1"/>
  <c r="B445" i="436" l="1"/>
  <c r="B446" i="436" l="1"/>
  <c r="I445" i="436"/>
  <c r="B447" i="436" l="1"/>
  <c r="I446" i="436"/>
  <c r="B448" i="436" l="1"/>
  <c r="I447" i="436"/>
  <c r="B449" i="436" l="1"/>
  <c r="I448" i="436"/>
  <c r="I449" i="436" l="1"/>
  <c r="B450" i="436" l="1"/>
  <c r="I450" i="436" l="1"/>
  <c r="B451" i="436"/>
  <c r="I451" i="436" l="1"/>
  <c r="B452" i="436"/>
  <c r="B453" i="436" l="1"/>
  <c r="I452" i="436"/>
  <c r="I453" i="436" l="1"/>
  <c r="B454" i="436"/>
  <c r="I454" i="436" l="1"/>
  <c r="B455" i="436" l="1"/>
  <c r="B456" i="436" l="1"/>
  <c r="I455" i="436"/>
  <c r="B457" i="436" l="1"/>
  <c r="I456" i="436"/>
  <c r="I457" i="436" l="1"/>
  <c r="B458" i="436"/>
  <c r="I458" i="436" l="1"/>
  <c r="B459" i="436"/>
  <c r="I459" i="436" l="1"/>
  <c r="B460" i="436" l="1"/>
  <c r="B461" i="436" l="1"/>
  <c r="I460" i="436"/>
  <c r="I461" i="436" l="1"/>
  <c r="B462" i="436"/>
  <c r="B463" i="436" l="1"/>
  <c r="I462" i="436"/>
  <c r="B464" i="436" l="1"/>
  <c r="I463" i="436"/>
  <c r="I464" i="436" l="1"/>
  <c r="B465" i="436" l="1"/>
  <c r="I465" i="436" l="1"/>
  <c r="B466" i="436"/>
  <c r="B467" i="436" l="1"/>
  <c r="I466" i="436"/>
  <c r="I467" i="436" l="1"/>
  <c r="B468" i="436"/>
  <c r="I468" i="436" l="1"/>
  <c r="B469" i="436"/>
  <c r="I469" i="436" l="1"/>
  <c r="B470" i="436" l="1"/>
  <c r="B471" i="436" l="1"/>
  <c r="I470" i="436"/>
  <c r="B472" i="436" l="1"/>
  <c r="I471" i="436"/>
  <c r="I472" i="436" l="1"/>
  <c r="B473" i="436"/>
  <c r="I473" i="436" l="1"/>
  <c r="B474" i="436"/>
  <c r="B475" i="436" l="1"/>
  <c r="I474" i="436"/>
  <c r="I475" i="436" l="1"/>
  <c r="B476" i="436"/>
  <c r="I476" i="436" l="1"/>
  <c r="B477" i="436"/>
  <c r="B478" i="436" l="1"/>
  <c r="I477" i="436"/>
  <c r="B479" i="436" l="1"/>
  <c r="I478" i="436"/>
  <c r="B480" i="436" l="1"/>
  <c r="I479" i="436"/>
  <c r="I480" i="436" l="1"/>
  <c r="B481" i="436"/>
  <c r="I481" i="436" l="1"/>
  <c r="B482" i="436"/>
  <c r="I482" i="436" l="1"/>
  <c r="B483" i="436"/>
  <c r="I483" i="436" l="1"/>
  <c r="B484" i="436"/>
  <c r="I484" i="436" l="1"/>
  <c r="B485" i="436"/>
  <c r="I485" i="436" l="1"/>
  <c r="B486" i="436"/>
  <c r="I486" i="436" l="1"/>
  <c r="B487" i="436"/>
  <c r="I487" i="436" l="1"/>
  <c r="B488" i="436" l="1"/>
  <c r="B489" i="436" s="1"/>
  <c r="I488" i="436" l="1"/>
  <c r="I489" i="436"/>
  <c r="B490" i="436"/>
  <c r="I490" i="436" l="1"/>
  <c r="B491" i="436"/>
  <c r="I491" i="436" l="1"/>
  <c r="B492" i="436"/>
  <c r="B493" i="436" l="1"/>
  <c r="I492" i="436"/>
  <c r="I493" i="436" l="1"/>
  <c r="B494" i="436"/>
  <c r="I494" i="436" l="1"/>
  <c r="B495" i="436"/>
  <c r="B496" i="436" l="1"/>
  <c r="I495" i="436"/>
  <c r="I496" i="436" l="1"/>
  <c r="B497" i="436"/>
  <c r="B498" i="436" l="1"/>
  <c r="I497" i="436"/>
  <c r="B499" i="436" l="1"/>
  <c r="I498" i="436"/>
  <c r="I499" i="436" l="1"/>
  <c r="B500" i="436"/>
  <c r="I500" i="436" l="1"/>
  <c r="B501" i="436"/>
  <c r="B502" i="436" l="1"/>
  <c r="I501" i="436"/>
  <c r="I502" i="436" l="1"/>
  <c r="B503" i="436"/>
  <c r="I503" i="436" l="1"/>
  <c r="B504" i="436"/>
  <c r="I504" i="436" l="1"/>
  <c r="B505" i="436"/>
  <c r="B506" i="436" l="1"/>
  <c r="I505" i="436"/>
  <c r="I506" i="436" l="1"/>
  <c r="B507" i="436"/>
  <c r="B508" i="436" l="1"/>
  <c r="I507" i="436"/>
  <c r="I508" i="436" l="1"/>
  <c r="B509" i="436"/>
  <c r="B510" i="436" l="1"/>
  <c r="I509" i="436"/>
  <c r="B511" i="436" l="1"/>
  <c r="I510" i="436"/>
  <c r="B512" i="436" l="1"/>
  <c r="I511" i="436"/>
  <c r="I512" i="436" l="1"/>
  <c r="B513" i="436"/>
  <c r="I513" i="436" l="1"/>
  <c r="B514" i="436"/>
  <c r="I514" i="436" l="1"/>
  <c r="B515" i="436"/>
  <c r="I515" i="436" l="1"/>
  <c r="B516" i="436"/>
  <c r="I516" i="436" l="1"/>
  <c r="B517" i="436"/>
  <c r="B518" i="436" l="1"/>
  <c r="I517" i="436"/>
  <c r="B519" i="436" l="1"/>
  <c r="I518" i="436"/>
  <c r="I519" i="436" l="1"/>
  <c r="B520" i="436"/>
  <c r="B521" i="436" l="1"/>
  <c r="I520" i="436"/>
  <c r="I521" i="436" l="1"/>
  <c r="B522" i="436"/>
  <c r="I522" i="436" l="1"/>
  <c r="B523" i="436"/>
  <c r="I523" i="436" l="1"/>
  <c r="B524" i="436"/>
  <c r="B525" i="436" l="1"/>
  <c r="I524" i="436"/>
  <c r="B526" i="436" l="1"/>
  <c r="I525" i="436"/>
  <c r="B527" i="436" l="1"/>
  <c r="I526" i="436"/>
  <c r="I527" i="436" l="1"/>
  <c r="B528" i="436"/>
  <c r="I528" i="436" l="1"/>
  <c r="B529" i="436"/>
  <c r="I529" i="436" l="1"/>
  <c r="B530" i="436"/>
  <c r="I530" i="436" l="1"/>
  <c r="B531" i="436"/>
  <c r="I531" i="436" l="1"/>
  <c r="B532" i="436"/>
  <c r="B533" i="436" l="1"/>
  <c r="I532" i="436"/>
  <c r="I533" i="436" l="1"/>
  <c r="B534" i="436"/>
  <c r="B535" i="436" l="1"/>
  <c r="I534" i="436"/>
  <c r="B536" i="436" l="1"/>
  <c r="I535" i="436"/>
  <c r="I536" i="436" l="1"/>
  <c r="B537" i="436"/>
  <c r="B538" i="436" l="1"/>
  <c r="I537" i="436"/>
  <c r="B539" i="436" l="1"/>
  <c r="I538" i="436"/>
  <c r="I539" i="436" l="1"/>
  <c r="B540" i="436"/>
  <c r="B541" i="436" l="1"/>
  <c r="I540" i="436"/>
  <c r="I541" i="436" l="1"/>
  <c r="B542" i="436"/>
  <c r="B543" i="436" l="1"/>
  <c r="I542" i="436"/>
  <c r="I543" i="436" l="1"/>
  <c r="B544" i="436"/>
  <c r="I544" i="436" l="1"/>
  <c r="B545" i="436"/>
  <c r="I545" i="436" l="1"/>
  <c r="B546" i="436" l="1"/>
  <c r="B547" i="436" l="1"/>
  <c r="I546" i="436"/>
  <c r="B548" i="436" l="1"/>
  <c r="I547" i="436"/>
  <c r="I548" i="436" l="1"/>
  <c r="B549" i="436"/>
  <c r="I549" i="436" l="1"/>
  <c r="B550" i="436"/>
  <c r="B551" i="436" l="1"/>
  <c r="I550" i="436"/>
  <c r="B552" i="436" l="1"/>
  <c r="I551" i="436"/>
  <c r="I552" i="436" l="1"/>
  <c r="B553" i="436"/>
  <c r="B554" i="436" l="1"/>
  <c r="I553" i="436"/>
  <c r="I554" i="436" l="1"/>
  <c r="B555" i="436"/>
  <c r="B556" i="436" l="1"/>
  <c r="I555" i="436"/>
  <c r="I556" i="436" l="1"/>
  <c r="B557" i="436"/>
  <c r="I557" i="436" l="1"/>
  <c r="B558" i="436"/>
  <c r="I558" i="436" l="1"/>
  <c r="B559" i="436"/>
  <c r="B560" i="436" l="1"/>
  <c r="I559" i="436"/>
  <c r="I560" i="436" l="1"/>
  <c r="B561" i="436"/>
  <c r="I561" i="436" l="1"/>
  <c r="B562" i="436"/>
  <c r="I562" i="436" l="1"/>
  <c r="B563" i="436" l="1"/>
  <c r="B564" i="436" l="1"/>
  <c r="I563" i="436"/>
  <c r="B565" i="436" l="1"/>
  <c r="I564" i="436"/>
  <c r="B566" i="436" l="1"/>
  <c r="I565" i="436"/>
  <c r="I566" i="436" l="1"/>
  <c r="B567" i="436"/>
  <c r="I567" i="436" l="1"/>
  <c r="B568" i="436"/>
  <c r="I568" i="436" l="1"/>
  <c r="B569" i="436"/>
  <c r="I569" i="436" l="1"/>
  <c r="B570" i="436"/>
  <c r="I570" i="436" l="1"/>
  <c r="B571" i="436"/>
  <c r="I571" i="436" l="1"/>
  <c r="B572" i="436"/>
  <c r="I572" i="436" l="1"/>
  <c r="B573" i="436"/>
  <c r="B574" i="436" l="1"/>
  <c r="I573" i="436"/>
  <c r="B575" i="436" l="1"/>
  <c r="I574" i="436"/>
  <c r="I575" i="436" l="1"/>
  <c r="B576" i="436"/>
  <c r="B577" i="436" l="1"/>
  <c r="I576" i="436"/>
  <c r="I577" i="436" l="1"/>
  <c r="B578" i="436"/>
  <c r="I578" i="436" l="1"/>
  <c r="B579" i="436"/>
  <c r="I579" i="436" l="1"/>
  <c r="B580" i="436" l="1"/>
  <c r="I580" i="436" l="1"/>
  <c r="B581" i="436"/>
  <c r="I581" i="436" l="1"/>
  <c r="B582" i="436"/>
  <c r="I582" i="436" l="1"/>
  <c r="B583" i="436"/>
  <c r="I583" i="436" l="1"/>
  <c r="B584" i="436"/>
  <c r="I584" i="436" l="1"/>
  <c r="B585" i="436"/>
  <c r="I585" i="436" l="1"/>
  <c r="B586" i="436"/>
  <c r="B587" i="436" l="1"/>
  <c r="I586" i="436"/>
  <c r="B588" i="436" l="1"/>
  <c r="I587" i="436"/>
  <c r="I588" i="436" l="1"/>
  <c r="B589" i="436"/>
  <c r="I589" i="436" l="1"/>
  <c r="B590" i="436"/>
  <c r="B591" i="436" l="1"/>
  <c r="I590" i="436"/>
  <c r="B592" i="436" l="1"/>
  <c r="I591" i="436"/>
  <c r="B593" i="436" l="1"/>
  <c r="I592" i="436"/>
  <c r="I593" i="436" l="1"/>
  <c r="B594" i="436"/>
  <c r="B595" i="436" l="1"/>
  <c r="I594" i="436"/>
  <c r="I595" i="436" l="1"/>
  <c r="B596" i="436"/>
  <c r="B597" i="436" l="1"/>
  <c r="I596" i="436"/>
  <c r="B598" i="436" l="1"/>
  <c r="I597" i="436"/>
  <c r="I598" i="436" l="1"/>
  <c r="B599" i="436"/>
  <c r="I599" i="436" l="1"/>
  <c r="B600" i="436"/>
  <c r="I600" i="436" l="1"/>
  <c r="B601" i="436"/>
  <c r="I601" i="436" l="1"/>
  <c r="B602" i="436"/>
  <c r="B603" i="436" l="1"/>
  <c r="I602" i="436"/>
  <c r="B604" i="436" l="1"/>
  <c r="I603" i="436"/>
  <c r="I604" i="436" l="1"/>
  <c r="B605" i="436"/>
  <c r="I605" i="436" l="1"/>
  <c r="B606" i="436"/>
  <c r="I606" i="436" l="1"/>
  <c r="B607" i="436"/>
  <c r="B608" i="436" l="1"/>
  <c r="I607" i="436"/>
  <c r="B609" i="436" l="1"/>
  <c r="I608" i="436"/>
  <c r="I609" i="436" l="1"/>
  <c r="B610" i="436"/>
  <c r="B611" i="436" l="1"/>
  <c r="I610" i="436"/>
  <c r="I611" i="436" l="1"/>
  <c r="B612" i="436"/>
  <c r="I612" i="436" l="1"/>
  <c r="B613" i="436"/>
  <c r="B614" i="436" l="1"/>
  <c r="I613" i="436"/>
  <c r="I614" i="436" l="1"/>
  <c r="B615" i="436"/>
  <c r="I615" i="436" l="1"/>
  <c r="B616" i="436"/>
  <c r="B617" i="436" l="1"/>
  <c r="I616" i="436"/>
  <c r="I617" i="436" l="1"/>
  <c r="B618" i="436"/>
  <c r="I618" i="436" l="1"/>
  <c r="B619" i="436"/>
  <c r="I619" i="436" l="1"/>
  <c r="B620" i="436"/>
  <c r="B621" i="436" l="1"/>
  <c r="I620" i="436"/>
  <c r="I621" i="436" l="1"/>
  <c r="B622" i="436"/>
  <c r="I622" i="436" l="1"/>
  <c r="B623" i="436"/>
  <c r="I623" i="436" l="1"/>
  <c r="B624" i="436"/>
  <c r="I624" i="436" l="1"/>
  <c r="B625" i="436"/>
  <c r="B626" i="436" l="1"/>
  <c r="I625" i="436"/>
  <c r="I626" i="436" l="1"/>
  <c r="B627" i="436"/>
  <c r="I627" i="436" l="1"/>
  <c r="B628" i="436"/>
  <c r="I628" i="436" l="1"/>
  <c r="B629" i="436"/>
  <c r="I629" i="436" l="1"/>
  <c r="B630" i="436"/>
  <c r="B631" i="436" l="1"/>
  <c r="I630" i="436"/>
  <c r="I631" i="436" l="1"/>
  <c r="B632" i="436"/>
  <c r="I632" i="436" l="1"/>
  <c r="B633" i="436"/>
  <c r="I633" i="436" l="1"/>
  <c r="B634" i="436"/>
  <c r="I634" i="436" l="1"/>
  <c r="B635" i="436"/>
  <c r="I635" i="436" l="1"/>
  <c r="B636" i="436"/>
  <c r="I636" i="436" l="1"/>
  <c r="B637" i="436"/>
  <c r="I637" i="436" l="1"/>
  <c r="B638" i="436" l="1"/>
  <c r="B639" i="436" l="1"/>
  <c r="I638" i="436"/>
  <c r="B640" i="436" l="1"/>
  <c r="I639" i="436"/>
  <c r="I640" i="436" l="1"/>
  <c r="B641" i="436"/>
  <c r="I641" i="436" l="1"/>
  <c r="B642" i="436"/>
  <c r="I642" i="436" l="1"/>
  <c r="B643" i="436"/>
  <c r="I643" i="436" l="1"/>
  <c r="B644" i="436"/>
  <c r="I644" i="436" l="1"/>
  <c r="B645" i="436"/>
  <c r="I645" i="436" l="1"/>
  <c r="B646" i="436"/>
  <c r="I646" i="436" l="1"/>
  <c r="B647" i="436"/>
  <c r="B648" i="436" l="1"/>
  <c r="I647" i="436"/>
  <c r="I648" i="436" l="1"/>
  <c r="B649" i="436"/>
  <c r="I649" i="436" l="1"/>
  <c r="B650" i="436"/>
  <c r="I650" i="436" l="1"/>
  <c r="B651" i="436"/>
  <c r="B652" i="436" l="1"/>
  <c r="I651" i="436"/>
  <c r="B653" i="436" l="1"/>
  <c r="I652" i="436"/>
  <c r="I653" i="436" l="1"/>
  <c r="B654" i="436"/>
  <c r="I654" i="436" l="1"/>
  <c r="B655" i="436"/>
  <c r="B656" i="436" l="1"/>
  <c r="I655" i="436"/>
  <c r="I656" i="436" l="1"/>
  <c r="B657" i="436"/>
  <c r="B658" i="436" l="1"/>
  <c r="I657" i="436"/>
  <c r="I658" i="436" l="1"/>
  <c r="B659" i="436"/>
  <c r="B660" i="436" l="1"/>
  <c r="I659" i="436"/>
  <c r="B661" i="436" l="1"/>
  <c r="I660" i="436"/>
  <c r="I661" i="436" l="1"/>
  <c r="B662" i="436"/>
  <c r="B663" i="436" l="1"/>
  <c r="I662" i="436"/>
  <c r="I663" i="436" l="1"/>
  <c r="B664" i="436"/>
  <c r="B665" i="436" l="1"/>
  <c r="I664" i="436"/>
  <c r="I665" i="436" l="1"/>
  <c r="B666" i="436"/>
  <c r="I666" i="436" l="1"/>
  <c r="B667" i="436"/>
  <c r="B668" i="436" l="1"/>
  <c r="I667" i="436"/>
  <c r="B669" i="436" l="1"/>
  <c r="I668" i="436"/>
  <c r="I669" i="436" l="1"/>
  <c r="B670" i="436"/>
  <c r="B671" i="436" l="1"/>
  <c r="I670" i="436"/>
  <c r="B672" i="436" l="1"/>
  <c r="I671" i="436"/>
  <c r="B673" i="436" l="1"/>
  <c r="I672" i="436"/>
  <c r="B674" i="436" l="1"/>
  <c r="I673" i="436"/>
  <c r="B675" i="436" l="1"/>
  <c r="I674" i="436"/>
  <c r="B676" i="436" l="1"/>
  <c r="I675" i="436"/>
  <c r="B677" i="436" l="1"/>
  <c r="I676" i="436"/>
  <c r="B678" i="436" l="1"/>
  <c r="I677" i="436"/>
  <c r="B679" i="436" l="1"/>
  <c r="I678" i="436"/>
  <c r="B680" i="436" l="1"/>
  <c r="I679" i="436"/>
  <c r="I680" i="436" l="1"/>
  <c r="B681" i="436"/>
  <c r="I681" i="436" l="1"/>
  <c r="B682" i="436"/>
  <c r="B683" i="436" l="1"/>
  <c r="I682" i="436"/>
  <c r="B684" i="436" l="1"/>
  <c r="I683" i="436"/>
  <c r="I684" i="436" l="1"/>
  <c r="B685" i="436"/>
  <c r="B686" i="436" l="1"/>
  <c r="I685" i="436"/>
  <c r="I686" i="436" l="1"/>
  <c r="B687" i="436"/>
  <c r="I687" i="436" l="1"/>
  <c r="B688" i="436"/>
  <c r="B689" i="436" l="1"/>
  <c r="I688" i="436"/>
  <c r="B690" i="436" l="1"/>
  <c r="I689" i="436"/>
  <c r="I690" i="436" l="1"/>
  <c r="B691" i="436"/>
  <c r="B692" i="436" l="1"/>
  <c r="I691" i="436"/>
  <c r="B693" i="436" l="1"/>
  <c r="I692" i="436"/>
  <c r="I693" i="436" l="1"/>
  <c r="B694" i="436"/>
  <c r="I694" i="436" l="1"/>
  <c r="B695" i="436"/>
  <c r="B696" i="436" l="1"/>
  <c r="I695" i="436"/>
  <c r="I696" i="436" l="1"/>
  <c r="B697" i="436"/>
  <c r="B698" i="436" l="1"/>
  <c r="I697" i="436"/>
  <c r="I698" i="436" l="1"/>
  <c r="B699" i="436"/>
  <c r="I699" i="436" l="1"/>
  <c r="B700" i="436"/>
  <c r="B701" i="436" l="1"/>
  <c r="I700" i="436"/>
  <c r="I701" i="436" l="1"/>
  <c r="B702" i="436"/>
  <c r="B703" i="436" s="1"/>
  <c r="I703" i="436" l="1"/>
  <c r="B704" i="436"/>
  <c r="I704" i="436" s="1"/>
  <c r="I702" i="436"/>
  <c r="B705" i="436" l="1"/>
  <c r="I705" i="436" s="1"/>
  <c r="B706" i="436" l="1"/>
  <c r="B707" i="436" s="1"/>
  <c r="I707" i="436" s="1"/>
  <c r="B708" i="436" l="1"/>
  <c r="B709" i="436" s="1"/>
  <c r="I706" i="436"/>
  <c r="I708" i="436" l="1"/>
  <c r="I709" i="436"/>
  <c r="B710" i="436"/>
  <c r="B711" i="436" l="1"/>
  <c r="I710" i="436"/>
  <c r="B712" i="436" l="1"/>
  <c r="I711" i="436"/>
  <c r="I712" i="436" l="1"/>
  <c r="B713" i="436"/>
  <c r="B714" i="436" s="1"/>
  <c r="I714" i="436" l="1"/>
  <c r="B715" i="436"/>
  <c r="I715" i="436" s="1"/>
  <c r="I713" i="436"/>
  <c r="B716" i="436" l="1"/>
  <c r="I716" i="436" s="1"/>
  <c r="B717" i="436" l="1"/>
  <c r="I717" i="436" s="1"/>
  <c r="B718" i="436"/>
  <c r="B719" i="436" s="1"/>
  <c r="B720" i="436" l="1"/>
  <c r="I719" i="436"/>
  <c r="I718" i="436"/>
  <c r="I720" i="436" l="1"/>
  <c r="B721" i="436" l="1"/>
  <c r="I721" i="436" l="1"/>
  <c r="B722" i="436" l="1"/>
  <c r="I722" i="436" l="1"/>
  <c r="B723" i="436"/>
  <c r="B724" i="436" l="1"/>
  <c r="I723" i="436"/>
  <c r="I724" i="436" l="1"/>
  <c r="B725" i="436"/>
  <c r="I725" i="436" l="1"/>
  <c r="B726" i="436"/>
  <c r="I726" i="436" l="1"/>
  <c r="B727" i="436"/>
  <c r="B728" i="436" s="1"/>
  <c r="I728" i="436" s="1"/>
  <c r="B729" i="436" l="1"/>
  <c r="I727" i="436"/>
  <c r="B730" i="436" l="1"/>
  <c r="I729" i="436"/>
  <c r="I730" i="436" l="1"/>
  <c r="B731" i="436"/>
  <c r="B732" i="436" l="1"/>
  <c r="I731" i="436"/>
  <c r="B733" i="436" l="1"/>
  <c r="I732" i="436"/>
  <c r="I733" i="436" l="1"/>
  <c r="B734" i="436"/>
  <c r="I734" i="436" l="1"/>
  <c r="B735" i="436"/>
  <c r="B736" i="436" l="1"/>
  <c r="I735" i="436"/>
  <c r="I736" i="436" l="1"/>
  <c r="B737" i="436"/>
  <c r="B738" i="436" l="1"/>
  <c r="I737" i="436"/>
  <c r="I738" i="436" l="1"/>
  <c r="B739" i="436"/>
  <c r="B740" i="436" l="1"/>
  <c r="I739" i="436"/>
  <c r="I740" i="436" l="1"/>
  <c r="B741" i="436"/>
  <c r="B742" i="436" l="1"/>
  <c r="I741" i="436"/>
  <c r="B743" i="436" l="1"/>
  <c r="I742" i="436"/>
  <c r="I743" i="436" l="1"/>
  <c r="B744" i="436"/>
  <c r="B745" i="436" l="1"/>
  <c r="I744" i="436"/>
  <c r="B746" i="436" l="1"/>
  <c r="I745" i="436"/>
  <c r="I746" i="436" l="1"/>
  <c r="B747" i="436"/>
  <c r="I747" i="436" l="1"/>
  <c r="B748" i="436"/>
  <c r="I748" i="436" l="1"/>
  <c r="B749" i="436"/>
  <c r="I749" i="436" l="1"/>
  <c r="B750" i="436"/>
  <c r="I750" i="436" l="1"/>
  <c r="B751" i="436"/>
  <c r="B752" i="436" l="1"/>
  <c r="I751" i="436"/>
  <c r="B753" i="436" l="1"/>
  <c r="I752" i="436"/>
  <c r="B754" i="436" l="1"/>
  <c r="I753" i="436"/>
  <c r="B755" i="436" l="1"/>
  <c r="I754" i="436"/>
  <c r="B756" i="436" l="1"/>
  <c r="I755" i="436"/>
  <c r="B757" i="436" l="1"/>
  <c r="I756" i="436"/>
  <c r="B758" i="436" l="1"/>
  <c r="I757" i="436"/>
  <c r="B759" i="436" l="1"/>
  <c r="I758" i="436"/>
  <c r="I759" i="436" l="1"/>
  <c r="B760" i="436"/>
  <c r="B761" i="436" l="1"/>
  <c r="I760" i="436"/>
  <c r="I761" i="436" l="1"/>
  <c r="B762" i="436"/>
  <c r="B763" i="436" l="1"/>
  <c r="I762" i="436"/>
  <c r="I763" i="436" l="1"/>
  <c r="B764" i="436"/>
  <c r="B765" i="436" l="1"/>
  <c r="I764" i="436"/>
  <c r="I765" i="436" l="1"/>
  <c r="B766" i="436"/>
  <c r="I766" i="436" l="1"/>
  <c r="B767" i="436"/>
  <c r="B768" i="436" l="1"/>
  <c r="I767" i="436"/>
  <c r="B769" i="436" l="1"/>
  <c r="I768" i="436"/>
  <c r="B770" i="436" l="1"/>
  <c r="I769" i="436"/>
  <c r="B771" i="436" l="1"/>
  <c r="I770" i="436"/>
  <c r="B772" i="436" l="1"/>
  <c r="I771" i="436"/>
  <c r="I772" i="436" l="1"/>
  <c r="B773" i="436"/>
  <c r="I773" i="436" l="1"/>
  <c r="B774" i="436"/>
  <c r="B775" i="436" l="1"/>
  <c r="I774" i="436"/>
  <c r="B776" i="436" l="1"/>
  <c r="I775" i="436"/>
  <c r="I776" i="436" l="1"/>
  <c r="B777" i="436"/>
  <c r="I777" i="436" l="1"/>
  <c r="B778" i="436"/>
  <c r="I778" i="436" l="1"/>
  <c r="B779" i="436"/>
  <c r="I779" i="436" l="1"/>
  <c r="B780" i="436"/>
  <c r="B781" i="436" l="1"/>
  <c r="I780" i="436"/>
  <c r="B782" i="436" l="1"/>
  <c r="I781" i="436"/>
  <c r="I782" i="436" l="1"/>
  <c r="B783" i="436"/>
  <c r="I783" i="436" l="1"/>
  <c r="B784" i="436"/>
  <c r="I784" i="436" l="1"/>
  <c r="B785" i="436"/>
  <c r="I785" i="436" l="1"/>
  <c r="B786" i="436"/>
  <c r="B787" i="436" l="1"/>
  <c r="I786" i="436"/>
  <c r="B788" i="436" l="1"/>
  <c r="I787" i="436"/>
  <c r="I788" i="436" l="1"/>
  <c r="B789" i="436"/>
  <c r="I789" i="436" l="1"/>
  <c r="B790" i="436"/>
  <c r="B791" i="436" l="1"/>
  <c r="I790" i="436"/>
  <c r="I791" i="436" l="1"/>
  <c r="B792" i="436"/>
  <c r="B793" i="436" l="1"/>
  <c r="I792" i="436"/>
  <c r="I793" i="436" l="1"/>
  <c r="B794" i="436"/>
  <c r="I794" i="436" l="1"/>
  <c r="B795" i="436"/>
  <c r="I795" i="436" l="1"/>
  <c r="B796" i="436"/>
  <c r="B797" i="436" l="1"/>
  <c r="I796" i="436"/>
  <c r="I797" i="436" l="1"/>
  <c r="B798" i="436"/>
  <c r="I798" i="436" l="1"/>
  <c r="B799" i="436"/>
  <c r="B800" i="436" l="1"/>
  <c r="I799" i="436"/>
  <c r="B801" i="436" l="1"/>
  <c r="I800" i="436"/>
  <c r="I801" i="436" l="1"/>
  <c r="B802" i="436"/>
  <c r="I802" i="436" l="1"/>
  <c r="B803" i="436"/>
  <c r="B804" i="436" l="1"/>
  <c r="I803" i="436"/>
  <c r="B805" i="436" l="1"/>
  <c r="I804" i="436"/>
  <c r="B806" i="436" l="1"/>
  <c r="I805" i="436"/>
  <c r="I806" i="436" l="1"/>
  <c r="B807" i="436"/>
  <c r="B808" i="436" l="1"/>
  <c r="I807" i="436"/>
  <c r="I808" i="436" l="1"/>
  <c r="B809" i="436"/>
  <c r="I809" i="436" l="1"/>
  <c r="B810" i="436"/>
  <c r="I810" i="436" l="1"/>
  <c r="B811" i="436"/>
  <c r="I811" i="436" l="1"/>
  <c r="B812" i="436"/>
  <c r="B813" i="436" s="1"/>
  <c r="B814" i="436" l="1"/>
  <c r="I813" i="436"/>
  <c r="I812" i="436"/>
  <c r="I814" i="436" l="1"/>
  <c r="B815" i="436"/>
  <c r="I815" i="436" s="1"/>
  <c r="B816" i="436" l="1"/>
  <c r="I816" i="436" s="1"/>
  <c r="B817" i="436"/>
  <c r="I817" i="436" s="1"/>
  <c r="B818" i="436" l="1"/>
  <c r="B819" i="436" s="1"/>
  <c r="I818" i="436" l="1"/>
  <c r="I819" i="436"/>
  <c r="B820" i="436"/>
  <c r="B821" i="436" s="1"/>
  <c r="I821" i="436" s="1"/>
  <c r="I820" i="436" l="1"/>
  <c r="B822" i="436"/>
  <c r="B823" i="436" l="1"/>
  <c r="I822" i="436"/>
  <c r="I823" i="436" l="1"/>
  <c r="B824" i="436"/>
  <c r="I824" i="436" l="1"/>
  <c r="B825" i="436"/>
  <c r="B826" i="436" l="1"/>
  <c r="I825" i="436"/>
  <c r="I826" i="436" l="1"/>
  <c r="B827" i="436"/>
  <c r="B828" i="436" l="1"/>
  <c r="I827" i="436"/>
  <c r="I828" i="436" l="1"/>
  <c r="B829" i="436"/>
  <c r="B830" i="436" s="1"/>
  <c r="B831" i="436" l="1"/>
  <c r="I830" i="436"/>
  <c r="I829" i="436"/>
  <c r="I831" i="436" l="1"/>
  <c r="B832" i="436"/>
  <c r="I832" i="436" s="1"/>
  <c r="B833" i="436" l="1"/>
  <c r="I833" i="436" s="1"/>
  <c r="B834" i="436"/>
  <c r="I834" i="436" s="1"/>
  <c r="B835" i="436" l="1"/>
  <c r="I835" i="436" s="1"/>
  <c r="B836" i="436" l="1"/>
  <c r="B837" i="436" s="1"/>
  <c r="B838" i="436" s="1"/>
  <c r="I838" i="436" s="1"/>
  <c r="I836" i="436" l="1"/>
  <c r="I837" i="436"/>
  <c r="B839" i="436"/>
  <c r="I839" i="436" l="1"/>
  <c r="B840" i="436"/>
  <c r="I840" i="436" l="1"/>
  <c r="B841" i="436"/>
  <c r="I841" i="436" l="1"/>
  <c r="B842" i="436"/>
  <c r="B843" i="436" l="1"/>
  <c r="I842" i="436"/>
  <c r="B844" i="436" l="1"/>
  <c r="I843" i="436"/>
  <c r="B845" i="436" l="1"/>
  <c r="I844" i="436"/>
  <c r="I845" i="436" l="1"/>
  <c r="B846" i="436"/>
  <c r="I846" i="436" l="1"/>
  <c r="B847" i="436"/>
  <c r="B848" i="436" s="1"/>
  <c r="I848" i="436" s="1"/>
  <c r="B849" i="436" l="1"/>
  <c r="I847" i="436"/>
  <c r="B850" i="436" l="1"/>
  <c r="I849" i="436"/>
  <c r="I850" i="436" l="1"/>
  <c r="B851" i="436"/>
  <c r="I851" i="436" l="1"/>
  <c r="B852" i="436"/>
  <c r="I852" i="436" l="1"/>
  <c r="B853" i="436"/>
  <c r="B854" i="436" l="1"/>
  <c r="I853" i="436"/>
  <c r="I854" i="436" l="1"/>
  <c r="B855" i="436"/>
  <c r="B856" i="436" l="1"/>
  <c r="I855" i="436"/>
  <c r="B857" i="436" l="1"/>
  <c r="I856" i="436"/>
  <c r="I857" i="436" l="1"/>
  <c r="B858" i="436"/>
  <c r="B859" i="436" l="1"/>
  <c r="I858" i="436"/>
  <c r="B860" i="436" l="1"/>
  <c r="I859" i="436"/>
  <c r="B861" i="436" l="1"/>
  <c r="I860" i="436"/>
  <c r="B862" i="436" l="1"/>
  <c r="I861" i="436"/>
  <c r="B863" i="436" l="1"/>
  <c r="I862" i="436"/>
  <c r="I863" i="436" l="1"/>
  <c r="B864" i="436"/>
  <c r="I864" i="436" l="1"/>
  <c r="B865" i="436"/>
  <c r="I865" i="436" l="1"/>
  <c r="B866" i="436"/>
  <c r="I866" i="436" l="1"/>
  <c r="B867" i="436"/>
  <c r="B868" i="436" l="1"/>
  <c r="I868" i="436" s="1"/>
  <c r="I867" i="436"/>
  <c r="B869" i="436" l="1"/>
  <c r="B870" i="436" s="1"/>
  <c r="I869" i="436" l="1"/>
  <c r="I870" i="436"/>
  <c r="B871" i="436"/>
  <c r="B872" i="436" l="1"/>
  <c r="I871" i="436"/>
  <c r="B873" i="436" l="1"/>
  <c r="I872" i="436"/>
  <c r="I873" i="436" l="1"/>
  <c r="B874" i="436" l="1"/>
  <c r="B875" i="436" l="1"/>
  <c r="I874" i="436"/>
  <c r="B876" i="436" l="1"/>
  <c r="I875" i="436"/>
  <c r="I876" i="436" l="1"/>
  <c r="B877" i="436"/>
  <c r="B878" i="436" l="1"/>
  <c r="I877" i="436"/>
  <c r="I878" i="436" l="1"/>
  <c r="B879" i="436" l="1"/>
  <c r="I879" i="436" l="1"/>
  <c r="B880" i="436"/>
  <c r="B881" i="436" l="1"/>
  <c r="B882" i="436" s="1"/>
  <c r="I880" i="436"/>
  <c r="I882" i="436" l="1"/>
  <c r="B883" i="436"/>
  <c r="I883" i="436" s="1"/>
  <c r="I881" i="436"/>
  <c r="B884" i="436" l="1"/>
  <c r="I884" i="436" s="1"/>
  <c r="B885" i="436" l="1"/>
  <c r="B886" i="436" s="1"/>
  <c r="I886" i="436" s="1"/>
  <c r="I885" i="436" l="1"/>
  <c r="B887" i="436"/>
  <c r="I887" i="436" s="1"/>
  <c r="B888" i="436" l="1"/>
  <c r="I888" i="436" s="1"/>
  <c r="B889" i="436" l="1"/>
  <c r="I889" i="436" s="1"/>
  <c r="B890" i="436" l="1"/>
  <c r="B891" i="436" s="1"/>
  <c r="I890" i="436" l="1"/>
  <c r="B892" i="436"/>
  <c r="I891" i="436"/>
  <c r="B893" i="436" l="1"/>
  <c r="I892" i="436"/>
  <c r="B894" i="436" l="1"/>
  <c r="I893" i="436"/>
  <c r="I894" i="436" l="1"/>
  <c r="B895" i="436"/>
  <c r="B896" i="436" l="1"/>
  <c r="I895" i="436"/>
  <c r="I896" i="436" l="1"/>
  <c r="B897" i="436"/>
  <c r="I897" i="436" l="1"/>
  <c r="B898" i="436"/>
  <c r="B899" i="436" l="1"/>
  <c r="B900" i="436" s="1"/>
  <c r="I898" i="436"/>
  <c r="I900" i="436" l="1"/>
  <c r="B901" i="436"/>
  <c r="I899" i="436"/>
  <c r="I901" i="436" l="1"/>
  <c r="B902" i="436"/>
  <c r="B903" i="436" l="1"/>
  <c r="I902" i="436"/>
  <c r="I903" i="436" l="1"/>
  <c r="B904" i="436"/>
  <c r="I904" i="436" l="1"/>
  <c r="B905" i="436"/>
  <c r="B906" i="436" l="1"/>
  <c r="I905" i="436"/>
  <c r="I906" i="436" l="1"/>
  <c r="B907" i="436"/>
  <c r="B908" i="436" l="1"/>
  <c r="I907" i="436"/>
  <c r="B909" i="436" l="1"/>
  <c r="I908" i="436"/>
  <c r="B910" i="436" l="1"/>
  <c r="I909" i="436"/>
  <c r="B911" i="436" l="1"/>
  <c r="I910" i="436"/>
  <c r="I911" i="436" l="1"/>
  <c r="B912" i="436"/>
  <c r="I912" i="436" l="1"/>
  <c r="B913" i="436"/>
  <c r="I913" i="436" l="1"/>
  <c r="B914" i="436"/>
  <c r="B915" i="436" l="1"/>
  <c r="I914" i="436"/>
  <c r="B916" i="436" l="1"/>
  <c r="I915" i="436"/>
  <c r="B917" i="436" l="1"/>
  <c r="I916" i="436"/>
  <c r="B918" i="436" l="1"/>
  <c r="I917" i="436"/>
  <c r="I918" i="436" l="1"/>
  <c r="B919" i="436"/>
  <c r="I919" i="436" l="1"/>
  <c r="B920" i="436"/>
  <c r="B921" i="436" l="1"/>
  <c r="B922" i="436" s="1"/>
  <c r="I922" i="436" s="1"/>
  <c r="I920" i="436"/>
  <c r="I921" i="436" l="1"/>
  <c r="B923" i="436"/>
  <c r="B924" i="436" l="1"/>
  <c r="I923" i="436"/>
  <c r="B925" i="436" l="1"/>
  <c r="I924" i="436"/>
  <c r="I925" i="436" l="1"/>
  <c r="B926" i="436"/>
  <c r="B927" i="436" l="1"/>
  <c r="I926" i="436"/>
  <c r="I927" i="436" l="1"/>
  <c r="B928" i="436"/>
  <c r="B929" i="436" l="1"/>
  <c r="I928" i="436"/>
  <c r="I929" i="436" l="1"/>
  <c r="B930" i="436"/>
  <c r="B931" i="436" s="1"/>
  <c r="I931" i="436" s="1"/>
  <c r="B932" i="436" l="1"/>
  <c r="I930" i="436"/>
  <c r="I932" i="436" l="1"/>
  <c r="B933" i="436"/>
  <c r="B934" i="436" l="1"/>
  <c r="I933" i="436"/>
  <c r="B935" i="436" l="1"/>
  <c r="I934" i="436"/>
  <c r="B936" i="436" l="1"/>
  <c r="I935" i="436"/>
  <c r="I936" i="436" l="1"/>
  <c r="B937" i="436"/>
  <c r="B938" i="436" l="1"/>
  <c r="I937" i="436"/>
  <c r="B939" i="436" l="1"/>
  <c r="I938" i="436"/>
  <c r="I939" i="436" l="1"/>
  <c r="B940" i="436"/>
  <c r="B941" i="436" l="1"/>
  <c r="I940" i="436"/>
  <c r="I941" i="436" l="1"/>
  <c r="B942" i="436"/>
  <c r="B943" i="436" l="1"/>
  <c r="I942" i="436"/>
  <c r="B944" i="436" l="1"/>
  <c r="I943" i="436"/>
  <c r="I944" i="436" l="1"/>
  <c r="B945" i="436"/>
  <c r="B946" i="436" l="1"/>
  <c r="I945" i="436"/>
  <c r="B947" i="436" l="1"/>
  <c r="I946" i="436"/>
  <c r="B948" i="436" l="1"/>
  <c r="I947" i="436"/>
  <c r="I948" i="436" l="1"/>
  <c r="B949" i="436"/>
  <c r="I949" i="436" l="1"/>
  <c r="B950" i="436"/>
  <c r="B951" i="436" l="1"/>
  <c r="I950" i="436"/>
  <c r="I951" i="436" l="1"/>
  <c r="B952" i="436"/>
  <c r="I952" i="436" l="1"/>
  <c r="B953" i="436"/>
  <c r="I953" i="436" l="1"/>
  <c r="B954" i="436"/>
  <c r="B955" i="436" l="1"/>
  <c r="I954" i="436"/>
  <c r="I955" i="436" l="1"/>
  <c r="B956" i="436"/>
  <c r="B957" i="436" l="1"/>
  <c r="I956" i="436"/>
  <c r="B958" i="436" l="1"/>
  <c r="I957" i="436"/>
  <c r="B959" i="436" l="1"/>
  <c r="I958" i="436"/>
  <c r="B960" i="436" l="1"/>
  <c r="I959" i="436"/>
  <c r="I960" i="436" l="1"/>
  <c r="B961" i="436"/>
  <c r="I961" i="436" l="1"/>
  <c r="B962" i="436"/>
  <c r="B963" i="436" l="1"/>
  <c r="I962" i="436"/>
  <c r="B964" i="436" l="1"/>
  <c r="I963" i="436"/>
  <c r="B965" i="436" l="1"/>
  <c r="I964" i="436"/>
  <c r="I965" i="436" l="1"/>
  <c r="B966" i="436"/>
  <c r="B967" i="436" l="1"/>
  <c r="I966" i="436"/>
  <c r="I967" i="436" l="1"/>
  <c r="B968" i="436"/>
  <c r="I968" i="436" l="1"/>
  <c r="B969" i="436"/>
  <c r="I969" i="436" l="1"/>
  <c r="B970" i="436"/>
  <c r="I970" i="436" l="1"/>
  <c r="B971" i="436"/>
  <c r="B972" i="436" l="1"/>
  <c r="I971" i="436"/>
  <c r="I972" i="436" l="1"/>
  <c r="B973" i="436"/>
  <c r="B974" i="436" l="1"/>
  <c r="I973" i="436"/>
  <c r="B975" i="436" l="1"/>
  <c r="I974" i="436"/>
  <c r="B976" i="436" l="1"/>
  <c r="I975" i="436"/>
  <c r="B977" i="436" l="1"/>
  <c r="I976" i="436"/>
  <c r="B978" i="436" l="1"/>
  <c r="I977" i="436"/>
  <c r="B979" i="436" l="1"/>
  <c r="I978" i="436"/>
  <c r="I979" i="436" l="1"/>
  <c r="B980" i="436"/>
  <c r="I980" i="436" l="1"/>
  <c r="B981" i="436"/>
  <c r="I981" i="436" l="1"/>
  <c r="B982" i="436"/>
  <c r="B983" i="436" l="1"/>
  <c r="I982" i="436"/>
  <c r="B984" i="436" l="1"/>
  <c r="I983" i="436"/>
  <c r="I984" i="436" l="1"/>
  <c r="B985" i="436"/>
  <c r="B986" i="436" l="1"/>
  <c r="I985" i="436"/>
  <c r="I986" i="436" l="1"/>
  <c r="B987" i="436"/>
  <c r="B988" i="436" l="1"/>
  <c r="I987" i="436"/>
  <c r="B989" i="436" l="1"/>
  <c r="I988" i="436"/>
  <c r="I989" i="436" l="1"/>
  <c r="B990" i="436"/>
  <c r="B991" i="436" l="1"/>
  <c r="I990" i="436"/>
  <c r="I991" i="436" l="1"/>
  <c r="B992" i="436"/>
  <c r="I992" i="436" l="1"/>
  <c r="B993" i="436"/>
  <c r="I993" i="436" l="1"/>
  <c r="B994" i="436"/>
  <c r="I994" i="436" l="1"/>
  <c r="B995" i="436"/>
  <c r="B996" i="436" l="1"/>
  <c r="I995" i="436"/>
  <c r="I996" i="436" l="1"/>
  <c r="B997" i="436"/>
  <c r="I997" i="436" l="1"/>
  <c r="B998" i="436"/>
  <c r="B999" i="436" l="1"/>
  <c r="I998" i="436"/>
  <c r="B1000" i="436" l="1"/>
  <c r="I999" i="436"/>
  <c r="I1000" i="436" l="1"/>
  <c r="B1001" i="436"/>
  <c r="I1001" i="436" l="1"/>
  <c r="B1002" i="436"/>
  <c r="B1003" i="436" l="1"/>
  <c r="I1002" i="436"/>
  <c r="B1004" i="436" l="1"/>
  <c r="I1003" i="436"/>
  <c r="I1004" i="436" l="1"/>
  <c r="B1005" i="436"/>
  <c r="B1006" i="436" l="1"/>
  <c r="I1005" i="436"/>
  <c r="B1007" i="436" l="1"/>
  <c r="I1006" i="436"/>
  <c r="I1007" i="436" l="1"/>
  <c r="B1008" i="436"/>
  <c r="I1008" i="436" l="1"/>
  <c r="B1009" i="436"/>
  <c r="I1009" i="436" l="1"/>
  <c r="B1010" i="436"/>
  <c r="I1010" i="436" l="1"/>
  <c r="B1011" i="436"/>
  <c r="B1012" i="436" l="1"/>
  <c r="I1011" i="436"/>
  <c r="I1012" i="436" l="1"/>
  <c r="B1013" i="436"/>
  <c r="B1014" i="436" l="1"/>
  <c r="I1013" i="436"/>
  <c r="I1014" i="436" l="1"/>
  <c r="B1015" i="436"/>
  <c r="I1015" i="436" l="1"/>
  <c r="B1016" i="436"/>
  <c r="B1017" i="436" l="1"/>
  <c r="I1016" i="436"/>
  <c r="B1018" i="436" l="1"/>
  <c r="I1017" i="436"/>
  <c r="I1018" i="436" l="1"/>
  <c r="B1019" i="436"/>
  <c r="B1020" i="436" l="1"/>
  <c r="I1019" i="436"/>
  <c r="B1021" i="436" l="1"/>
  <c r="I1020" i="436"/>
  <c r="B1022" i="436" l="1"/>
  <c r="I1021" i="436"/>
  <c r="I1022" i="436" l="1"/>
  <c r="B1023" i="436"/>
  <c r="B1024" i="436" l="1"/>
  <c r="I1023" i="436"/>
  <c r="I1024" i="436" l="1"/>
  <c r="B1025" i="436"/>
  <c r="B1026" i="436" l="1"/>
  <c r="I1025" i="436"/>
  <c r="B1027" i="436" l="1"/>
  <c r="I1026" i="436"/>
  <c r="I1027" i="436" l="1"/>
  <c r="B1028" i="436"/>
  <c r="I1028" i="436" l="1"/>
  <c r="B1029" i="436"/>
  <c r="I1029" i="436" l="1"/>
  <c r="B1030" i="436"/>
  <c r="B1031" i="436" l="1"/>
  <c r="I1030" i="436"/>
  <c r="I1031" i="436" l="1"/>
  <c r="B1032" i="436"/>
  <c r="I1032" i="436" l="1"/>
  <c r="B1033" i="436"/>
  <c r="I1033" i="436" l="1"/>
  <c r="B1034" i="436"/>
  <c r="I1034" i="436" l="1"/>
  <c r="B1035" i="436"/>
  <c r="I1035" i="436" l="1"/>
  <c r="B1036" i="436"/>
  <c r="B1037" i="436" l="1"/>
  <c r="I1036" i="436"/>
  <c r="B1038" i="436" l="1"/>
  <c r="I1037" i="436"/>
  <c r="I1038" i="436" l="1"/>
  <c r="B1039" i="436"/>
  <c r="B1040" i="436" l="1"/>
  <c r="I1039" i="436"/>
  <c r="I1040" i="436" l="1"/>
  <c r="B1041" i="436"/>
  <c r="B1042" i="436" l="1"/>
  <c r="I1041" i="436"/>
  <c r="B1043" i="436" l="1"/>
  <c r="I1042" i="436"/>
  <c r="I1043" i="436" l="1"/>
  <c r="B1044" i="436"/>
  <c r="I1044" i="436" l="1"/>
  <c r="B1045" i="436"/>
  <c r="B1046" i="436" l="1"/>
  <c r="I1045" i="436"/>
  <c r="I1046" i="436" l="1"/>
  <c r="B1047" i="436"/>
  <c r="I1047" i="436" l="1"/>
  <c r="B1048" i="436"/>
  <c r="I1048" i="436" l="1"/>
  <c r="B1049" i="436"/>
  <c r="I1049" i="436" l="1"/>
  <c r="B1050" i="436"/>
  <c r="B1051" i="436" l="1"/>
  <c r="I1050" i="436"/>
  <c r="I1051" i="436" l="1"/>
  <c r="B1052" i="436"/>
  <c r="I1052" i="436" l="1"/>
  <c r="B1053" i="436"/>
  <c r="B1054" i="436" l="1"/>
  <c r="I1053" i="436"/>
  <c r="I1054" i="436" l="1"/>
  <c r="B1055" i="436"/>
  <c r="B1056" i="436" l="1"/>
  <c r="I1055" i="436"/>
  <c r="I1056" i="436" l="1"/>
  <c r="B1057" i="436"/>
  <c r="I1057" i="436" l="1"/>
  <c r="B1058" i="436"/>
  <c r="I1058" i="436" l="1"/>
  <c r="B1059" i="436"/>
  <c r="I1059" i="436" l="1"/>
  <c r="B1060" i="436"/>
  <c r="I1060" i="436" l="1"/>
  <c r="B1061" i="436"/>
  <c r="I1061" i="436" l="1"/>
  <c r="B1062" i="436"/>
  <c r="I1062" i="436" l="1"/>
  <c r="B1063" i="436"/>
  <c r="I1063" i="436" l="1"/>
  <c r="B1064" i="436"/>
  <c r="I1064" i="436" l="1"/>
  <c r="B1065" i="436"/>
  <c r="B1066" i="436" l="1"/>
  <c r="I1065" i="436"/>
  <c r="I1066" i="436" l="1"/>
  <c r="B1067" i="436"/>
  <c r="B1068" i="436" l="1"/>
  <c r="I1067" i="436"/>
  <c r="I1068" i="436" l="1"/>
  <c r="B1069" i="436"/>
  <c r="B1070" i="436" l="1"/>
  <c r="I1069" i="436"/>
  <c r="B1071" i="436" l="1"/>
  <c r="I1070" i="436"/>
  <c r="I1071" i="436" l="1"/>
  <c r="B1072" i="436"/>
  <c r="I1072" i="436" l="1"/>
  <c r="B1073" i="436"/>
  <c r="B1074" i="436" l="1"/>
  <c r="I1073" i="436"/>
  <c r="I1074" i="436" l="1"/>
  <c r="B1075" i="436"/>
  <c r="I1075" i="436" l="1"/>
  <c r="B1076" i="436"/>
  <c r="B1077" i="436" l="1"/>
  <c r="I1076" i="436"/>
  <c r="B1078" i="436" l="1"/>
  <c r="I1077" i="436"/>
  <c r="I1078" i="436" l="1"/>
  <c r="B1079" i="436"/>
  <c r="I1079" i="436" l="1"/>
  <c r="B1080" i="436"/>
  <c r="B1081" i="436" l="1"/>
  <c r="I1080" i="436"/>
  <c r="I1081" i="436" l="1"/>
  <c r="B1082" i="436"/>
  <c r="I1082" i="436" l="1"/>
  <c r="B1083" i="436"/>
  <c r="I1083" i="436" l="1"/>
  <c r="B1084" i="436"/>
  <c r="I1084" i="436" l="1"/>
  <c r="B1085" i="436"/>
  <c r="I1085" i="436" l="1"/>
  <c r="B1086" i="436"/>
  <c r="B1087" i="436" l="1"/>
  <c r="I1086" i="436"/>
  <c r="I1087" i="436" l="1"/>
  <c r="B1088" i="436"/>
  <c r="I1088" i="436" l="1"/>
  <c r="B1089" i="436"/>
  <c r="I1089" i="436" l="1"/>
  <c r="B1090" i="436"/>
  <c r="I1090" i="436" l="1"/>
  <c r="B1091" i="436"/>
  <c r="I1091" i="436" l="1"/>
  <c r="B1092" i="436"/>
  <c r="B1093" i="436" l="1"/>
  <c r="I1092" i="436"/>
  <c r="B1094" i="436" l="1"/>
  <c r="I1093" i="436"/>
  <c r="I1094" i="436" l="1"/>
  <c r="B1095" i="436"/>
  <c r="I1095" i="436" l="1"/>
  <c r="B1096" i="436"/>
  <c r="I1096" i="436" l="1"/>
  <c r="B1097" i="436"/>
  <c r="B1098" i="436" l="1"/>
  <c r="I1097" i="436"/>
  <c r="B1099" i="436" l="1"/>
  <c r="I1098" i="436"/>
  <c r="B1100" i="436" l="1"/>
  <c r="I1099" i="436"/>
  <c r="I1100" i="436" l="1"/>
  <c r="B1101" i="436"/>
  <c r="I1101" i="436" l="1"/>
  <c r="B1102" i="436"/>
  <c r="I1102" i="436" l="1"/>
  <c r="B1103" i="436"/>
  <c r="B1104" i="436" l="1"/>
  <c r="I1103" i="436"/>
  <c r="B1105" i="436" l="1"/>
  <c r="I1104" i="436"/>
  <c r="I1105" i="436" l="1"/>
  <c r="B1106" i="436"/>
  <c r="I1106" i="436" l="1"/>
  <c r="B1107" i="436"/>
  <c r="I1107" i="436" l="1"/>
  <c r="B1108" i="436"/>
  <c r="I1108" i="436" l="1"/>
  <c r="B1109" i="436"/>
  <c r="I1109" i="436" l="1"/>
  <c r="B1110" i="436"/>
  <c r="B1111" i="436" l="1"/>
  <c r="I1110" i="436"/>
  <c r="I1111" i="436" l="1"/>
  <c r="B1112" i="436"/>
  <c r="B1113" i="436" l="1"/>
  <c r="I1112" i="436"/>
  <c r="I1113" i="436" l="1"/>
  <c r="B1114" i="436"/>
  <c r="B1115" i="436" l="1"/>
  <c r="I1114" i="436"/>
  <c r="B1116" i="436" l="1"/>
  <c r="I1115" i="436"/>
  <c r="I1116" i="436" l="1"/>
  <c r="B1117" i="436"/>
  <c r="B1118" i="436" l="1"/>
  <c r="I1117" i="436"/>
  <c r="I1118" i="436" l="1"/>
  <c r="B1119" i="436"/>
  <c r="I1119" i="436" l="1"/>
  <c r="B1120" i="436"/>
  <c r="B1121" i="436" l="1"/>
  <c r="I1120" i="436"/>
  <c r="I1121" i="436" l="1"/>
  <c r="B1122" i="436"/>
  <c r="B1123" i="436" l="1"/>
  <c r="I1122" i="436"/>
  <c r="I1123" i="436" l="1"/>
  <c r="B1124" i="436"/>
  <c r="B1125" i="436" l="1"/>
  <c r="I1124" i="436"/>
  <c r="I1125" i="436" l="1"/>
  <c r="B1126" i="436"/>
  <c r="I1126" i="436" l="1"/>
  <c r="B1127" i="436"/>
  <c r="B1128" i="436" l="1"/>
  <c r="I1127" i="436"/>
  <c r="I1128" i="436" l="1"/>
  <c r="B1129" i="436"/>
  <c r="I1129" i="436" l="1"/>
  <c r="B1130" i="436"/>
  <c r="I1130" i="436" l="1"/>
  <c r="B1131" i="436"/>
  <c r="B1132" i="436" l="1"/>
  <c r="I1131" i="436"/>
  <c r="B1133" i="436" l="1"/>
  <c r="I1132" i="436"/>
  <c r="I1133" i="436" l="1"/>
  <c r="B1134" i="436"/>
  <c r="B1135" i="436" l="1"/>
  <c r="I1134" i="436"/>
  <c r="B1136" i="436" l="1"/>
  <c r="I1135" i="436"/>
  <c r="B1137" i="436" l="1"/>
  <c r="I1136" i="436"/>
  <c r="B1138" i="436" l="1"/>
  <c r="I1137" i="436"/>
  <c r="I1138" i="436" l="1"/>
  <c r="B1139" i="436"/>
  <c r="I1139" i="436" l="1"/>
  <c r="B1140" i="436"/>
  <c r="I1140" i="436" l="1"/>
  <c r="B1141" i="436"/>
  <c r="I1141" i="436" l="1"/>
  <c r="B1142" i="436"/>
  <c r="I1142" i="436" l="1"/>
  <c r="B1143" i="436"/>
  <c r="B1144" i="436" l="1"/>
  <c r="I1143" i="436"/>
  <c r="I1144" i="436" l="1"/>
  <c r="B1145" i="436"/>
  <c r="I1145" i="436" l="1"/>
  <c r="B1146" i="436"/>
  <c r="I1146" i="436" l="1"/>
  <c r="B1147" i="436"/>
  <c r="I1147" i="436" l="1"/>
  <c r="B1148" i="436"/>
  <c r="B1149" i="436" l="1"/>
  <c r="I1148" i="436"/>
  <c r="B1150" i="436" l="1"/>
  <c r="I1149" i="436"/>
  <c r="I1150" i="436" l="1"/>
  <c r="B1151" i="436"/>
  <c r="B1152" i="436" l="1"/>
  <c r="I1151" i="436"/>
  <c r="I1152" i="436" l="1"/>
  <c r="B1153" i="436"/>
  <c r="B1154" i="436" l="1"/>
  <c r="I1153" i="436"/>
  <c r="I1154" i="436" l="1"/>
  <c r="B1155" i="436"/>
  <c r="I1155" i="436" l="1"/>
  <c r="B1156" i="436"/>
  <c r="B1157" i="436" l="1"/>
  <c r="I1156" i="436"/>
  <c r="I1157" i="436" l="1"/>
  <c r="B1158" i="436"/>
  <c r="I1158" i="436" l="1"/>
  <c r="B1159" i="436"/>
  <c r="I1159" i="436" l="1"/>
  <c r="B1160" i="436"/>
  <c r="I1160" i="436" l="1"/>
  <c r="B1161" i="436"/>
  <c r="I1161" i="436" l="1"/>
  <c r="B1162" i="436"/>
  <c r="B1163" i="436" l="1"/>
  <c r="I1162" i="436"/>
  <c r="I1163" i="436" l="1"/>
  <c r="B1164" i="436"/>
  <c r="B1165" i="436" l="1"/>
  <c r="I1164" i="436"/>
  <c r="I1165" i="436" l="1"/>
  <c r="B1166" i="436"/>
  <c r="B1167" i="436" l="1"/>
  <c r="I1166" i="436"/>
  <c r="B1168" i="436" l="1"/>
  <c r="I1167" i="436"/>
  <c r="B1169" i="436" l="1"/>
  <c r="I1168" i="436"/>
  <c r="I1169" i="436" l="1"/>
  <c r="B1170" i="436"/>
  <c r="I1170" i="436" l="1"/>
  <c r="B1171" i="436"/>
  <c r="I1171" i="436" l="1"/>
  <c r="B1172" i="436"/>
  <c r="I1172" i="436" l="1"/>
  <c r="B1173" i="436"/>
  <c r="I1173" i="436" l="1"/>
  <c r="B1174" i="436"/>
  <c r="B1175" i="436" l="1"/>
  <c r="I1174" i="436"/>
  <c r="I1175" i="436" l="1"/>
  <c r="B1176" i="436"/>
  <c r="B1177" i="436" l="1"/>
  <c r="I1176" i="436"/>
  <c r="I1177" i="436" l="1"/>
  <c r="B1178" i="436"/>
  <c r="I1178" i="436" l="1"/>
  <c r="B1179" i="436"/>
  <c r="I1179" i="436" l="1"/>
  <c r="B1180" i="436"/>
  <c r="I1180" i="436" l="1"/>
  <c r="B1181" i="436"/>
  <c r="I1181" i="436" l="1"/>
  <c r="B1182" i="436"/>
  <c r="I1182" i="436" l="1"/>
  <c r="B1183" i="436"/>
  <c r="I1183" i="436" l="1"/>
  <c r="B1184" i="436"/>
  <c r="I1184" i="436" l="1"/>
  <c r="B1185" i="436"/>
  <c r="I1185" i="436" l="1"/>
  <c r="B1186" i="436"/>
  <c r="I1186" i="436" s="1"/>
  <c r="B1187" i="436" l="1"/>
  <c r="B1188" i="436" s="1"/>
  <c r="B1189" i="436" s="1"/>
  <c r="I1189" i="436" s="1"/>
  <c r="I1187" i="436" l="1"/>
  <c r="B1190" i="436"/>
  <c r="I1188" i="436"/>
  <c r="B1191" i="436" l="1"/>
  <c r="B1192" i="436" s="1"/>
  <c r="I1190" i="436"/>
  <c r="B1193" i="436" l="1"/>
  <c r="I1193" i="436" s="1"/>
  <c r="I1192" i="436"/>
  <c r="I1191" i="436"/>
  <c r="B1194" i="436" l="1"/>
  <c r="B1195" i="436" l="1"/>
  <c r="B1196" i="436" l="1"/>
  <c r="B1197" i="436" l="1"/>
  <c r="B1198" i="436" s="1"/>
  <c r="B1199" i="436" l="1"/>
  <c r="B1200" i="436" s="1"/>
  <c r="B1201" i="436" s="1"/>
  <c r="B1202" i="436" l="1"/>
  <c r="B1203" i="436" l="1"/>
  <c r="B1204" i="436" s="1"/>
  <c r="B1205" i="436" s="1"/>
  <c r="B1206" i="436" s="1"/>
  <c r="B1207" i="436" s="1"/>
  <c r="B1208" i="436" l="1"/>
  <c r="B1209" i="436" l="1"/>
  <c r="B1210" i="436" s="1"/>
  <c r="B1211" i="436" s="1"/>
  <c r="B1212" i="436" l="1"/>
  <c r="B1213" i="436" l="1"/>
  <c r="B1214" i="436" s="1"/>
  <c r="B1215" i="436" s="1"/>
  <c r="B1216" i="436" s="1"/>
  <c r="B1217" i="436" s="1"/>
  <c r="B1218" i="436" s="1"/>
  <c r="B1219" i="436" l="1"/>
  <c r="B1220" i="436" s="1"/>
  <c r="B1221" i="436" s="1"/>
  <c r="B1222" i="436" l="1"/>
  <c r="B1223" i="436" l="1"/>
  <c r="B1224" i="436" s="1"/>
  <c r="B1225" i="436" s="1"/>
  <c r="B1226" i="436" s="1"/>
  <c r="B1227" i="436" s="1"/>
  <c r="B1228" i="436" s="1"/>
  <c r="B1229" i="436" s="1"/>
  <c r="B1230" i="436" l="1"/>
  <c r="B1231" i="436" s="1"/>
  <c r="B1232" i="436" l="1"/>
  <c r="B1233" i="436" l="1"/>
  <c r="B1234" i="436" s="1"/>
  <c r="B1235" i="436" l="1"/>
  <c r="B1236" i="436" l="1"/>
  <c r="B1237" i="436" s="1"/>
  <c r="B1238" i="436" s="1"/>
  <c r="B1239" i="436" l="1"/>
  <c r="B1240" i="436" l="1"/>
  <c r="B1241" i="436" s="1"/>
  <c r="B1242" i="436" s="1"/>
  <c r="B1243" i="436" s="1"/>
  <c r="B1244" i="436" s="1"/>
  <c r="B1245" i="436" s="1"/>
  <c r="B1246" i="436" s="1"/>
  <c r="B1247" i="436" s="1"/>
  <c r="B1248" i="436" s="1"/>
  <c r="B1249" i="436" s="1"/>
  <c r="B1250" i="436" s="1"/>
  <c r="B1251" i="436" s="1"/>
  <c r="B1252" i="436" s="1"/>
  <c r="B1253" i="436" s="1"/>
  <c r="B1254" i="436" s="1"/>
  <c r="B1255" i="436" l="1"/>
  <c r="B1256" i="436" l="1"/>
  <c r="B1257" i="436" s="1"/>
  <c r="B1258" i="436" l="1"/>
  <c r="B1259" i="436" l="1"/>
  <c r="B1260" i="436" s="1"/>
  <c r="B1261" i="436" s="1"/>
  <c r="B1262" i="436" l="1"/>
  <c r="B1263" i="436" l="1"/>
  <c r="B1264" i="436" s="1"/>
  <c r="B1265" i="436" s="1"/>
  <c r="B1266" i="436" s="1"/>
  <c r="B1267" i="436" s="1"/>
  <c r="B1268" i="436" s="1"/>
  <c r="B1269" i="436" s="1"/>
  <c r="B1270" i="436" s="1"/>
  <c r="B1271" i="436" s="1"/>
  <c r="B1272" i="436" s="1"/>
  <c r="B1273" i="436" s="1"/>
  <c r="B1274" i="436" s="1"/>
  <c r="B1275" i="436" s="1"/>
  <c r="B1276" i="436" l="1"/>
  <c r="B1277" i="436" l="1"/>
  <c r="B1278" i="436" l="1"/>
  <c r="B1279" i="436" l="1"/>
  <c r="B1280" i="436" l="1"/>
  <c r="B1281" i="436" l="1"/>
  <c r="B1282" i="436" l="1"/>
  <c r="B1283" i="436" s="1"/>
  <c r="B1284" i="436" s="1"/>
  <c r="B1285" i="436" l="1"/>
  <c r="B1286" i="436" l="1"/>
  <c r="B1287" i="436" s="1"/>
  <c r="B1288" i="436" s="1"/>
  <c r="B1289" i="436" s="1"/>
  <c r="B1290" i="436" s="1"/>
  <c r="B1291" i="436" s="1"/>
  <c r="B1292" i="436" s="1"/>
  <c r="B1293" i="436" s="1"/>
  <c r="B1294" i="436" s="1"/>
  <c r="B1295" i="436" s="1"/>
  <c r="B1296" i="436" s="1"/>
  <c r="B1297" i="436" s="1"/>
  <c r="B1298" i="436" l="1"/>
  <c r="B1299" i="436" l="1"/>
  <c r="B1300" i="436" l="1"/>
  <c r="B1301" i="436" l="1"/>
  <c r="B1302" i="436" s="1"/>
  <c r="B1303" i="436" s="1"/>
  <c r="B1304" i="436" l="1"/>
  <c r="B1305" i="436" l="1"/>
  <c r="B1306" i="436" s="1"/>
  <c r="B1307" i="436" s="1"/>
  <c r="B1308" i="436" l="1"/>
  <c r="I1308" i="436" l="1"/>
  <c r="B1309" i="436"/>
  <c r="B1310" i="436" l="1"/>
  <c r="I1309" i="436"/>
  <c r="C343" i="436"/>
  <c r="C344" i="436" s="1"/>
  <c r="D343" i="436"/>
  <c r="D344" i="436" s="1"/>
  <c r="D345" i="436" s="1"/>
  <c r="E343" i="436"/>
  <c r="E344" i="436" s="1"/>
  <c r="E345" i="436" s="1"/>
  <c r="E346" i="436" s="1"/>
  <c r="I1310" i="436" l="1"/>
  <c r="B1311" i="436"/>
  <c r="I343" i="436"/>
  <c r="I344" i="436"/>
  <c r="C345" i="436"/>
  <c r="I1311" i="436" l="1"/>
  <c r="I345" i="436"/>
  <c r="C346" i="436"/>
  <c r="I346" i="436" l="1"/>
  <c r="C347" i="436"/>
  <c r="I347" i="436" l="1"/>
  <c r="C348" i="436"/>
  <c r="I348" i="436" l="1"/>
  <c r="C349" i="436" l="1"/>
  <c r="C350" i="436" l="1"/>
  <c r="I349" i="436"/>
  <c r="B1312" i="436" l="1"/>
  <c r="I350" i="436"/>
  <c r="C351" i="436"/>
  <c r="I1312" i="436" l="1"/>
  <c r="B1313" i="436"/>
  <c r="C352" i="436"/>
  <c r="I351" i="436"/>
  <c r="B1314" i="436" l="1"/>
  <c r="I1313" i="436"/>
  <c r="I352" i="436"/>
  <c r="I1314" i="436" l="1"/>
  <c r="B1315" i="436"/>
  <c r="C353" i="436"/>
  <c r="B1316" i="436" l="1"/>
  <c r="I1315" i="436"/>
  <c r="I353" i="436"/>
  <c r="B1317" i="436" l="1"/>
  <c r="I1316" i="436"/>
  <c r="C354" i="436"/>
  <c r="I1317" i="436" l="1"/>
  <c r="B1318" i="436"/>
  <c r="I354" i="436"/>
  <c r="C355" i="436"/>
  <c r="B1319" i="436" l="1"/>
  <c r="I1318" i="436"/>
  <c r="C356" i="436"/>
  <c r="I355" i="436"/>
  <c r="B1320" i="436" l="1"/>
  <c r="I1319" i="436"/>
  <c r="I356" i="436"/>
  <c r="C357" i="436"/>
  <c r="B1321" i="436" l="1"/>
  <c r="I1320" i="436"/>
  <c r="C358" i="436"/>
  <c r="I357" i="436"/>
  <c r="B1322" i="436" l="1"/>
  <c r="I1321" i="436"/>
  <c r="I358" i="436"/>
  <c r="B1323" i="436" l="1"/>
  <c r="B1324" i="436" s="1"/>
  <c r="I1322" i="436"/>
  <c r="C359" i="436"/>
  <c r="I1324" i="436" l="1"/>
  <c r="B1325" i="436"/>
  <c r="I1325" i="436" s="1"/>
  <c r="I1323" i="436"/>
  <c r="C360" i="436"/>
  <c r="I359" i="436"/>
  <c r="B1326" i="436" l="1"/>
  <c r="B1327" i="436" s="1"/>
  <c r="I360" i="436"/>
  <c r="C361" i="436"/>
  <c r="I1326" i="436" l="1"/>
  <c r="B1328" i="436"/>
  <c r="I1327" i="436"/>
  <c r="I361" i="436"/>
  <c r="I1328" i="436" l="1"/>
  <c r="B1329" i="436"/>
  <c r="C362" i="436"/>
  <c r="B1330" i="436" l="1"/>
  <c r="B1331" i="436" s="1"/>
  <c r="I1329" i="436"/>
  <c r="I362" i="436"/>
  <c r="C363" i="436"/>
  <c r="I1331" i="436" l="1"/>
  <c r="B1332" i="436"/>
  <c r="I1332" i="436" s="1"/>
  <c r="I1330" i="436"/>
  <c r="C364" i="436"/>
  <c r="I363" i="436"/>
  <c r="B1333" i="436" l="1"/>
  <c r="B1334" i="436" s="1"/>
  <c r="I364" i="436"/>
  <c r="C365" i="436"/>
  <c r="I1333" i="436" l="1"/>
  <c r="B1335" i="436"/>
  <c r="I1334" i="436"/>
  <c r="C366" i="436"/>
  <c r="I365" i="436"/>
  <c r="B1336" i="436" l="1"/>
  <c r="I1335" i="436"/>
  <c r="I366" i="436"/>
  <c r="C367" i="436"/>
  <c r="I1336" i="436" l="1"/>
  <c r="B1337" i="436"/>
  <c r="B1338" i="436" s="1"/>
  <c r="C368" i="436"/>
  <c r="I367" i="436"/>
  <c r="B1339" i="436" l="1"/>
  <c r="I1339" i="436" s="1"/>
  <c r="I1338" i="436"/>
  <c r="I1337" i="436"/>
  <c r="I368" i="436"/>
  <c r="C369" i="436"/>
  <c r="B1340" i="436" l="1"/>
  <c r="I1340" i="436" s="1"/>
  <c r="I369" i="436"/>
  <c r="B1341" i="436" l="1"/>
  <c r="B1342" i="436" s="1"/>
  <c r="C370" i="436"/>
  <c r="I1341" i="436" l="1"/>
  <c r="B1343" i="436"/>
  <c r="B1344" i="436" s="1"/>
  <c r="I1342" i="436"/>
  <c r="I370" i="436"/>
  <c r="C371" i="436"/>
  <c r="B1345" i="436" l="1"/>
  <c r="I1344" i="436"/>
  <c r="I1343" i="436"/>
  <c r="C372" i="436"/>
  <c r="I371" i="436"/>
  <c r="I1345" i="436" l="1"/>
  <c r="B1346" i="436"/>
  <c r="I372" i="436"/>
  <c r="C373" i="436"/>
  <c r="B1347" i="436" l="1"/>
  <c r="I1347" i="436" s="1"/>
  <c r="I1346" i="436"/>
  <c r="I373" i="436"/>
  <c r="C374" i="436" l="1"/>
  <c r="B1348" i="436" l="1"/>
  <c r="C375" i="436"/>
  <c r="I374" i="436"/>
  <c r="I1348" i="436" l="1"/>
  <c r="I375" i="436"/>
  <c r="C376" i="436"/>
  <c r="B1349" i="436" l="1"/>
  <c r="I376" i="436"/>
  <c r="C377" i="436"/>
  <c r="I1349" i="436" l="1"/>
  <c r="C378" i="436"/>
  <c r="I377" i="436"/>
  <c r="B1350" i="436" l="1"/>
  <c r="B1351" i="436" s="1"/>
  <c r="C379" i="436"/>
  <c r="I378" i="436"/>
  <c r="B1352" i="436" l="1"/>
  <c r="I1352" i="436" s="1"/>
  <c r="I1351" i="436"/>
  <c r="I1350" i="436"/>
  <c r="I379" i="436"/>
  <c r="C380" i="436"/>
  <c r="B1353" i="436" l="1"/>
  <c r="I1353" i="436" s="1"/>
  <c r="C381" i="436"/>
  <c r="I380" i="436"/>
  <c r="B1354" i="436" l="1"/>
  <c r="I1354" i="436" s="1"/>
  <c r="C382" i="436"/>
  <c r="I381" i="436"/>
  <c r="B1355" i="436" l="1"/>
  <c r="I1355" i="436" s="1"/>
  <c r="C383" i="436"/>
  <c r="I382" i="436"/>
  <c r="B1356" i="436" l="1"/>
  <c r="I1356" i="436" s="1"/>
  <c r="C384" i="436"/>
  <c r="C385" i="436" s="1"/>
  <c r="C386" i="436" s="1"/>
  <c r="I383" i="436"/>
  <c r="B1357" i="436" l="1"/>
  <c r="I1357" i="436" s="1"/>
  <c r="I384" i="436"/>
  <c r="C387" i="436"/>
  <c r="I385" i="436"/>
  <c r="I386" i="436"/>
  <c r="B1358" i="436" l="1"/>
  <c r="I1358" i="436" s="1"/>
  <c r="I387" i="436"/>
  <c r="B1359" i="436"/>
  <c r="I1359" i="436" s="1"/>
  <c r="C388" i="436"/>
  <c r="C389" i="436" s="1"/>
  <c r="I388" i="436" l="1"/>
  <c r="B1360" i="436"/>
  <c r="I1360" i="436" s="1"/>
  <c r="C390" i="436"/>
  <c r="I389" i="436"/>
  <c r="I390" i="436" l="1"/>
  <c r="B1361" i="436"/>
  <c r="I1361" i="436" s="1"/>
  <c r="C391" i="436"/>
  <c r="C392" i="436" s="1"/>
  <c r="I391" i="436" l="1"/>
  <c r="B1362" i="436"/>
  <c r="I1362" i="436" s="1"/>
  <c r="C393" i="436"/>
  <c r="I392" i="436"/>
  <c r="B1363" i="436" l="1"/>
  <c r="I1363" i="436" s="1"/>
  <c r="N1360" i="436"/>
  <c r="N1358" i="436"/>
  <c r="C394" i="436"/>
  <c r="I393" i="436"/>
  <c r="B1364" i="436" l="1"/>
  <c r="I1364" i="436" s="1"/>
  <c r="N1355" i="436"/>
  <c r="N1354" i="436" s="1"/>
  <c r="I394" i="436"/>
  <c r="C395" i="436"/>
  <c r="B1365" i="436" l="1"/>
  <c r="I1365" i="436" s="1"/>
  <c r="C396" i="436"/>
  <c r="I395" i="436"/>
  <c r="B1366" i="436" l="1"/>
  <c r="I1366" i="436" s="1"/>
  <c r="I396" i="436"/>
  <c r="C397" i="436"/>
  <c r="B1367" i="436" l="1"/>
  <c r="I1367" i="436" s="1"/>
  <c r="C398" i="436"/>
  <c r="I397" i="436"/>
  <c r="B1368" i="436" l="1"/>
  <c r="I1368" i="436" s="1"/>
  <c r="C399" i="436"/>
  <c r="I398" i="436"/>
  <c r="B1369" i="436" l="1"/>
  <c r="I1369" i="436" s="1"/>
  <c r="I399" i="436"/>
  <c r="C400" i="436"/>
  <c r="B1370" i="436" l="1"/>
  <c r="I1370" i="436" s="1"/>
  <c r="C401" i="436"/>
  <c r="I400" i="436"/>
  <c r="C402" i="436" l="1"/>
  <c r="I401" i="436"/>
  <c r="B1371" i="436" l="1"/>
  <c r="I1371" i="436" s="1"/>
  <c r="I402" i="436"/>
  <c r="C403" i="436"/>
  <c r="B1372" i="436" l="1"/>
  <c r="I1372" i="436" s="1"/>
  <c r="C404" i="436"/>
  <c r="I403" i="436"/>
  <c r="B1373" i="436" l="1"/>
  <c r="I1373" i="436" s="1"/>
  <c r="I404" i="436"/>
  <c r="C405" i="436"/>
  <c r="B1374" i="436" l="1"/>
  <c r="I1374" i="436" s="1"/>
  <c r="C406" i="436"/>
  <c r="I405" i="436"/>
  <c r="B1375" i="436" l="1"/>
  <c r="I1375" i="436" s="1"/>
  <c r="C407" i="436"/>
  <c r="I406" i="436"/>
  <c r="B1376" i="436" l="1"/>
  <c r="I1376" i="436" s="1"/>
  <c r="I407" i="436"/>
  <c r="C408" i="436"/>
  <c r="B1377" i="436" l="1"/>
  <c r="I1377" i="436" s="1"/>
  <c r="C409" i="436"/>
  <c r="I408" i="436"/>
  <c r="B1378" i="436" l="1"/>
  <c r="I1378" i="436" s="1"/>
  <c r="C410" i="436"/>
  <c r="I409" i="436"/>
  <c r="B1379" i="436" l="1"/>
  <c r="I1379" i="436" s="1"/>
  <c r="I410" i="436"/>
  <c r="C411" i="436"/>
  <c r="B1380" i="436" l="1"/>
  <c r="I1380" i="436" s="1"/>
  <c r="C412" i="436"/>
  <c r="I411" i="436"/>
  <c r="B1381" i="436" l="1"/>
  <c r="I1381" i="436" s="1"/>
  <c r="I412" i="436"/>
  <c r="C413" i="436"/>
  <c r="B1382" i="436" l="1"/>
  <c r="I1382" i="436" s="1"/>
  <c r="C414" i="436"/>
  <c r="I413" i="436"/>
  <c r="B1383" i="436" l="1"/>
  <c r="I1383" i="436" s="1"/>
  <c r="C415" i="436"/>
  <c r="I414" i="436"/>
  <c r="B1384" i="436" l="1"/>
  <c r="I1384" i="436" s="1"/>
  <c r="I415" i="436"/>
  <c r="C416" i="436"/>
  <c r="B1385" i="436" l="1"/>
  <c r="I1385" i="436" s="1"/>
  <c r="C417" i="436"/>
  <c r="I416" i="436"/>
  <c r="B1386" i="436" l="1"/>
  <c r="I1386" i="436" s="1"/>
  <c r="C418" i="436"/>
  <c r="I417" i="436"/>
  <c r="B1387" i="436" l="1"/>
  <c r="I1387" i="436" s="1"/>
  <c r="I418" i="436"/>
  <c r="C419" i="436"/>
  <c r="N1387" i="436" l="1"/>
  <c r="B1388" i="436"/>
  <c r="I1388" i="436" s="1"/>
  <c r="C420" i="436"/>
  <c r="I419" i="436"/>
  <c r="N601" i="436" l="1"/>
  <c r="N923" i="436"/>
  <c r="N303" i="436"/>
  <c r="N548" i="436"/>
  <c r="N510" i="436"/>
  <c r="N556" i="436"/>
  <c r="N516" i="436"/>
  <c r="N558" i="436"/>
  <c r="N554" i="436"/>
  <c r="N539" i="436"/>
  <c r="N493" i="436"/>
  <c r="N537" i="436"/>
  <c r="N281" i="436"/>
  <c r="N503" i="436"/>
  <c r="N603" i="436"/>
  <c r="N520" i="436"/>
  <c r="N738" i="436"/>
  <c r="N522" i="436"/>
  <c r="N527" i="436"/>
  <c r="N546" i="436"/>
  <c r="N582" i="436"/>
  <c r="N529" i="436"/>
  <c r="N318" i="436"/>
  <c r="N531" i="436"/>
  <c r="N586" i="436"/>
  <c r="N573" i="436"/>
  <c r="N541" i="436"/>
  <c r="N567" i="436"/>
  <c r="N505" i="436"/>
  <c r="N478" i="436"/>
  <c r="N565" i="436"/>
  <c r="N512" i="436"/>
  <c r="N484" i="436"/>
  <c r="N514" i="436"/>
  <c r="N488" i="436"/>
  <c r="N605" i="436"/>
  <c r="N563" i="436"/>
  <c r="N474" i="436"/>
  <c r="N501" i="436"/>
  <c r="N597" i="436"/>
  <c r="N535" i="436"/>
  <c r="N533" i="436"/>
  <c r="N569" i="436"/>
  <c r="N482" i="436"/>
  <c r="N499" i="436"/>
  <c r="N550" i="436"/>
  <c r="N590" i="436"/>
  <c r="N584" i="436"/>
  <c r="N518" i="436"/>
  <c r="N599" i="436"/>
  <c r="N575" i="436"/>
  <c r="N497" i="436"/>
  <c r="N476" i="436"/>
  <c r="N495" i="436"/>
  <c r="N592" i="436"/>
  <c r="N552" i="436"/>
  <c r="N607" i="436"/>
  <c r="N200" i="436"/>
  <c r="N571" i="436"/>
  <c r="N480" i="436"/>
  <c r="N588" i="436"/>
  <c r="N580" i="436"/>
  <c r="N486" i="436"/>
  <c r="N51" i="436"/>
  <c r="N139" i="436"/>
  <c r="N191" i="436"/>
  <c r="N136" i="436"/>
  <c r="N744" i="436"/>
  <c r="N1340" i="436"/>
  <c r="N285" i="436"/>
  <c r="N173" i="436"/>
  <c r="N292" i="436"/>
  <c r="N1120" i="436"/>
  <c r="N206" i="436"/>
  <c r="N732" i="436"/>
  <c r="N120" i="436"/>
  <c r="N171" i="436"/>
  <c r="N216" i="436"/>
  <c r="N768" i="436"/>
  <c r="N147" i="436"/>
  <c r="N182" i="436"/>
  <c r="N34" i="436"/>
  <c r="N12" i="436"/>
  <c r="N39" i="436"/>
  <c r="N1002" i="436"/>
  <c r="N307" i="436"/>
  <c r="N184" i="436"/>
  <c r="N97" i="436"/>
  <c r="N196" i="436"/>
  <c r="N141" i="436"/>
  <c r="N18" i="436"/>
  <c r="N958" i="436"/>
  <c r="N214" i="436"/>
  <c r="N118" i="436"/>
  <c r="N86" i="436"/>
  <c r="N157" i="436"/>
  <c r="N218" i="436"/>
  <c r="N962" i="436"/>
  <c r="N726" i="436"/>
  <c r="N1383" i="436"/>
  <c r="N71" i="436"/>
  <c r="N48" i="436"/>
  <c r="N999" i="436"/>
  <c r="N178" i="436"/>
  <c r="N128" i="436"/>
  <c r="N94" i="436"/>
  <c r="N716" i="436"/>
  <c r="N165" i="436"/>
  <c r="N186" i="436"/>
  <c r="N30" i="436"/>
  <c r="N314" i="436"/>
  <c r="N62" i="436"/>
  <c r="N159" i="436"/>
  <c r="N107" i="436"/>
  <c r="N296" i="436"/>
  <c r="N1022" i="436"/>
  <c r="N1031" i="436"/>
  <c r="N926" i="436"/>
  <c r="N683" i="436"/>
  <c r="N955" i="436"/>
  <c r="N974" i="436"/>
  <c r="N994" i="436"/>
  <c r="N916" i="436"/>
  <c r="N992" i="436"/>
  <c r="N1052" i="436"/>
  <c r="N941" i="436"/>
  <c r="N647" i="436"/>
  <c r="N936" i="436"/>
  <c r="N960" i="436"/>
  <c r="N75" i="436"/>
  <c r="N1166" i="436"/>
  <c r="N445" i="436"/>
  <c r="N685" i="436"/>
  <c r="N1033" i="436"/>
  <c r="N687" i="436"/>
  <c r="N939" i="436"/>
  <c r="N997" i="436"/>
  <c r="N697" i="436"/>
  <c r="N635" i="436"/>
  <c r="N979" i="436"/>
  <c r="N1017" i="436"/>
  <c r="N919" i="436"/>
  <c r="N643" i="436"/>
  <c r="N1019" i="436"/>
  <c r="N1041" i="436"/>
  <c r="N982" i="436"/>
  <c r="N1038" i="436"/>
  <c r="N859" i="436"/>
  <c r="N631" i="436"/>
  <c r="N691" i="436"/>
  <c r="N655" i="436"/>
  <c r="N629" i="436"/>
  <c r="N1181" i="436"/>
  <c r="N621" i="436"/>
  <c r="N701" i="436"/>
  <c r="N671" i="436"/>
  <c r="N617" i="436"/>
  <c r="N1326" i="436"/>
  <c r="N645" i="436"/>
  <c r="N633" i="436"/>
  <c r="N198" i="436"/>
  <c r="N699" i="436"/>
  <c r="N972" i="436"/>
  <c r="N945" i="436"/>
  <c r="N663" i="436"/>
  <c r="N1050" i="436"/>
  <c r="N977" i="436"/>
  <c r="N677" i="436"/>
  <c r="N450" i="436"/>
  <c r="N1319" i="436"/>
  <c r="N673" i="436"/>
  <c r="N657" i="436"/>
  <c r="N619" i="436"/>
  <c r="N627" i="436"/>
  <c r="N669" i="436"/>
  <c r="N797" i="436"/>
  <c r="N99" i="436"/>
  <c r="N649" i="436"/>
  <c r="N689" i="436"/>
  <c r="N943" i="436"/>
  <c r="N615" i="436"/>
  <c r="N846" i="436"/>
  <c r="N465" i="436"/>
  <c r="N455" i="436"/>
  <c r="N1084" i="436"/>
  <c r="N810" i="436"/>
  <c r="N460" i="436"/>
  <c r="N435" i="436"/>
  <c r="N1137" i="436"/>
  <c r="N835" i="436"/>
  <c r="N1153" i="436"/>
  <c r="N759" i="436"/>
  <c r="N169" i="436"/>
  <c r="N661" i="436"/>
  <c r="N613" i="436"/>
  <c r="N675" i="436"/>
  <c r="N1012" i="436"/>
  <c r="N641" i="436"/>
  <c r="N301" i="436"/>
  <c r="N1179" i="436"/>
  <c r="N827" i="436"/>
  <c r="N1130" i="436"/>
  <c r="N1079" i="436"/>
  <c r="N752" i="436"/>
  <c r="N843" i="436"/>
  <c r="N1066" i="436"/>
  <c r="N1146" i="436"/>
  <c r="N771" i="436"/>
  <c r="N786" i="436"/>
  <c r="N781" i="436"/>
  <c r="N1096" i="436"/>
  <c r="N1112" i="436"/>
  <c r="N1103" i="436"/>
  <c r="N801" i="436"/>
  <c r="N799" i="436"/>
  <c r="N115" i="436"/>
  <c r="N1014" i="436"/>
  <c r="N705" i="436"/>
  <c r="N1118" i="436"/>
  <c r="N1086" i="436"/>
  <c r="N833" i="436"/>
  <c r="N1101" i="436"/>
  <c r="N784" i="436"/>
  <c r="N862" i="436"/>
  <c r="N1060" i="436"/>
  <c r="N1151" i="436"/>
  <c r="N816" i="436"/>
  <c r="N755" i="436"/>
  <c r="N757" i="436"/>
  <c r="N1036" i="436"/>
  <c r="N659" i="436"/>
  <c r="N818" i="436"/>
  <c r="N1068" i="436"/>
  <c r="N440" i="436"/>
  <c r="N794" i="436"/>
  <c r="N773" i="436"/>
  <c r="N1135" i="436"/>
  <c r="N851" i="436"/>
  <c r="N849" i="436"/>
  <c r="N1168" i="436"/>
  <c r="N1315" i="436"/>
  <c r="N279" i="436"/>
  <c r="N312" i="436"/>
  <c r="N1333" i="436"/>
  <c r="N1317" i="436"/>
  <c r="N290" i="436"/>
  <c r="N15" i="436"/>
  <c r="B1389" i="436"/>
  <c r="B1390" i="436" s="1"/>
  <c r="B1391" i="436" s="1"/>
  <c r="B1392" i="436" s="1"/>
  <c r="B1393" i="436" s="1"/>
  <c r="N1385" i="436"/>
  <c r="C50" i="432" s="1"/>
  <c r="D22" i="475" s="1"/>
  <c r="N1372" i="436"/>
  <c r="N1369" i="436"/>
  <c r="I420" i="436"/>
  <c r="C421" i="436"/>
  <c r="N719" i="436" l="1"/>
  <c r="N720" i="436"/>
  <c r="E50" i="432"/>
  <c r="E22" i="475" s="1"/>
  <c r="B1394" i="436"/>
  <c r="B1395" i="436" s="1"/>
  <c r="B1396" i="436" s="1"/>
  <c r="B1397" i="436" s="1"/>
  <c r="B1398" i="436" s="1"/>
  <c r="B1399" i="436" s="1"/>
  <c r="N36" i="436"/>
  <c r="N326" i="436"/>
  <c r="N78" i="436"/>
  <c r="N320" i="436"/>
  <c r="N747" i="436"/>
  <c r="C41" i="432" s="1"/>
  <c r="D13" i="475" s="1"/>
  <c r="N188" i="436"/>
  <c r="N54" i="436"/>
  <c r="N276" i="436"/>
  <c r="N735" i="436"/>
  <c r="N9" i="436"/>
  <c r="N1308" i="436"/>
  <c r="N53" i="436"/>
  <c r="C35" i="432" s="1"/>
  <c r="D7" i="475" s="1"/>
  <c r="N21" i="436"/>
  <c r="C34" i="432" s="1"/>
  <c r="D6" i="475" s="1"/>
  <c r="N175" i="436"/>
  <c r="N431" i="436"/>
  <c r="N329" i="436"/>
  <c r="N143" i="436"/>
  <c r="N722" i="436"/>
  <c r="N912" i="436"/>
  <c r="C43" i="432" s="1"/>
  <c r="D15" i="475" s="1"/>
  <c r="N101" i="436"/>
  <c r="N309" i="436"/>
  <c r="N865" i="436"/>
  <c r="C42" i="432" s="1"/>
  <c r="D14" i="475" s="1"/>
  <c r="N275" i="436"/>
  <c r="C37" i="432" s="1"/>
  <c r="D9" i="475" s="1"/>
  <c r="N1335" i="436"/>
  <c r="N298" i="436"/>
  <c r="N1055" i="436"/>
  <c r="C44" i="432" s="1"/>
  <c r="D16" i="475" s="1"/>
  <c r="N609" i="436"/>
  <c r="N718" i="436"/>
  <c r="N220" i="436"/>
  <c r="C36" i="432" s="1"/>
  <c r="D8" i="475" s="1"/>
  <c r="N729" i="436"/>
  <c r="N323" i="436"/>
  <c r="N741" i="436"/>
  <c r="N122" i="436"/>
  <c r="N8" i="436"/>
  <c r="N22" i="436"/>
  <c r="N470" i="436"/>
  <c r="N709" i="436"/>
  <c r="N202" i="436"/>
  <c r="N287" i="436"/>
  <c r="N1185" i="436"/>
  <c r="N708" i="436"/>
  <c r="N161" i="436"/>
  <c r="N1342" i="436"/>
  <c r="N1353" i="436"/>
  <c r="C48" i="432" s="1"/>
  <c r="D20" i="475" s="1"/>
  <c r="N736" i="436"/>
  <c r="N742" i="436"/>
  <c r="N10" i="436"/>
  <c r="N37" i="436"/>
  <c r="N102" i="436"/>
  <c r="N55" i="436"/>
  <c r="N723" i="436"/>
  <c r="N189" i="436"/>
  <c r="N144" i="436"/>
  <c r="N299" i="436"/>
  <c r="N162" i="436"/>
  <c r="N123" i="436"/>
  <c r="N277" i="436"/>
  <c r="N710" i="436"/>
  <c r="N203" i="436"/>
  <c r="N176" i="436"/>
  <c r="N1336" i="436"/>
  <c r="N310" i="436"/>
  <c r="N730" i="436"/>
  <c r="N288" i="436"/>
  <c r="N23" i="436"/>
  <c r="N79" i="436"/>
  <c r="N1367" i="436"/>
  <c r="C49" i="432" s="1"/>
  <c r="D21" i="475" s="1"/>
  <c r="C422" i="436"/>
  <c r="I421" i="436"/>
  <c r="B1400" i="436" l="1"/>
  <c r="B1401" i="436" s="1"/>
  <c r="B1402" i="436" s="1"/>
  <c r="B1403" i="436" s="1"/>
  <c r="B1404" i="436" s="1"/>
  <c r="B1405" i="436" s="1"/>
  <c r="B1406" i="436" s="1"/>
  <c r="B1407" i="436" s="1"/>
  <c r="B1408" i="436" s="1"/>
  <c r="B1409" i="436" s="1"/>
  <c r="B1410" i="436" s="1"/>
  <c r="B1411" i="436" s="1"/>
  <c r="B1412" i="436" s="1"/>
  <c r="B1413" i="436" s="1"/>
  <c r="B1414" i="436" s="1"/>
  <c r="B1415" i="436" s="1"/>
  <c r="B1416" i="436" s="1"/>
  <c r="B1417" i="436" s="1"/>
  <c r="B1418" i="436" s="1"/>
  <c r="B1419" i="436" s="1"/>
  <c r="B1420" i="436" s="1"/>
  <c r="B1421" i="436" s="1"/>
  <c r="B1422" i="436" s="1"/>
  <c r="B1423" i="436" s="1"/>
  <c r="B1424" i="436" s="1"/>
  <c r="B1425" i="436" s="1"/>
  <c r="B1426" i="436" s="1"/>
  <c r="B1427" i="436" s="1"/>
  <c r="B1428" i="436" s="1"/>
  <c r="B1429" i="436" s="1"/>
  <c r="B1430" i="436" s="1"/>
  <c r="B1431" i="436" s="1"/>
  <c r="B1432" i="436" s="1"/>
  <c r="B1433" i="436" s="1"/>
  <c r="B1434" i="436" s="1"/>
  <c r="B1435" i="436" s="1"/>
  <c r="B1436" i="436" s="1"/>
  <c r="B1437" i="436" s="1"/>
  <c r="B1438" i="436" s="1"/>
  <c r="B1439" i="436" s="1"/>
  <c r="B1440" i="436" s="1"/>
  <c r="B1441" i="436" s="1"/>
  <c r="B1442" i="436" s="1"/>
  <c r="B1443" i="436" s="1"/>
  <c r="B1444" i="436" s="1"/>
  <c r="B1445" i="436" s="1"/>
  <c r="B1446" i="436" s="1"/>
  <c r="B1447" i="436" s="1"/>
  <c r="B1448" i="436" s="1"/>
  <c r="B1449" i="436" s="1"/>
  <c r="B1450" i="436" s="1"/>
  <c r="B1451" i="436" s="1"/>
  <c r="B1452" i="436" s="1"/>
  <c r="B1453" i="436" s="1"/>
  <c r="B1454" i="436" s="1"/>
  <c r="B1455" i="436" s="1"/>
  <c r="B1456" i="436" s="1"/>
  <c r="B1457" i="436" s="1"/>
  <c r="B1458" i="436" s="1"/>
  <c r="B1459" i="436" s="1"/>
  <c r="B1460" i="436" s="1"/>
  <c r="B1461" i="436" s="1"/>
  <c r="B1462" i="436" s="1"/>
  <c r="B1463" i="436" s="1"/>
  <c r="B1464" i="436" s="1"/>
  <c r="B1465" i="436" s="1"/>
  <c r="B1466" i="436" s="1"/>
  <c r="B1467" i="436" s="1"/>
  <c r="B1468" i="436" s="1"/>
  <c r="B1469" i="436" s="1"/>
  <c r="B1470" i="436" s="1"/>
  <c r="B1471" i="436" s="1"/>
  <c r="B1472" i="436" s="1"/>
  <c r="B1473" i="436" s="1"/>
  <c r="B1474" i="436" s="1"/>
  <c r="B1475" i="436" s="1"/>
  <c r="B1476" i="436" s="1"/>
  <c r="B1477" i="436" s="1"/>
  <c r="B1478" i="436" s="1"/>
  <c r="B1479" i="436" s="1"/>
  <c r="B1480" i="436" s="1"/>
  <c r="B1481" i="436" s="1"/>
  <c r="B1482" i="436" s="1"/>
  <c r="B1483" i="436" s="1"/>
  <c r="B1484" i="436" s="1"/>
  <c r="B1485" i="436" s="1"/>
  <c r="B1486" i="436" s="1"/>
  <c r="B1487" i="436" s="1"/>
  <c r="B1488" i="436" s="1"/>
  <c r="B1489" i="436" s="1"/>
  <c r="B1490" i="436" s="1"/>
  <c r="B1491" i="436" s="1"/>
  <c r="B1492" i="436" s="1"/>
  <c r="B1493" i="436" s="1"/>
  <c r="B1494" i="436" s="1"/>
  <c r="B1495" i="436" s="1"/>
  <c r="B1496" i="436" s="1"/>
  <c r="B1497" i="436" s="1"/>
  <c r="B1498" i="436" s="1"/>
  <c r="B1499" i="436" s="1"/>
  <c r="B1500" i="436" s="1"/>
  <c r="B1501" i="436" s="1"/>
  <c r="B1502" i="436" s="1"/>
  <c r="B1503" i="436" s="1"/>
  <c r="B1504" i="436" s="1"/>
  <c r="B1505" i="436" s="1"/>
  <c r="N1351" i="436"/>
  <c r="N1344" i="436"/>
  <c r="N1346" i="436"/>
  <c r="C47" i="432"/>
  <c r="D18" i="475" s="1"/>
  <c r="C46" i="432"/>
  <c r="D19" i="475" s="1"/>
  <c r="C45" i="432"/>
  <c r="D17" i="475" s="1"/>
  <c r="C38" i="432"/>
  <c r="D12" i="475" s="1"/>
  <c r="C40" i="432"/>
  <c r="D11" i="475" s="1"/>
  <c r="E36" i="432"/>
  <c r="E8" i="475" s="1"/>
  <c r="M1389" i="436"/>
  <c r="E37" i="432"/>
  <c r="E9" i="475" s="1"/>
  <c r="E41" i="432"/>
  <c r="E13" i="475" s="1"/>
  <c r="E49" i="432"/>
  <c r="E21" i="475" s="1"/>
  <c r="E42" i="432"/>
  <c r="E14" i="475" s="1"/>
  <c r="C39" i="432"/>
  <c r="D10" i="475" s="1"/>
  <c r="E48" i="432"/>
  <c r="E20" i="475" s="1"/>
  <c r="E34" i="432"/>
  <c r="E6" i="475" s="1"/>
  <c r="C33" i="432"/>
  <c r="D5" i="475" s="1"/>
  <c r="E44" i="432"/>
  <c r="E16" i="475" s="1"/>
  <c r="E43" i="432"/>
  <c r="E15" i="475" s="1"/>
  <c r="N1092" i="436"/>
  <c r="N1174" i="436"/>
  <c r="N1109" i="436"/>
  <c r="N1143" i="436"/>
  <c r="N1127" i="436"/>
  <c r="N1075" i="436"/>
  <c r="N1159" i="436"/>
  <c r="N1056" i="436"/>
  <c r="N1057" i="436"/>
  <c r="N1144" i="436"/>
  <c r="N1093" i="436"/>
  <c r="N1110" i="436"/>
  <c r="N1076" i="436"/>
  <c r="N1175" i="436"/>
  <c r="N1160" i="436"/>
  <c r="N1128" i="436"/>
  <c r="E35" i="432"/>
  <c r="E7" i="475" s="1"/>
  <c r="E47" i="432"/>
  <c r="E18" i="475" s="1"/>
  <c r="C423" i="436"/>
  <c r="I422" i="436"/>
  <c r="D23" i="475" l="1"/>
  <c r="E46" i="432"/>
  <c r="E19" i="475" s="1"/>
  <c r="C51" i="432"/>
  <c r="E45" i="432"/>
  <c r="E17" i="475" s="1"/>
  <c r="E38" i="432"/>
  <c r="E12" i="475" s="1"/>
  <c r="E40" i="432"/>
  <c r="E11" i="475" s="1"/>
  <c r="E33" i="432"/>
  <c r="E5" i="475" s="1"/>
  <c r="E39" i="432"/>
  <c r="E10" i="475" s="1"/>
  <c r="B1506" i="436"/>
  <c r="B1507" i="436" s="1"/>
  <c r="B1508" i="436" s="1"/>
  <c r="B1509" i="436" s="1"/>
  <c r="B1510" i="436" s="1"/>
  <c r="B1511" i="436" s="1"/>
  <c r="B1512" i="436" s="1"/>
  <c r="B1513" i="436" s="1"/>
  <c r="B1514" i="436" s="1"/>
  <c r="B1515" i="436" s="1"/>
  <c r="B1516" i="436" s="1"/>
  <c r="B1517" i="436" s="1"/>
  <c r="B1518" i="436" s="1"/>
  <c r="B1519" i="436" s="1"/>
  <c r="B1520" i="436" s="1"/>
  <c r="B1521" i="436" s="1"/>
  <c r="B1522" i="436" s="1"/>
  <c r="B1523" i="436" s="1"/>
  <c r="B1524" i="436" s="1"/>
  <c r="B1525" i="436" s="1"/>
  <c r="B1526" i="436" s="1"/>
  <c r="B1527" i="436" s="1"/>
  <c r="B1528" i="436" s="1"/>
  <c r="B1529" i="436" s="1"/>
  <c r="B1530" i="436" s="1"/>
  <c r="B1531" i="436" s="1"/>
  <c r="B1532" i="436" s="1"/>
  <c r="B1533" i="436" s="1"/>
  <c r="B1534" i="436" s="1"/>
  <c r="B1535" i="436" s="1"/>
  <c r="B1536" i="436" s="1"/>
  <c r="B1537" i="436" s="1"/>
  <c r="B1538" i="436" s="1"/>
  <c r="B1539" i="436" s="1"/>
  <c r="B1540" i="436" s="1"/>
  <c r="B1541" i="436" s="1"/>
  <c r="B1542" i="436" s="1"/>
  <c r="B1543" i="436" s="1"/>
  <c r="B1544" i="436" s="1"/>
  <c r="B1545" i="436" s="1"/>
  <c r="B1546" i="436" s="1"/>
  <c r="B1547" i="436" s="1"/>
  <c r="B1548" i="436" s="1"/>
  <c r="B1549" i="436" s="1"/>
  <c r="B1550" i="436" s="1"/>
  <c r="B1551" i="436" s="1"/>
  <c r="B1552" i="436" s="1"/>
  <c r="B1553" i="436" s="1"/>
  <c r="B1554" i="436" s="1"/>
  <c r="B1555" i="436" s="1"/>
  <c r="B1556" i="436" s="1"/>
  <c r="B1557" i="436" s="1"/>
  <c r="B1558" i="436" s="1"/>
  <c r="B1559" i="436" s="1"/>
  <c r="B1560" i="436" s="1"/>
  <c r="B1561" i="436" s="1"/>
  <c r="B1562" i="436" s="1"/>
  <c r="B1563" i="436" s="1"/>
  <c r="B1564" i="436" s="1"/>
  <c r="B1565" i="436" s="1"/>
  <c r="B1566" i="436" s="1"/>
  <c r="B1567" i="436" s="1"/>
  <c r="B1568" i="436" s="1"/>
  <c r="B1569" i="436" s="1"/>
  <c r="B1570" i="436" s="1"/>
  <c r="B1571" i="436" s="1"/>
  <c r="B1572" i="436" s="1"/>
  <c r="B1573" i="436" s="1"/>
  <c r="B1574" i="436" s="1"/>
  <c r="B1575" i="436" s="1"/>
  <c r="B1576" i="436" s="1"/>
  <c r="B1577" i="436" s="1"/>
  <c r="B1578" i="436" s="1"/>
  <c r="B1579" i="436" s="1"/>
  <c r="B1580" i="436" s="1"/>
  <c r="B1581" i="436" s="1"/>
  <c r="B1582" i="436" s="1"/>
  <c r="B1583" i="436" s="1"/>
  <c r="B1584" i="436" s="1"/>
  <c r="B1585" i="436" s="1"/>
  <c r="B1586" i="436" s="1"/>
  <c r="B1587" i="436" s="1"/>
  <c r="B1588" i="436" s="1"/>
  <c r="B1589" i="436" s="1"/>
  <c r="B1590" i="436" s="1"/>
  <c r="B1591" i="436" s="1"/>
  <c r="B1592" i="436" s="1"/>
  <c r="B1593" i="436" s="1"/>
  <c r="B1594" i="436" s="1"/>
  <c r="B1595" i="436" s="1"/>
  <c r="B1596" i="436" s="1"/>
  <c r="B1597" i="436" s="1"/>
  <c r="B1598" i="436" s="1"/>
  <c r="N968" i="436"/>
  <c r="N1047" i="436"/>
  <c r="N1008" i="436"/>
  <c r="N988" i="436"/>
  <c r="N913" i="436"/>
  <c r="N1028" i="436"/>
  <c r="N952" i="436"/>
  <c r="N933" i="436"/>
  <c r="N953" i="436"/>
  <c r="N989" i="436"/>
  <c r="N969" i="436"/>
  <c r="N914" i="436"/>
  <c r="N934" i="436"/>
  <c r="N1048" i="436"/>
  <c r="N1029" i="436"/>
  <c r="N1009" i="436"/>
  <c r="I423" i="436"/>
  <c r="C424" i="436"/>
  <c r="E23" i="475" l="1"/>
  <c r="D38" i="432"/>
  <c r="N900" i="436"/>
  <c r="N902" i="436"/>
  <c r="N893" i="436"/>
  <c r="N895" i="436"/>
  <c r="E51" i="432"/>
  <c r="E52" i="432" s="1"/>
  <c r="D39" i="432"/>
  <c r="D36" i="432"/>
  <c r="N869" i="436"/>
  <c r="B1599" i="436"/>
  <c r="B1600" i="436" s="1"/>
  <c r="B1601" i="436" s="1"/>
  <c r="B1602" i="436" s="1"/>
  <c r="B1603" i="436" s="1"/>
  <c r="B1604" i="436" s="1"/>
  <c r="B1605" i="436" s="1"/>
  <c r="B1606" i="436" s="1"/>
  <c r="B1607" i="436" s="1"/>
  <c r="B1608" i="436" s="1"/>
  <c r="B1609" i="436" s="1"/>
  <c r="B1610" i="436" s="1"/>
  <c r="B1611" i="436" s="1"/>
  <c r="B1612" i="436" s="1"/>
  <c r="B1613" i="436" s="1"/>
  <c r="B1614" i="436" s="1"/>
  <c r="B1615" i="436" s="1"/>
  <c r="B1616" i="436" s="1"/>
  <c r="B1617" i="436" s="1"/>
  <c r="B1618" i="436" s="1"/>
  <c r="B1619" i="436" s="1"/>
  <c r="B1620" i="436" s="1"/>
  <c r="B1621" i="436" s="1"/>
  <c r="B1622" i="436" s="1"/>
  <c r="B1623" i="436" s="1"/>
  <c r="B1624" i="436" s="1"/>
  <c r="B1625" i="436" s="1"/>
  <c r="B1626" i="436" s="1"/>
  <c r="B1627" i="436" s="1"/>
  <c r="B1628" i="436" s="1"/>
  <c r="B1629" i="436" s="1"/>
  <c r="B1630" i="436" s="1"/>
  <c r="B1631" i="436" s="1"/>
  <c r="B1632" i="436" s="1"/>
  <c r="B1633" i="436" s="1"/>
  <c r="B1634" i="436" s="1"/>
  <c r="B1635" i="436" s="1"/>
  <c r="B1636" i="436" s="1"/>
  <c r="B1637" i="436" s="1"/>
  <c r="B1638" i="436" s="1"/>
  <c r="B1639" i="436" s="1"/>
  <c r="B1640" i="436" s="1"/>
  <c r="B1641" i="436" s="1"/>
  <c r="B1642" i="436" s="1"/>
  <c r="B1643" i="436" s="1"/>
  <c r="B1644" i="436" s="1"/>
  <c r="D33" i="432"/>
  <c r="D32" i="432"/>
  <c r="D50" i="432"/>
  <c r="D40" i="432"/>
  <c r="D44" i="432"/>
  <c r="D37" i="432"/>
  <c r="D34" i="432"/>
  <c r="D43" i="432"/>
  <c r="D41" i="432"/>
  <c r="D45" i="432"/>
  <c r="D47" i="432"/>
  <c r="D49" i="432"/>
  <c r="D46" i="432"/>
  <c r="D48" i="432"/>
  <c r="D42" i="432"/>
  <c r="D35" i="432"/>
  <c r="C425" i="436"/>
  <c r="I424" i="436"/>
  <c r="N813" i="436" l="1"/>
  <c r="N830" i="436"/>
  <c r="N886" i="436"/>
  <c r="N905" i="436"/>
  <c r="N877" i="436"/>
  <c r="N898" i="436"/>
  <c r="N891" i="436"/>
  <c r="N884" i="436"/>
  <c r="N910" i="436"/>
  <c r="N874" i="436"/>
  <c r="D51" i="432"/>
  <c r="B1645" i="436"/>
  <c r="B1646" i="436" s="1"/>
  <c r="B1647" i="436" s="1"/>
  <c r="B1648" i="436" s="1"/>
  <c r="B1649" i="436" s="1"/>
  <c r="B1650" i="436" s="1"/>
  <c r="B1651" i="436" s="1"/>
  <c r="B1652" i="436" s="1"/>
  <c r="B1653" i="436" s="1"/>
  <c r="B1654" i="436" s="1"/>
  <c r="B1655" i="436" s="1"/>
  <c r="B1656" i="436" s="1"/>
  <c r="B1657" i="436" s="1"/>
  <c r="B1658" i="436" s="1"/>
  <c r="B1659" i="436" s="1"/>
  <c r="B1660" i="436" s="1"/>
  <c r="B1661" i="436" s="1"/>
  <c r="B1662" i="436" s="1"/>
  <c r="B1663" i="436" s="1"/>
  <c r="B1664" i="436" s="1"/>
  <c r="B1665" i="436" s="1"/>
  <c r="B1666" i="436" s="1"/>
  <c r="B1667" i="436" s="1"/>
  <c r="B1668" i="436" s="1"/>
  <c r="B1669" i="436" s="1"/>
  <c r="B1670" i="436" s="1"/>
  <c r="B1671" i="436" s="1"/>
  <c r="B1672" i="436" s="1"/>
  <c r="B1673" i="436" s="1"/>
  <c r="B1674" i="436" s="1"/>
  <c r="B1675" i="436" s="1"/>
  <c r="B1676" i="436" s="1"/>
  <c r="B1677" i="436" s="1"/>
  <c r="B1678" i="436" s="1"/>
  <c r="B1679" i="436" s="1"/>
  <c r="B1680" i="436" s="1"/>
  <c r="B1681" i="436" s="1"/>
  <c r="B1682" i="436" s="1"/>
  <c r="B1683" i="436" s="1"/>
  <c r="B1684" i="436" s="1"/>
  <c r="B1685" i="436" s="1"/>
  <c r="B1686" i="436" s="1"/>
  <c r="B1687" i="436" s="1"/>
  <c r="B1688" i="436" s="1"/>
  <c r="B1689" i="436" s="1"/>
  <c r="B1690" i="436" s="1"/>
  <c r="B1691" i="436" s="1"/>
  <c r="B1692" i="436" s="1"/>
  <c r="B1693" i="436" s="1"/>
  <c r="B1694" i="436" s="1"/>
  <c r="B1695" i="436" s="1"/>
  <c r="B1696" i="436" s="1"/>
  <c r="B1697" i="436" s="1"/>
  <c r="B1698" i="436" s="1"/>
  <c r="B1699" i="436" s="1"/>
  <c r="B1700" i="436" s="1"/>
  <c r="B1701" i="436" s="1"/>
  <c r="B1702" i="436" s="1"/>
  <c r="B1703" i="436" s="1"/>
  <c r="B1704" i="436" s="1"/>
  <c r="B1705" i="436" s="1"/>
  <c r="B1706" i="436" s="1"/>
  <c r="B1707" i="436" s="1"/>
  <c r="B1708" i="436" s="1"/>
  <c r="B1709" i="436" s="1"/>
  <c r="B1710" i="436" s="1"/>
  <c r="B1711" i="436" s="1"/>
  <c r="B1712" i="436" s="1"/>
  <c r="B1713" i="436" s="1"/>
  <c r="B1714" i="436" s="1"/>
  <c r="B1715" i="436" s="1"/>
  <c r="B1716" i="436" s="1"/>
  <c r="B1717" i="436" s="1"/>
  <c r="B1718" i="436" s="1"/>
  <c r="B1719" i="436" s="1"/>
  <c r="B1720" i="436" s="1"/>
  <c r="B1721" i="436" s="1"/>
  <c r="B1722" i="436" s="1"/>
  <c r="B1723" i="436" s="1"/>
  <c r="B1724" i="436" s="1"/>
  <c r="B1725" i="436" s="1"/>
  <c r="B1726" i="436" s="1"/>
  <c r="B1727" i="436" s="1"/>
  <c r="B1728" i="436" s="1"/>
  <c r="B1729" i="436" s="1"/>
  <c r="B1730" i="436" s="1"/>
  <c r="B1731" i="436" s="1"/>
  <c r="B1732" i="436" s="1"/>
  <c r="B1733" i="436" s="1"/>
  <c r="B1734" i="436" s="1"/>
  <c r="N1338" i="436" s="1"/>
  <c r="N840" i="436"/>
  <c r="N777" i="436"/>
  <c r="N806" i="436"/>
  <c r="N790" i="436"/>
  <c r="N748" i="436"/>
  <c r="N764" i="436"/>
  <c r="N823" i="436"/>
  <c r="N856" i="436"/>
  <c r="N841" i="436"/>
  <c r="N749" i="436"/>
  <c r="N824" i="436"/>
  <c r="N857" i="436"/>
  <c r="N778" i="436"/>
  <c r="N765" i="436"/>
  <c r="N791" i="436"/>
  <c r="N807" i="436"/>
  <c r="I425" i="436"/>
  <c r="C426" i="436"/>
  <c r="N1324" i="436" l="1"/>
  <c r="N1331" i="436"/>
  <c r="N872" i="436"/>
  <c r="N879" i="436"/>
  <c r="N882" i="436"/>
  <c r="N867" i="436"/>
  <c r="B1735" i="436"/>
  <c r="B1736" i="436" s="1"/>
  <c r="B1737" i="436" s="1"/>
  <c r="B1738" i="436" s="1"/>
  <c r="B1739" i="436" s="1"/>
  <c r="B1740" i="436" s="1"/>
  <c r="B1741" i="436" s="1"/>
  <c r="B1742" i="436" s="1"/>
  <c r="B1743" i="436" s="1"/>
  <c r="B1744" i="436" s="1"/>
  <c r="B1745" i="436" s="1"/>
  <c r="B1746" i="436" s="1"/>
  <c r="B1747" i="436" s="1"/>
  <c r="B1748" i="436" s="1"/>
  <c r="B1749" i="436" s="1"/>
  <c r="B1750" i="436" s="1"/>
  <c r="B1751" i="436" s="1"/>
  <c r="B1752" i="436" s="1"/>
  <c r="B1753" i="436" s="1"/>
  <c r="B1754" i="436" s="1"/>
  <c r="B1755" i="436" s="1"/>
  <c r="B1756" i="436" s="1"/>
  <c r="B1757" i="436" s="1"/>
  <c r="B1758" i="436" s="1"/>
  <c r="B1759" i="436" s="1"/>
  <c r="B1760" i="436" s="1"/>
  <c r="B1761" i="436" s="1"/>
  <c r="B1762" i="436" s="1"/>
  <c r="B1763" i="436" s="1"/>
  <c r="B1764" i="436" s="1"/>
  <c r="B1765" i="436" s="1"/>
  <c r="N703" i="436" s="1"/>
  <c r="N1312" i="436"/>
  <c r="N1321" i="436"/>
  <c r="N1309" i="436"/>
  <c r="N1328" i="436"/>
  <c r="N1313" i="436"/>
  <c r="N1329" i="436"/>
  <c r="N1322" i="436"/>
  <c r="N1310" i="436"/>
  <c r="I426" i="436"/>
  <c r="C427" i="436"/>
  <c r="N908" i="436" s="1"/>
  <c r="B1766" i="436" l="1"/>
  <c r="B1767" i="436" s="1"/>
  <c r="B1768" i="436" s="1"/>
  <c r="B1769" i="436" s="1"/>
  <c r="B1770" i="436" s="1"/>
  <c r="B1771" i="436" s="1"/>
  <c r="B1772" i="436" s="1"/>
  <c r="B1773" i="436" s="1"/>
  <c r="B1774" i="436" s="1"/>
  <c r="B1775" i="436" s="1"/>
  <c r="B1776" i="436" s="1"/>
  <c r="B1777" i="436" s="1"/>
  <c r="B1778" i="436" s="1"/>
  <c r="B1779" i="436" s="1"/>
  <c r="B1780" i="436" s="1"/>
  <c r="B1781" i="436" s="1"/>
  <c r="B1782" i="436" s="1"/>
  <c r="B1783" i="436" s="1"/>
  <c r="B1784" i="436" s="1"/>
  <c r="B1785" i="436" s="1"/>
  <c r="B1786" i="436" s="1"/>
  <c r="B1787" i="436" s="1"/>
  <c r="B1788" i="436" s="1"/>
  <c r="B1789" i="436" s="1"/>
  <c r="B1790" i="436" s="1"/>
  <c r="B1791" i="436" s="1"/>
  <c r="B1792" i="436" s="1"/>
  <c r="B1793" i="436" s="1"/>
  <c r="B1794" i="436" s="1"/>
  <c r="B1795" i="436" s="1"/>
  <c r="B1796" i="436" s="1"/>
  <c r="B1797" i="436" s="1"/>
  <c r="B1798" i="436" s="1"/>
  <c r="B1799" i="436" s="1"/>
  <c r="B1800" i="436" s="1"/>
  <c r="B1801" i="436" s="1"/>
  <c r="B1802" i="436" s="1"/>
  <c r="B1803" i="436" s="1"/>
  <c r="B1804" i="436" s="1"/>
  <c r="B1805" i="436" s="1"/>
  <c r="B1806" i="436" s="1"/>
  <c r="B1807" i="436" s="1"/>
  <c r="B1808" i="436" s="1"/>
  <c r="B1809" i="436" s="1"/>
  <c r="B1810" i="436" s="1"/>
  <c r="B1811" i="436" s="1"/>
  <c r="B1812" i="436" s="1"/>
  <c r="B1813" i="436" s="1"/>
  <c r="B1814" i="436" s="1"/>
  <c r="B1815" i="436" s="1"/>
  <c r="B1816" i="436" s="1"/>
  <c r="B1817" i="436" s="1"/>
  <c r="B1818" i="436" s="1"/>
  <c r="B1819" i="436" s="1"/>
  <c r="B1820" i="436" s="1"/>
  <c r="B1821" i="436" s="1"/>
  <c r="B1822" i="436" s="1"/>
  <c r="B1823" i="436" s="1"/>
  <c r="B1824" i="436" s="1"/>
  <c r="B1825" i="436" s="1"/>
  <c r="B1826" i="436" s="1"/>
  <c r="B1827" i="436" s="1"/>
  <c r="B1828" i="436" s="1"/>
  <c r="B1829" i="436" s="1"/>
  <c r="B1830" i="436" s="1"/>
  <c r="B1831" i="436" s="1"/>
  <c r="B1832" i="436" s="1"/>
  <c r="B1833" i="436" s="1"/>
  <c r="B1834" i="436" s="1"/>
  <c r="B1835" i="436" s="1"/>
  <c r="B1836" i="436" s="1"/>
  <c r="B1837" i="436" s="1"/>
  <c r="B1838" i="436" s="1"/>
  <c r="B1839" i="436" s="1"/>
  <c r="B1840" i="436" s="1"/>
  <c r="B1841" i="436" s="1"/>
  <c r="B1842" i="436" s="1"/>
  <c r="B1843" i="436" s="1"/>
  <c r="B1844" i="436" s="1"/>
  <c r="B1845" i="436" s="1"/>
  <c r="B1846" i="436" s="1"/>
  <c r="B1847" i="436" s="1"/>
  <c r="B1848" i="436" s="1"/>
  <c r="B1849" i="436" s="1"/>
  <c r="B1850" i="436" s="1"/>
  <c r="B1851" i="436" s="1"/>
  <c r="B1852" i="436" s="1"/>
  <c r="B1853" i="436" s="1"/>
  <c r="B1854" i="436" s="1"/>
  <c r="B1855" i="436" s="1"/>
  <c r="B1856" i="436" s="1"/>
  <c r="B1857" i="436" s="1"/>
  <c r="B1858" i="436" s="1"/>
  <c r="B1859" i="436" s="1"/>
  <c r="B1860" i="436" s="1"/>
  <c r="B1861" i="436" s="1"/>
  <c r="B1862" i="436" s="1"/>
  <c r="B1863" i="436" s="1"/>
  <c r="B1864" i="436" s="1"/>
  <c r="B1865" i="436" s="1"/>
  <c r="B1866" i="436" s="1"/>
  <c r="B1867" i="436" s="1"/>
  <c r="N680" i="436"/>
  <c r="N666" i="436"/>
  <c r="N638" i="436"/>
  <c r="N610" i="436"/>
  <c r="N694" i="436"/>
  <c r="N652" i="436"/>
  <c r="N624" i="436"/>
  <c r="N681" i="436"/>
  <c r="N653" i="436"/>
  <c r="N695" i="436"/>
  <c r="N667" i="436"/>
  <c r="N611" i="436"/>
  <c r="N625" i="436"/>
  <c r="N639" i="436"/>
  <c r="C428" i="436"/>
  <c r="I427" i="436"/>
  <c r="B1868" i="436" l="1"/>
  <c r="B1869" i="436" s="1"/>
  <c r="B1870" i="436" s="1"/>
  <c r="B1871" i="436" s="1"/>
  <c r="B1872" i="436" s="1"/>
  <c r="B1873" i="436" s="1"/>
  <c r="B1874" i="436" s="1"/>
  <c r="B1875" i="436" s="1"/>
  <c r="B1876" i="436" s="1"/>
  <c r="B1877" i="436" s="1"/>
  <c r="B1878" i="436" s="1"/>
  <c r="B1879" i="436" s="1"/>
  <c r="B1880" i="436" s="1"/>
  <c r="B1881" i="436" s="1"/>
  <c r="B1882" i="436" s="1"/>
  <c r="B1883" i="436" s="1"/>
  <c r="B1884" i="436" s="1"/>
  <c r="B1885" i="436" s="1"/>
  <c r="B1886" i="436" s="1"/>
  <c r="B1887" i="436" s="1"/>
  <c r="B1888" i="436" s="1"/>
  <c r="B1889" i="436" s="1"/>
  <c r="B1890" i="436" s="1"/>
  <c r="B1891" i="436" s="1"/>
  <c r="B1892" i="436" s="1"/>
  <c r="B1893" i="436" s="1"/>
  <c r="B1894" i="436" s="1"/>
  <c r="B1895" i="436" s="1"/>
  <c r="B1896" i="436" s="1"/>
  <c r="B1897" i="436" s="1"/>
  <c r="B1898" i="436" s="1"/>
  <c r="B1899" i="436" s="1"/>
  <c r="B1900" i="436" s="1"/>
  <c r="B1901" i="436" s="1"/>
  <c r="B1902" i="436" s="1"/>
  <c r="B1903" i="436" s="1"/>
  <c r="B1904" i="436" s="1"/>
  <c r="B1905" i="436" s="1"/>
  <c r="B1906" i="436" s="1"/>
  <c r="B1907" i="436" s="1"/>
  <c r="B1908" i="436" s="1"/>
  <c r="B1909" i="436" s="1"/>
  <c r="B1910" i="436" s="1"/>
  <c r="B1911" i="436" s="1"/>
  <c r="B1912" i="436" s="1"/>
  <c r="B1913" i="436" s="1"/>
  <c r="B1914" i="436" s="1"/>
  <c r="B1915" i="436" s="1"/>
  <c r="B1916" i="436" s="1"/>
  <c r="B1917" i="436" s="1"/>
  <c r="B1918" i="436" s="1"/>
  <c r="B1919" i="436" s="1"/>
  <c r="B1920" i="436" s="1"/>
  <c r="B1921" i="436" s="1"/>
  <c r="B1922" i="436" s="1"/>
  <c r="B1923" i="436" s="1"/>
  <c r="B1924" i="436" s="1"/>
  <c r="B1925" i="436" s="1"/>
  <c r="B1926" i="436" s="1"/>
  <c r="B1927" i="436" s="1"/>
  <c r="B1928" i="436" s="1"/>
  <c r="B1929" i="436" s="1"/>
  <c r="B1930" i="436" s="1"/>
  <c r="B1931" i="436" s="1"/>
  <c r="B1932" i="436" s="1"/>
  <c r="B1933" i="436" s="1"/>
  <c r="B1934" i="436" s="1"/>
  <c r="B1935" i="436" s="1"/>
  <c r="B1936" i="436" s="1"/>
  <c r="B1937" i="436" s="1"/>
  <c r="B1938" i="436" s="1"/>
  <c r="B1939" i="436" s="1"/>
  <c r="B1940" i="436" s="1"/>
  <c r="B1941" i="436" s="1"/>
  <c r="B1942" i="436" s="1"/>
  <c r="B1943" i="436" s="1"/>
  <c r="B1944" i="436" s="1"/>
  <c r="B1945" i="436" s="1"/>
  <c r="B1946" i="436" s="1"/>
  <c r="B1947" i="436" s="1"/>
  <c r="B1948" i="436" s="1"/>
  <c r="B1949" i="436" s="1"/>
  <c r="B1950" i="436" s="1"/>
  <c r="B1951" i="436" s="1"/>
  <c r="B1952" i="436" s="1"/>
  <c r="B1953" i="436" s="1"/>
  <c r="B1954" i="436" s="1"/>
  <c r="B1955" i="436" s="1"/>
  <c r="B1956" i="436" s="1"/>
  <c r="B1957" i="436" s="1"/>
  <c r="B1958" i="436" s="1"/>
  <c r="B1959" i="436" s="1"/>
  <c r="B1960" i="436" s="1"/>
  <c r="B1961" i="436" s="1"/>
  <c r="B1962" i="436" s="1"/>
  <c r="B1963" i="436" s="1"/>
  <c r="B1964" i="436" s="1"/>
  <c r="B1965" i="436" s="1"/>
  <c r="B1966" i="436" s="1"/>
  <c r="B1967" i="436" s="1"/>
  <c r="B1968" i="436" s="1"/>
  <c r="B1969" i="436" s="1"/>
  <c r="B1970" i="436" s="1"/>
  <c r="B1971" i="436" s="1"/>
  <c r="B1972" i="436" s="1"/>
  <c r="B1973" i="436" s="1"/>
  <c r="B1974" i="436" s="1"/>
  <c r="B1975" i="436" s="1"/>
  <c r="B1976" i="436" s="1"/>
  <c r="B1977" i="436" s="1"/>
  <c r="B1978" i="436" s="1"/>
  <c r="B1979" i="436" s="1"/>
  <c r="B1980" i="436" s="1"/>
  <c r="B1981" i="436" s="1"/>
  <c r="B1982" i="436" s="1"/>
  <c r="B1983" i="436" s="1"/>
  <c r="B1984" i="436" s="1"/>
  <c r="B1985" i="436" s="1"/>
  <c r="N490" i="436"/>
  <c r="N524" i="436"/>
  <c r="N543" i="436"/>
  <c r="N507" i="436"/>
  <c r="N471" i="436"/>
  <c r="N577" i="436"/>
  <c r="N594" i="436"/>
  <c r="N560" i="436"/>
  <c r="N472" i="436"/>
  <c r="N595" i="436"/>
  <c r="N561" i="436"/>
  <c r="N525" i="436"/>
  <c r="N544" i="436"/>
  <c r="N578" i="436"/>
  <c r="N491" i="436"/>
  <c r="N508" i="436"/>
  <c r="I428" i="436"/>
  <c r="C429" i="436"/>
  <c r="B1986" i="436" l="1"/>
  <c r="B1987" i="436" s="1"/>
  <c r="B1988" i="436" s="1"/>
  <c r="B1989" i="436" s="1"/>
  <c r="B1990" i="436" s="1"/>
  <c r="B1991" i="436" s="1"/>
  <c r="B1992" i="436" s="1"/>
  <c r="B1993" i="436" s="1"/>
  <c r="B1994" i="436" s="1"/>
  <c r="B1995" i="436" s="1"/>
  <c r="B1996" i="436" s="1"/>
  <c r="B1997" i="436" s="1"/>
  <c r="B1998" i="436" s="1"/>
  <c r="B1999" i="436" s="1"/>
  <c r="B2000" i="436" s="1"/>
  <c r="B2001" i="436" s="1"/>
  <c r="B2002" i="436" s="1"/>
  <c r="B2003" i="436" s="1"/>
  <c r="B2004" i="436" s="1"/>
  <c r="B2005" i="436" s="1"/>
  <c r="B2006" i="436" s="1"/>
  <c r="B2007" i="436" s="1"/>
  <c r="B2008" i="436" s="1"/>
  <c r="B2009" i="436" s="1"/>
  <c r="B2010" i="436" s="1"/>
  <c r="B2011" i="436" s="1"/>
  <c r="B2012" i="436" s="1"/>
  <c r="B2013" i="436" s="1"/>
  <c r="B2014" i="436" s="1"/>
  <c r="B2015" i="436" s="1"/>
  <c r="B2016" i="436" s="1"/>
  <c r="B2017" i="436" s="1"/>
  <c r="B2018" i="436" s="1"/>
  <c r="B2019" i="436" s="1"/>
  <c r="B2020" i="436" s="1"/>
  <c r="B2021" i="436" s="1"/>
  <c r="B2022" i="436" s="1"/>
  <c r="B2023" i="436" s="1"/>
  <c r="B2024" i="436" s="1"/>
  <c r="B2025" i="436" s="1"/>
  <c r="B2026" i="436" s="1"/>
  <c r="N462" i="436"/>
  <c r="N452" i="436"/>
  <c r="N442" i="436"/>
  <c r="N437" i="436"/>
  <c r="N467" i="436"/>
  <c r="N457" i="436"/>
  <c r="N432" i="436"/>
  <c r="N447" i="436"/>
  <c r="N438" i="436"/>
  <c r="N453" i="436"/>
  <c r="N463" i="436"/>
  <c r="N443" i="436"/>
  <c r="N458" i="436"/>
  <c r="N448" i="436"/>
  <c r="N433" i="436"/>
  <c r="N468" i="436"/>
  <c r="C430" i="436"/>
  <c r="N379" i="436" s="1"/>
  <c r="I429" i="436"/>
  <c r="N871" i="436" l="1"/>
  <c r="N866" i="436"/>
  <c r="N907" i="436"/>
  <c r="N890" i="436"/>
  <c r="N904" i="436"/>
  <c r="N897" i="436"/>
  <c r="N881" i="436"/>
  <c r="N394" i="436"/>
  <c r="N398" i="436"/>
  <c r="N368" i="436"/>
  <c r="N410" i="436"/>
  <c r="N408" i="436"/>
  <c r="N327" i="436"/>
  <c r="N321" i="436"/>
  <c r="N324" i="436"/>
  <c r="N1386" i="436"/>
  <c r="N1368" i="436"/>
  <c r="N1371" i="436"/>
  <c r="N1378" i="436"/>
  <c r="N1374" i="436"/>
  <c r="N1376" i="436"/>
  <c r="N1380" i="436"/>
  <c r="N359" i="436"/>
  <c r="N383" i="436"/>
  <c r="N376" i="436"/>
  <c r="N351" i="436"/>
  <c r="N381" i="436"/>
  <c r="N396" i="436"/>
  <c r="N366" i="436"/>
  <c r="N392" i="436"/>
  <c r="N412" i="436"/>
  <c r="N422" i="436"/>
  <c r="I430" i="436"/>
  <c r="N330" i="436"/>
  <c r="N346" i="436"/>
  <c r="N354" i="436"/>
  <c r="N340" i="436"/>
  <c r="N334" i="436"/>
  <c r="N336" i="436"/>
  <c r="N362" i="436"/>
  <c r="N331" i="436"/>
  <c r="N338" i="436"/>
  <c r="N375" i="436"/>
  <c r="N349" i="436"/>
  <c r="N347" i="436"/>
  <c r="N391" i="436"/>
  <c r="N355" i="436"/>
  <c r="N363" i="436"/>
  <c r="N357" i="436"/>
  <c r="N402" i="436"/>
  <c r="N385" i="436"/>
  <c r="N403" i="436"/>
  <c r="N406" i="436"/>
  <c r="N370" i="436"/>
  <c r="N418" i="436"/>
  <c r="N419" i="436"/>
  <c r="N426" i="436"/>
  <c r="N424" i="436"/>
  <c r="C1194" i="436"/>
  <c r="C1195" i="436" l="1"/>
  <c r="I1194" i="436"/>
  <c r="I1195" i="436" l="1"/>
  <c r="C1196" i="436"/>
  <c r="C1197" i="436" l="1"/>
  <c r="I1196" i="436"/>
  <c r="C1198" i="436" l="1"/>
  <c r="I1198" i="436" s="1"/>
  <c r="I1197" i="436"/>
  <c r="C1199" i="436" l="1"/>
  <c r="I1199" i="436" l="1"/>
  <c r="C1200" i="436"/>
  <c r="C1201" i="436" l="1"/>
  <c r="I1200" i="436"/>
  <c r="C1202" i="436" l="1"/>
  <c r="I1202" i="436" s="1"/>
  <c r="I1201" i="436"/>
  <c r="C1203" i="436" l="1"/>
  <c r="I1203" i="436" s="1"/>
  <c r="C1204" i="436" l="1"/>
  <c r="C1205" i="436" s="1"/>
  <c r="I1204" i="436" l="1"/>
  <c r="I1205" i="436"/>
  <c r="C1206" i="436"/>
  <c r="C1207" i="436" l="1"/>
  <c r="C1208" i="436" s="1"/>
  <c r="I1208" i="436" s="1"/>
  <c r="I1206" i="436"/>
  <c r="I1207" i="436" l="1"/>
  <c r="C1209" i="436"/>
  <c r="C1210" i="436" s="1"/>
  <c r="I1209" i="436" l="1"/>
  <c r="C1211" i="436"/>
  <c r="I1210" i="436"/>
  <c r="C1212" i="436" l="1"/>
  <c r="I1212" i="436" s="1"/>
  <c r="I1211" i="436"/>
  <c r="C1213" i="436" l="1"/>
  <c r="C1214" i="436" s="1"/>
  <c r="I1213" i="436" l="1"/>
  <c r="I1214" i="436"/>
  <c r="C1215" i="436"/>
  <c r="I1215" i="436" l="1"/>
  <c r="C1216" i="436"/>
  <c r="C1217" i="436" l="1"/>
  <c r="C1218" i="436" s="1"/>
  <c r="I1218" i="436" s="1"/>
  <c r="I1216" i="436"/>
  <c r="I1217" i="436" l="1"/>
  <c r="C1219" i="436"/>
  <c r="C1220" i="436" s="1"/>
  <c r="I1219" i="436" l="1"/>
  <c r="C1221" i="436"/>
  <c r="C1222" i="436" s="1"/>
  <c r="I1222" i="436" s="1"/>
  <c r="I1220" i="436"/>
  <c r="C1223" i="436" l="1"/>
  <c r="I1221" i="436"/>
  <c r="I1223" i="436" l="1"/>
  <c r="C1224" i="436"/>
  <c r="I1224" i="436" l="1"/>
  <c r="C1225" i="436"/>
  <c r="C1226" i="436" l="1"/>
  <c r="I1225" i="436"/>
  <c r="C1227" i="436" l="1"/>
  <c r="I1226" i="436"/>
  <c r="C1228" i="436" l="1"/>
  <c r="I1227" i="436"/>
  <c r="I1228" i="436" l="1"/>
  <c r="C1229" i="436"/>
  <c r="C1230" i="436" l="1"/>
  <c r="I1229" i="436"/>
  <c r="I1230" i="436" l="1"/>
  <c r="C1231" i="436"/>
  <c r="C1232" i="436" l="1"/>
  <c r="I1231" i="436"/>
  <c r="C1233" i="436" l="1"/>
  <c r="C1234" i="436" s="1"/>
  <c r="I1232" i="436"/>
  <c r="C1235" i="436" l="1"/>
  <c r="I1235" i="436" s="1"/>
  <c r="I1234" i="436"/>
  <c r="I1233" i="436"/>
  <c r="C1236" i="436" l="1"/>
  <c r="C1237" i="436" s="1"/>
  <c r="I1236" i="436" l="1"/>
  <c r="C1238" i="436"/>
  <c r="C1239" i="436" s="1"/>
  <c r="I1239" i="436" s="1"/>
  <c r="I1237" i="436"/>
  <c r="I1238" i="436" l="1"/>
  <c r="C1240" i="436"/>
  <c r="C1241" i="436" l="1"/>
  <c r="I1240" i="436"/>
  <c r="C1242" i="436" l="1"/>
  <c r="I1241" i="436"/>
  <c r="I1242" i="436" l="1"/>
  <c r="C1243" i="436"/>
  <c r="I1243" i="436" l="1"/>
  <c r="C1244" i="436"/>
  <c r="I1244" i="436" l="1"/>
  <c r="C1245" i="436"/>
  <c r="C1246" i="436" l="1"/>
  <c r="I1245" i="436"/>
  <c r="I1246" i="436" l="1"/>
  <c r="C1247" i="436"/>
  <c r="C1248" i="436" l="1"/>
  <c r="I1247" i="436"/>
  <c r="C1249" i="436" l="1"/>
  <c r="I1248" i="436"/>
  <c r="C1250" i="436" l="1"/>
  <c r="I1249" i="436"/>
  <c r="C1251" i="436" l="1"/>
  <c r="I1250" i="436"/>
  <c r="C1252" i="436" l="1"/>
  <c r="I1251" i="436"/>
  <c r="I1252" i="436" l="1"/>
  <c r="C1253" i="436"/>
  <c r="I1253" i="436" l="1"/>
  <c r="C1254" i="436"/>
  <c r="C1255" i="436" s="1"/>
  <c r="C1256" i="436" l="1"/>
  <c r="I1255" i="436"/>
  <c r="I1254" i="436"/>
  <c r="I1256" i="436" l="1"/>
  <c r="C1257" i="436"/>
  <c r="C1258" i="436" l="1"/>
  <c r="I1257" i="436"/>
  <c r="I1258" i="436" l="1"/>
  <c r="C1259" i="436"/>
  <c r="I1259" i="436" l="1"/>
  <c r="C1260" i="436"/>
  <c r="I1260" i="436" l="1"/>
  <c r="C1261" i="436"/>
  <c r="C1262" i="436" s="1"/>
  <c r="I1262" i="436" s="1"/>
  <c r="C1263" i="436" l="1"/>
  <c r="I1261" i="436"/>
  <c r="I1263" i="436" l="1"/>
  <c r="C1264" i="436"/>
  <c r="I1264" i="436" l="1"/>
  <c r="C1265" i="436"/>
  <c r="I1265" i="436" l="1"/>
  <c r="C1266" i="436"/>
  <c r="I1266" i="436" l="1"/>
  <c r="C1267" i="436"/>
  <c r="I1267" i="436" l="1"/>
  <c r="C1268" i="436"/>
  <c r="C1269" i="436" l="1"/>
  <c r="I1268" i="436"/>
  <c r="C1270" i="436" l="1"/>
  <c r="I1269" i="436"/>
  <c r="C1271" i="436" l="1"/>
  <c r="I1270" i="436"/>
  <c r="I1271" i="436" l="1"/>
  <c r="C1272" i="436"/>
  <c r="I1272" i="436" l="1"/>
  <c r="C1273" i="436"/>
  <c r="C1274" i="436" l="1"/>
  <c r="I1273" i="436"/>
  <c r="I1274" i="436" l="1"/>
  <c r="C1275" i="436"/>
  <c r="C1276" i="436" l="1"/>
  <c r="I1275" i="436"/>
  <c r="C1277" i="436" l="1"/>
  <c r="C1278" i="436" s="1"/>
  <c r="I1276" i="436"/>
  <c r="C1279" i="436" l="1"/>
  <c r="I1278" i="436"/>
  <c r="I1277" i="436"/>
  <c r="C1280" i="436" l="1"/>
  <c r="I1279" i="436"/>
  <c r="C1281" i="436" l="1"/>
  <c r="I1280" i="436"/>
  <c r="I1281" i="436" l="1"/>
  <c r="C1282" i="436"/>
  <c r="I1282" i="436" l="1"/>
  <c r="C1283" i="436"/>
  <c r="C1284" i="436" l="1"/>
  <c r="C1285" i="436" s="1"/>
  <c r="I1285" i="436" s="1"/>
  <c r="I1283" i="436"/>
  <c r="C1286" i="436" l="1"/>
  <c r="I1284" i="436"/>
  <c r="I1286" i="436" l="1"/>
  <c r="C1287" i="436"/>
  <c r="I1287" i="436" l="1"/>
  <c r="C1288" i="436"/>
  <c r="C1289" i="436" l="1"/>
  <c r="I1288" i="436"/>
  <c r="I1289" i="436" l="1"/>
  <c r="C1290" i="436"/>
  <c r="C1291" i="436" l="1"/>
  <c r="I1290" i="436"/>
  <c r="C1292" i="436" l="1"/>
  <c r="I1291" i="436"/>
  <c r="I1292" i="436" l="1"/>
  <c r="C1293" i="436"/>
  <c r="C1294" i="436" l="1"/>
  <c r="I1293" i="436"/>
  <c r="C1295" i="436" l="1"/>
  <c r="I1294" i="436"/>
  <c r="C1296" i="436" l="1"/>
  <c r="C1297" i="436" s="1"/>
  <c r="I1295" i="436"/>
  <c r="C1298" i="436" l="1"/>
  <c r="I1297" i="436"/>
  <c r="I1296" i="436"/>
  <c r="C1299" i="436" l="1"/>
  <c r="I1298" i="436"/>
  <c r="C1300" i="436" l="1"/>
  <c r="I1299" i="436"/>
  <c r="I1300" i="436" l="1"/>
  <c r="C1301" i="436"/>
  <c r="I1301" i="436" l="1"/>
  <c r="C1302" i="436"/>
  <c r="C1303" i="436" l="1"/>
  <c r="C1304" i="436" s="1"/>
  <c r="I1302" i="436"/>
  <c r="C1305" i="436" l="1"/>
  <c r="I1304" i="436"/>
  <c r="I1303" i="436"/>
  <c r="N1186" i="436" l="1"/>
  <c r="C1306" i="436"/>
  <c r="C1307" i="436" s="1"/>
  <c r="N888" i="436"/>
  <c r="N876" i="436"/>
  <c r="I1305" i="436"/>
  <c r="I1307" i="436" l="1"/>
  <c r="N1343" i="436"/>
  <c r="N1348" i="436"/>
  <c r="N253" i="436"/>
  <c r="N237" i="436"/>
  <c r="N245" i="436"/>
  <c r="N270" i="436"/>
  <c r="N261" i="436"/>
  <c r="N229" i="436"/>
  <c r="N221" i="436"/>
  <c r="N240" i="436"/>
  <c r="N224" i="436"/>
  <c r="N232" i="436"/>
  <c r="N230" i="436"/>
  <c r="N246" i="436"/>
  <c r="N222" i="436"/>
  <c r="N238" i="436"/>
  <c r="N271" i="436"/>
  <c r="N262" i="436"/>
  <c r="N254" i="436"/>
  <c r="N268" i="436"/>
  <c r="N259" i="436"/>
  <c r="N243" i="436"/>
  <c r="N251" i="436"/>
  <c r="N227" i="436"/>
  <c r="N235" i="436"/>
  <c r="N1306" i="436"/>
  <c r="I1306" i="436"/>
  <c r="N1205" i="436"/>
  <c r="N1225" i="436"/>
  <c r="N1240" i="436"/>
  <c r="N1274" i="436"/>
  <c r="N1265" i="436"/>
  <c r="N1203" i="436"/>
  <c r="N1257" i="436"/>
  <c r="N1210" i="436"/>
  <c r="N1220" i="436"/>
  <c r="N1213" i="436"/>
  <c r="N1196" i="436"/>
  <c r="N1223" i="436"/>
  <c r="N1302" i="436"/>
  <c r="N1232" i="436"/>
  <c r="N1276" i="436"/>
  <c r="N1297" i="436"/>
  <c r="N1242" i="436"/>
  <c r="N1260" i="436"/>
  <c r="N1200" i="436"/>
  <c r="N1234" i="436"/>
  <c r="N1299" i="436"/>
  <c r="N1255" i="436"/>
  <c r="N1187" i="436"/>
  <c r="N1272" i="436"/>
  <c r="N1283" i="436"/>
  <c r="N1230" i="436"/>
  <c r="N1253" i="436" l="1"/>
  <c r="N1237" i="436"/>
  <c r="N1295" i="436"/>
  <c r="N1215" i="436"/>
  <c r="N1288" i="436"/>
  <c r="N1263" i="436"/>
  <c r="N1251" i="436"/>
  <c r="N1192" i="436"/>
  <c r="N1249" i="436"/>
  <c r="N1280" i="436"/>
  <c r="N1286" i="436"/>
  <c r="N1190" i="436"/>
  <c r="N1278" i="436"/>
  <c r="N1304" i="436"/>
  <c r="N1219" i="436"/>
  <c r="N1217" i="436"/>
  <c r="N1244" i="436"/>
  <c r="N1199" i="436"/>
  <c r="N1236" i="436"/>
  <c r="N1267" i="436"/>
  <c r="N1301" i="436"/>
  <c r="N1293" i="436"/>
  <c r="N1207" i="436"/>
  <c r="N1282" i="436"/>
  <c r="N1227" i="436"/>
  <c r="N1194" i="436"/>
  <c r="N1209" i="436"/>
  <c r="N1259" i="43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Valquiria Vansquelhe</author>
  </authors>
  <commentList>
    <comment ref="B69" authorId="0" shapeId="0" xr:uid="{74A84FC4-491A-4F53-A1F4-04861C89B8D2}">
      <text>
        <r>
          <rPr>
            <sz val="9"/>
            <color indexed="81"/>
            <rFont val="Segoe UI"/>
            <family val="2"/>
          </rPr>
          <t>ALTURA DOS 3 ULTIMOS PAVS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 Freo</author>
  </authors>
  <commentList>
    <comment ref="S56" authorId="0" shapeId="0" xr:uid="{B54353B4-0AC7-4B85-9F12-06AB3B56C1C3}">
      <text>
        <r>
          <rPr>
            <sz val="8"/>
            <color indexed="81"/>
            <rFont val="Tahoma"/>
            <family val="2"/>
          </rPr>
          <t xml:space="preserve">INCLUSO PESCOÇO DA SAPATA </t>
        </r>
      </text>
    </comment>
    <comment ref="S75" authorId="0" shapeId="0" xr:uid="{2076F5DF-2DAC-4051-BC4A-F6462072F3A4}">
      <text>
        <r>
          <rPr>
            <sz val="8"/>
            <color indexed="81"/>
            <rFont val="Tahoma"/>
            <family val="2"/>
          </rPr>
          <t xml:space="preserve">INCLUSO PESCOÇO DA SAPATA </t>
        </r>
      </text>
    </comment>
    <comment ref="S131" authorId="0" shapeId="0" xr:uid="{A447408A-DDCB-4396-80F9-BD01DFDCC1F3}">
      <text>
        <r>
          <rPr>
            <sz val="8"/>
            <color indexed="81"/>
            <rFont val="Tahoma"/>
            <family val="2"/>
          </rPr>
          <t xml:space="preserve">INCLUSO PESCOÇO DA SAPATA 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<sst xmlns="http://schemas.openxmlformats.org/spreadsheetml/2006/main" count="20967" uniqueCount="5115">
  <si>
    <t>Descrição</t>
  </si>
  <si>
    <t>m2</t>
  </si>
  <si>
    <t>un</t>
  </si>
  <si>
    <t>m</t>
  </si>
  <si>
    <t>m3</t>
  </si>
  <si>
    <t>kg</t>
  </si>
  <si>
    <t>ITEM</t>
  </si>
  <si>
    <t>H</t>
  </si>
  <si>
    <t>TOTAL</t>
  </si>
  <si>
    <t>TIPO</t>
  </si>
  <si>
    <t>ÁREA</t>
  </si>
  <si>
    <t>m²</t>
  </si>
  <si>
    <t>Total</t>
  </si>
  <si>
    <t>REVISÃO:</t>
  </si>
  <si>
    <t>TOTAL GERAL</t>
  </si>
  <si>
    <t>Item</t>
  </si>
  <si>
    <t>QUANT</t>
  </si>
  <si>
    <t>CA-60</t>
  </si>
  <si>
    <t>PROJETO</t>
  </si>
  <si>
    <t>DIMENSÕES UNITÁRIAS</t>
  </si>
  <si>
    <t>ESCAV</t>
  </si>
  <si>
    <t>Adição</t>
  </si>
  <si>
    <t>APILOA</t>
  </si>
  <si>
    <t>REATER</t>
  </si>
  <si>
    <t>BOTA FORA</t>
  </si>
  <si>
    <t>LASTRO</t>
  </si>
  <si>
    <t>FORMA</t>
  </si>
  <si>
    <t>IMPERM</t>
  </si>
  <si>
    <t>A</t>
  </si>
  <si>
    <t>B</t>
  </si>
  <si>
    <t>C</t>
  </si>
  <si>
    <t>lados</t>
  </si>
  <si>
    <t>UNIT</t>
  </si>
  <si>
    <t>LAJE / MOLDE</t>
  </si>
  <si>
    <t>LARG</t>
  </si>
  <si>
    <t>COMPR</t>
  </si>
  <si>
    <t>ALT</t>
  </si>
  <si>
    <t>COMP</t>
  </si>
  <si>
    <t>MOLDADA IN LOCO</t>
  </si>
  <si>
    <t>D</t>
  </si>
  <si>
    <t>Área</t>
  </si>
  <si>
    <t>COEF</t>
  </si>
  <si>
    <t>ALTURA</t>
  </si>
  <si>
    <t>m³</t>
  </si>
  <si>
    <t>COBERTURA</t>
  </si>
  <si>
    <t>Tipo</t>
  </si>
  <si>
    <t>Unidade</t>
  </si>
  <si>
    <t>LARGURA</t>
  </si>
  <si>
    <t>BARRILETE</t>
  </si>
  <si>
    <t>Quantidade</t>
  </si>
  <si>
    <t>-</t>
  </si>
  <si>
    <t>CONCRETO</t>
  </si>
  <si>
    <t>altura</t>
  </si>
  <si>
    <t>40 MPa</t>
  </si>
  <si>
    <t>DATA</t>
  </si>
  <si>
    <t>PERÍMETRO</t>
  </si>
  <si>
    <t>PROJETO:</t>
  </si>
  <si>
    <t>Atalho</t>
  </si>
  <si>
    <t xml:space="preserve">PROJETO: </t>
  </si>
  <si>
    <t>OBSERVAÇÕES:</t>
  </si>
  <si>
    <t>PEITORIL</t>
  </si>
  <si>
    <t>Situação</t>
  </si>
  <si>
    <t>30 MPa</t>
  </si>
  <si>
    <t>35 MPa</t>
  </si>
  <si>
    <t>25 MPa</t>
  </si>
  <si>
    <t>20 MPa</t>
  </si>
  <si>
    <t>BOTA-FORA</t>
  </si>
  <si>
    <t>TAXA AÇO</t>
  </si>
  <si>
    <t>C. Topo</t>
  </si>
  <si>
    <t>C. Apoio</t>
  </si>
  <si>
    <t>Ø peça</t>
  </si>
  <si>
    <t>KG/M3</t>
  </si>
  <si>
    <t xml:space="preserve">Hélice diam 60 cm </t>
  </si>
  <si>
    <t xml:space="preserve">Hélice diam 70 cm </t>
  </si>
  <si>
    <t xml:space="preserve">Hélice diam 80 cm </t>
  </si>
  <si>
    <t>Arrasamento</t>
  </si>
  <si>
    <t xml:space="preserve">Hélice diam 40 cm </t>
  </si>
  <si>
    <t xml:space="preserve">Hélice diam 50 cm </t>
  </si>
  <si>
    <t xml:space="preserve">E.P. Hélice diam 70 cm </t>
  </si>
  <si>
    <t>Lançamento de Concreto para Estacas (Edifícios)</t>
  </si>
  <si>
    <t>Concreto</t>
  </si>
  <si>
    <t>.... MPa</t>
  </si>
  <si>
    <t xml:space="preserve">Hélice diam 90 cm </t>
  </si>
  <si>
    <t xml:space="preserve">Quant. </t>
  </si>
  <si>
    <t>LADO 1 DO BLOCO</t>
  </si>
  <si>
    <t>LADO 2 DO BLOCO</t>
  </si>
  <si>
    <t>LADO 3 DO BLOCO</t>
  </si>
  <si>
    <t>LADO 4 DO BLOCO</t>
  </si>
  <si>
    <t>LADO 5 DO BLOCO</t>
  </si>
  <si>
    <t>ALTURA DO BLOCO</t>
  </si>
  <si>
    <t>R</t>
  </si>
  <si>
    <t>h1 + h2</t>
  </si>
  <si>
    <t>h2</t>
  </si>
  <si>
    <t>b2</t>
  </si>
  <si>
    <t>b1</t>
  </si>
  <si>
    <t>Hb</t>
  </si>
  <si>
    <t>VB</t>
  </si>
  <si>
    <t>UD</t>
  </si>
  <si>
    <t>BLOCOS TRIANGULARES</t>
  </si>
  <si>
    <t>Obra</t>
  </si>
  <si>
    <t>Empresa</t>
  </si>
  <si>
    <t>Revisão</t>
  </si>
  <si>
    <t>ESTACAS</t>
  </si>
  <si>
    <t>ARMAÇÃO FUNDAÇÃO DIRETA</t>
  </si>
  <si>
    <t>FUNDAÇÃO PROFUNDA</t>
  </si>
  <si>
    <t>FUNDAÇÃO RASA</t>
  </si>
  <si>
    <t>MOVIMENTAÇÃO DE TERRA</t>
  </si>
  <si>
    <t xml:space="preserve">MOVIMENTAÇÃO DE TERRA	</t>
  </si>
  <si>
    <t>Escavação e Reaterro de Valas</t>
  </si>
  <si>
    <t>Movimentação de bota - fora</t>
  </si>
  <si>
    <t>INFRAESTRUTURA</t>
  </si>
  <si>
    <t>Perfuração</t>
  </si>
  <si>
    <t>Armadura</t>
  </si>
  <si>
    <t>Armação aço CA-50 ø 6,3mm para estaca (corte e dobra em obra)</t>
  </si>
  <si>
    <t>Mão de Obra</t>
  </si>
  <si>
    <t>Forma</t>
  </si>
  <si>
    <t>Armação aço CA-50 ø 8,0mm para infraestrutura (corte e dobra em obra)</t>
  </si>
  <si>
    <t>Armação aço CA-50 ø 10,0mm para infraestrutura (corte e dobra em obra)</t>
  </si>
  <si>
    <t>Armação aço CA-50 ø 16,0mm para infraestrutura (corte e dobra em obra)</t>
  </si>
  <si>
    <t>Considerações</t>
  </si>
  <si>
    <t>Considerado empolamento 30% da escavação</t>
  </si>
  <si>
    <t>GERENCIAMENTO EXECUTIVO</t>
  </si>
  <si>
    <t>CUSTO</t>
  </si>
  <si>
    <t>*proposta salva no drive</t>
  </si>
  <si>
    <t>Projeto</t>
  </si>
  <si>
    <t>EMPRESA:</t>
  </si>
  <si>
    <t>VIGAS  FUNDAÇÃO</t>
  </si>
  <si>
    <t>SUPRAESTRUTURA</t>
  </si>
  <si>
    <t>Complementares</t>
  </si>
  <si>
    <t>Serviços complementares para alvenaria de vedação</t>
  </si>
  <si>
    <t>Mão de obra</t>
  </si>
  <si>
    <t>Regularização e proteção mecânica</t>
  </si>
  <si>
    <t>Mão de obra impermeabilização de superfície com manta asfáltica</t>
  </si>
  <si>
    <t>Contrapiso</t>
  </si>
  <si>
    <t>Rodapés</t>
  </si>
  <si>
    <t>Pavimento</t>
  </si>
  <si>
    <t>SISTEMAS DE PINTURA INTERNA</t>
  </si>
  <si>
    <t>Sistema de pintura em piso</t>
  </si>
  <si>
    <t>Sistema de pintura em parede</t>
  </si>
  <si>
    <t>Sistema de pintura em teto</t>
  </si>
  <si>
    <t>ESQUADRIAS, VIDROS E FERRAGENS</t>
  </si>
  <si>
    <t>Contramarco</t>
  </si>
  <si>
    <t>Esquadrias de alumínio</t>
  </si>
  <si>
    <t>Esquadrias de Alumínio - fornecimento e instalação</t>
  </si>
  <si>
    <t>Guarda corpo</t>
  </si>
  <si>
    <t>Esquadrias de madeira</t>
  </si>
  <si>
    <t xml:space="preserve">Corrimão de madeira </t>
  </si>
  <si>
    <t>Mão de obra para instalação de portas de madeira</t>
  </si>
  <si>
    <t>Esquadrias metálicas</t>
  </si>
  <si>
    <t>LOUÇAS E METAIS</t>
  </si>
  <si>
    <t>Louças</t>
  </si>
  <si>
    <t>vb</t>
  </si>
  <si>
    <t>Metais e acessórios</t>
  </si>
  <si>
    <t>Acabamentos e acessórios</t>
  </si>
  <si>
    <t>Bancadas, pias e divisórias</t>
  </si>
  <si>
    <t xml:space="preserve">Tampo de Granito </t>
  </si>
  <si>
    <t>Instalação de louças e metais sanitários</t>
  </si>
  <si>
    <t>Serviços complementares</t>
  </si>
  <si>
    <t>REVESTIMENTOS E ACABAMENTOS EM FACHADA</t>
  </si>
  <si>
    <t>Revestimento argamassado em fachada</t>
  </si>
  <si>
    <t>Pintura e textura em fachada</t>
  </si>
  <si>
    <t>Fundo selador látex acrílico em paredes externas - 1 demão</t>
  </si>
  <si>
    <t>Mao de obra para reboco externo - inclui chapisco</t>
  </si>
  <si>
    <t>SERVIÇOS COMPLEMENTARES E FINAIS</t>
  </si>
  <si>
    <t>SERVIÇOS COMPLEMENTARES EXTERNOS</t>
  </si>
  <si>
    <t>Calçadas e Passeios</t>
  </si>
  <si>
    <t>Mobiliário e decoração</t>
  </si>
  <si>
    <t xml:space="preserve">Mobiliário e decoração </t>
  </si>
  <si>
    <t>Paisagismo</t>
  </si>
  <si>
    <t xml:space="preserve">Paisagismo </t>
  </si>
  <si>
    <t>Serviços Finais</t>
  </si>
  <si>
    <t>Limpeza final</t>
  </si>
  <si>
    <t>Desmobilização</t>
  </si>
  <si>
    <t>Ligações definitivas</t>
  </si>
  <si>
    <t xml:space="preserve">IMPREVISTOS E CONTINGÊNCIAS </t>
  </si>
  <si>
    <t>Imprevistos e contingências</t>
  </si>
  <si>
    <t>SISTEMAS E INSTALAÇÕES ELÉTRICAS</t>
  </si>
  <si>
    <t>SISTEMAS E INSTALAÇÕES HIDROSSANITÁRIAS E DRENAGEM</t>
  </si>
  <si>
    <t>Instalações de água fria</t>
  </si>
  <si>
    <t>Quadros elétricos e disjuntores</t>
  </si>
  <si>
    <t xml:space="preserve">Luminárias, lâmpadas e acessórios </t>
  </si>
  <si>
    <t>Luminárias, lâmpadas e acessórios</t>
  </si>
  <si>
    <t>EQUIPAMENTOS E SISTEMAS ESPECIAIS</t>
  </si>
  <si>
    <t>Equipamentos de piscina</t>
  </si>
  <si>
    <t>Elevadores</t>
  </si>
  <si>
    <t>CLIMATIZAÇÃO, EXAUSTÃO MECÂNICA E PRESSURIZAÇÃO</t>
  </si>
  <si>
    <t>Climatização</t>
  </si>
  <si>
    <t>Exaustão mecânica</t>
  </si>
  <si>
    <t>BLOCOS</t>
  </si>
  <si>
    <t>Armação aço CA-50 ø 6,3mm para infraestrutura (corte e dobra em obra)</t>
  </si>
  <si>
    <t xml:space="preserve">Armação aço CA-50 ø 12,5mm para infraestrutura (corte e dobra em obra) </t>
  </si>
  <si>
    <t xml:space="preserve">Armação aço CA-50 ø 20,0mm para infraestrutura (corte e dobra em obra) </t>
  </si>
  <si>
    <t xml:space="preserve">Hélice diam 35 cm </t>
  </si>
  <si>
    <t>Lastro de brita</t>
  </si>
  <si>
    <t>Preço un</t>
  </si>
  <si>
    <t xml:space="preserve">	Mobilização e desmobilização de equipamentos - Para execução de estaca hélice</t>
  </si>
  <si>
    <t>Lançado ERP</t>
  </si>
  <si>
    <t>Mão de obra para execução de fundação rasa e profunda</t>
  </si>
  <si>
    <t xml:space="preserve">Armação aço CA-60 ø 5,00mm para infraestrutura (corte e dobra em obra) </t>
  </si>
  <si>
    <t>Escavação mecanizada para blocos de fundação, vigas de fundação e poço de elevador, com retroescavadeira</t>
  </si>
  <si>
    <t>Reaterro mecanizado de valas para blocos e vigas de fundação, com retroescavadeira</t>
  </si>
  <si>
    <t>Movimentação de terra para bota-fora</t>
  </si>
  <si>
    <t>Observações</t>
  </si>
  <si>
    <t>Unidade Construtiva</t>
  </si>
  <si>
    <t>Célula Construtiva</t>
  </si>
  <si>
    <t>Etapa</t>
  </si>
  <si>
    <t>Subetapa</t>
  </si>
  <si>
    <t>Serviço</t>
  </si>
  <si>
    <t>NIVEL</t>
  </si>
  <si>
    <t>CÉLULA CONSTRUTIVA</t>
  </si>
  <si>
    <t>ETAPA</t>
  </si>
  <si>
    <t>SUBETAPA</t>
  </si>
  <si>
    <t>SERVIÇO</t>
  </si>
  <si>
    <t xml:space="preserve">Concreto </t>
  </si>
  <si>
    <t>Mão de obra para execução de supraestrutura de concreto armado</t>
  </si>
  <si>
    <t>IMPERMEABILIZAÇÃO E TRATAMENTOS</t>
  </si>
  <si>
    <t xml:space="preserve">Mão de obra para regularização de superfície </t>
  </si>
  <si>
    <t>Mão de obra para proteção mecânica</t>
  </si>
  <si>
    <t>Mão de obra impermeabilização de argamassa polimérica</t>
  </si>
  <si>
    <t>EQUIPAMENTOS</t>
  </si>
  <si>
    <t>Comunicação visual</t>
  </si>
  <si>
    <t>QUADRO DE ÁREAS</t>
  </si>
  <si>
    <t>MESES DE OBRA</t>
  </si>
  <si>
    <t>MÊS</t>
  </si>
  <si>
    <t>ÁREA DO TERRENO</t>
  </si>
  <si>
    <t>ÁREA CONSTRUÍDA</t>
  </si>
  <si>
    <t>NÚMERO DE UNIDADES HABITACIONAIS</t>
  </si>
  <si>
    <t>UN</t>
  </si>
  <si>
    <t>ÁREA PRIVATIVA</t>
  </si>
  <si>
    <t>NÚMERO DE PAVIMENTOS</t>
  </si>
  <si>
    <t>VALOR ORÇADO</t>
  </si>
  <si>
    <t>%</t>
  </si>
  <si>
    <t>VALOR / m²</t>
  </si>
  <si>
    <t>GERENCIAMENTO TÉCNICO E ADMINISTRATIVO</t>
  </si>
  <si>
    <t>ALVENARIA</t>
  </si>
  <si>
    <t>INSTALAÇÕES ELÉTRICAS, HIDRÁULICAS, GLP E PREVENTIVAS</t>
  </si>
  <si>
    <t>SERVIÇOS COMPLEMENTARES</t>
  </si>
  <si>
    <t>CUB/SC</t>
  </si>
  <si>
    <t>Origem</t>
  </si>
  <si>
    <t>6.3</t>
  </si>
  <si>
    <t>12.5</t>
  </si>
  <si>
    <t>Aço</t>
  </si>
  <si>
    <t>Concreto C40</t>
  </si>
  <si>
    <t xml:space="preserve">Forma </t>
  </si>
  <si>
    <t>Area</t>
  </si>
  <si>
    <t>Enchimento EPS</t>
  </si>
  <si>
    <t>Cubetas Atex 800</t>
  </si>
  <si>
    <t>kgf</t>
  </si>
  <si>
    <t xml:space="preserve"> (m³)</t>
  </si>
  <si>
    <t xml:space="preserve"> (m²)</t>
  </si>
  <si>
    <t>50x50x15</t>
  </si>
  <si>
    <t>50x50x20</t>
  </si>
  <si>
    <t>Forma Inteira 80x80x20</t>
  </si>
  <si>
    <t>Meia Forma 40x80x20</t>
  </si>
  <si>
    <t>Pilares</t>
  </si>
  <si>
    <t>Vigas</t>
  </si>
  <si>
    <t>Lajes</t>
  </si>
  <si>
    <t>Escada</t>
  </si>
  <si>
    <t>L1</t>
  </si>
  <si>
    <t>Térreo</t>
  </si>
  <si>
    <t>Unid.</t>
  </si>
  <si>
    <t>CISTERNA</t>
  </si>
  <si>
    <t>Acabamentos especiais em piso</t>
  </si>
  <si>
    <t>Mão de Obra Piso Porcenato/ Cerâmico</t>
  </si>
  <si>
    <t xml:space="preserve">Perfuração de estaca hélice contínua Ø 50cm	</t>
  </si>
  <si>
    <t>Bandejas de proteção</t>
  </si>
  <si>
    <t>Perímetro de projeção embasamento</t>
  </si>
  <si>
    <t>Bandeja de proteção primária</t>
  </si>
  <si>
    <t>Perímetro de projeção torre</t>
  </si>
  <si>
    <t>Bandeja de proteção secundária</t>
  </si>
  <si>
    <t>Guarda - corpo de desforma</t>
  </si>
  <si>
    <t>Repetições de pavimentos**</t>
  </si>
  <si>
    <t>Proteção de periferia pós desforma torre</t>
  </si>
  <si>
    <t>Tela fachadeira</t>
  </si>
  <si>
    <t>Altura de cobrimento da tela</t>
  </si>
  <si>
    <t xml:space="preserve">Fechamento removível de vãos em madeira </t>
  </si>
  <si>
    <t>Quantidade de elevadores</t>
  </si>
  <si>
    <t>Quantidade de portas de elevadores</t>
  </si>
  <si>
    <t>Área das portas de aptos</t>
  </si>
  <si>
    <t>Quantidade de aptos</t>
  </si>
  <si>
    <t>Guarda - corpo de vãos</t>
  </si>
  <si>
    <t>Perímetro de vãos</t>
  </si>
  <si>
    <t>Tapume</t>
  </si>
  <si>
    <t>Altura do tapume</t>
  </si>
  <si>
    <t>Perímetro de projeção da torre</t>
  </si>
  <si>
    <t>Perímetro de encontro com pavimentação</t>
  </si>
  <si>
    <t>Linha de vida</t>
  </si>
  <si>
    <t>Instalações de canteiro</t>
  </si>
  <si>
    <t>Produtividade média</t>
  </si>
  <si>
    <t>m2 / mês</t>
  </si>
  <si>
    <t>Pm</t>
  </si>
  <si>
    <t xml:space="preserve">h/m2 </t>
  </si>
  <si>
    <t>Numero de funcionários</t>
  </si>
  <si>
    <t>Equipe administrativa</t>
  </si>
  <si>
    <t>Ferramentas</t>
  </si>
  <si>
    <t>R$</t>
  </si>
  <si>
    <t>800,00/func.</t>
  </si>
  <si>
    <t>EPI</t>
  </si>
  <si>
    <t>500,00/func.</t>
  </si>
  <si>
    <t xml:space="preserve">Banheiro </t>
  </si>
  <si>
    <t>1/20 func</t>
  </si>
  <si>
    <t>Custo unitário</t>
  </si>
  <si>
    <t>Custo total</t>
  </si>
  <si>
    <t>Cadeira</t>
  </si>
  <si>
    <t>Mesa</t>
  </si>
  <si>
    <t>Ar condicionado</t>
  </si>
  <si>
    <t>Armário</t>
  </si>
  <si>
    <t>Escrivaninha</t>
  </si>
  <si>
    <t>Computador pessoal</t>
  </si>
  <si>
    <t>Impressora</t>
  </si>
  <si>
    <t>Roteador</t>
  </si>
  <si>
    <t>Descrição/Especificação</t>
  </si>
  <si>
    <t>V. Unit. (R$)</t>
  </si>
  <si>
    <t>Qtde.</t>
  </si>
  <si>
    <t>V. Total
(R$)</t>
  </si>
  <si>
    <t>CONTROLE TECNOLÓGICO  - CONCRETO</t>
  </si>
  <si>
    <t>Laudo e ART</t>
  </si>
  <si>
    <t>unid.</t>
  </si>
  <si>
    <t xml:space="preserve">4 CPs por caminhão betoneira de 8m³ </t>
  </si>
  <si>
    <t>Controle Tecnológico - Ensaio de concreto endurecido/grouth - compressão simples / Detalhe: Concreto</t>
  </si>
  <si>
    <t>cps</t>
  </si>
  <si>
    <t>Determinação do módulo de deformação tangente inicial (Eci) (módulo de elasticidade), Incluindo Avaliação Estática dos Resultados (NBR 8522 e NBR 12655)</t>
  </si>
  <si>
    <t>ensaio</t>
  </si>
  <si>
    <r>
      <t>A cada 5 pav.</t>
    </r>
    <r>
      <rPr>
        <sz val="9"/>
        <color theme="0" tint="-0.499984740745262"/>
        <rFont val="Poppins"/>
      </rPr>
      <t xml:space="preserve"> (e quando houver troca de fornecedor)</t>
    </r>
  </si>
  <si>
    <t>SUBTOTAL:</t>
  </si>
  <si>
    <t>Levantamento Topográfico</t>
  </si>
  <si>
    <t>SERVIÇOS INICIAIS</t>
  </si>
  <si>
    <t>Fechamento removível de vãos de porta de elevador em madeira</t>
  </si>
  <si>
    <t>Remoção de entulhos e resíduos</t>
  </si>
  <si>
    <t>ADMINISTRAÇÃO E CANTEIRO DE OBRA</t>
  </si>
  <si>
    <t>Equipe de Gestão e Apoio</t>
  </si>
  <si>
    <t>Ligações Provisórias</t>
  </si>
  <si>
    <t xml:space="preserve">SERVIÇOS TÉCNICOS </t>
  </si>
  <si>
    <t>ESTUDOS, PROJETOS, CONSULTORIA E ENSAIOS</t>
  </si>
  <si>
    <t>Estudos</t>
  </si>
  <si>
    <t>Memorial descritivo</t>
  </si>
  <si>
    <t>Estudo ambiental</t>
  </si>
  <si>
    <t>Sondagem do terreno</t>
  </si>
  <si>
    <t>Projetos</t>
  </si>
  <si>
    <t>Legalização de incorporação</t>
  </si>
  <si>
    <t>Projeto Estrutura</t>
  </si>
  <si>
    <t>Projeto preventivo (PPCI - Plano de Prevenção e Proteção Contra Incêndios)</t>
  </si>
  <si>
    <t>Consultorias</t>
  </si>
  <si>
    <t>Orçamento e planejamento</t>
  </si>
  <si>
    <t>Ensaios</t>
  </si>
  <si>
    <t>Controle Tecnologico de Concreto</t>
  </si>
  <si>
    <t>CONSUMOS, TAXAS E DOCUMENTOS</t>
  </si>
  <si>
    <t>Licenciamentos, Taxas, Impostos, Aprovações e Seguros</t>
  </si>
  <si>
    <t>Despesas de Seguros</t>
  </si>
  <si>
    <t>Aprovação e legalização ambiental</t>
  </si>
  <si>
    <t>Aprovação e legalização prefeitura</t>
  </si>
  <si>
    <t>Aprovação e legalização água e esgoto</t>
  </si>
  <si>
    <t>Aprovação e legalização elétrico</t>
  </si>
  <si>
    <t>Aprovação e legalização bombeiros</t>
  </si>
  <si>
    <t>Taxas de ART</t>
  </si>
  <si>
    <t>Alvará Construção</t>
  </si>
  <si>
    <t>Despesas cartório, licenças, certidões e jurídicas</t>
  </si>
  <si>
    <t>Iptu</t>
  </si>
  <si>
    <t>Alvará Habite-se</t>
  </si>
  <si>
    <t>Documentos</t>
  </si>
  <si>
    <t>Manuais técnicos condomínio/proprietários</t>
  </si>
  <si>
    <t>Certidão INSS</t>
  </si>
  <si>
    <t>SEGURANÇA, MEIO AMBIENTE E SAÚDE</t>
  </si>
  <si>
    <t>Segurança do Trabalho</t>
  </si>
  <si>
    <t>Serviço de segurança do trabalho - Terceirizado</t>
  </si>
  <si>
    <t>mes</t>
  </si>
  <si>
    <t>Equipamentos de proteção individual - EPI</t>
  </si>
  <si>
    <t>Equipamentos de proteção de canteiro</t>
  </si>
  <si>
    <t>Guarda-corpo de vãos, fixado em fôrma de madeira, em trama de madeira com tela de polipropileno</t>
  </si>
  <si>
    <t>Instalações Provisórias (central de aço, formas, argamassa, almoxarifado geral, construções temporárias)</t>
  </si>
  <si>
    <t>Meio Ambiente</t>
  </si>
  <si>
    <t>Elaboração do Programa de Controle Médico de Saúde Ocupacional (PCMSO)</t>
  </si>
  <si>
    <t xml:space="preserve"> Projetos de Segurança do Trabalho   </t>
  </si>
  <si>
    <t>Engenheiro</t>
  </si>
  <si>
    <t>Almoxarife</t>
  </si>
  <si>
    <t>Despesas de Consumo e Manutenção</t>
  </si>
  <si>
    <t>Consumo de água e esgoto</t>
  </si>
  <si>
    <t>Consumo de luz/energia</t>
  </si>
  <si>
    <t>Consumo internet</t>
  </si>
  <si>
    <t>Coleta de lixo</t>
  </si>
  <si>
    <t>Alimentação</t>
  </si>
  <si>
    <t>Consumo de material de expediente/escritório</t>
  </si>
  <si>
    <t>Consumo de material de higiene e limpeza</t>
  </si>
  <si>
    <t>Frete</t>
  </si>
  <si>
    <t>Fotocópias e Heliográficas</t>
  </si>
  <si>
    <t>Despesas com vizinhos</t>
  </si>
  <si>
    <t>Esgotamento de sistema sanitário temporário</t>
  </si>
  <si>
    <t>Instalações Provisórias de Canteiro de Obra</t>
  </si>
  <si>
    <t>Mobiliário de apoio a obra</t>
  </si>
  <si>
    <t>Tapume de telha metálica trapezoidal</t>
  </si>
  <si>
    <t>Rede de água fria, esgoto e drenagem</t>
  </si>
  <si>
    <t>Redes elétricas, comunicação e dados</t>
  </si>
  <si>
    <t>Equipamentos de Obra</t>
  </si>
  <si>
    <t>Estimado com base em índices históricos</t>
  </si>
  <si>
    <t>Custo de contratação Cartesian</t>
  </si>
  <si>
    <t>Locação de banheiro químico</t>
  </si>
  <si>
    <t>Equipamentos de apoio a obra</t>
  </si>
  <si>
    <t>Conforme estimativa da aba "Canteiro"</t>
  </si>
  <si>
    <t xml:space="preserve">Mão de obra - instalações hidrossanitárias e drenagem </t>
  </si>
  <si>
    <t>Rooftop</t>
  </si>
  <si>
    <t>Estrutura de exaustão</t>
  </si>
  <si>
    <t>Pavimentos</t>
  </si>
  <si>
    <t>INSTALAÇÕES PREVENTIVAS</t>
  </si>
  <si>
    <t>Exaustores Churrasqueira</t>
  </si>
  <si>
    <t>Infraestrutura para instalação de ar condicionado</t>
  </si>
  <si>
    <t>ALVENARIAS E VEDAÇÕES</t>
  </si>
  <si>
    <t>Alvenaria de vedação com blocos de concreto</t>
  </si>
  <si>
    <t>Encunhamento de alvenaria de vedação com argamassa expansiva</t>
  </si>
  <si>
    <t>Tela soldada para ligacao alvenaria/estrutura - para blocos de 9 a 14cm</t>
  </si>
  <si>
    <t>Verga/contraverga de concreto, moldada in loco</t>
  </si>
  <si>
    <t>Mão de obra para assentamento de blocos cerâmicos</t>
  </si>
  <si>
    <t xml:space="preserve">QUANTIDADE POR ITEM CA-50 </t>
  </si>
  <si>
    <t>VIGAS BALDRAME</t>
  </si>
  <si>
    <t xml:space="preserve">Perfuração de estaca hélice contínua Ø 60cm	</t>
  </si>
  <si>
    <t>DUTO E CISTERNA</t>
  </si>
  <si>
    <t>Concreto Usinado bombeável para estacas 40MPa  - incluindo serviço de bombeamento</t>
  </si>
  <si>
    <t>Considerado blocos, vigas de fundação, duto e cisterna</t>
  </si>
  <si>
    <t>Chapisco interno paredes</t>
  </si>
  <si>
    <t>Reboco interno paredes</t>
  </si>
  <si>
    <t>Estucamento de estrutura de concreto em pilares e vigas</t>
  </si>
  <si>
    <t>Contrapiso comum em argamassa estabilizada, nao aderido, espessura 5cm</t>
  </si>
  <si>
    <t>Acabamentos cimentados em piso</t>
  </si>
  <si>
    <t>Mão de obra execução de massa única em paredes interna, incluindo chapisco</t>
  </si>
  <si>
    <t>Revestimento  Cerâmico</t>
  </si>
  <si>
    <t>Peitoril em Granito</t>
  </si>
  <si>
    <t xml:space="preserve">Mão de obra - Revestimentos internos de parede </t>
  </si>
  <si>
    <t>Peitoril em granito, largura 15cm - espessura 2cm</t>
  </si>
  <si>
    <t>Mão de obra para colocação de peitoril e pingadeira</t>
  </si>
  <si>
    <t>Forro de Gesso</t>
  </si>
  <si>
    <t xml:space="preserve">Mão de obra - Acabamentos internos em teto </t>
  </si>
  <si>
    <t>Mão de obra - pintura interna</t>
  </si>
  <si>
    <t>Cobertura</t>
  </si>
  <si>
    <t>Mão de Obra Polimento de piso</t>
  </si>
  <si>
    <t>Mão de obra de rodapé Poliestireno</t>
  </si>
  <si>
    <t>Mão de obra - acabamentos em pisos e pavimentações</t>
  </si>
  <si>
    <t>Textura acrílica aplicação em paredes internas, 1 demão</t>
  </si>
  <si>
    <t>Corrimão de escadas em madeira</t>
  </si>
  <si>
    <t>Projeto Arquitetônico Executivo</t>
  </si>
  <si>
    <t>Projeto de Fundação</t>
  </si>
  <si>
    <t>Projeto elétrico/comunicação/telefonia/luminotécnico</t>
  </si>
  <si>
    <t>Projeto hidrossanitário/drenagem/pluvial</t>
  </si>
  <si>
    <t>Projeto de climatização/exaustão</t>
  </si>
  <si>
    <t>Laudo de Vizinhança</t>
  </si>
  <si>
    <t>Estagiário</t>
  </si>
  <si>
    <t>Demolições</t>
  </si>
  <si>
    <t>Locação da obra</t>
  </si>
  <si>
    <t>Locação de container</t>
  </si>
  <si>
    <t>SAPATAS</t>
  </si>
  <si>
    <t>Quant.</t>
  </si>
  <si>
    <t>Dimensões Unitárias - m</t>
  </si>
  <si>
    <t>Quantidade de Serviços</t>
  </si>
  <si>
    <t>H0</t>
  </si>
  <si>
    <t>H1</t>
  </si>
  <si>
    <t>largura</t>
  </si>
  <si>
    <t>Escav</t>
  </si>
  <si>
    <t>Apiloam</t>
  </si>
  <si>
    <t>Reaterro</t>
  </si>
  <si>
    <t>Bota-fora</t>
  </si>
  <si>
    <t>Fôrma</t>
  </si>
  <si>
    <t>Imperm</t>
  </si>
  <si>
    <t>esp</t>
  </si>
  <si>
    <r>
      <t xml:space="preserve">Vol. tronco pirâmide </t>
    </r>
    <r>
      <rPr>
        <sz val="9"/>
        <rFont val="Calibri"/>
        <family val="2"/>
        <scheme val="minor"/>
      </rPr>
      <t>= (H2/6) * [ (A*B) + (C*D) + (A+C)*(B+D) ]</t>
    </r>
  </si>
  <si>
    <t>Arbitrado tamanho de cisterna de 3,5x8m com espessura de 10cm</t>
  </si>
  <si>
    <t>L3 - ELEVADOR</t>
  </si>
  <si>
    <t>Imagens</t>
  </si>
  <si>
    <t>M²</t>
  </si>
  <si>
    <t>NÚMERO DE UNIDADES COMERCIAIS</t>
  </si>
  <si>
    <t>Garagem G1</t>
  </si>
  <si>
    <t>Garagem G2</t>
  </si>
  <si>
    <t>Equipamentos de proteção coletiva</t>
  </si>
  <si>
    <t>Perímetro</t>
  </si>
  <si>
    <t>Pé Direito</t>
  </si>
  <si>
    <t>Imagem formulário</t>
  </si>
  <si>
    <t>Perímetro de projeção Primária tipo 1</t>
  </si>
  <si>
    <t>Perímetro de projeção torre tipo 1</t>
  </si>
  <si>
    <t>* Considerado as informações do Projeto de Segurança</t>
  </si>
  <si>
    <t>Area da fachada</t>
  </si>
  <si>
    <t>SLQA</t>
  </si>
  <si>
    <t>Perímetro de projeção da torre 1</t>
  </si>
  <si>
    <t>Linha de Vida</t>
  </si>
  <si>
    <t xml:space="preserve">Perímetro de Pavimentos </t>
  </si>
  <si>
    <t>Cobertura para Proteção de Pedestres</t>
  </si>
  <si>
    <t>Número de funcionários</t>
  </si>
  <si>
    <t>Produtividade média (h/m2)</t>
  </si>
  <si>
    <t>Área construída</t>
  </si>
  <si>
    <t>A.C/prazo</t>
  </si>
  <si>
    <t>Prazo da obra</t>
  </si>
  <si>
    <t>meses</t>
  </si>
  <si>
    <t>NF</t>
  </si>
  <si>
    <t>funcionários</t>
  </si>
  <si>
    <t>Barracão interno</t>
  </si>
  <si>
    <t>Pontos de água e esgoto</t>
  </si>
  <si>
    <t>20 funcionários/ponto</t>
  </si>
  <si>
    <t>Externo</t>
  </si>
  <si>
    <t>Bebedouro</t>
  </si>
  <si>
    <t>1 / 5 pav.</t>
  </si>
  <si>
    <t>Área refeitório</t>
  </si>
  <si>
    <t>m²/funcionários</t>
  </si>
  <si>
    <t>Mobiliário de canteiro</t>
  </si>
  <si>
    <t>Área de vestiário</t>
  </si>
  <si>
    <t>Área sanitários</t>
  </si>
  <si>
    <t>área lavatório</t>
  </si>
  <si>
    <t>Área de chuveiros</t>
  </si>
  <si>
    <t>Será utilizado</t>
  </si>
  <si>
    <t>Sim</t>
  </si>
  <si>
    <t>Não</t>
  </si>
  <si>
    <t>* Central de armazenamento entre pavimentos</t>
  </si>
  <si>
    <t>Sinalização</t>
  </si>
  <si>
    <t>Escritório</t>
  </si>
  <si>
    <t>m²/pessoa</t>
  </si>
  <si>
    <t xml:space="preserve">Almoxarifado </t>
  </si>
  <si>
    <t xml:space="preserve">800 por funcionário </t>
  </si>
  <si>
    <t>500,00 por funcionário</t>
  </si>
  <si>
    <t>Considerando entrega de 2 uniformes, capacete, bota, óculos e cinto</t>
  </si>
  <si>
    <t>para cada</t>
  </si>
  <si>
    <t>pessoas</t>
  </si>
  <si>
    <t>Sinalizacao geral da obra</t>
  </si>
  <si>
    <t>Rebaixamento de Lençol Freático</t>
  </si>
  <si>
    <t>Finalizado</t>
  </si>
  <si>
    <t>Considerado sem indicação em projeto, consideração de 13% de perda</t>
  </si>
  <si>
    <t>Lastro de Brita, Aplicado em Blocos de Fundação, e= 5cm</t>
  </si>
  <si>
    <t>Movimentação de terra para bota-fora - Estacas</t>
  </si>
  <si>
    <t>Corte e Preparo de Cabeça de Estaca</t>
  </si>
  <si>
    <t>Considerado blocos, vigas de fundação, duto, cisterna, lajes e pilares de arranque</t>
  </si>
  <si>
    <t>Considerado blocos, vigas de fundação, duto, cisterna, lajes e pilares de arranque - 10% de perda</t>
  </si>
  <si>
    <t xml:space="preserve">Armação aço CA-50 ø 25,0mm para infraestrutura (corte e dobra em obra) </t>
  </si>
  <si>
    <t>Concreto Usinado bombeável 35MPa para infraestrutura - incluindo serviço de bombeamento</t>
  </si>
  <si>
    <t>Considerado blocos, vigas de fundação, duto, cisterna, lajes e pilares de arranque - 5% de perda</t>
  </si>
  <si>
    <t>Considerado Laje do Térreo</t>
  </si>
  <si>
    <t>Fabricação de Fôrma para Pilares, em Chapa de Madeira Compensada Resinada, E=17mm</t>
  </si>
  <si>
    <t>Fabricação de Fôrma para Vigas, em Chapa de Madeira Compensada Resinada, E=17mm</t>
  </si>
  <si>
    <t>Fabricação de Fôrma para Lajes, em Chapa de Madeira Compensada Resinada, E=17mm</t>
  </si>
  <si>
    <t>Montagem e Desmontagem de Fôrma de Pilares, em Chapa de Madeira Compensada Resinada</t>
  </si>
  <si>
    <t>Montagem e Desmontagem de Fôrma de Vigas, em Chapa de Madeira Compensada Resinada</t>
  </si>
  <si>
    <t>Montagem e Desmontagem de Fôrma de Lajes, em Chapa de Madeira Compensada Resinada</t>
  </si>
  <si>
    <t>Armação Aço CA-60, Diâmetro de 5,0mm para Supraestrutura, Corte e Dobra em Obra</t>
  </si>
  <si>
    <t>Quantidade disponibilizada pelo projetista</t>
  </si>
  <si>
    <t>Armação Aço CA-50, Diâmetro de 6,3mm para Supraestrutura, Corte e Dobra em Obr</t>
  </si>
  <si>
    <t>Armação Aço CA-50, Diâmetro de 8,0mm para Supraestrutura, Corte e Dobra em Obra</t>
  </si>
  <si>
    <t>Armação Aço CA-50, Diâmetro de 10,0mm para Supraestrutura, Corte e Dobra em Obra</t>
  </si>
  <si>
    <t>Armação Aço CA-50, Diâmetro de 12,5mm para Supraestrutura, Corte e Dobra em Obra</t>
  </si>
  <si>
    <t>Armação Aço CA-50, Diâmetro de 16,0mm para Supraestrutura, Corte e Dobra em Obra</t>
  </si>
  <si>
    <t>Armação Aço CA-50, Diâmetro de 20,0mm para Supraestrutura, Corte e Dobra em Obra</t>
  </si>
  <si>
    <t>Lona Plastica para Contrapiso Armado</t>
  </si>
  <si>
    <t>Alvenaria de vedacao de blocos de Refratários com argamassa refratária de assentamento</t>
  </si>
  <si>
    <t>Impermeabilização com manta asfáltica colada com asfalto derretido, uma camadas, E=4MM</t>
  </si>
  <si>
    <t>Mão de obra Instalação Hidráulica</t>
  </si>
  <si>
    <t>Hidrantes</t>
  </si>
  <si>
    <t>Instalações De Gás</t>
  </si>
  <si>
    <t>Mão de obra para instalações gás</t>
  </si>
  <si>
    <t>Automações</t>
  </si>
  <si>
    <t>Equipamentos para Lazer</t>
  </si>
  <si>
    <t>REVESTIMENTOS INTERNOS DE PAREDE</t>
  </si>
  <si>
    <t>Massa unica para reboco interno em argamassa estabilizada, espessura de 2,5cm, com execução de taliscas</t>
  </si>
  <si>
    <t>REVESTIMENTOS INTERNOS DE TETO</t>
  </si>
  <si>
    <t>Revestimento argamassado em teto</t>
  </si>
  <si>
    <t>Forro de gesso mineral - Material e Mão de Obra</t>
  </si>
  <si>
    <t>Mão de obra execução de estucamento em teto</t>
  </si>
  <si>
    <t>PISOS E PAVIMENTAÇÕES</t>
  </si>
  <si>
    <t>Acabamentos cerâmicos e Porcelanato em piso</t>
  </si>
  <si>
    <t>Rodapé de poliestireno h=10cm</t>
  </si>
  <si>
    <t>Rodapé de porcelanato h=10cm</t>
  </si>
  <si>
    <t>Mão de obra de rodapé Porcelanato</t>
  </si>
  <si>
    <t>Pintura Com Tinta Latex Acrilica em Paredes Internas, 3 Demaos</t>
  </si>
  <si>
    <t>Pintura com tinta látex acrílica, 3 demãos</t>
  </si>
  <si>
    <t>Porta de madeira de abrir Semi Oca - 70x210cm (kit completo) - fixação com espuma expansiva</t>
  </si>
  <si>
    <t>Porta de madeira de abrir Semi Oca - 80x210cm (kit completo) - fixação com espuma expansiva</t>
  </si>
  <si>
    <t>Acessórios e ferragens</t>
  </si>
  <si>
    <t>Fechadura eletronica</t>
  </si>
  <si>
    <t>entrada de cada apartamento</t>
  </si>
  <si>
    <t xml:space="preserve">Louças </t>
  </si>
  <si>
    <t>Rufo em alumínio</t>
  </si>
  <si>
    <t>Chapisco externo de argamassa pré-fabricada adesiva de cimento colante - aplicação rolada em paredes externas</t>
  </si>
  <si>
    <t>Massa unica para reboco externo em Argamassa preparada em central / usinada, espessura de 35mm</t>
  </si>
  <si>
    <t>Tratamento</t>
  </si>
  <si>
    <t>Junta de movimentação em emboço</t>
  </si>
  <si>
    <t>Perímetro de todos os pavimentos</t>
  </si>
  <si>
    <t>Textura acrílica, acabamento granulado  aplicação em paredes externas - 1 demão</t>
  </si>
  <si>
    <t>Central de aço</t>
  </si>
  <si>
    <t>Central de fôrmas</t>
  </si>
  <si>
    <t>Central de Argamassa</t>
  </si>
  <si>
    <t>Armazenamento de cerâmicas*</t>
  </si>
  <si>
    <t>Armazenamento de placas degesso*</t>
  </si>
  <si>
    <t>Armazenamento de blocos*</t>
  </si>
  <si>
    <t>Armazenamento de contramarcos*</t>
  </si>
  <si>
    <t>Armazenamento de portas e rodapés*</t>
  </si>
  <si>
    <t>Armazenamento de esquadrias*</t>
  </si>
  <si>
    <t>Armazenamento de instalações complementares*</t>
  </si>
  <si>
    <t>Armazenamento para estoque geral*</t>
  </si>
  <si>
    <t>Construções temporárias</t>
  </si>
  <si>
    <t>Almoxarifado geral</t>
  </si>
  <si>
    <t>Guarita</t>
  </si>
  <si>
    <t>Lava Rodas</t>
  </si>
  <si>
    <t>Placa indicativa fixada na estrutura por pregos</t>
  </si>
  <si>
    <t>Placa indicativa fixada em totem</t>
  </si>
  <si>
    <t>Instalação de sinalizador noturno</t>
  </si>
  <si>
    <t>Sinalização com fita fixada em cone</t>
  </si>
  <si>
    <t>Sinalização com fita fixada na estrutura amarrada</t>
  </si>
  <si>
    <t>Guia pavimentos</t>
  </si>
  <si>
    <t>Projeto:</t>
  </si>
  <si>
    <t>Empresa:</t>
  </si>
  <si>
    <t>Revisão:</t>
  </si>
  <si>
    <t>Lona</t>
  </si>
  <si>
    <t>Escavação</t>
  </si>
  <si>
    <t>Apiolamento</t>
  </si>
  <si>
    <t>Bota Fora</t>
  </si>
  <si>
    <t>Lastro
brita</t>
  </si>
  <si>
    <t>Lastro
Concreto</t>
  </si>
  <si>
    <t>Imperm.</t>
  </si>
  <si>
    <t>20 Mpa</t>
  </si>
  <si>
    <t>30 Mpa</t>
  </si>
  <si>
    <t>35 Mpa</t>
  </si>
  <si>
    <t>40 Mpa</t>
  </si>
  <si>
    <t>45 Mpa</t>
  </si>
  <si>
    <t>Total
Concreto Projetista</t>
  </si>
  <si>
    <t>Fundação Rasa</t>
  </si>
  <si>
    <t>Laje Fundação</t>
  </si>
  <si>
    <t>BLOCOS QUADRADOS RETANGULARES</t>
  </si>
  <si>
    <t>Detalhe Típico</t>
  </si>
  <si>
    <t xml:space="preserve">Lastro </t>
  </si>
  <si>
    <t>Brita</t>
  </si>
  <si>
    <t>PILARS  FUNDAÇÃO</t>
  </si>
  <si>
    <t>Área Externa</t>
  </si>
  <si>
    <t>Perímetro Externo</t>
  </si>
  <si>
    <t>Espessura Parede</t>
  </si>
  <si>
    <t>Esp</t>
  </si>
  <si>
    <t>LAJE  FUNDAÇÃO</t>
  </si>
  <si>
    <t>ENSAIOS</t>
  </si>
  <si>
    <t>Controle Tecnologico Infraestrutura - Coleta materiais da obra</t>
  </si>
  <si>
    <t>Controle Tecnologico Contenção - Coleta materiais da obra</t>
  </si>
  <si>
    <t>Controle Tecnologico Supraestrutura - Coleta materiais da obra</t>
  </si>
  <si>
    <t>Porto Cerro</t>
  </si>
  <si>
    <t>Térreo - G01</t>
  </si>
  <si>
    <t>2º pavimento - G02</t>
  </si>
  <si>
    <t>3º pavimento - G03</t>
  </si>
  <si>
    <t>4º pavimento - G04</t>
  </si>
  <si>
    <t>5º pavimento - G05</t>
  </si>
  <si>
    <t>6º pavimento - Lazer</t>
  </si>
  <si>
    <t>7º ao 19º pavimento - Tipo (x13)</t>
  </si>
  <si>
    <t>20º pavimento - Tipo Diferenciado</t>
  </si>
  <si>
    <t>21º pavimento - Duplex Superior</t>
  </si>
  <si>
    <t>Área Técnica</t>
  </si>
  <si>
    <t>Reservatório Superior</t>
  </si>
  <si>
    <t>7º pavimento</t>
  </si>
  <si>
    <t>8º pavimento</t>
  </si>
  <si>
    <t>9º pavimento</t>
  </si>
  <si>
    <t>10º pavimento</t>
  </si>
  <si>
    <t>11º pavimento</t>
  </si>
  <si>
    <t>12º pavimento</t>
  </si>
  <si>
    <t>13º pavimento</t>
  </si>
  <si>
    <t>14º pavimento</t>
  </si>
  <si>
    <t>15º pavimento</t>
  </si>
  <si>
    <t>16º pavimento</t>
  </si>
  <si>
    <t>17º pavimento</t>
  </si>
  <si>
    <t>18º pavimento</t>
  </si>
  <si>
    <t>19º pavimento</t>
  </si>
  <si>
    <t>Lazer com alvenaria de 1,80m</t>
  </si>
  <si>
    <t xml:space="preserve">Área piso elevadores </t>
  </si>
  <si>
    <t>PROJETO: XPCON_PORTO_CERRO_EST02_R01 - ARMADURA DOS BLOCOS PARTE 1</t>
  </si>
  <si>
    <t>E1=E2=E4=E6=E51=E52=E54</t>
  </si>
  <si>
    <t>E3=E5</t>
  </si>
  <si>
    <t>P59</t>
  </si>
  <si>
    <t>P24=P25</t>
  </si>
  <si>
    <t>E50</t>
  </si>
  <si>
    <t>PROJETO: XPCON_PORTO_CERRO_EST03_R01 - ARMADURA DOS BLOCOS PARTE 2</t>
  </si>
  <si>
    <t>P34=P35=P43=P44</t>
  </si>
  <si>
    <t>P23</t>
  </si>
  <si>
    <t>P32=P41=P49</t>
  </si>
  <si>
    <t>PROJETO: XPCON_PORTO_CERRO_EST04_R02 - ARMADURA DOS BLOCOS PARTE 3</t>
  </si>
  <si>
    <t>P42</t>
  </si>
  <si>
    <t>PROJETO: XPCON_PORTO_CERRO_EST05_R01 - ARMADURA DOS BLOCOS PARTE 4</t>
  </si>
  <si>
    <t>E7=E12</t>
  </si>
  <si>
    <t>E8</t>
  </si>
  <si>
    <t>E9=E10</t>
  </si>
  <si>
    <t>E11=E40=E48=E60</t>
  </si>
  <si>
    <t>E18=E22=E26=E37=E38=E45=E53</t>
  </si>
  <si>
    <t>P15=P16=P17=P56</t>
  </si>
  <si>
    <t>P14=P57</t>
  </si>
  <si>
    <t>PROJETO: XPCON_PORTO_CERRO_EST06_R02 - ARMADURA DOS BLOCOS PARTE 5</t>
  </si>
  <si>
    <t>P21=P31=P50</t>
  </si>
  <si>
    <t>P28/P29</t>
  </si>
  <si>
    <t>P20=P51</t>
  </si>
  <si>
    <t>P52=P55</t>
  </si>
  <si>
    <t>P33</t>
  </si>
  <si>
    <t>PROJETO: XPCON_PORTO_CERRO_EST09_R00 - ARMADURA VIGAS BALDRAME PARTE 1</t>
  </si>
  <si>
    <t>VCIST1=VCIST2</t>
  </si>
  <si>
    <t>VCIST3=VCIST4</t>
  </si>
  <si>
    <t>VF-DEA1</t>
  </si>
  <si>
    <t>VB7</t>
  </si>
  <si>
    <t>VB1</t>
  </si>
  <si>
    <t>VB6</t>
  </si>
  <si>
    <t>VB2 - AA</t>
  </si>
  <si>
    <t>VB2 - BB</t>
  </si>
  <si>
    <t>VB3=VB8</t>
  </si>
  <si>
    <t>VB4</t>
  </si>
  <si>
    <t>VB5</t>
  </si>
  <si>
    <t>VB9</t>
  </si>
  <si>
    <t>PROJETO: XPCON_PORTO_CERRO_EST10_R00 - ARMADURA VIGAS BALDRAME PARTE 2</t>
  </si>
  <si>
    <t>VB10</t>
  </si>
  <si>
    <t>VB11</t>
  </si>
  <si>
    <t>VB12</t>
  </si>
  <si>
    <t>VB13</t>
  </si>
  <si>
    <t>VB14</t>
  </si>
  <si>
    <t>VB15</t>
  </si>
  <si>
    <t>VB16</t>
  </si>
  <si>
    <t>VB17</t>
  </si>
  <si>
    <t>VB25</t>
  </si>
  <si>
    <t>VB20</t>
  </si>
  <si>
    <t>VB21</t>
  </si>
  <si>
    <t>VB24</t>
  </si>
  <si>
    <t>PROJETO: XPCON_PORTO_CERRO_EST11_R00 - ARMADURA VIGAS BALDRAME PARTE 3</t>
  </si>
  <si>
    <t>VB18AA</t>
  </si>
  <si>
    <t>VB18BB</t>
  </si>
  <si>
    <t>VB22AA</t>
  </si>
  <si>
    <t>VB22BB</t>
  </si>
  <si>
    <t>VB23AA</t>
  </si>
  <si>
    <t>VB23BB</t>
  </si>
  <si>
    <t>VB26</t>
  </si>
  <si>
    <t>VB37AA</t>
  </si>
  <si>
    <t>VB37BB</t>
  </si>
  <si>
    <t>VB19</t>
  </si>
  <si>
    <t>VB29</t>
  </si>
  <si>
    <t>VB34</t>
  </si>
  <si>
    <t>VB36AA</t>
  </si>
  <si>
    <t>VB36BB</t>
  </si>
  <si>
    <t>VB30</t>
  </si>
  <si>
    <t>VB31</t>
  </si>
  <si>
    <t>VB27</t>
  </si>
  <si>
    <t>VB28</t>
  </si>
  <si>
    <t>VB32</t>
  </si>
  <si>
    <t>VB33</t>
  </si>
  <si>
    <t>VB35</t>
  </si>
  <si>
    <t>VB38</t>
  </si>
  <si>
    <t>DEA</t>
  </si>
  <si>
    <t>XPCON_PORTO_CERRO_EST12_R00 - PAREDES D.E.A</t>
  </si>
  <si>
    <t>PAREDES DEA</t>
  </si>
  <si>
    <t>PROJETO: XPCON_PORTO_CERRO_EST13_R01 - PAREDES CISTERNA</t>
  </si>
  <si>
    <t>PAREDES CISTERNA</t>
  </si>
  <si>
    <t>PROJETO: RELAÇÃO DE MATERIAIS - PORTO CERRO</t>
  </si>
  <si>
    <t>ARMADURA LJ DEA E CISTERNA</t>
  </si>
  <si>
    <t>Lastro de Concreto Magro, Aplicado em Blocos de Fundação, e=5cm</t>
  </si>
  <si>
    <t xml:space="preserve">Perfuração de estaca hélice contínua Ø 40cm	</t>
  </si>
  <si>
    <t xml:space="preserve">Perfuração de estaca hélice contínua Ø 70cm	</t>
  </si>
  <si>
    <t>Armação aço CA-50 ø 12,5mm para estaca (corte e dobra em obra)</t>
  </si>
  <si>
    <t>Armação aço CA-50 ø 16mm para estaca (corte e dobra em obra)</t>
  </si>
  <si>
    <t>Forma para infraestrutura em Tábuas de Madeira Serrada - 4 X REAPROVEITAMENTO</t>
  </si>
  <si>
    <t>Concreto Usinado bombeável 40MPa para infraestrutura- incluindo serviço de bombeamento</t>
  </si>
  <si>
    <t>PAVIMENTO TÉRREO</t>
  </si>
  <si>
    <t>Escada + Rampa</t>
  </si>
  <si>
    <t>Q196</t>
  </si>
  <si>
    <t>G2</t>
  </si>
  <si>
    <t>G3</t>
  </si>
  <si>
    <t>G4</t>
  </si>
  <si>
    <t>G5</t>
  </si>
  <si>
    <t>LAZER</t>
  </si>
  <si>
    <t>TRANSIÇÃO</t>
  </si>
  <si>
    <t>TIPO (X13)</t>
  </si>
  <si>
    <t>Concreto C30</t>
  </si>
  <si>
    <t>DUPLEX INFERIOR</t>
  </si>
  <si>
    <t>DUPLEX SUPERIOR</t>
  </si>
  <si>
    <t>Concreto C35</t>
  </si>
  <si>
    <t>Q92</t>
  </si>
  <si>
    <t xml:space="preserve">COBERTURA </t>
  </si>
  <si>
    <t xml:space="preserve">Formas </t>
  </si>
  <si>
    <t>Lajes (2 jogos)</t>
  </si>
  <si>
    <t>Pilares e vigas (1 jogo) - perda 10%</t>
  </si>
  <si>
    <t>Vigas (1 jogo) - perda 10%</t>
  </si>
  <si>
    <t>Armação Aço CA-50, Diâmetro de 25,0mm para Supraestrutura, Corte e Dobra em Obra</t>
  </si>
  <si>
    <t>Armação tela Q196 para ContraPiso Armado (corte e dobra em indústria)</t>
  </si>
  <si>
    <t>Concreto Usinado FCK = 30MPa Bombeavel</t>
  </si>
  <si>
    <t>Concreto Usinado FCK = 35MPa Bombeavel</t>
  </si>
  <si>
    <t>Concreto Usinado FCK = 40MPa Bombeavel</t>
  </si>
  <si>
    <t>Bloco 14x19x04cm</t>
  </si>
  <si>
    <t>Bloco 14x19x19cm</t>
  </si>
  <si>
    <t>Bloco 14x19x24cm</t>
  </si>
  <si>
    <t>Bloco 14x19x34cm</t>
  </si>
  <si>
    <t>Bloco 14x19x39cm</t>
  </si>
  <si>
    <t>Bloco 14x19x54cm</t>
  </si>
  <si>
    <t>Bloco 14x19x19cm - Canaleta</t>
  </si>
  <si>
    <t>Resistência Bloco</t>
  </si>
  <si>
    <t>Resistência Argamassa</t>
  </si>
  <si>
    <t>Resistência Graute</t>
  </si>
  <si>
    <t>16 Mpa</t>
  </si>
  <si>
    <t>12 Mpa</t>
  </si>
  <si>
    <t>Tipo 1, 2, 3</t>
  </si>
  <si>
    <t>Tipo 4,5</t>
  </si>
  <si>
    <t>14 Mpa</t>
  </si>
  <si>
    <t>25 Mpa</t>
  </si>
  <si>
    <t>Tipo 6,7</t>
  </si>
  <si>
    <t>8 Mpa</t>
  </si>
  <si>
    <t>Tipo 8,9</t>
  </si>
  <si>
    <t>10 Mpa</t>
  </si>
  <si>
    <t>Tipo 10, 11, 12</t>
  </si>
  <si>
    <t>6 Mpa</t>
  </si>
  <si>
    <t>Tipo 13</t>
  </si>
  <si>
    <t>18 Mpa</t>
  </si>
  <si>
    <t>Duplex Inferior</t>
  </si>
  <si>
    <t>Duplex Superior</t>
  </si>
  <si>
    <t>Barrilete</t>
  </si>
  <si>
    <t>Pontos de graute</t>
  </si>
  <si>
    <t>unidades</t>
  </si>
  <si>
    <t>Pé direito</t>
  </si>
  <si>
    <t>Total por pavimento</t>
  </si>
  <si>
    <t>Total barrilete</t>
  </si>
  <si>
    <t xml:space="preserve"> </t>
  </si>
  <si>
    <t>Alvenaria de estrutural com blocos cerâmicos</t>
  </si>
  <si>
    <t>ALVENARIA E VEDAÇÕES</t>
  </si>
  <si>
    <t>Pavto Térreo</t>
  </si>
  <si>
    <t>Garagem (x3)</t>
  </si>
  <si>
    <t>Lazer</t>
  </si>
  <si>
    <t>Tipo (x13)</t>
  </si>
  <si>
    <t xml:space="preserve">Cobertura </t>
  </si>
  <si>
    <t xml:space="preserve">Serviço </t>
  </si>
  <si>
    <t>qnt Marena</t>
  </si>
  <si>
    <t>Área construída Marena</t>
  </si>
  <si>
    <t>qnt/m² Marena</t>
  </si>
  <si>
    <t>Alvenaria de vedacao de blocos ceramicos furados na horizontal de 14x19x19cm (espessura 14cm) com argamassa industrializada de assentamento</t>
  </si>
  <si>
    <t>Alvenaria de vedacao de blocos ceramicos furados na horizontal de 11.5x19x19cm (espessura 11.5cm) com argamassa industrializada de assentamento</t>
  </si>
  <si>
    <t>Alvenaria com blocos silico calcarios de 10x30x60cm (espessura 10cm) com argamassa industrializada de assentamento</t>
  </si>
  <si>
    <t>Alvenaria de vedacao de blocos ceramicos furados na horizontal de 9x19x29cm (espessura 9cm) com argamassa industrializada de assentamento</t>
  </si>
  <si>
    <t>Alvenaria de vedacao de blocos de concreto de 14x19x39cm (espessura 14cm) com argamassa industrializada de assentamento</t>
  </si>
  <si>
    <t>Mão de obra para assentamento de blocos cerâmicos/concreto</t>
  </si>
  <si>
    <t>ALVENARIAS E VEDAÇÕES - TÉRREO</t>
  </si>
  <si>
    <t>Parede Com Sistema Em Chapas De Gesso Para Drywall, Uso Interno, Montante 70mm, Com Uma Face Simples Standart (ST/70)</t>
  </si>
  <si>
    <t>Fechamento Drywall</t>
  </si>
  <si>
    <t>ALVENARIAS E VEDAÇÕES - GARAGEM (X3)</t>
  </si>
  <si>
    <t>ALVENARIAS E VEDAÇÕES - GARAGEM 5</t>
  </si>
  <si>
    <t>ALVENARIAS E VEDAÇÕES - LAZER</t>
  </si>
  <si>
    <t>ALVENARIAS E VEDAÇÕES - DUPLEX INFERIOR</t>
  </si>
  <si>
    <t>ALVENARIAS E VEDAÇÕES - DUPLEX SUPERIOR</t>
  </si>
  <si>
    <t>SUPRAESTRUTURA - TÉRREO</t>
  </si>
  <si>
    <t>GARAGEM (X3)</t>
  </si>
  <si>
    <t>Forma para Laje Contrapiso Térreo em Tábuas de Madeira Serrada</t>
  </si>
  <si>
    <t xml:space="preserve">1 JOGO PARA EMBASAMENTO </t>
  </si>
  <si>
    <t>Fabricação de Fôrma para Outros Elementos, em Chapa de Madeira Compensada Resinada, E=17mm</t>
  </si>
  <si>
    <t>Montagem e Desmontagem de Fôrma de Outros Elementos, em Chapa de Madeira Compensada Resinada</t>
  </si>
  <si>
    <t>SUPRAESTRUTURA - GARAGEM (X3)</t>
  </si>
  <si>
    <t>SUPRAESTRUTURA - GARAGEM 5</t>
  </si>
  <si>
    <t>SUPRAESTRUTURA - LAZER</t>
  </si>
  <si>
    <t>SUPRAESTRUTURA - TIPO (x13)</t>
  </si>
  <si>
    <t>SUPRAESTRUTURA - TRANSIÇÃO</t>
  </si>
  <si>
    <t>SUPRAESTRUTURA - DUPLEX INFERIOR</t>
  </si>
  <si>
    <t>SUPRAESTRUTURA - DUPLEX SUPERIOR</t>
  </si>
  <si>
    <t>SUPRAESTRUTURA - COBERTURA</t>
  </si>
  <si>
    <t>IMPERMEABILIZAÇÕES E TRATAMENTOS</t>
  </si>
  <si>
    <t>Impermeabilização de Superfície com Tinta Asfáltica (Neutrol)</t>
  </si>
  <si>
    <t xml:space="preserve">Regularização de superfície para impermeabilização </t>
  </si>
  <si>
    <t>Impermeabilização com manta liquída</t>
  </si>
  <si>
    <t>Impermeabilização De Superfície Com Argamassa Polimérica / Membrana Acrílica, 3 Demãos</t>
  </si>
  <si>
    <t>Proteção mecânica de superfície com argamassa de cimento e areia, traço 1:3 E=5cm</t>
  </si>
  <si>
    <t>Regularização de superfície para impermeabilização</t>
  </si>
  <si>
    <t>Impermeabilização de Central de gás/lixeira e fosso de elevador</t>
  </si>
  <si>
    <t>Impermeabilização de Terraços</t>
  </si>
  <si>
    <t>Impermeabilização de Vigas baldrame</t>
  </si>
  <si>
    <t>Mão de obraImpermeabilização com emulsão Asfaltica</t>
  </si>
  <si>
    <t>contenção</t>
  </si>
  <si>
    <t>esquadrias</t>
  </si>
  <si>
    <t>terraços</t>
  </si>
  <si>
    <t xml:space="preserve">Tipo Diferenciado </t>
  </si>
  <si>
    <t>Tipo (x9)</t>
  </si>
  <si>
    <t>Área construída Porto Cerro</t>
  </si>
  <si>
    <t>Área Total</t>
  </si>
  <si>
    <t>Percentual</t>
  </si>
  <si>
    <t>IMPERMEABILIZAÇÃO E TRATAMENTOS - TÉRREO</t>
  </si>
  <si>
    <t xml:space="preserve">Impermeabilização de Esquadrias </t>
  </si>
  <si>
    <t>Mão de obra impermeabilização de esquadrias com manta líquida</t>
  </si>
  <si>
    <t>IMPERMEABILIZAÇÃO E TRATAMENTOS - LAZER</t>
  </si>
  <si>
    <t>Impermeabilização de Área de serviço, Áreas tecnicas, Banheiro, Box de banheiro, Cozinha, Sacada</t>
  </si>
  <si>
    <t>IMPERMEABILIZAÇÃO E TRATAMENTOS - DUPLEX INFERIOR</t>
  </si>
  <si>
    <t>IMPERMEABILIZAÇÃO E TRATAMENTOS - TIPO (X13)</t>
  </si>
  <si>
    <t>Impermeabilização de Área de serviço, Áreas tecnicas, Banheiro, Box de banheiro, Cozinha, Sacada, Floreiras</t>
  </si>
  <si>
    <t>IMPERMEABILIZAÇÃO E TRATAMENTOS - DUPLEX SUPERIOR</t>
  </si>
  <si>
    <t>Impermeabilização de Reservatório</t>
  </si>
  <si>
    <t>Impermeabilização de Terraços e Tampa Reservatório</t>
  </si>
  <si>
    <t>IMPERMEABILIZAÇÃO E TRATAMENTOS - COBERTURA</t>
  </si>
  <si>
    <t xml:space="preserve">Vertical </t>
  </si>
  <si>
    <t>CUB MAR/25</t>
  </si>
  <si>
    <t>CUB MAI/25</t>
  </si>
  <si>
    <t>Rede Lógica - Térreo</t>
  </si>
  <si>
    <t>Rede Lógica - Tipo diferenciado</t>
  </si>
  <si>
    <t>Rede Lógica - Rooftop</t>
  </si>
  <si>
    <t>Rede Lógica - Garagem 3</t>
  </si>
  <si>
    <t>Rede Lógica - Garagem 2</t>
  </si>
  <si>
    <t>Rede Lógica - Cobertura</t>
  </si>
  <si>
    <t>Rede Lógica - Tipo (x9)</t>
  </si>
  <si>
    <t>Ramal de Entrada - Térreo</t>
  </si>
  <si>
    <t>Ramal de Saída - Garagem 2</t>
  </si>
  <si>
    <t>Ramal de Saída - Garagem 3</t>
  </si>
  <si>
    <t>Ramal de Saída - Tipo diferenciado</t>
  </si>
  <si>
    <t>Ramal de Saída - Rooftop</t>
  </si>
  <si>
    <t>Ramal de Saída - Tipo (x9)</t>
  </si>
  <si>
    <t>Ramal de Saída - Térreo</t>
  </si>
  <si>
    <t>Eletrodutos, Eletrocalhas e caixas - Tipo (x9)</t>
  </si>
  <si>
    <t>Eletrodutos, Eletrocalhas e caixas - Térreo</t>
  </si>
  <si>
    <t>Eletrodutos, Eletrocalhas e caixas - Rooftop</t>
  </si>
  <si>
    <t>Eletrodutos, Eletrocalhas e caixas - Tipo diferenciado</t>
  </si>
  <si>
    <t>Eletrodutos, Eletrocalhas e caixas - Cobertura</t>
  </si>
  <si>
    <t>Eletrodutos, Eletrocalhas e caixas - Garagem 2</t>
  </si>
  <si>
    <t>Eletrodutos, Eletrocalhas e caixas - Garagem 3</t>
  </si>
  <si>
    <t>Fios e Cabos - Garagem 2</t>
  </si>
  <si>
    <t>Fios e Cabos - Térreo</t>
  </si>
  <si>
    <t>Fios e Cabos - Garagem 3</t>
  </si>
  <si>
    <t>Enfiação - Cobertura</t>
  </si>
  <si>
    <t>Enfiação - Tipo (x9)</t>
  </si>
  <si>
    <t>Enfiação - Tipo diferenciado</t>
  </si>
  <si>
    <t>Enfiação - Rooftop</t>
  </si>
  <si>
    <t>Luminárias, lâmpadas e acessórios - Tipo (x9)</t>
  </si>
  <si>
    <t>Luminárias, lâmpadas e acessórios - Tipo diferenciado</t>
  </si>
  <si>
    <t>Luminárias, lâmpadas e acessórios - Rooftop</t>
  </si>
  <si>
    <t>Luminárias, lâmpadas e acessórios - Térreo</t>
  </si>
  <si>
    <t>Luminárias, lâmpadas e acessórios - Garagem 3</t>
  </si>
  <si>
    <t>Luminárias, lâmpadas e acessórios - Cobertura</t>
  </si>
  <si>
    <t>Luminárias, lâmpadas e acessórios - Garagem 2</t>
  </si>
  <si>
    <t>Acabamentos e acessórios - Garagem 3</t>
  </si>
  <si>
    <t>Acabamentos e acessórios - Cobertura</t>
  </si>
  <si>
    <t>Acabamentos e acessórios - Garagem 2</t>
  </si>
  <si>
    <t>Acabamentos e acessórios - Tipo (x9)</t>
  </si>
  <si>
    <t>Acabamentos e acessórios - Tipo diferenciado</t>
  </si>
  <si>
    <t>Acabamentos e acessórios - Rooftop</t>
  </si>
  <si>
    <t>Acabamentos e acessórios - Térreo</t>
  </si>
  <si>
    <t>Quadros elétricos e disjuntores - Cobertura</t>
  </si>
  <si>
    <t>Quadros elétricos e disjuntores - Garagem 2</t>
  </si>
  <si>
    <t>Quadros elétricos e disjuntores - Tipo (x9)</t>
  </si>
  <si>
    <t>Quadros elétricos e disjuntores - Tipo diferenciado</t>
  </si>
  <si>
    <t>Quadros elétricos e disjuntores - Térreo</t>
  </si>
  <si>
    <t>Quadros elétricos e disjuntores - Garagem 3</t>
  </si>
  <si>
    <t>Quadros elétricos e disjuntores - Rooftop</t>
  </si>
  <si>
    <t>Pontos exaustão churrasqueira</t>
  </si>
  <si>
    <t>Pontos exaustão banheiro</t>
  </si>
  <si>
    <t>SISTEMAS E INSTALAÇÕES HIDROSSANITÁRIAS E DRENAGEM - TÉRREO</t>
  </si>
  <si>
    <t>SISTEMAS E INSTALAÇÕES HIDROSSANITÁRIAS E DRENAGEM - COBERTURA</t>
  </si>
  <si>
    <t>SISTEMAS E INSTALAÇÕES HIDROSSANITÁRIAS E DRENAGEM - VERTICAL</t>
  </si>
  <si>
    <t>SISTEMAS E INSTALAÇÕES HIDROSSANITÁRIAS E DRENAGEM - LAZER</t>
  </si>
  <si>
    <t>SISTEMAS E INSTALAÇÕES HIDROSSANITÁRIAS E DRENAGEM - TIPO (x13)</t>
  </si>
  <si>
    <t>SISTEMAS E INSTALAÇÕES HIDROSSANITÁRIAS E DRENAGEM - DUPLEX INFERIOR</t>
  </si>
  <si>
    <t>SISTEMAS E INSTALAÇÕES HIDROSSANITÁRIAS E DRENAGEM - DUPLEX SUPERIOR</t>
  </si>
  <si>
    <t>Rede Lógica</t>
  </si>
  <si>
    <t>Ramal de Entrada</t>
  </si>
  <si>
    <t>Ramal de Saída</t>
  </si>
  <si>
    <t>Eletrodutos, Eletrocalhas e caixas</t>
  </si>
  <si>
    <t>Fios e Cabos</t>
  </si>
  <si>
    <t>Mão de obra - Sistemas e instalações elétricas, automação e Lógica</t>
  </si>
  <si>
    <t>Mão de obra para instalações elétricas e Lógica</t>
  </si>
  <si>
    <t>Sistema de Cortina Automatizada</t>
  </si>
  <si>
    <t>SISTEMAS E INSTALAÇÕES ELÉTRICAS - COBERTURA</t>
  </si>
  <si>
    <t>SISTEMAS E INSTALAÇÕES ELÉTRICAS - GARAGEM 5</t>
  </si>
  <si>
    <t>SISTEMAS E INSTALAÇÕES ELÉTRICAS - GARAGEM (X3)</t>
  </si>
  <si>
    <t>SISTEMAS E INSTALAÇÕES ELÉTRICAS - LAZER</t>
  </si>
  <si>
    <t>Sistema de Cortina Automatizada - Tipo</t>
  </si>
  <si>
    <t>Sistema de Cortina Automatizada - Rooftop</t>
  </si>
  <si>
    <t>Sistema de Cortina Automatizada - Tipo diferenciado</t>
  </si>
  <si>
    <t>SISTEMAS E INSTALAÇÕES ELÉTRICAS - TIPO (X13)</t>
  </si>
  <si>
    <t>SISTEMAS E INSTALAÇÕES ELÉTRICAS - DUPLEX INFERIOR</t>
  </si>
  <si>
    <t>SISTEMAS E INSTALAÇÕES ELÉTRICAS - DUPLEX SUPERIOR</t>
  </si>
  <si>
    <t>INSTALAÇÕES PREVENTIVAS E GLP - TÉRREO</t>
  </si>
  <si>
    <t>Instalações do Sistema Preventivo</t>
  </si>
  <si>
    <t>Instalações Elétricas Preventivas</t>
  </si>
  <si>
    <t>Instalações Elétricas de Emergência</t>
  </si>
  <si>
    <t>Instalações de Hidrantes</t>
  </si>
  <si>
    <t>Instalações De SPDA</t>
  </si>
  <si>
    <t>Sistema de SPDA - material e mão de obra</t>
  </si>
  <si>
    <t>Sistema de Gás</t>
  </si>
  <si>
    <t xml:space="preserve">Mão de obra para instalações do sistema preventivo </t>
  </si>
  <si>
    <t>Sistema de SPDA</t>
  </si>
  <si>
    <t>INSTALAÇÕES PREVENTIVAS E GLP - COBERTURA</t>
  </si>
  <si>
    <t>INSTALAÇÕES PREVENTIVAS E GLP - LAZER</t>
  </si>
  <si>
    <t>INSTALAÇÕES PREVENTIVAS E GLP - TIPO (X13)</t>
  </si>
  <si>
    <t>INSTALAÇÕES PREVENTIVAS E GLP - DUPLEX INFERIOR</t>
  </si>
  <si>
    <t>INSTALAÇÕES PREVENTIVAS E GLP - DUPLEX SUPERIOR</t>
  </si>
  <si>
    <t>CLIMATIZAÇÃO, EXAUSTÃO MECÂNICA E PRESSURIZAÇÃO - LAZER</t>
  </si>
  <si>
    <t>CLIMATIZAÇÃO, EXAUSTÃO MECÂNICA E PRESSURIZAÇÃO - TIPO (X13)</t>
  </si>
  <si>
    <t>Equipamento de ar condicionado</t>
  </si>
  <si>
    <t>CLIMATIZAÇÃO, EXAUSTÃO MECÂNICA E PRESSURIZAÇÃO - DUPLEX INFERIOR</t>
  </si>
  <si>
    <t>CLIMATIZAÇÃO, EXAUSTÃO MECÂNICA E PRESSURIZAÇÃO - DUPLEX SUPERIOR</t>
  </si>
  <si>
    <t>LOUÇAS E METAIS - TÉRREO</t>
  </si>
  <si>
    <t xml:space="preserve">LOUÇAS E METAIS - LAZER </t>
  </si>
  <si>
    <t>LOUÇAS E METAIS - TIPO (X13)</t>
  </si>
  <si>
    <t>LOUÇAS E METAIS - DUPLEX INFERIOR</t>
  </si>
  <si>
    <t>LOUÇAS E METAIS - DUPLEX SUPERIOR</t>
  </si>
  <si>
    <t>Chapisco aplicados em alvenaria, com argamassa estabilizada, aplicação convencional.</t>
  </si>
  <si>
    <t>Chapisco ensacado aplicado em estruturas de concreto</t>
  </si>
  <si>
    <t>Revestimento de Porcelanato em Paredes - Área Privativa</t>
  </si>
  <si>
    <t>Revestimento de Porcelanato em Paredes - Área Comum</t>
  </si>
  <si>
    <t>Revestimento de cerâmico retificado em Paredes, com Junta de 2mm</t>
  </si>
  <si>
    <t>Peitoril em pedra natural, largura 15cm - espessura 2cm</t>
  </si>
  <si>
    <t>REVESTIMENTOS INTERNOS DE PAREDE - TÉRREO</t>
  </si>
  <si>
    <t>Chapisco colado aplicado em estruturas de concreto</t>
  </si>
  <si>
    <t>Lixeira</t>
  </si>
  <si>
    <t>Mão de obra estucamento e regularicação de paredes</t>
  </si>
  <si>
    <t>Mão de obra para assentamento de revestimento cerâmico e porcelanato em parede</t>
  </si>
  <si>
    <t>Dutos e Fossos</t>
  </si>
  <si>
    <t>Revestimento de Porcelanato em Paredes - Área Privativa</t>
  </si>
  <si>
    <t>REVESTIMENTOS INTERNOS DE PAREDE - COBERTURA</t>
  </si>
  <si>
    <t>REVESTIMENTOS INTERNOS DE PAREDE - GARAGEM (X3)</t>
  </si>
  <si>
    <t>REVESTIMENTOS INTERNOS DE PAREDE - GARAGEM 5</t>
  </si>
  <si>
    <t>REVESTIMENTOS INTERNOS DE PAREDE - LAZER</t>
  </si>
  <si>
    <t>REVESTIMENTOS INTERNOS DE PAREDE - TIPO  (X13)</t>
  </si>
  <si>
    <t>REVESTIMENTOS INTERNOS DE PAREDE - DUPLEX INFERIOR</t>
  </si>
  <si>
    <t>REVESTIMENTOS INTERNOS DE PAREDE - DUPLEX SUPERIOR</t>
  </si>
  <si>
    <t xml:space="preserve">Estucamento em teto </t>
  </si>
  <si>
    <t>Negativo Forro de gesso mineral - Material e Mão de Obra</t>
  </si>
  <si>
    <t>REVESTIMENTOS INTERNOS DE TETO - TÉRREO</t>
  </si>
  <si>
    <t>Estucamento em teto</t>
  </si>
  <si>
    <t>REVESTIMENTOS INTERNOS DE TETO - COBERTURA</t>
  </si>
  <si>
    <t>REVESTIMENTOS INTERNOS DE TETO - GARAGEM (X3)</t>
  </si>
  <si>
    <t>REVESTIMENTOS INTERNOS DE TETO - G5</t>
  </si>
  <si>
    <t>REVESTIMENTOS INTERNOS DE TETO - LAZER</t>
  </si>
  <si>
    <t>REVESTIMENTOS INTERNOS DE TETO - TIPO (X13)</t>
  </si>
  <si>
    <t>REVESTIMENTOS INTERNOS DE TETO - DUPLEX INFERIOR</t>
  </si>
  <si>
    <t>REVESTIMENTOS INTERNOS DE TETO - DUPLEX SUPERIOR</t>
  </si>
  <si>
    <t>Contrapiso comum em argamassa estabilizada, nao aderido, espessura 2,5cm</t>
  </si>
  <si>
    <t>Acústica para contrapiso</t>
  </si>
  <si>
    <t>Contrapiso comum em argamassa estabilizada, nao aderido, espessura 2cm</t>
  </si>
  <si>
    <t>Contrapiso comum em argamassa estabilizada, não aderido, espessura 3cm</t>
  </si>
  <si>
    <t>Contrapiso em argamassa autonivelante, espessura 5cm</t>
  </si>
  <si>
    <t>Piso concreto Polido</t>
  </si>
  <si>
    <t>Revestimento em Porcelanato Área Técnica e Lixeira</t>
  </si>
  <si>
    <t>Revestimento em Porcelanato, aplicação em áreas privativas</t>
  </si>
  <si>
    <t>Revestimento em Porcelanato Área Comum Interno e Externo</t>
  </si>
  <si>
    <t>PISOS E PAVIMENTAÇÕES - TÉRREO</t>
  </si>
  <si>
    <t>Mão de obra execução de contrapiso comum</t>
  </si>
  <si>
    <t>Mão de obra execução Polimento de piso</t>
  </si>
  <si>
    <t>Mão de Obra Piso Porcelanato / Cerâmico</t>
  </si>
  <si>
    <t xml:space="preserve">Mão de obra execução de contrapiso comum </t>
  </si>
  <si>
    <t>Mão de Obra Piso Porcelanato/ Cerâmico</t>
  </si>
  <si>
    <t xml:space="preserve">Revestimento em Pastilhas Cerâmicas Para Piscinas </t>
  </si>
  <si>
    <t>Soleira em pedra natural, largura 15cm - espessura 2cm</t>
  </si>
  <si>
    <t>PISOS E PAVIMENTAÇÕES - COBERTURA</t>
  </si>
  <si>
    <t>Revestimento de piso vinílico</t>
  </si>
  <si>
    <t>PISOS E PAVIMENTAÇÕES - GARAGEM (X3)</t>
  </si>
  <si>
    <t>PISOS E PAVIMENTAÇÕES - GARAGEM 5</t>
  </si>
  <si>
    <t>PISOS E PAVIMENTAÇÕES - LAZER</t>
  </si>
  <si>
    <t>PISOS E PAVIMENTAÇÕES - TIPO (X13)</t>
  </si>
  <si>
    <t>PISOS E PAVIMENTAÇÕES - DUPLEX INFERIOR</t>
  </si>
  <si>
    <t>PISOS E PAVIMENTAÇÕES - DUPLEX SUPERIOR</t>
  </si>
  <si>
    <t>Pintura Epóxi para demarcação de vagas em piso, 1 demão</t>
  </si>
  <si>
    <t>Pintura em Epóxi em Piso de garagem Aplicação Manual, 2 Demãos</t>
  </si>
  <si>
    <t>Pintura Acrílica em Piso, Aplicação Manual, 2 Demãos</t>
  </si>
  <si>
    <t>Pintura de Faixa de Garagem em paredes</t>
  </si>
  <si>
    <t>Aplicação de Selador em paredes, 1 demão</t>
  </si>
  <si>
    <t>Massa Latex PVA Em Paredes Internas 2 Demaos</t>
  </si>
  <si>
    <t>Pintura Com Tinta Latex Acrilica em Paredes Internas, 1 Demao</t>
  </si>
  <si>
    <t>PINTURA INTERNA - TÉRREO</t>
  </si>
  <si>
    <t>Mão de obra para Pintura de Piso, 2 demãos</t>
  </si>
  <si>
    <t xml:space="preserve">Mao De Obra Para Pintura Acrilica Em Paredes, 1 Demão de Fundo Preparador mais 3 Demaos de Pintura </t>
  </si>
  <si>
    <t>Mao De Obra Para Pintura Acrilica Em Paredes, Selador 1 Demão, Massa Pva 2 demaos e Tinta Acrílica 3 demãos</t>
  </si>
  <si>
    <t>Mão de obra para aplicação de Textura acrílica em paredes internas, 1 demão</t>
  </si>
  <si>
    <t xml:space="preserve">Mao De Obra Para Pintura Acrilica Em Paredes, 1 Demao de Pintura </t>
  </si>
  <si>
    <t>PINTURA INTERNA - COBERTURA</t>
  </si>
  <si>
    <t>Mão de obra para Pintura acrílica em teto, Selador 1 Demão, Tinta Acrílica 3 demãos</t>
  </si>
  <si>
    <t>PINTURA INTERNA - GARAGEM (X3)</t>
  </si>
  <si>
    <t>PINTURA INTERNA - GARAGEM 5</t>
  </si>
  <si>
    <t>PINTURA INTERNA - LAZER</t>
  </si>
  <si>
    <t>PINTURA INTERNA - TIPO (X13)</t>
  </si>
  <si>
    <t>PINTURA INTERNA - DUPLEX INFERIOR</t>
  </si>
  <si>
    <t>PINTURA INTERNA - DUPLEX SUPERIOR</t>
  </si>
  <si>
    <t>NOME</t>
  </si>
  <si>
    <t>G01</t>
  </si>
  <si>
    <t>G02</t>
  </si>
  <si>
    <t>G03</t>
  </si>
  <si>
    <t>VF01</t>
  </si>
  <si>
    <t>VF02</t>
  </si>
  <si>
    <t>VF03</t>
  </si>
  <si>
    <t>P01</t>
  </si>
  <si>
    <t>PB1</t>
  </si>
  <si>
    <t>PB2</t>
  </si>
  <si>
    <t>PCF</t>
  </si>
  <si>
    <t>PCF2</t>
  </si>
  <si>
    <t>PGLP</t>
  </si>
  <si>
    <t>PL</t>
  </si>
  <si>
    <t>DIMENSÕES</t>
  </si>
  <si>
    <t>1,10×1,40</t>
  </si>
  <si>
    <t>0,86×0,80</t>
  </si>
  <si>
    <t>1,00×0,80</t>
  </si>
  <si>
    <t>2,15×2,80</t>
  </si>
  <si>
    <t>2,33×2,80</t>
  </si>
  <si>
    <t>0,55×2,80</t>
  </si>
  <si>
    <t>1,20×2,80</t>
  </si>
  <si>
    <t>0,70×1,10</t>
  </si>
  <si>
    <t>0,90×2,10</t>
  </si>
  <si>
    <t>0,90×1,75</t>
  </si>
  <si>
    <t>1,00×1,80</t>
  </si>
  <si>
    <t>1,27×1,80</t>
  </si>
  <si>
    <t>Veneziana Fixa</t>
  </si>
  <si>
    <t>Fixo</t>
  </si>
  <si>
    <t>Pivotante</t>
  </si>
  <si>
    <t>Abrir Simples</t>
  </si>
  <si>
    <t>Correr 2 Folhas</t>
  </si>
  <si>
    <t>FOLHA</t>
  </si>
  <si>
    <t>MATERIAL</t>
  </si>
  <si>
    <t>Alumínio</t>
  </si>
  <si>
    <t>COR</t>
  </si>
  <si>
    <t>Chumbo</t>
  </si>
  <si>
    <t>Branco</t>
  </si>
  <si>
    <t>FECHAMENTO</t>
  </si>
  <si>
    <t>Veneziana</t>
  </si>
  <si>
    <t>Vidro</t>
  </si>
  <si>
    <t>QTD</t>
  </si>
  <si>
    <t>Alumínio Anodizado</t>
  </si>
  <si>
    <t>Aço Galvanizado</t>
  </si>
  <si>
    <t>TÉRREO</t>
  </si>
  <si>
    <t>G04</t>
  </si>
  <si>
    <t>J01</t>
  </si>
  <si>
    <t>PB3</t>
  </si>
  <si>
    <t>7,00×2,48</t>
  </si>
  <si>
    <t>0,90×1,73</t>
  </si>
  <si>
    <t>Basculante; Fixo</t>
  </si>
  <si>
    <t>GARAGEM 5</t>
  </si>
  <si>
    <t>G05</t>
  </si>
  <si>
    <t>J03</t>
  </si>
  <si>
    <t>7,00×3,04</t>
  </si>
  <si>
    <t>G06</t>
  </si>
  <si>
    <t>J04</t>
  </si>
  <si>
    <t>J05</t>
  </si>
  <si>
    <t>VF04</t>
  </si>
  <si>
    <t>VF05</t>
  </si>
  <si>
    <t>VF06</t>
  </si>
  <si>
    <t>VF07</t>
  </si>
  <si>
    <t>VF08</t>
  </si>
  <si>
    <t>VF09</t>
  </si>
  <si>
    <t>VF10</t>
  </si>
  <si>
    <t>VF11</t>
  </si>
  <si>
    <t>VF12</t>
  </si>
  <si>
    <t>P02</t>
  </si>
  <si>
    <t>P03</t>
  </si>
  <si>
    <t>P04</t>
  </si>
  <si>
    <t>P05</t>
  </si>
  <si>
    <t>P06</t>
  </si>
  <si>
    <t>P07</t>
  </si>
  <si>
    <t>P08</t>
  </si>
  <si>
    <t>P09</t>
  </si>
  <si>
    <t>7,20×2,95</t>
  </si>
  <si>
    <t>3,78×2,60</t>
  </si>
  <si>
    <t>0,59×2,95</t>
  </si>
  <si>
    <t>4,09×2,60</t>
  </si>
  <si>
    <t>2,04×2,60</t>
  </si>
  <si>
    <t>3,23×2,60</t>
  </si>
  <si>
    <t>4,85×2,60</t>
  </si>
  <si>
    <t>2,45×2,60</t>
  </si>
  <si>
    <t>3,58×2,60</t>
  </si>
  <si>
    <t>2,13×2,60</t>
  </si>
  <si>
    <t>2,63×2,60</t>
  </si>
  <si>
    <t>1,20×2,40</t>
  </si>
  <si>
    <t>0,70×2,10</t>
  </si>
  <si>
    <t>0,80×2,10</t>
  </si>
  <si>
    <t>3,68×3,10</t>
  </si>
  <si>
    <t>2,70×3,10</t>
  </si>
  <si>
    <t>1,80×3,10</t>
  </si>
  <si>
    <t>Madeira</t>
  </si>
  <si>
    <t>G08</t>
  </si>
  <si>
    <t>J06</t>
  </si>
  <si>
    <t>J07</t>
  </si>
  <si>
    <t>J08</t>
  </si>
  <si>
    <t>J09</t>
  </si>
  <si>
    <t>J10</t>
  </si>
  <si>
    <t>J11</t>
  </si>
  <si>
    <t>J12</t>
  </si>
  <si>
    <t>J13</t>
  </si>
  <si>
    <t>P10</t>
  </si>
  <si>
    <t>P11</t>
  </si>
  <si>
    <t>P14</t>
  </si>
  <si>
    <t>P15</t>
  </si>
  <si>
    <t>0,50×1,05</t>
  </si>
  <si>
    <t>0,60×1,05</t>
  </si>
  <si>
    <t>1,60×1,50</t>
  </si>
  <si>
    <t>1,80×1,50</t>
  </si>
  <si>
    <t>2,40×2,20</t>
  </si>
  <si>
    <t>1,60×2,20</t>
  </si>
  <si>
    <t>1,40×2,20</t>
  </si>
  <si>
    <t>1,80×2,20</t>
  </si>
  <si>
    <t>2,30×2,60</t>
  </si>
  <si>
    <t>3,00×2,60</t>
  </si>
  <si>
    <t>Basculante</t>
  </si>
  <si>
    <t>Correr 1 Folha</t>
  </si>
  <si>
    <t>Correr 3 Folhas</t>
  </si>
  <si>
    <t>Correr 2 Folhas; Fixo</t>
  </si>
  <si>
    <t>G09</t>
  </si>
  <si>
    <t>J14</t>
  </si>
  <si>
    <t>P16</t>
  </si>
  <si>
    <t>P17</t>
  </si>
  <si>
    <t>1,50×1,05</t>
  </si>
  <si>
    <t>5,00×2,70</t>
  </si>
  <si>
    <t>0,70×2,60</t>
  </si>
  <si>
    <t>Correr 4 Folhas</t>
  </si>
  <si>
    <t xml:space="preserve">Alumínio </t>
  </si>
  <si>
    <t>DIM CM</t>
  </si>
  <si>
    <t xml:space="preserve">ÁREA </t>
  </si>
  <si>
    <t>AT</t>
  </si>
  <si>
    <t>PT</t>
  </si>
  <si>
    <t>Esquadria de alumínio</t>
  </si>
  <si>
    <t>Esquadria metálica</t>
  </si>
  <si>
    <t>PCF 90X210CM</t>
  </si>
  <si>
    <t>Porta correr 2 folhas 1,27x1,80m</t>
  </si>
  <si>
    <t>Contramarco metálico</t>
  </si>
  <si>
    <t>Esquadria Madeira 70x210cm</t>
  </si>
  <si>
    <t>Esquadria Madeira 90x210cm</t>
  </si>
  <si>
    <t>Esquadria Madeira 80x210cm</t>
  </si>
  <si>
    <t xml:space="preserve">Guarda corpo Vidro </t>
  </si>
  <si>
    <t>Guarda Corpo de vidro e aluminio h=100cm</t>
  </si>
  <si>
    <t>Corrimão de escadas em madeira instalado</t>
  </si>
  <si>
    <t>Porta corta-fogo, 1 folha, 90x210 cm - instalado</t>
  </si>
  <si>
    <t>área técnica</t>
  </si>
  <si>
    <t>Guarda corpo em alumínio 1,05m</t>
  </si>
  <si>
    <t>Guarda corpo em alumínio e vidro 1,05m</t>
  </si>
  <si>
    <t>sacadas</t>
  </si>
  <si>
    <t>Brise de alumínio</t>
  </si>
  <si>
    <t>Guarda Corpo de vidro e aluminio h=105cm</t>
  </si>
  <si>
    <t>Porta de madeira de abrir Semi Oca - 90x210cm (kit completo) - fixação com espuma expansiva</t>
  </si>
  <si>
    <t>Pintura  Acrílica Acetinada sobre textura Externa 3 Demãos</t>
  </si>
  <si>
    <t>Textura acrílica projetada, aplicação em paredes externas - 1 demão</t>
  </si>
  <si>
    <t>Mão de obra para aplicação de textura em paredes externas - 1 demão de textura + 3 de tinta</t>
  </si>
  <si>
    <t>OUTROS</t>
  </si>
  <si>
    <t>Pintura Acrílica Externa 3 Demãos</t>
  </si>
  <si>
    <t>Sistema de Tratamento de Efluentes</t>
  </si>
  <si>
    <t xml:space="preserve">Projeto Arquitetônico legal </t>
  </si>
  <si>
    <t>Projeto de Segurança - Furações</t>
  </si>
  <si>
    <t>Projeto de Impermeabilização</t>
  </si>
  <si>
    <t>Confrome cálculo da aba "Canteiro"</t>
  </si>
  <si>
    <t>Bandeja de Proteção Primária com trama de madeira forrada com painel compensado</t>
  </si>
  <si>
    <t>Bandeja de Proteção Seundária com trama de madeira forrada com painel compensado</t>
  </si>
  <si>
    <t>Guarda corpo de laje após desforma com escora metálica, travessões e tela</t>
  </si>
  <si>
    <t>Tela fachadeira de polietileno reforçada com impressão digital</t>
  </si>
  <si>
    <t>Elaboração do Programa de Gerenciamento de Riscos (PGR)</t>
  </si>
  <si>
    <t>Mestre de Obras</t>
  </si>
  <si>
    <t>Conforme definido em aba "Canteiro"</t>
  </si>
  <si>
    <t>Previsão de 1 unidade para engenharia - Até a alvenaria do lazer</t>
  </si>
  <si>
    <t>Previsão de 1 unidade para o período da infraestrutura</t>
  </si>
  <si>
    <t>Fechamento frontal da obra e dos fundos da obra</t>
  </si>
  <si>
    <t>Serviços Iniciais</t>
  </si>
  <si>
    <t>Limpeza da camada vegetal Mecanizada</t>
  </si>
  <si>
    <t>Locação tubular fachadeiro</t>
  </si>
  <si>
    <t>Locação de balancim motorizado</t>
  </si>
  <si>
    <t>Montagem/troca de balancim</t>
  </si>
  <si>
    <t xml:space="preserve">2 montagens por pano para torre + 2 montagens por pano para embasamento </t>
  </si>
  <si>
    <t>Ferramentas e equipamentos adquiridos no decorrer da obra</t>
  </si>
  <si>
    <t>Aquisição Carrinho plataforma 600kg</t>
  </si>
  <si>
    <t>Aquisição de condutor de entulho vertical - Conjunto</t>
  </si>
  <si>
    <t>1 prumada</t>
  </si>
  <si>
    <t>Consideração de 4 caçambas de 5m³ ao mês - prevendo custo de 500,00/caçamba</t>
  </si>
  <si>
    <t>Valor informado em formulário Marena</t>
  </si>
  <si>
    <t>Locação de Escoramento Metálico</t>
  </si>
  <si>
    <t>Considerado 1 bomba para execução dos blocos e vigas baldrames, no prazo de 2 meses.</t>
  </si>
  <si>
    <t>REVESTIMENTOS E ACABAMENTOS EM TETO</t>
  </si>
  <si>
    <t>Placas fotovoltáicas</t>
  </si>
  <si>
    <t>Massa unica para reboco interno em argamassa estabilizada, espessura de 1,5cm, com execução de taliscas</t>
  </si>
  <si>
    <t xml:space="preserve">entrada de cada apartamento </t>
  </si>
  <si>
    <t xml:space="preserve">Contador </t>
  </si>
  <si>
    <t>6 unidades por 5 meses+3 por 3 meses</t>
  </si>
  <si>
    <t>PROJETO:  XPCON_PORTO_CERRO_EST01_R04 - PLANTA DE LOCAÇÃO</t>
  </si>
  <si>
    <t>DUPLEX INFERIOR PROJETO: XPCON_PORTO_CERRO_EST82A_R00 - ARMADURA LAJE PISO DUPLEX INFERIOR</t>
  </si>
  <si>
    <t>XPCON_PORTO_CERRO_EST65_R02 - REFORÇOS VERTICAIS</t>
  </si>
  <si>
    <t>Quantidade sem 10%</t>
  </si>
  <si>
    <t>TIPO (X13) -  PROJETO: XPCON_PORTO_CERRO_EST81_R01 - ARMADURA LAJE TIPO</t>
  </si>
  <si>
    <t>Armação Aço CA-50, Diâmetro de 16mm para Supraestrutura, Corte e Dobra em Obra</t>
  </si>
  <si>
    <t>ALVENARIA ESTRUTURAL</t>
  </si>
  <si>
    <t>ALVENARIAS E VEDAÇÕES - TIPO 4,5</t>
  </si>
  <si>
    <t>ALVENARIAS E VEDAÇÕES - TIPO 1,2,3</t>
  </si>
  <si>
    <t>Armadura para pontos de groute</t>
  </si>
  <si>
    <t>ALVENARIAS E VEDAÇÕES - TIPO 6,7</t>
  </si>
  <si>
    <t>ALVENARIAS E VEDAÇÕES - TIPO 8,9</t>
  </si>
  <si>
    <t>ALVENARIAS E VEDAÇÕES - TIPO 10,11,12</t>
  </si>
  <si>
    <t>ARMAÇÃO ALVENARIA ESTRUTURAL</t>
  </si>
  <si>
    <t>Verificar - Projeto de alvenaria estrutural divergente do modelo (Bloco 14 e bloco 19)</t>
  </si>
  <si>
    <t>Alvenaria estrutural de blocos ceramicos de 16 MPa com argamassa de 12MPa</t>
  </si>
  <si>
    <t>Alvenaria estrutural de blocos ceramicos de 14 MPa com argamassa de 12MPa</t>
  </si>
  <si>
    <t>Alvenaria estrutural de blocos ceramicos de 12 MPa com argamassa de 8MPa</t>
  </si>
  <si>
    <t>Alvenaria estrutural de blocos ceramicos de 10 MPa com argamassa de 8MPa</t>
  </si>
  <si>
    <t>Alvenaria estrutural de blocos ceramicos de 8 MPa com argamassa de 6MPa</t>
  </si>
  <si>
    <t>Alvenaria estrutural de blocos ceramicos de 6 MPa com argamassa de 6MPa</t>
  </si>
  <si>
    <t>ALVENARIAS E VEDAÇÕES - TIPO 13, DUPLEX INFERIOR, SUPERIOR E BARRILETE</t>
  </si>
  <si>
    <t>Quantitativo de blocos extraído de projeto estrutural e área de modelagem</t>
  </si>
  <si>
    <t>Estimado por falta de dados em projeto</t>
  </si>
  <si>
    <t/>
  </si>
  <si>
    <t>DADOS</t>
  </si>
  <si>
    <t>Titulo</t>
  </si>
  <si>
    <t>QUANTITATIVO</t>
  </si>
  <si>
    <t>Cliente</t>
  </si>
  <si>
    <t>Cidade</t>
  </si>
  <si>
    <t>Endereço</t>
  </si>
  <si>
    <t>QUANTITATIVOS</t>
  </si>
  <si>
    <t>1.</t>
  </si>
  <si>
    <t xml:space="preserve"> Serviços complementares - cobertura</t>
  </si>
  <si>
    <t>1.1.</t>
  </si>
  <si>
    <t>22_COBERTURA</t>
  </si>
  <si>
    <t>1.1.1</t>
  </si>
  <si>
    <t>RUFO - TELHADOS</t>
  </si>
  <si>
    <t>1.2.</t>
  </si>
  <si>
    <t>24_TAMPA DO RESERVATÓRIO</t>
  </si>
  <si>
    <t>1.2.1</t>
  </si>
  <si>
    <t>2.</t>
  </si>
  <si>
    <t>Alvenaria de vedação com bocos de concreto</t>
  </si>
  <si>
    <t>2.1.</t>
  </si>
  <si>
    <t>01_TERREO</t>
  </si>
  <si>
    <t>2.1.1</t>
  </si>
  <si>
    <t>BLOCO CONCRETO, 14 cm</t>
  </si>
  <si>
    <t>2.2.</t>
  </si>
  <si>
    <t>02_GARAGEM 02</t>
  </si>
  <si>
    <t>2.2.1</t>
  </si>
  <si>
    <t>2.3.</t>
  </si>
  <si>
    <t>03_GARAGEM 03</t>
  </si>
  <si>
    <t>2.3.1</t>
  </si>
  <si>
    <t>2.4.</t>
  </si>
  <si>
    <t>04_GARAGEM 04</t>
  </si>
  <si>
    <t>2.4.1</t>
  </si>
  <si>
    <t>2.5.</t>
  </si>
  <si>
    <t>05_GARAGEM 05</t>
  </si>
  <si>
    <t>2.5.1</t>
  </si>
  <si>
    <t>2.6.</t>
  </si>
  <si>
    <t>06_LAZER</t>
  </si>
  <si>
    <t>2.6.1</t>
  </si>
  <si>
    <t>2.7.</t>
  </si>
  <si>
    <t>07_TIPO DIF. 1</t>
  </si>
  <si>
    <t>2.7.1</t>
  </si>
  <si>
    <t>2.7.2</t>
  </si>
  <si>
    <t>BLOCO CONCRETO, 19 cm</t>
  </si>
  <si>
    <t>2.8.</t>
  </si>
  <si>
    <t>08_ TIPO 02</t>
  </si>
  <si>
    <t>2.8.1</t>
  </si>
  <si>
    <t>2.8.2</t>
  </si>
  <si>
    <t>2.9.</t>
  </si>
  <si>
    <t>09_TIPO 03</t>
  </si>
  <si>
    <t>2.9.1</t>
  </si>
  <si>
    <t>2.9.2</t>
  </si>
  <si>
    <t>2.10.</t>
  </si>
  <si>
    <t>10_TIPO 04</t>
  </si>
  <si>
    <t>2.10.1</t>
  </si>
  <si>
    <t>2.10.2</t>
  </si>
  <si>
    <t>2.11.</t>
  </si>
  <si>
    <t>11_TIPO 05</t>
  </si>
  <si>
    <t>2.11.1</t>
  </si>
  <si>
    <t>2.11.2</t>
  </si>
  <si>
    <t>2.12.</t>
  </si>
  <si>
    <t>12_TIPO 06</t>
  </si>
  <si>
    <t>2.12.1</t>
  </si>
  <si>
    <t>2.12.2</t>
  </si>
  <si>
    <t>2.13.</t>
  </si>
  <si>
    <t>13_TIPO 07</t>
  </si>
  <si>
    <t>2.13.1</t>
  </si>
  <si>
    <t>2.13.2</t>
  </si>
  <si>
    <t>2.14.</t>
  </si>
  <si>
    <t>14_TIPO 08</t>
  </si>
  <si>
    <t>2.14.1</t>
  </si>
  <si>
    <t>2.14.2</t>
  </si>
  <si>
    <t>2.15.</t>
  </si>
  <si>
    <t>15_TIPO 09</t>
  </si>
  <si>
    <t>2.15.1</t>
  </si>
  <si>
    <t>2.15.2</t>
  </si>
  <si>
    <t>2.16.</t>
  </si>
  <si>
    <t>16_TIPO 10</t>
  </si>
  <si>
    <t>2.16.1</t>
  </si>
  <si>
    <t>2.16.2</t>
  </si>
  <si>
    <t>2.17.</t>
  </si>
  <si>
    <t>17_TIPO 11</t>
  </si>
  <si>
    <t>2.17.1</t>
  </si>
  <si>
    <t>2.17.2</t>
  </si>
  <si>
    <t>2.18.</t>
  </si>
  <si>
    <t>18_TIPO 12</t>
  </si>
  <si>
    <t>2.18.1</t>
  </si>
  <si>
    <t>2.18.2</t>
  </si>
  <si>
    <t>2.19.</t>
  </si>
  <si>
    <t>19_TIPO 13</t>
  </si>
  <si>
    <t>2.19.1</t>
  </si>
  <si>
    <t>2.19.2</t>
  </si>
  <si>
    <t>2.20.</t>
  </si>
  <si>
    <t>20_DUP. INF.</t>
  </si>
  <si>
    <t>2.20.1</t>
  </si>
  <si>
    <t>2.20.2</t>
  </si>
  <si>
    <t>2.21.</t>
  </si>
  <si>
    <t>21_DUP. SUP.</t>
  </si>
  <si>
    <t>2.21.1</t>
  </si>
  <si>
    <t>2.21.2</t>
  </si>
  <si>
    <t>2.22.</t>
  </si>
  <si>
    <t>2.22.1</t>
  </si>
  <si>
    <t>2.23.</t>
  </si>
  <si>
    <t>23_RESERVATÓRIO</t>
  </si>
  <si>
    <t>2.23.1</t>
  </si>
  <si>
    <t>2.24.</t>
  </si>
  <si>
    <t>2.24.1</t>
  </si>
  <si>
    <t>3.</t>
  </si>
  <si>
    <t>Serviços complementares para alvenaria</t>
  </si>
  <si>
    <t>3.1.</t>
  </si>
  <si>
    <t>3.1.1</t>
  </si>
  <si>
    <t>ENCUNHAMENTO</t>
  </si>
  <si>
    <t>3.2.</t>
  </si>
  <si>
    <t>3.2.1</t>
  </si>
  <si>
    <t>3.3.</t>
  </si>
  <si>
    <t>3.3.1</t>
  </si>
  <si>
    <t>3.4.</t>
  </si>
  <si>
    <t>3.4.1</t>
  </si>
  <si>
    <t>3.5.</t>
  </si>
  <si>
    <t>3.5.1</t>
  </si>
  <si>
    <t>3.6.</t>
  </si>
  <si>
    <t>3.6.1</t>
  </si>
  <si>
    <t>3.7.</t>
  </si>
  <si>
    <t>3.7.1</t>
  </si>
  <si>
    <t>3.8.</t>
  </si>
  <si>
    <t>3.8.1</t>
  </si>
  <si>
    <t>3.9.</t>
  </si>
  <si>
    <t>3.9.1</t>
  </si>
  <si>
    <t>3.10.</t>
  </si>
  <si>
    <t>3.10.1</t>
  </si>
  <si>
    <t>3.11.</t>
  </si>
  <si>
    <t>3.11.1</t>
  </si>
  <si>
    <t>3.12.</t>
  </si>
  <si>
    <t>3.12.1</t>
  </si>
  <si>
    <t>3.13.</t>
  </si>
  <si>
    <t>3.13.1</t>
  </si>
  <si>
    <t>3.14.</t>
  </si>
  <si>
    <t>3.14.1</t>
  </si>
  <si>
    <t>3.15.</t>
  </si>
  <si>
    <t>3.15.1</t>
  </si>
  <si>
    <t>3.16.</t>
  </si>
  <si>
    <t>3.16.1</t>
  </si>
  <si>
    <t>3.17.</t>
  </si>
  <si>
    <t>3.17.1</t>
  </si>
  <si>
    <t>3.18.</t>
  </si>
  <si>
    <t>3.18.1</t>
  </si>
  <si>
    <t>3.19.</t>
  </si>
  <si>
    <t>3.19.1</t>
  </si>
  <si>
    <t>3.20.</t>
  </si>
  <si>
    <t>3.20.1</t>
  </si>
  <si>
    <t>3.21.</t>
  </si>
  <si>
    <t>3.21.1</t>
  </si>
  <si>
    <t>3.22.</t>
  </si>
  <si>
    <t>3.22.1</t>
  </si>
  <si>
    <t>3.23.</t>
  </si>
  <si>
    <t>3.23.1</t>
  </si>
  <si>
    <t>3.24.</t>
  </si>
  <si>
    <t>3.24.1</t>
  </si>
  <si>
    <t>4.</t>
  </si>
  <si>
    <t>Drywall</t>
  </si>
  <si>
    <t>4.1.</t>
  </si>
  <si>
    <t>4.1.1</t>
  </si>
  <si>
    <t>DRYWALL MONTANTE 90 mm OSSO</t>
  </si>
  <si>
    <t>4.2.</t>
  </si>
  <si>
    <t>4.2.1</t>
  </si>
  <si>
    <t>4.3.</t>
  </si>
  <si>
    <t>4.3.1</t>
  </si>
  <si>
    <t>4.4.</t>
  </si>
  <si>
    <t>4.4.1</t>
  </si>
  <si>
    <t>4.5.</t>
  </si>
  <si>
    <t>4.5.1</t>
  </si>
  <si>
    <t>4.6.</t>
  </si>
  <si>
    <t>4.6.1</t>
  </si>
  <si>
    <t>4.7.</t>
  </si>
  <si>
    <t>4.7.1</t>
  </si>
  <si>
    <t>4.8.</t>
  </si>
  <si>
    <t>4.8.1</t>
  </si>
  <si>
    <t>4.9.</t>
  </si>
  <si>
    <t>4.9.1</t>
  </si>
  <si>
    <t>4.10.</t>
  </si>
  <si>
    <t>4.10.1</t>
  </si>
  <si>
    <t>4.11.</t>
  </si>
  <si>
    <t>4.11.1</t>
  </si>
  <si>
    <t>4.12.</t>
  </si>
  <si>
    <t>4.12.1</t>
  </si>
  <si>
    <t>4.13.</t>
  </si>
  <si>
    <t>4.13.1</t>
  </si>
  <si>
    <t>4.14.</t>
  </si>
  <si>
    <t>4.14.1</t>
  </si>
  <si>
    <t>4.15.</t>
  </si>
  <si>
    <t>4.15.1</t>
  </si>
  <si>
    <t>4.16.</t>
  </si>
  <si>
    <t>4.16.1</t>
  </si>
  <si>
    <t>4.17.</t>
  </si>
  <si>
    <t>4.17.1</t>
  </si>
  <si>
    <t>4.18.</t>
  </si>
  <si>
    <t>4.18.1</t>
  </si>
  <si>
    <t>4.19.</t>
  </si>
  <si>
    <t>4.19.1</t>
  </si>
  <si>
    <t>4.20.</t>
  </si>
  <si>
    <t>4.20.1</t>
  </si>
  <si>
    <t>4.21.</t>
  </si>
  <si>
    <t>4.21.1</t>
  </si>
  <si>
    <t>6.</t>
  </si>
  <si>
    <t>6.1.</t>
  </si>
  <si>
    <t>6.1.1</t>
  </si>
  <si>
    <t>PROTEÇAO MECANICA</t>
  </si>
  <si>
    <t>6.1.2</t>
  </si>
  <si>
    <t>REGULARIZAÇAO</t>
  </si>
  <si>
    <t>6.2.</t>
  </si>
  <si>
    <t>6.2.1</t>
  </si>
  <si>
    <t>6.3.</t>
  </si>
  <si>
    <t>6.3.1</t>
  </si>
  <si>
    <t>6.4.</t>
  </si>
  <si>
    <t>6.4.1</t>
  </si>
  <si>
    <t>6.5.</t>
  </si>
  <si>
    <t>6.5.1</t>
  </si>
  <si>
    <t>6.6.</t>
  </si>
  <si>
    <t>6.6.1</t>
  </si>
  <si>
    <t>6.6.2</t>
  </si>
  <si>
    <t>6.7.</t>
  </si>
  <si>
    <t>6.7.1</t>
  </si>
  <si>
    <t>6.7.2</t>
  </si>
  <si>
    <t>6.8.</t>
  </si>
  <si>
    <t>6.8.1</t>
  </si>
  <si>
    <t>6.9.</t>
  </si>
  <si>
    <t>6.9.1</t>
  </si>
  <si>
    <t>6.10.</t>
  </si>
  <si>
    <t>6.10.1</t>
  </si>
  <si>
    <t>6.11.</t>
  </si>
  <si>
    <t>6.11.1</t>
  </si>
  <si>
    <t>6.12.</t>
  </si>
  <si>
    <t>6.12.1</t>
  </si>
  <si>
    <t>6.13.</t>
  </si>
  <si>
    <t>6.13.1</t>
  </si>
  <si>
    <t>6.14.</t>
  </si>
  <si>
    <t>6.14.1</t>
  </si>
  <si>
    <t>6.15.</t>
  </si>
  <si>
    <t>6.15.1</t>
  </si>
  <si>
    <t>6.16.</t>
  </si>
  <si>
    <t>6.16.1</t>
  </si>
  <si>
    <t>6.17.</t>
  </si>
  <si>
    <t>6.17.1</t>
  </si>
  <si>
    <t>6.18.</t>
  </si>
  <si>
    <t>6.18.1</t>
  </si>
  <si>
    <t>6.19.</t>
  </si>
  <si>
    <t>6.19.1</t>
  </si>
  <si>
    <t>6.20.</t>
  </si>
  <si>
    <t>6.20.1</t>
  </si>
  <si>
    <t>6.21.</t>
  </si>
  <si>
    <t>6.21.1</t>
  </si>
  <si>
    <t>6.21.2</t>
  </si>
  <si>
    <t>6.22.</t>
  </si>
  <si>
    <t>6.22.1</t>
  </si>
  <si>
    <t>6.23.</t>
  </si>
  <si>
    <t>6.23.1</t>
  </si>
  <si>
    <t>6.24.</t>
  </si>
  <si>
    <t>6.24.1</t>
  </si>
  <si>
    <t>7.</t>
  </si>
  <si>
    <t>Impermeabilizaçao e tratamentos</t>
  </si>
  <si>
    <t>7.1.</t>
  </si>
  <si>
    <t>7.1.1</t>
  </si>
  <si>
    <t>IMPERMEABILIZAÇAO EM CENTRAL DE GAS/LIXEIRA</t>
  </si>
  <si>
    <t>7.1.2</t>
  </si>
  <si>
    <t>IMPERMEABILIZAÇAO EM ESQUADRIAS</t>
  </si>
  <si>
    <t>7.1.3</t>
  </si>
  <si>
    <t>IMPERMEABILIZAÇAO EM FOSSO ELEVADOR</t>
  </si>
  <si>
    <t>7.1.4</t>
  </si>
  <si>
    <t>IMPERMEABILIZAÇAO EM LAVA-PÉS</t>
  </si>
  <si>
    <t>7.2.</t>
  </si>
  <si>
    <t>7.2.1</t>
  </si>
  <si>
    <t>IMPERMEABILIZAÇAO EM TERRAÇOS</t>
  </si>
  <si>
    <t>7.3.</t>
  </si>
  <si>
    <t>7.3.1</t>
  </si>
  <si>
    <t>7.4.</t>
  </si>
  <si>
    <t>7.4.1</t>
  </si>
  <si>
    <t>7.5.</t>
  </si>
  <si>
    <t>7.5.1</t>
  </si>
  <si>
    <t>7.6.</t>
  </si>
  <si>
    <t>7.6.1</t>
  </si>
  <si>
    <t>IMPERMEABILIZAÇAO EM AREA DE SERVIÇO</t>
  </si>
  <si>
    <t>7.6.2</t>
  </si>
  <si>
    <t>IMPERMEABILIZAÇAO EM AREAS TECNICAS</t>
  </si>
  <si>
    <t>7.6.3</t>
  </si>
  <si>
    <t>IMPERMEABILIZAÇAO EM BANHEIRO</t>
  </si>
  <si>
    <t>7.6.4</t>
  </si>
  <si>
    <t>IMPERMEABILIZAÇAO EM COZINHA</t>
  </si>
  <si>
    <t>7.6.5</t>
  </si>
  <si>
    <t>IMPERMEABILIZAÇAO EM FLOREIRAS</t>
  </si>
  <si>
    <t>7.6.6</t>
  </si>
  <si>
    <t>IMPERMEABILIZAÇAO EM PISCINA</t>
  </si>
  <si>
    <t>7.6.7</t>
  </si>
  <si>
    <t>IMPERMEABILIZAÇAO EM SAUNA</t>
  </si>
  <si>
    <t>7.6.8</t>
  </si>
  <si>
    <t>7.7.</t>
  </si>
  <si>
    <t>7.7.1</t>
  </si>
  <si>
    <t>7.7.2</t>
  </si>
  <si>
    <t>7.7.3</t>
  </si>
  <si>
    <t>7.7.4</t>
  </si>
  <si>
    <t>IMPERMEABILIZAÇAO EM BOX DE BANHEIRO</t>
  </si>
  <si>
    <t>7.7.5</t>
  </si>
  <si>
    <t>7.7.6</t>
  </si>
  <si>
    <t>7.7.7</t>
  </si>
  <si>
    <t>IMPERMEABILIZAÇAO EM SACADA</t>
  </si>
  <si>
    <t>7.7.8</t>
  </si>
  <si>
    <t>7.8.</t>
  </si>
  <si>
    <t>7.8.1</t>
  </si>
  <si>
    <t>7.8.2</t>
  </si>
  <si>
    <t>7.8.3</t>
  </si>
  <si>
    <t>7.8.4</t>
  </si>
  <si>
    <t>7.8.5</t>
  </si>
  <si>
    <t>7.8.6</t>
  </si>
  <si>
    <t>7.8.7</t>
  </si>
  <si>
    <t>7.9.</t>
  </si>
  <si>
    <t>7.9.1</t>
  </si>
  <si>
    <t>7.9.2</t>
  </si>
  <si>
    <t>7.9.3</t>
  </si>
  <si>
    <t>7.9.4</t>
  </si>
  <si>
    <t>7.9.5</t>
  </si>
  <si>
    <t>7.9.6</t>
  </si>
  <si>
    <t>7.9.7</t>
  </si>
  <si>
    <t>7.10.</t>
  </si>
  <si>
    <t>7.10.1</t>
  </si>
  <si>
    <t>7.10.2</t>
  </si>
  <si>
    <t>7.10.3</t>
  </si>
  <si>
    <t>7.10.4</t>
  </si>
  <si>
    <t>7.10.5</t>
  </si>
  <si>
    <t>7.10.6</t>
  </si>
  <si>
    <t>7.10.7</t>
  </si>
  <si>
    <t>7.11.</t>
  </si>
  <si>
    <t>7.11.1</t>
  </si>
  <si>
    <t>7.11.2</t>
  </si>
  <si>
    <t>7.11.3</t>
  </si>
  <si>
    <t>7.11.4</t>
  </si>
  <si>
    <t>7.11.5</t>
  </si>
  <si>
    <t>7.11.6</t>
  </si>
  <si>
    <t>7.11.7</t>
  </si>
  <si>
    <t>7.12.</t>
  </si>
  <si>
    <t>7.12.1</t>
  </si>
  <si>
    <t>7.12.2</t>
  </si>
  <si>
    <t>7.12.3</t>
  </si>
  <si>
    <t>7.12.4</t>
  </si>
  <si>
    <t>7.12.5</t>
  </si>
  <si>
    <t>7.12.6</t>
  </si>
  <si>
    <t>7.12.7</t>
  </si>
  <si>
    <t>7.13.</t>
  </si>
  <si>
    <t>7.13.1</t>
  </si>
  <si>
    <t>7.13.2</t>
  </si>
  <si>
    <t>7.13.3</t>
  </si>
  <si>
    <t>7.13.4</t>
  </si>
  <si>
    <t>7.13.5</t>
  </si>
  <si>
    <t>7.13.6</t>
  </si>
  <si>
    <t>7.13.7</t>
  </si>
  <si>
    <t>7.14.</t>
  </si>
  <si>
    <t>7.14.1</t>
  </si>
  <si>
    <t>7.14.2</t>
  </si>
  <si>
    <t>7.14.3</t>
  </si>
  <si>
    <t>7.14.4</t>
  </si>
  <si>
    <t>7.14.5</t>
  </si>
  <si>
    <t>7.14.6</t>
  </si>
  <si>
    <t>7.14.7</t>
  </si>
  <si>
    <t>7.15.</t>
  </si>
  <si>
    <t>7.15.1</t>
  </si>
  <si>
    <t>7.15.2</t>
  </si>
  <si>
    <t>7.15.3</t>
  </si>
  <si>
    <t>7.15.4</t>
  </si>
  <si>
    <t>7.15.5</t>
  </si>
  <si>
    <t>7.15.6</t>
  </si>
  <si>
    <t>7.15.7</t>
  </si>
  <si>
    <t>7.16.</t>
  </si>
  <si>
    <t>7.16.1</t>
  </si>
  <si>
    <t>7.16.2</t>
  </si>
  <si>
    <t>7.16.3</t>
  </si>
  <si>
    <t>7.16.4</t>
  </si>
  <si>
    <t>7.16.5</t>
  </si>
  <si>
    <t>7.16.6</t>
  </si>
  <si>
    <t>7.16.7</t>
  </si>
  <si>
    <t>7.17.</t>
  </si>
  <si>
    <t>7.17.1</t>
  </si>
  <si>
    <t>7.17.2</t>
  </si>
  <si>
    <t>7.17.3</t>
  </si>
  <si>
    <t>7.17.4</t>
  </si>
  <si>
    <t>7.17.5</t>
  </si>
  <si>
    <t>7.17.6</t>
  </si>
  <si>
    <t>7.17.7</t>
  </si>
  <si>
    <t>7.18.</t>
  </si>
  <si>
    <t>7.18.1</t>
  </si>
  <si>
    <t>7.18.2</t>
  </si>
  <si>
    <t>7.18.3</t>
  </si>
  <si>
    <t>7.18.4</t>
  </si>
  <si>
    <t>7.18.5</t>
  </si>
  <si>
    <t>7.18.6</t>
  </si>
  <si>
    <t>7.18.7</t>
  </si>
  <si>
    <t>7.19.</t>
  </si>
  <si>
    <t>7.19.1</t>
  </si>
  <si>
    <t>7.19.2</t>
  </si>
  <si>
    <t>7.19.3</t>
  </si>
  <si>
    <t>7.19.4</t>
  </si>
  <si>
    <t>7.19.5</t>
  </si>
  <si>
    <t>7.19.6</t>
  </si>
  <si>
    <t>7.19.7</t>
  </si>
  <si>
    <t>7.20.</t>
  </si>
  <si>
    <t>7.20.1</t>
  </si>
  <si>
    <t>7.20.2</t>
  </si>
  <si>
    <t>7.20.3</t>
  </si>
  <si>
    <t>7.20.4</t>
  </si>
  <si>
    <t>7.20.5</t>
  </si>
  <si>
    <t>7.20.6</t>
  </si>
  <si>
    <t>7.20.7</t>
  </si>
  <si>
    <t>7.21.</t>
  </si>
  <si>
    <t>7.21.1</t>
  </si>
  <si>
    <t>7.21.2</t>
  </si>
  <si>
    <t>7.21.3</t>
  </si>
  <si>
    <t>7.21.4</t>
  </si>
  <si>
    <t>7.21.5</t>
  </si>
  <si>
    <t>7.21.6</t>
  </si>
  <si>
    <t>7.21.7</t>
  </si>
  <si>
    <t>7.21.8</t>
  </si>
  <si>
    <t>7.22.</t>
  </si>
  <si>
    <t>7.22.1</t>
  </si>
  <si>
    <t>7.23.</t>
  </si>
  <si>
    <t>7.23.1</t>
  </si>
  <si>
    <t>IMPERMEABILIZAÇAO EM RESERVATORIOS</t>
  </si>
  <si>
    <t>7.24.</t>
  </si>
  <si>
    <t>7.24.1</t>
  </si>
  <si>
    <t>IMPERMEABILIZAÇAO EM TAMPA DE RESERVATÓRIOS</t>
  </si>
  <si>
    <t>9.</t>
  </si>
  <si>
    <t>Chapisco Interno</t>
  </si>
  <si>
    <t>9.1.</t>
  </si>
  <si>
    <t>9.1.1</t>
  </si>
  <si>
    <t>.CHAPISCO ARGAMASSADO INTERNO</t>
  </si>
  <si>
    <t>9.1.2</t>
  </si>
  <si>
    <t>.CHAPISCO ARGAMASSADO PARA ESTRUTURA INTERNO</t>
  </si>
  <si>
    <t>9.2.</t>
  </si>
  <si>
    <t>9.2.1</t>
  </si>
  <si>
    <t>9.2.2</t>
  </si>
  <si>
    <t>9.3.</t>
  </si>
  <si>
    <t>9.3.1</t>
  </si>
  <si>
    <t>9.3.2</t>
  </si>
  <si>
    <t>9.4.</t>
  </si>
  <si>
    <t>9.4.1</t>
  </si>
  <si>
    <t>9.4.2</t>
  </si>
  <si>
    <t>9.5.</t>
  </si>
  <si>
    <t>9.5.1</t>
  </si>
  <si>
    <t>9.5.2</t>
  </si>
  <si>
    <t>9.6.</t>
  </si>
  <si>
    <t>9.6.1</t>
  </si>
  <si>
    <t>9.6.2</t>
  </si>
  <si>
    <t>9.7.</t>
  </si>
  <si>
    <t>9.7.1</t>
  </si>
  <si>
    <t>9.7.2</t>
  </si>
  <si>
    <t>9.8.</t>
  </si>
  <si>
    <t>9.8.1</t>
  </si>
  <si>
    <t>9.8.2</t>
  </si>
  <si>
    <t>9.9.</t>
  </si>
  <si>
    <t>9.9.1</t>
  </si>
  <si>
    <t>9.9.2</t>
  </si>
  <si>
    <t>9.10.</t>
  </si>
  <si>
    <t>9.10.1</t>
  </si>
  <si>
    <t>9.10.2</t>
  </si>
  <si>
    <t>9.11.</t>
  </si>
  <si>
    <t>9.11.1</t>
  </si>
  <si>
    <t>9.11.2</t>
  </si>
  <si>
    <t>9.12.</t>
  </si>
  <si>
    <t>9.12.1</t>
  </si>
  <si>
    <t>9.12.2</t>
  </si>
  <si>
    <t>9.13.</t>
  </si>
  <si>
    <t>9.13.1</t>
  </si>
  <si>
    <t>9.13.2</t>
  </si>
  <si>
    <t>9.14.</t>
  </si>
  <si>
    <t>9.14.1</t>
  </si>
  <si>
    <t>9.14.2</t>
  </si>
  <si>
    <t>9.15.</t>
  </si>
  <si>
    <t>9.15.1</t>
  </si>
  <si>
    <t>9.15.2</t>
  </si>
  <si>
    <t>9.16.</t>
  </si>
  <si>
    <t>9.16.1</t>
  </si>
  <si>
    <t>9.16.2</t>
  </si>
  <si>
    <t>9.17.</t>
  </si>
  <si>
    <t>9.17.1</t>
  </si>
  <si>
    <t>9.17.2</t>
  </si>
  <si>
    <t>9.18.</t>
  </si>
  <si>
    <t>9.18.1</t>
  </si>
  <si>
    <t>9.18.2</t>
  </si>
  <si>
    <t>9.19.</t>
  </si>
  <si>
    <t>9.19.1</t>
  </si>
  <si>
    <t>9.19.2</t>
  </si>
  <si>
    <t>9.20.</t>
  </si>
  <si>
    <t>9.20.1</t>
  </si>
  <si>
    <t>9.20.2</t>
  </si>
  <si>
    <t>9.21.</t>
  </si>
  <si>
    <t>9.21.1</t>
  </si>
  <si>
    <t>9.22.</t>
  </si>
  <si>
    <t>9.22.1</t>
  </si>
  <si>
    <t>9.23.</t>
  </si>
  <si>
    <t>9.23.1</t>
  </si>
  <si>
    <t>10.</t>
  </si>
  <si>
    <t>Reboco Interno</t>
  </si>
  <si>
    <t>10.1.</t>
  </si>
  <si>
    <t>10.1.1</t>
  </si>
  <si>
    <t>.REBOCO ARGAMASSADO INTERNO</t>
  </si>
  <si>
    <t>10.2.</t>
  </si>
  <si>
    <t>10.2.1</t>
  </si>
  <si>
    <t>10.3.</t>
  </si>
  <si>
    <t>10.3.1</t>
  </si>
  <si>
    <t>10.4.</t>
  </si>
  <si>
    <t>10.4.1</t>
  </si>
  <si>
    <t>10.5.</t>
  </si>
  <si>
    <t>10.5.1</t>
  </si>
  <si>
    <t>10.6.</t>
  </si>
  <si>
    <t>10.6.1</t>
  </si>
  <si>
    <t>10.7.</t>
  </si>
  <si>
    <t>10.7.1</t>
  </si>
  <si>
    <t>10.8.</t>
  </si>
  <si>
    <t>10.8.1</t>
  </si>
  <si>
    <t>10.9.</t>
  </si>
  <si>
    <t>10.9.1</t>
  </si>
  <si>
    <t>10.10.</t>
  </si>
  <si>
    <t>10.10.1</t>
  </si>
  <si>
    <t>10.11.</t>
  </si>
  <si>
    <t>10.11.1</t>
  </si>
  <si>
    <t>10.12.</t>
  </si>
  <si>
    <t>10.12.1</t>
  </si>
  <si>
    <t>10.13.</t>
  </si>
  <si>
    <t>10.13.1</t>
  </si>
  <si>
    <t>10.14.</t>
  </si>
  <si>
    <t>10.14.1</t>
  </si>
  <si>
    <t>10.15.</t>
  </si>
  <si>
    <t>10.15.1</t>
  </si>
  <si>
    <t>10.16.</t>
  </si>
  <si>
    <t>10.16.1</t>
  </si>
  <si>
    <t>10.17.</t>
  </si>
  <si>
    <t>10.17.1</t>
  </si>
  <si>
    <t>10.18.</t>
  </si>
  <si>
    <t>10.18.1</t>
  </si>
  <si>
    <t>10.19.</t>
  </si>
  <si>
    <t>10.19.1</t>
  </si>
  <si>
    <t>10.20.</t>
  </si>
  <si>
    <t>10.20.1</t>
  </si>
  <si>
    <t>10.21.</t>
  </si>
  <si>
    <t>10.21.1</t>
  </si>
  <si>
    <t>10.22.</t>
  </si>
  <si>
    <t>10.22.1</t>
  </si>
  <si>
    <t>10.23.</t>
  </si>
  <si>
    <t>10.23.1</t>
  </si>
  <si>
    <t>11.</t>
  </si>
  <si>
    <t>Estucamento</t>
  </si>
  <si>
    <t>11.1.</t>
  </si>
  <si>
    <t>11.1.1</t>
  </si>
  <si>
    <t>.ESTUCAMENTO</t>
  </si>
  <si>
    <t>11.2.</t>
  </si>
  <si>
    <t>11.2.1</t>
  </si>
  <si>
    <t>11.3.</t>
  </si>
  <si>
    <t>11.3.1</t>
  </si>
  <si>
    <t>11.4.</t>
  </si>
  <si>
    <t>11.4.1</t>
  </si>
  <si>
    <t>11.5.</t>
  </si>
  <si>
    <t>11.5.1</t>
  </si>
  <si>
    <t>11.6.</t>
  </si>
  <si>
    <t>11.6.1</t>
  </si>
  <si>
    <t>11.7.</t>
  </si>
  <si>
    <t>11.7.1</t>
  </si>
  <si>
    <t>11.8.</t>
  </si>
  <si>
    <t>11.8.1</t>
  </si>
  <si>
    <t>11.9.</t>
  </si>
  <si>
    <t>11.9.1</t>
  </si>
  <si>
    <t>11.10.</t>
  </si>
  <si>
    <t>11.10.1</t>
  </si>
  <si>
    <t>11.11.</t>
  </si>
  <si>
    <t>11.11.1</t>
  </si>
  <si>
    <t>11.12.</t>
  </si>
  <si>
    <t>11.12.1</t>
  </si>
  <si>
    <t>11.13.</t>
  </si>
  <si>
    <t>11.13.1</t>
  </si>
  <si>
    <t>11.14.</t>
  </si>
  <si>
    <t>11.14.1</t>
  </si>
  <si>
    <t>11.15.</t>
  </si>
  <si>
    <t>11.15.1</t>
  </si>
  <si>
    <t>11.16.</t>
  </si>
  <si>
    <t>11.16.1</t>
  </si>
  <si>
    <t>11.17.</t>
  </si>
  <si>
    <t>11.17.1</t>
  </si>
  <si>
    <t>11.18.</t>
  </si>
  <si>
    <t>11.18.1</t>
  </si>
  <si>
    <t>11.19.</t>
  </si>
  <si>
    <t>11.19.1</t>
  </si>
  <si>
    <t>11.20.</t>
  </si>
  <si>
    <t>11.20.1</t>
  </si>
  <si>
    <t>11.21.</t>
  </si>
  <si>
    <t>11.21.1</t>
  </si>
  <si>
    <t>11.22.</t>
  </si>
  <si>
    <t>11.22.1</t>
  </si>
  <si>
    <t>11.23.</t>
  </si>
  <si>
    <t>11.23.1</t>
  </si>
  <si>
    <t>12.</t>
  </si>
  <si>
    <t>Acabamentos cerâmicos</t>
  </si>
  <si>
    <t>12.1.</t>
  </si>
  <si>
    <t>12.1.1</t>
  </si>
  <si>
    <t>REVESTIMENTO INTERNO, PAREDE - CERAMICA, LIXEIRA/G.N</t>
  </si>
  <si>
    <t>12.2.</t>
  </si>
  <si>
    <t>12.2.1</t>
  </si>
  <si>
    <t>REVESTIMENTO INTERNO, PAREDE - PORCELANATO, A. COMUM</t>
  </si>
  <si>
    <t>12.3.1</t>
  </si>
  <si>
    <t>REVESTIMENTO INTERNO, PAREDE - PORCELANATO, A. PRIVATIVA</t>
  </si>
  <si>
    <t>13.</t>
  </si>
  <si>
    <t>Peitoris</t>
  </si>
  <si>
    <t>13.1.</t>
  </si>
  <si>
    <t>13.1.1</t>
  </si>
  <si>
    <t>REVESTIMENTO - PEITORIL, PEDRA NATURAL</t>
  </si>
  <si>
    <t>13.2.</t>
  </si>
  <si>
    <t>13.2.1</t>
  </si>
  <si>
    <t>13.3.</t>
  </si>
  <si>
    <t>13.3.1</t>
  </si>
  <si>
    <t>13.4.</t>
  </si>
  <si>
    <t>13.4.1</t>
  </si>
  <si>
    <t>13.5.</t>
  </si>
  <si>
    <t>13.5.1</t>
  </si>
  <si>
    <t>13.6.</t>
  </si>
  <si>
    <t>13.6.1</t>
  </si>
  <si>
    <t>13.7.</t>
  </si>
  <si>
    <t>13.7.1</t>
  </si>
  <si>
    <t>13.8.</t>
  </si>
  <si>
    <t>13.8.1</t>
  </si>
  <si>
    <t>13.9.</t>
  </si>
  <si>
    <t>13.9.1</t>
  </si>
  <si>
    <t>13.10.</t>
  </si>
  <si>
    <t>13.10.1</t>
  </si>
  <si>
    <t>13.11.</t>
  </si>
  <si>
    <t>13.11.1</t>
  </si>
  <si>
    <t>13.12.</t>
  </si>
  <si>
    <t>13.12.1</t>
  </si>
  <si>
    <t>13.13.</t>
  </si>
  <si>
    <t>13.13.1</t>
  </si>
  <si>
    <t>13.14.</t>
  </si>
  <si>
    <t>13.14.1</t>
  </si>
  <si>
    <t>13.15.</t>
  </si>
  <si>
    <t>13.15.1</t>
  </si>
  <si>
    <t>13.16.</t>
  </si>
  <si>
    <t>13.16.1</t>
  </si>
  <si>
    <t>13.17.</t>
  </si>
  <si>
    <t>13.17.1</t>
  </si>
  <si>
    <t>13.18.</t>
  </si>
  <si>
    <t>13.18.1</t>
  </si>
  <si>
    <t>13.19.</t>
  </si>
  <si>
    <t>13.19.1</t>
  </si>
  <si>
    <t>13.20.</t>
  </si>
  <si>
    <t>13.20.1</t>
  </si>
  <si>
    <t>15.</t>
  </si>
  <si>
    <t>Acabamento de gesso em teto</t>
  </si>
  <si>
    <t>15.1.</t>
  </si>
  <si>
    <t>15.1.1</t>
  </si>
  <si>
    <t>FORRO DE GESSO MINERAL</t>
  </si>
  <si>
    <t>15.2.</t>
  </si>
  <si>
    <t>15.2.1</t>
  </si>
  <si>
    <t>15.3.</t>
  </si>
  <si>
    <t>15.3.1</t>
  </si>
  <si>
    <t>15.4.</t>
  </si>
  <si>
    <t>15.4.1</t>
  </si>
  <si>
    <t>15.5.</t>
  </si>
  <si>
    <t>15.5.1</t>
  </si>
  <si>
    <t>15.6.</t>
  </si>
  <si>
    <t>15.6.1</t>
  </si>
  <si>
    <t>15.7.</t>
  </si>
  <si>
    <t>15.7.1</t>
  </si>
  <si>
    <t>15.8.</t>
  </si>
  <si>
    <t>15.8.1</t>
  </si>
  <si>
    <t>15.9.</t>
  </si>
  <si>
    <t>15.9.1</t>
  </si>
  <si>
    <t>15.10.</t>
  </si>
  <si>
    <t>15.10.1</t>
  </si>
  <si>
    <t>15.11.</t>
  </si>
  <si>
    <t>15.11.1</t>
  </si>
  <si>
    <t>15.12.</t>
  </si>
  <si>
    <t>15.12.1</t>
  </si>
  <si>
    <t>15.13.</t>
  </si>
  <si>
    <t>15.13.1</t>
  </si>
  <si>
    <t>15.14.</t>
  </si>
  <si>
    <t>15.14.1</t>
  </si>
  <si>
    <t>15.15.</t>
  </si>
  <si>
    <t>15.15.1</t>
  </si>
  <si>
    <t>15.16.</t>
  </si>
  <si>
    <t>15.16.1</t>
  </si>
  <si>
    <t>16.</t>
  </si>
  <si>
    <t>Revestimento interno argamassado em teto</t>
  </si>
  <si>
    <t>16.1.</t>
  </si>
  <si>
    <t>16.1.1</t>
  </si>
  <si>
    <t>ESTUCAMENTO EM TETO COM PINTURA</t>
  </si>
  <si>
    <t>16.2.</t>
  </si>
  <si>
    <t>16.2.1</t>
  </si>
  <si>
    <t>16.3.</t>
  </si>
  <si>
    <t>16.3.1</t>
  </si>
  <si>
    <t>16.4.</t>
  </si>
  <si>
    <t>16.4.1</t>
  </si>
  <si>
    <t>16.5.</t>
  </si>
  <si>
    <t>16.5.1</t>
  </si>
  <si>
    <t>16.6.</t>
  </si>
  <si>
    <t>16.6.1</t>
  </si>
  <si>
    <t>17.</t>
  </si>
  <si>
    <t>Acabamentos especiais em teto</t>
  </si>
  <si>
    <t>17.1.</t>
  </si>
  <si>
    <t>17.1.1</t>
  </si>
  <si>
    <t>FORRO EM MADEIRA</t>
  </si>
  <si>
    <t>19.</t>
  </si>
  <si>
    <t>19.1.</t>
  </si>
  <si>
    <t>19.1.1</t>
  </si>
  <si>
    <t>REVESTIMENTO - CONTRA PISO, 2.5 cm</t>
  </si>
  <si>
    <t>19.2.</t>
  </si>
  <si>
    <t>19.2.1</t>
  </si>
  <si>
    <t>19.3.</t>
  </si>
  <si>
    <t>19.3.1</t>
  </si>
  <si>
    <t>19.4.</t>
  </si>
  <si>
    <t>19.4.1</t>
  </si>
  <si>
    <t>19.5.</t>
  </si>
  <si>
    <t>19.5.1</t>
  </si>
  <si>
    <t>19.6.</t>
  </si>
  <si>
    <t>19.6.1</t>
  </si>
  <si>
    <t>19.6.2</t>
  </si>
  <si>
    <t>REVESTIMENTO - CONTRA PISO, 5 cm</t>
  </si>
  <si>
    <t>19.7.</t>
  </si>
  <si>
    <t>19.7.1</t>
  </si>
  <si>
    <t>19.7.2</t>
  </si>
  <si>
    <t>19.8.</t>
  </si>
  <si>
    <t>19.8.1</t>
  </si>
  <si>
    <t>19.8.2</t>
  </si>
  <si>
    <t>19.9.</t>
  </si>
  <si>
    <t>19.9.1</t>
  </si>
  <si>
    <t>19.9.2</t>
  </si>
  <si>
    <t>19.10.</t>
  </si>
  <si>
    <t>19.10.1</t>
  </si>
  <si>
    <t>19.10.2</t>
  </si>
  <si>
    <t>19.11.</t>
  </si>
  <si>
    <t>19.11.1</t>
  </si>
  <si>
    <t>19.11.2</t>
  </si>
  <si>
    <t>19.12.</t>
  </si>
  <si>
    <t>19.12.1</t>
  </si>
  <si>
    <t>19.12.2</t>
  </si>
  <si>
    <t>19.13.</t>
  </si>
  <si>
    <t>19.13.1</t>
  </si>
  <si>
    <t>19.13.2</t>
  </si>
  <si>
    <t>19.14.</t>
  </si>
  <si>
    <t>19.14.1</t>
  </si>
  <si>
    <t>19.14.2</t>
  </si>
  <si>
    <t>19.15.</t>
  </si>
  <si>
    <t>19.15.1</t>
  </si>
  <si>
    <t>19.15.2</t>
  </si>
  <si>
    <t>19.16.</t>
  </si>
  <si>
    <t>19.16.1</t>
  </si>
  <si>
    <t>19.16.2</t>
  </si>
  <si>
    <t>19.17.</t>
  </si>
  <si>
    <t>19.17.1</t>
  </si>
  <si>
    <t>19.17.2</t>
  </si>
  <si>
    <t>19.18.</t>
  </si>
  <si>
    <t>19.18.1</t>
  </si>
  <si>
    <t>19.18.2</t>
  </si>
  <si>
    <t>19.19.</t>
  </si>
  <si>
    <t>19.19.1</t>
  </si>
  <si>
    <t>19.19.2</t>
  </si>
  <si>
    <t>19.20.</t>
  </si>
  <si>
    <t>19.20.1</t>
  </si>
  <si>
    <t>19.20.2</t>
  </si>
  <si>
    <t>19.21.</t>
  </si>
  <si>
    <t>19.21.1</t>
  </si>
  <si>
    <t>19.22.</t>
  </si>
  <si>
    <t>19.22.1</t>
  </si>
  <si>
    <t>20.</t>
  </si>
  <si>
    <t>Acabamentos cimentados</t>
  </si>
  <si>
    <t>20.1.</t>
  </si>
  <si>
    <t>20.1.1</t>
  </si>
  <si>
    <t>REVESTIMENTO - PISO CIMENTADO</t>
  </si>
  <si>
    <t>20.1.2</t>
  </si>
  <si>
    <t>REVESTIMENTO - PISO CIMENTADO,  ESCADA/ANTECAMARA</t>
  </si>
  <si>
    <t>20.1.3</t>
  </si>
  <si>
    <t>REVESTIMENTO - PISO CONCRETO ESTAMPADO</t>
  </si>
  <si>
    <t>20.1.4</t>
  </si>
  <si>
    <t>REVESTIMENTO - POLIMENTO DE PISO</t>
  </si>
  <si>
    <t>20.2.</t>
  </si>
  <si>
    <t>20.2.1</t>
  </si>
  <si>
    <t>20.2.2</t>
  </si>
  <si>
    <t>20.2.3</t>
  </si>
  <si>
    <t>20.3.</t>
  </si>
  <si>
    <t>20.3.1</t>
  </si>
  <si>
    <t>20.3.2</t>
  </si>
  <si>
    <t>20.3.3</t>
  </si>
  <si>
    <t>20.4.</t>
  </si>
  <si>
    <t>20.4.1</t>
  </si>
  <si>
    <t>20.4.2</t>
  </si>
  <si>
    <t>20.4.3</t>
  </si>
  <si>
    <t>20.5.</t>
  </si>
  <si>
    <t>20.5.1</t>
  </si>
  <si>
    <t>20.5.2</t>
  </si>
  <si>
    <t>20.5.3</t>
  </si>
  <si>
    <t>20.6.</t>
  </si>
  <si>
    <t>20.6.1</t>
  </si>
  <si>
    <t>20.7.</t>
  </si>
  <si>
    <t>20.7.1</t>
  </si>
  <si>
    <t>20.7.2</t>
  </si>
  <si>
    <t>20.8.</t>
  </si>
  <si>
    <t>20.8.1</t>
  </si>
  <si>
    <t>20.8.2</t>
  </si>
  <si>
    <t>20.9.</t>
  </si>
  <si>
    <t>20.9.1</t>
  </si>
  <si>
    <t>20.9.2</t>
  </si>
  <si>
    <t>20.10.</t>
  </si>
  <si>
    <t>20.10.1</t>
  </si>
  <si>
    <t>20.10.2</t>
  </si>
  <si>
    <t>20.11.</t>
  </si>
  <si>
    <t>20.11.1</t>
  </si>
  <si>
    <t>20.11.2</t>
  </si>
  <si>
    <t>20.12.</t>
  </si>
  <si>
    <t>20.12.1</t>
  </si>
  <si>
    <t>20.12.2</t>
  </si>
  <si>
    <t>20.13.</t>
  </si>
  <si>
    <t>20.13.1</t>
  </si>
  <si>
    <t>20.13.2</t>
  </si>
  <si>
    <t>20.14.</t>
  </si>
  <si>
    <t>20.14.1</t>
  </si>
  <si>
    <t>20.14.2</t>
  </si>
  <si>
    <t>20.15.</t>
  </si>
  <si>
    <t>20.15.1</t>
  </si>
  <si>
    <t>20.15.2</t>
  </si>
  <si>
    <t>20.16.</t>
  </si>
  <si>
    <t>20.16.1</t>
  </si>
  <si>
    <t>20.16.2</t>
  </si>
  <si>
    <t>20.17.</t>
  </si>
  <si>
    <t>20.17.1</t>
  </si>
  <si>
    <t>20.17.2</t>
  </si>
  <si>
    <t>20.18.</t>
  </si>
  <si>
    <t>20.18.1</t>
  </si>
  <si>
    <t>20.18.2</t>
  </si>
  <si>
    <t>20.19.</t>
  </si>
  <si>
    <t>20.19.1</t>
  </si>
  <si>
    <t>20.19.2</t>
  </si>
  <si>
    <t>20.20.</t>
  </si>
  <si>
    <t>20.20.1</t>
  </si>
  <si>
    <t>20.20.2</t>
  </si>
  <si>
    <t>20.21.</t>
  </si>
  <si>
    <t>20.21.1</t>
  </si>
  <si>
    <t>20.21.2</t>
  </si>
  <si>
    <t>20.22.</t>
  </si>
  <si>
    <t>20.22.1</t>
  </si>
  <si>
    <t>20.22.2</t>
  </si>
  <si>
    <t>REVESTIMENTO - PISO CIMENTADO A. TECNICA</t>
  </si>
  <si>
    <t>21.</t>
  </si>
  <si>
    <t>Acabamentos cerâmicos em piso</t>
  </si>
  <si>
    <t>21.1.</t>
  </si>
  <si>
    <t>21.1.1</t>
  </si>
  <si>
    <t>REVESTIMENTO - CERAMICA, A. TECNICA</t>
  </si>
  <si>
    <t>21.1.2</t>
  </si>
  <si>
    <t>REVESTIMENTO - CERAMICA, LIXEIRA/GN</t>
  </si>
  <si>
    <t>21.1.3</t>
  </si>
  <si>
    <t>REVESTIMENTO - PINTURA RESINA, ESCADA/ANTECAMARA</t>
  </si>
  <si>
    <t>21.1.4</t>
  </si>
  <si>
    <t>REVESTIMENTO - PORCELANATO, AREA COMUM INTERNA</t>
  </si>
  <si>
    <t>21.1.5</t>
  </si>
  <si>
    <t>REVESTIMENTO - PORCELANATO, HALL INTERNO</t>
  </si>
  <si>
    <t>21.2.</t>
  </si>
  <si>
    <t>21.2.1</t>
  </si>
  <si>
    <t>21.2.2</t>
  </si>
  <si>
    <t>21.3.</t>
  </si>
  <si>
    <t>21.3.1</t>
  </si>
  <si>
    <t>21.3.2</t>
  </si>
  <si>
    <t>21.4.</t>
  </si>
  <si>
    <t>21.4.1</t>
  </si>
  <si>
    <t>21.4.2</t>
  </si>
  <si>
    <t>21.5.</t>
  </si>
  <si>
    <t>21.5.1</t>
  </si>
  <si>
    <t>21.5.2</t>
  </si>
  <si>
    <t>21.6.</t>
  </si>
  <si>
    <t>21.6.1</t>
  </si>
  <si>
    <t>21.6.2</t>
  </si>
  <si>
    <t>REVESTIMENTO - PORCELANATO, AREA COMUM EXTERNA</t>
  </si>
  <si>
    <t>21.6.3</t>
  </si>
  <si>
    <t>21.6.4</t>
  </si>
  <si>
    <t>REVESTIMENTO - PORCELANATO, A. TECNICA</t>
  </si>
  <si>
    <t>21.6.5</t>
  </si>
  <si>
    <t>21.6.6</t>
  </si>
  <si>
    <t>REVESTIMENTO - PORCELANATO, PISCINA</t>
  </si>
  <si>
    <t>21.7.</t>
  </si>
  <si>
    <t>21.7.1</t>
  </si>
  <si>
    <t>21.7.2</t>
  </si>
  <si>
    <t>REVESTIMENTO - PORCELANATO, AREA PRIVATIVA EXTERNA</t>
  </si>
  <si>
    <t>21.7.3</t>
  </si>
  <si>
    <t>REVESTIMENTO - PORCELANATO, AREA PRIVATIVA INTERNA</t>
  </si>
  <si>
    <t>21.7.4</t>
  </si>
  <si>
    <t>21.7.5</t>
  </si>
  <si>
    <t>REVESTIMENTO - PORCELANATO, BANHEIRO</t>
  </si>
  <si>
    <t>21.7.6</t>
  </si>
  <si>
    <t>21.8.</t>
  </si>
  <si>
    <t>21.8.1</t>
  </si>
  <si>
    <t>21.8.2</t>
  </si>
  <si>
    <t>21.8.3</t>
  </si>
  <si>
    <t>21.8.4</t>
  </si>
  <si>
    <t>21.8.5</t>
  </si>
  <si>
    <t>21.8.6</t>
  </si>
  <si>
    <t>21.9.</t>
  </si>
  <si>
    <t>21.9.1</t>
  </si>
  <si>
    <t>21.9.2</t>
  </si>
  <si>
    <t>21.9.3</t>
  </si>
  <si>
    <t>21.9.4</t>
  </si>
  <si>
    <t>21.9.5</t>
  </si>
  <si>
    <t>21.9.6</t>
  </si>
  <si>
    <t>21.10.</t>
  </si>
  <si>
    <t>21.10.1</t>
  </si>
  <si>
    <t>21.10.2</t>
  </si>
  <si>
    <t>21.10.3</t>
  </si>
  <si>
    <t>21.10.4</t>
  </si>
  <si>
    <t>21.10.5</t>
  </si>
  <si>
    <t>21.10.6</t>
  </si>
  <si>
    <t>21.11.</t>
  </si>
  <si>
    <t>21.11.1</t>
  </si>
  <si>
    <t>21.11.2</t>
  </si>
  <si>
    <t>21.11.3</t>
  </si>
  <si>
    <t>21.11.4</t>
  </si>
  <si>
    <t>21.11.5</t>
  </si>
  <si>
    <t>21.11.6</t>
  </si>
  <si>
    <t>21.12.</t>
  </si>
  <si>
    <t>21.12.1</t>
  </si>
  <si>
    <t>21.12.2</t>
  </si>
  <si>
    <t>21.12.3</t>
  </si>
  <si>
    <t>21.12.4</t>
  </si>
  <si>
    <t>21.12.5</t>
  </si>
  <si>
    <t>21.12.6</t>
  </si>
  <si>
    <t>21.13.</t>
  </si>
  <si>
    <t>21.13.1</t>
  </si>
  <si>
    <t>21.13.2</t>
  </si>
  <si>
    <t>21.13.3</t>
  </si>
  <si>
    <t>21.13.4</t>
  </si>
  <si>
    <t>21.13.5</t>
  </si>
  <si>
    <t>21.13.6</t>
  </si>
  <si>
    <t>21.14.</t>
  </si>
  <si>
    <t>21.14.1</t>
  </si>
  <si>
    <t>21.14.2</t>
  </si>
  <si>
    <t>21.14.3</t>
  </si>
  <si>
    <t>21.14.4</t>
  </si>
  <si>
    <t>21.14.5</t>
  </si>
  <si>
    <t>21.14.6</t>
  </si>
  <si>
    <t>21.15.</t>
  </si>
  <si>
    <t>21.15.1</t>
  </si>
  <si>
    <t>21.15.2</t>
  </si>
  <si>
    <t>21.15.3</t>
  </si>
  <si>
    <t>21.15.4</t>
  </si>
  <si>
    <t>21.15.5</t>
  </si>
  <si>
    <t>21.15.6</t>
  </si>
  <si>
    <t>21.16.</t>
  </si>
  <si>
    <t>21.16.1</t>
  </si>
  <si>
    <t>21.16.2</t>
  </si>
  <si>
    <t>21.16.3</t>
  </si>
  <si>
    <t>21.16.4</t>
  </si>
  <si>
    <t>21.16.5</t>
  </si>
  <si>
    <t>21.16.6</t>
  </si>
  <si>
    <t>21.17.</t>
  </si>
  <si>
    <t>21.17.1</t>
  </si>
  <si>
    <t>21.17.2</t>
  </si>
  <si>
    <t>21.17.3</t>
  </si>
  <si>
    <t>21.17.4</t>
  </si>
  <si>
    <t>21.17.5</t>
  </si>
  <si>
    <t>21.17.6</t>
  </si>
  <si>
    <t>21.18.</t>
  </si>
  <si>
    <t>21.18.1</t>
  </si>
  <si>
    <t>21.18.2</t>
  </si>
  <si>
    <t>21.18.3</t>
  </si>
  <si>
    <t>21.18.4</t>
  </si>
  <si>
    <t>21.18.5</t>
  </si>
  <si>
    <t>21.18.6</t>
  </si>
  <si>
    <t>21.19.</t>
  </si>
  <si>
    <t>21.19.1</t>
  </si>
  <si>
    <t>21.19.2</t>
  </si>
  <si>
    <t>21.19.3</t>
  </si>
  <si>
    <t>21.19.4</t>
  </si>
  <si>
    <t>21.19.5</t>
  </si>
  <si>
    <t>21.19.6</t>
  </si>
  <si>
    <t>21.20.</t>
  </si>
  <si>
    <t>21.20.1</t>
  </si>
  <si>
    <t>21.20.2</t>
  </si>
  <si>
    <t>21.20.3</t>
  </si>
  <si>
    <t>21.20.4</t>
  </si>
  <si>
    <t>21.20.5</t>
  </si>
  <si>
    <t>21.20.6</t>
  </si>
  <si>
    <t>21.21.</t>
  </si>
  <si>
    <t>21.21.1</t>
  </si>
  <si>
    <t>21.21.2</t>
  </si>
  <si>
    <t>21.21.3</t>
  </si>
  <si>
    <t>21.21.4</t>
  </si>
  <si>
    <t>21.21.5</t>
  </si>
  <si>
    <t>22.</t>
  </si>
  <si>
    <t>22.1.</t>
  </si>
  <si>
    <t>22.1.1</t>
  </si>
  <si>
    <t>REVESTIMENTO - EMBORRACHADO, AREA COMUM INTERNA</t>
  </si>
  <si>
    <t>22.1.2</t>
  </si>
  <si>
    <t>REVESTIMENTO - LADRILHO, PISCINA</t>
  </si>
  <si>
    <t>22.2.</t>
  </si>
  <si>
    <t>22.2.1</t>
  </si>
  <si>
    <t>REVESTIMENTO - GENERICO, COBERTURA GERADOR</t>
  </si>
  <si>
    <t>22.2.2</t>
  </si>
  <si>
    <t>REVESTIMENTO - LAMINADO,  A. PRIVATIVA INTERNA</t>
  </si>
  <si>
    <t>22.3.</t>
  </si>
  <si>
    <t>22.3.1</t>
  </si>
  <si>
    <t>22.4.</t>
  </si>
  <si>
    <t>22.4.1</t>
  </si>
  <si>
    <t>22.5.</t>
  </si>
  <si>
    <t>22.5.1</t>
  </si>
  <si>
    <t>22.6.</t>
  </si>
  <si>
    <t>22.6.1</t>
  </si>
  <si>
    <t>22.7.</t>
  </si>
  <si>
    <t>22.7.1</t>
  </si>
  <si>
    <t>22.8.</t>
  </si>
  <si>
    <t>22.8.1</t>
  </si>
  <si>
    <t>22.9.</t>
  </si>
  <si>
    <t>22.9.1</t>
  </si>
  <si>
    <t>22.10.</t>
  </si>
  <si>
    <t>22.10.1</t>
  </si>
  <si>
    <t>22.11.</t>
  </si>
  <si>
    <t>22.11.1</t>
  </si>
  <si>
    <t>22.12.</t>
  </si>
  <si>
    <t>22.12.1</t>
  </si>
  <si>
    <t>22.13.</t>
  </si>
  <si>
    <t>22.13.1</t>
  </si>
  <si>
    <t>22.14.</t>
  </si>
  <si>
    <t>22.14.1</t>
  </si>
  <si>
    <t>22.15.</t>
  </si>
  <si>
    <t>22.15.1</t>
  </si>
  <si>
    <t>22.16.</t>
  </si>
  <si>
    <t>22.16.1</t>
  </si>
  <si>
    <t>23.</t>
  </si>
  <si>
    <t>Rodapes</t>
  </si>
  <si>
    <t>23.1.</t>
  </si>
  <si>
    <t>23.1.1</t>
  </si>
  <si>
    <t>RODAPE EM CERAMICA, 10 cm</t>
  </si>
  <si>
    <t>23.1.2</t>
  </si>
  <si>
    <t>RODAPE EM PORCELANATO, 10 cm</t>
  </si>
  <si>
    <t>23.2.</t>
  </si>
  <si>
    <t>23.2.1</t>
  </si>
  <si>
    <t>23.3.</t>
  </si>
  <si>
    <t>23.3.1</t>
  </si>
  <si>
    <t>23.4.</t>
  </si>
  <si>
    <t>23.4.1</t>
  </si>
  <si>
    <t>23.5.</t>
  </si>
  <si>
    <t>23.5.1</t>
  </si>
  <si>
    <t>23.6.</t>
  </si>
  <si>
    <t>23.6.1</t>
  </si>
  <si>
    <t>RODAPE EM POLIESTIRENO, 10 cm</t>
  </si>
  <si>
    <t>23.6.2</t>
  </si>
  <si>
    <t>23.7.</t>
  </si>
  <si>
    <t>23.7.1</t>
  </si>
  <si>
    <t>23.7.2</t>
  </si>
  <si>
    <t>23.8.</t>
  </si>
  <si>
    <t>23.8.1</t>
  </si>
  <si>
    <t>23.8.2</t>
  </si>
  <si>
    <t>23.9.</t>
  </si>
  <si>
    <t>23.9.1</t>
  </si>
  <si>
    <t>23.9.2</t>
  </si>
  <si>
    <t>23.10.</t>
  </si>
  <si>
    <t>23.10.1</t>
  </si>
  <si>
    <t>23.10.2</t>
  </si>
  <si>
    <t>23.11.</t>
  </si>
  <si>
    <t>23.11.1</t>
  </si>
  <si>
    <t>23.11.2</t>
  </si>
  <si>
    <t>23.12.</t>
  </si>
  <si>
    <t>23.12.1</t>
  </si>
  <si>
    <t>23.12.2</t>
  </si>
  <si>
    <t>23.13.</t>
  </si>
  <si>
    <t>23.13.1</t>
  </si>
  <si>
    <t>23.13.2</t>
  </si>
  <si>
    <t>23.14.</t>
  </si>
  <si>
    <t>23.14.1</t>
  </si>
  <si>
    <t>23.14.2</t>
  </si>
  <si>
    <t>23.15.</t>
  </si>
  <si>
    <t>23.15.1</t>
  </si>
  <si>
    <t>23.15.2</t>
  </si>
  <si>
    <t>23.16.</t>
  </si>
  <si>
    <t>23.16.1</t>
  </si>
  <si>
    <t>23.16.2</t>
  </si>
  <si>
    <t>23.17.</t>
  </si>
  <si>
    <t>23.17.1</t>
  </si>
  <si>
    <t>23.17.2</t>
  </si>
  <si>
    <t>23.18.</t>
  </si>
  <si>
    <t>23.18.1</t>
  </si>
  <si>
    <t>23.18.2</t>
  </si>
  <si>
    <t>23.19.</t>
  </si>
  <si>
    <t>23.19.1</t>
  </si>
  <si>
    <t>23.19.2</t>
  </si>
  <si>
    <t>23.20.</t>
  </si>
  <si>
    <t>23.20.1</t>
  </si>
  <si>
    <t>23.20.2</t>
  </si>
  <si>
    <t>23.21.</t>
  </si>
  <si>
    <t>23.21.1</t>
  </si>
  <si>
    <t>23.21.2</t>
  </si>
  <si>
    <t>24.</t>
  </si>
  <si>
    <t>Soleira</t>
  </si>
  <si>
    <t>24.1.</t>
  </si>
  <si>
    <t>24.1.1</t>
  </si>
  <si>
    <t>REVESTIMENTO - SOLEIRA, PEDRA NATURAL</t>
  </si>
  <si>
    <t>26.</t>
  </si>
  <si>
    <t>26.1.</t>
  </si>
  <si>
    <t>26.1.1</t>
  </si>
  <si>
    <t>REVESTIMENTO - PINTURA RESINA, DEMARCAÇAO DE VAGAS</t>
  </si>
  <si>
    <t>26.1.2</t>
  </si>
  <si>
    <t>26.2.</t>
  </si>
  <si>
    <t>26.2.1</t>
  </si>
  <si>
    <t>26.2.2</t>
  </si>
  <si>
    <t>26.3.</t>
  </si>
  <si>
    <t>26.3.1</t>
  </si>
  <si>
    <t>26.3.2</t>
  </si>
  <si>
    <t>26.4.</t>
  </si>
  <si>
    <t>26.4.1</t>
  </si>
  <si>
    <t>26.4.2</t>
  </si>
  <si>
    <t>26.5.</t>
  </si>
  <si>
    <t>26.5.1</t>
  </si>
  <si>
    <t>26.5.2</t>
  </si>
  <si>
    <t>26.6.</t>
  </si>
  <si>
    <t>26.6.1</t>
  </si>
  <si>
    <t>26.7.</t>
  </si>
  <si>
    <t>26.7.1</t>
  </si>
  <si>
    <t>26.8.</t>
  </si>
  <si>
    <t>26.8.1</t>
  </si>
  <si>
    <t>26.9.</t>
  </si>
  <si>
    <t>26.9.1</t>
  </si>
  <si>
    <t>26.10.</t>
  </si>
  <si>
    <t>26.10.1</t>
  </si>
  <si>
    <t>26.11.</t>
  </si>
  <si>
    <t>26.11.1</t>
  </si>
  <si>
    <t>26.12.</t>
  </si>
  <si>
    <t>26.12.1</t>
  </si>
  <si>
    <t>26.13.</t>
  </si>
  <si>
    <t>26.13.1</t>
  </si>
  <si>
    <t>26.14.</t>
  </si>
  <si>
    <t>26.14.1</t>
  </si>
  <si>
    <t>26.15.</t>
  </si>
  <si>
    <t>26.15.1</t>
  </si>
  <si>
    <t>26.16.</t>
  </si>
  <si>
    <t>26.16.1</t>
  </si>
  <si>
    <t>26.17.</t>
  </si>
  <si>
    <t>26.17.1</t>
  </si>
  <si>
    <t>26.18.</t>
  </si>
  <si>
    <t>26.18.1</t>
  </si>
  <si>
    <t>26.19.</t>
  </si>
  <si>
    <t>26.19.1</t>
  </si>
  <si>
    <t>26.20.</t>
  </si>
  <si>
    <t>26.20.1</t>
  </si>
  <si>
    <t>27.</t>
  </si>
  <si>
    <t>Sistemas de pintura em parede</t>
  </si>
  <si>
    <t>27.1.</t>
  </si>
  <si>
    <t>27.1.1</t>
  </si>
  <si>
    <t>REVESTIMENTO INTERNO, PAREDE - PINTURA, DUTO</t>
  </si>
  <si>
    <t>27.1.2</t>
  </si>
  <si>
    <t>REVESTIMENTO INTERNO, PAREDE - PINTURA, ESCADA/ANTECAMARA</t>
  </si>
  <si>
    <t>27.1.3</t>
  </si>
  <si>
    <t>REVESTIMENTO INTERNO, PAREDE - PINTURA, FOSSO</t>
  </si>
  <si>
    <t>27.1.4</t>
  </si>
  <si>
    <t>REVESTIMENTO INTERNO, PAREDE - PINTURA, HALL</t>
  </si>
  <si>
    <t>27.1.5</t>
  </si>
  <si>
    <t>REVESTIMENTO INTERNO, PAREDE - TEXTURA, A. COMUM</t>
  </si>
  <si>
    <t>27.1.6</t>
  </si>
  <si>
    <t>REVESTIMENTO INTERNO, PAREDE - TEXTURA, A. TECNICA</t>
  </si>
  <si>
    <t>27.1.7</t>
  </si>
  <si>
    <t>REVESTIMENTO INTERNO, PAREDE - TEXTURA, GARAGEM</t>
  </si>
  <si>
    <t>27.1.8</t>
  </si>
  <si>
    <t>REVESTIMENTO INTERNO, PAREDE - TEXTURA, LIXEIRA/G.N</t>
  </si>
  <si>
    <t>27.2.</t>
  </si>
  <si>
    <t>27.2.1</t>
  </si>
  <si>
    <t>27.2.2</t>
  </si>
  <si>
    <t>27.2.3</t>
  </si>
  <si>
    <t>27.2.4</t>
  </si>
  <si>
    <t>27.2.5</t>
  </si>
  <si>
    <t>27.3.</t>
  </si>
  <si>
    <t>27.3.1</t>
  </si>
  <si>
    <t>27.3.2</t>
  </si>
  <si>
    <t>27.3.3</t>
  </si>
  <si>
    <t>27.3.4</t>
  </si>
  <si>
    <t>27.3.5</t>
  </si>
  <si>
    <t>27.4.</t>
  </si>
  <si>
    <t>27.4.1</t>
  </si>
  <si>
    <t>27.4.2</t>
  </si>
  <si>
    <t>27.4.3</t>
  </si>
  <si>
    <t>27.4.4</t>
  </si>
  <si>
    <t>27.4.5</t>
  </si>
  <si>
    <t>27.5.</t>
  </si>
  <si>
    <t>27.5.1</t>
  </si>
  <si>
    <t>27.5.2</t>
  </si>
  <si>
    <t>27.5.3</t>
  </si>
  <si>
    <t>27.5.4</t>
  </si>
  <si>
    <t>27.5.5</t>
  </si>
  <si>
    <t>27.6.</t>
  </si>
  <si>
    <t>27.6.1</t>
  </si>
  <si>
    <t>REVESTIMENTO INTERNO, PAREDE - PINTURA, A. COMUM</t>
  </si>
  <si>
    <t>27.6.2</t>
  </si>
  <si>
    <t>27.6.3</t>
  </si>
  <si>
    <t>27.6.4</t>
  </si>
  <si>
    <t>27.6.5</t>
  </si>
  <si>
    <t>27.6.6</t>
  </si>
  <si>
    <t>27.6.7</t>
  </si>
  <si>
    <t>27.7.</t>
  </si>
  <si>
    <t>27.7.1</t>
  </si>
  <si>
    <t>REVESTIMENTO INTERNO, PAREDE - PINTURA, A. PRIVATIVA</t>
  </si>
  <si>
    <t>27.7.2</t>
  </si>
  <si>
    <t>REVESTIMENTO INTERNO, PAREDE - PINTURA, BANHEIRO</t>
  </si>
  <si>
    <t>27.7.3</t>
  </si>
  <si>
    <t>27.7.4</t>
  </si>
  <si>
    <t>27.7.5</t>
  </si>
  <si>
    <t>27.7.6</t>
  </si>
  <si>
    <t>27.8.</t>
  </si>
  <si>
    <t>27.8.1</t>
  </si>
  <si>
    <t>27.8.2</t>
  </si>
  <si>
    <t>27.8.3</t>
  </si>
  <si>
    <t>27.8.4</t>
  </si>
  <si>
    <t>27.8.5</t>
  </si>
  <si>
    <t>27.8.6</t>
  </si>
  <si>
    <t>27.9.</t>
  </si>
  <si>
    <t>27.9.1</t>
  </si>
  <si>
    <t>27.9.2</t>
  </si>
  <si>
    <t>27.9.3</t>
  </si>
  <si>
    <t>27.9.4</t>
  </si>
  <si>
    <t>27.9.5</t>
  </si>
  <si>
    <t>27.9.6</t>
  </si>
  <si>
    <t>27.10.</t>
  </si>
  <si>
    <t>27.10.1</t>
  </si>
  <si>
    <t>27.10.2</t>
  </si>
  <si>
    <t>27.10.3</t>
  </si>
  <si>
    <t>27.10.4</t>
  </si>
  <si>
    <t>27.10.5</t>
  </si>
  <si>
    <t>27.10.6</t>
  </si>
  <si>
    <t>27.11.</t>
  </si>
  <si>
    <t>27.11.1</t>
  </si>
  <si>
    <t>27.11.2</t>
  </si>
  <si>
    <t>27.11.3</t>
  </si>
  <si>
    <t>27.11.4</t>
  </si>
  <si>
    <t>27.11.5</t>
  </si>
  <si>
    <t>27.11.6</t>
  </si>
  <si>
    <t>27.12.</t>
  </si>
  <si>
    <t>27.12.1</t>
  </si>
  <si>
    <t>27.12.2</t>
  </si>
  <si>
    <t>27.12.3</t>
  </si>
  <si>
    <t>27.12.4</t>
  </si>
  <si>
    <t>27.12.5</t>
  </si>
  <si>
    <t>27.12.6</t>
  </si>
  <si>
    <t>27.13.</t>
  </si>
  <si>
    <t>27.13.1</t>
  </si>
  <si>
    <t>27.13.2</t>
  </si>
  <si>
    <t>27.13.3</t>
  </si>
  <si>
    <t>27.13.4</t>
  </si>
  <si>
    <t>27.13.5</t>
  </si>
  <si>
    <t>27.13.6</t>
  </si>
  <si>
    <t>27.14.</t>
  </si>
  <si>
    <t>27.14.1</t>
  </si>
  <si>
    <t>27.14.2</t>
  </si>
  <si>
    <t>27.14.3</t>
  </si>
  <si>
    <t>27.14.4</t>
  </si>
  <si>
    <t>27.14.5</t>
  </si>
  <si>
    <t>27.14.6</t>
  </si>
  <si>
    <t>27.15.</t>
  </si>
  <si>
    <t>27.15.1</t>
  </si>
  <si>
    <t>27.15.2</t>
  </si>
  <si>
    <t>27.15.3</t>
  </si>
  <si>
    <t>27.15.4</t>
  </si>
  <si>
    <t>27.15.5</t>
  </si>
  <si>
    <t>27.15.6</t>
  </si>
  <si>
    <t>27.16.</t>
  </si>
  <si>
    <t>27.16.1</t>
  </si>
  <si>
    <t>27.16.2</t>
  </si>
  <si>
    <t>27.16.3</t>
  </si>
  <si>
    <t>27.16.4</t>
  </si>
  <si>
    <t>27.16.5</t>
  </si>
  <si>
    <t>27.16.6</t>
  </si>
  <si>
    <t>27.17.</t>
  </si>
  <si>
    <t>27.17.1</t>
  </si>
  <si>
    <t>27.17.2</t>
  </si>
  <si>
    <t>27.17.3</t>
  </si>
  <si>
    <t>27.17.4</t>
  </si>
  <si>
    <t>27.17.5</t>
  </si>
  <si>
    <t>27.17.6</t>
  </si>
  <si>
    <t>27.18.</t>
  </si>
  <si>
    <t>27.18.1</t>
  </si>
  <si>
    <t>27.18.2</t>
  </si>
  <si>
    <t>27.18.3</t>
  </si>
  <si>
    <t>27.18.4</t>
  </si>
  <si>
    <t>27.18.5</t>
  </si>
  <si>
    <t>27.18.6</t>
  </si>
  <si>
    <t>27.19.</t>
  </si>
  <si>
    <t>27.19.1</t>
  </si>
  <si>
    <t>27.19.2</t>
  </si>
  <si>
    <t>27.19.3</t>
  </si>
  <si>
    <t>27.19.4</t>
  </si>
  <si>
    <t>27.19.5</t>
  </si>
  <si>
    <t>27.19.6</t>
  </si>
  <si>
    <t>27.20.</t>
  </si>
  <si>
    <t>27.20.1</t>
  </si>
  <si>
    <t>27.20.2</t>
  </si>
  <si>
    <t>27.20.3</t>
  </si>
  <si>
    <t>27.20.4</t>
  </si>
  <si>
    <t>27.20.5</t>
  </si>
  <si>
    <t>27.20.6</t>
  </si>
  <si>
    <t>27.21.</t>
  </si>
  <si>
    <t>27.21.1</t>
  </si>
  <si>
    <t>27.21.2</t>
  </si>
  <si>
    <t>27.21.3</t>
  </si>
  <si>
    <t>27.21.4</t>
  </si>
  <si>
    <t>27.21.5</t>
  </si>
  <si>
    <t>27.21.6</t>
  </si>
  <si>
    <t>27.21.7</t>
  </si>
  <si>
    <t>REVESTIMENTO INTERNO, PAREDE - TEXTURA, A. PRIVATIVA</t>
  </si>
  <si>
    <t>27.22.</t>
  </si>
  <si>
    <t>27.22.1</t>
  </si>
  <si>
    <t>REVESTIMENTO INTERNO, PAREDE - PINTURA, A. TECNICA</t>
  </si>
  <si>
    <t>27.22.2</t>
  </si>
  <si>
    <t>27.23.</t>
  </si>
  <si>
    <t>27.23.1</t>
  </si>
  <si>
    <t>27.23.2</t>
  </si>
  <si>
    <t>28.</t>
  </si>
  <si>
    <t>Sistemas de pintura em teto</t>
  </si>
  <si>
    <t>28.1.</t>
  </si>
  <si>
    <t>28.1.1</t>
  </si>
  <si>
    <t>PINTURA EM TETO</t>
  </si>
  <si>
    <t>28.2.</t>
  </si>
  <si>
    <t>28.2.1</t>
  </si>
  <si>
    <t>28.3.</t>
  </si>
  <si>
    <t>28.3.1</t>
  </si>
  <si>
    <t>28.4.</t>
  </si>
  <si>
    <t>28.4.1</t>
  </si>
  <si>
    <t>28.5.</t>
  </si>
  <si>
    <t>28.5.1</t>
  </si>
  <si>
    <t>28.6.</t>
  </si>
  <si>
    <t>28.6.1</t>
  </si>
  <si>
    <t>28.7.</t>
  </si>
  <si>
    <t>28.7.1</t>
  </si>
  <si>
    <t>28.8.</t>
  </si>
  <si>
    <t>28.8.1</t>
  </si>
  <si>
    <t>28.9.</t>
  </si>
  <si>
    <t>28.9.1</t>
  </si>
  <si>
    <t>28.10.</t>
  </si>
  <si>
    <t>28.10.1</t>
  </si>
  <si>
    <t>28.11.</t>
  </si>
  <si>
    <t>28.11.1</t>
  </si>
  <si>
    <t>28.12.</t>
  </si>
  <si>
    <t>28.12.1</t>
  </si>
  <si>
    <t>28.13.</t>
  </si>
  <si>
    <t>28.13.1</t>
  </si>
  <si>
    <t>28.14.</t>
  </si>
  <si>
    <t>28.14.1</t>
  </si>
  <si>
    <t>28.15.</t>
  </si>
  <si>
    <t>28.15.1</t>
  </si>
  <si>
    <t>28.16.</t>
  </si>
  <si>
    <t>28.16.1</t>
  </si>
  <si>
    <t>28.17.</t>
  </si>
  <si>
    <t>28.17.1</t>
  </si>
  <si>
    <t>28.18.</t>
  </si>
  <si>
    <t>28.18.1</t>
  </si>
  <si>
    <t>28.19.</t>
  </si>
  <si>
    <t>28.19.1</t>
  </si>
  <si>
    <t>28.20.</t>
  </si>
  <si>
    <t>28.20.1</t>
  </si>
  <si>
    <t>28.21.</t>
  </si>
  <si>
    <t>28.21.1</t>
  </si>
  <si>
    <t>28.22.</t>
  </si>
  <si>
    <t>28.22.1</t>
  </si>
  <si>
    <t>28.23.</t>
  </si>
  <si>
    <t>28.23.1</t>
  </si>
  <si>
    <t>30.</t>
  </si>
  <si>
    <t>30.1.</t>
  </si>
  <si>
    <t>30.1.1.</t>
  </si>
  <si>
    <t>Corrimão</t>
  </si>
  <si>
    <t>30.1.1.1</t>
  </si>
  <si>
    <t>CORRIMÃO DE ESCADA</t>
  </si>
  <si>
    <t>30.1.2.</t>
  </si>
  <si>
    <t>Janela</t>
  </si>
  <si>
    <t>30.1.2.1</t>
  </si>
  <si>
    <t>JANELA DE ABRIR, 1 FOLHA, ALUMÍNIO VENEZIANA, 110 x 140 cm</t>
  </si>
  <si>
    <t>30.1.2.2</t>
  </si>
  <si>
    <t>JANELA FIXA, 1 FOLHA, ALUMÍNIO E VIDRO, 215 x 280 cm</t>
  </si>
  <si>
    <t>30.1.2.3</t>
  </si>
  <si>
    <t>JANELA FIXA, 1 FOLHA, ALUMÍNIO E VIDRO, 233 x 280 cm</t>
  </si>
  <si>
    <t>30.1.2.4</t>
  </si>
  <si>
    <t>JANELA FIXA, 1 FOLHA, ALUMÍNIO E VIDRO, 55 x 280 cm</t>
  </si>
  <si>
    <t>30.1.2.5</t>
  </si>
  <si>
    <t>JANELA FIXA, 1 FOLHA, ALUMÍNIO VENEZIANA, 100 x 80 cm</t>
  </si>
  <si>
    <t>30.1.2.6</t>
  </si>
  <si>
    <t>JANELA FIXA, 1 FOLHA, ALUMÍNIO VENEZIANA, 86 x 80 cm</t>
  </si>
  <si>
    <t>30.1.3.</t>
  </si>
  <si>
    <t>Porta</t>
  </si>
  <si>
    <t>30.1.3.1</t>
  </si>
  <si>
    <t>PORTA DE ABRIR, 1 FOLHA, ALUMINIO VENEZIANA, 100 x 180 cm</t>
  </si>
  <si>
    <t>30.1.3.2</t>
  </si>
  <si>
    <t>PORTA DE ABRIR, 1 FOLHA, ALUMÍNIO VENEZIANA, 70 x 110 cm</t>
  </si>
  <si>
    <t>30.1.3.3</t>
  </si>
  <si>
    <t>PORTA DE CORRER, 2 FOLHAS, ALUMÍNIO VENEZIANA, 127 x 180 cm</t>
  </si>
  <si>
    <t>30.1.3.4</t>
  </si>
  <si>
    <t>PORTAO BASCULANTE, 1 FOLHA, MATERIAL A CONFIRMAR, MEDIDA A CONFIRMAR</t>
  </si>
  <si>
    <t>30.1.3.5</t>
  </si>
  <si>
    <t>PORTAO BASCULANTE, 1 FOLHA, MATERIAL A CONFIRMAR, MEDIDAS A CONFIRMAR</t>
  </si>
  <si>
    <t>30.1.3.6</t>
  </si>
  <si>
    <t>PORTA PIVOTANTE, 1 FOLHA, VIDRO TEMPERADO, 120 x 280 cm</t>
  </si>
  <si>
    <t>30.2.</t>
  </si>
  <si>
    <t>30.2.1.</t>
  </si>
  <si>
    <t>30.2.1.1</t>
  </si>
  <si>
    <t>30.2.2.</t>
  </si>
  <si>
    <t>30.2.2.1</t>
  </si>
  <si>
    <t>JANELA BASCULANTE, 6 FOLHAS, ALUMÍNIO E VIDRO, 700 x 248 cm</t>
  </si>
  <si>
    <t>30.2.2.2</t>
  </si>
  <si>
    <t>30.2.2.3</t>
  </si>
  <si>
    <t>30.2.3.</t>
  </si>
  <si>
    <t>30.2.3.1</t>
  </si>
  <si>
    <t>30.2.3.2</t>
  </si>
  <si>
    <t>PORTA DE CORRER, 2 FOLHAS, ALUMÍNIO VENEZIANA, 185 x 173 cm</t>
  </si>
  <si>
    <t>30.3.</t>
  </si>
  <si>
    <t>30.3.1.</t>
  </si>
  <si>
    <t>30.3.1.1</t>
  </si>
  <si>
    <t>30.3.2.</t>
  </si>
  <si>
    <t>30.3.2.1</t>
  </si>
  <si>
    <t>30.3.2.2</t>
  </si>
  <si>
    <t>30.3.2.3</t>
  </si>
  <si>
    <t>30.3.3.</t>
  </si>
  <si>
    <t>30.3.3.1</t>
  </si>
  <si>
    <t>30.3.3.2</t>
  </si>
  <si>
    <t>30.4.</t>
  </si>
  <si>
    <t>30.4.1.</t>
  </si>
  <si>
    <t>30.4.1.1</t>
  </si>
  <si>
    <t>30.4.2.</t>
  </si>
  <si>
    <t>30.4.2.1</t>
  </si>
  <si>
    <t>JANELA BASCULANTE, 6 FOLHAS, ALUMÍNIO E VIDRO, 700 x 259 cm</t>
  </si>
  <si>
    <t>30.4.2.2</t>
  </si>
  <si>
    <t>30.4.2.3</t>
  </si>
  <si>
    <t>30.4.3.</t>
  </si>
  <si>
    <t>30.4.3.1</t>
  </si>
  <si>
    <t>30.4.3.2</t>
  </si>
  <si>
    <t>30.5.</t>
  </si>
  <si>
    <t>30.5.1.</t>
  </si>
  <si>
    <t>30.5.1.1</t>
  </si>
  <si>
    <t>30.5.2.</t>
  </si>
  <si>
    <t>30.5.2.1</t>
  </si>
  <si>
    <t>30.5.2.2</t>
  </si>
  <si>
    <t>30.5.2.3</t>
  </si>
  <si>
    <t>30.5.3.</t>
  </si>
  <si>
    <t>30.5.3.1</t>
  </si>
  <si>
    <t>30.5.3.2</t>
  </si>
  <si>
    <t>30.6.</t>
  </si>
  <si>
    <t>30.6.1.</t>
  </si>
  <si>
    <t>30.6.1.1</t>
  </si>
  <si>
    <t>30.6.1.2</t>
  </si>
  <si>
    <t>GUARDA-CORPO, VIDRO E ALUMINIO, 100 cm</t>
  </si>
  <si>
    <t>30.6.2.</t>
  </si>
  <si>
    <t>30.6.2.1</t>
  </si>
  <si>
    <t>ABERTURA PARA CHURRASQUEIRA, ALUMÍNIO, 70 x 100 cm</t>
  </si>
  <si>
    <t>30.6.2.2</t>
  </si>
  <si>
    <t>JANELA BASCULANTE, 6 FOLHAS, ALUMÍNIO E VIDRO, 720 x 295 cm</t>
  </si>
  <si>
    <t>30.6.2.3</t>
  </si>
  <si>
    <t>JANELA FIXA, 1 FOLHA, ALUMÍNIO E VIDRO, 204 x 260 cm</t>
  </si>
  <si>
    <t>30.6.2.4</t>
  </si>
  <si>
    <t>JANELA FIXA, 1 FOLHA, ALUMÍNIO E VIDRO, 213 x 260 cm</t>
  </si>
  <si>
    <t>30.6.2.5</t>
  </si>
  <si>
    <t>JANELA FIXA, 1 FOLHA, ALUMÍNIO E VIDRO, 245 x 260 cm</t>
  </si>
  <si>
    <t>30.6.2.6</t>
  </si>
  <si>
    <t>JANELA FIXA, 1 FOLHA, ALUMÍNIO E VIDRO, 263 x 260 cm</t>
  </si>
  <si>
    <t>30.6.2.7</t>
  </si>
  <si>
    <t>JANELA FIXA, 1 FOLHA, ALUMÍNIO E VIDRO, 323 x 260 cm</t>
  </si>
  <si>
    <t>30.6.2.8</t>
  </si>
  <si>
    <t>JANELA FIXA, 1 FOLHA, ALUMÍNIO E VIDRO, 358 x 260 cm</t>
  </si>
  <si>
    <t>30.6.2.9</t>
  </si>
  <si>
    <t>JANELA FIXA, 1 FOLHA, ALUMÍNIO E VIDRO, 409 x 260 cm</t>
  </si>
  <si>
    <t>30.6.2.10</t>
  </si>
  <si>
    <t>JANELA FIXA, 1 FOLHA, ALUMÍNIO E VIDRO, 485 x 260 cm</t>
  </si>
  <si>
    <t>30.6.2.11</t>
  </si>
  <si>
    <t>JANELA FIXA, 1 FOLHA, ALUMÍNIO E VIDRO, 59 x 295 cm</t>
  </si>
  <si>
    <t>30.6.2.12</t>
  </si>
  <si>
    <t>30.6.3.</t>
  </si>
  <si>
    <t>30.6.3.1</t>
  </si>
  <si>
    <t>PORTA DE ABRIR, 1 FOLHA, ALUMÍNIO ANODIZADO, 70 x 210 cm</t>
  </si>
  <si>
    <t>30.6.3.2</t>
  </si>
  <si>
    <t>PORTA DE ABRIR, 1 FOLHA, ALUMÍNIO ANODIZADO, 80 x 210 cm</t>
  </si>
  <si>
    <t>30.6.3.3</t>
  </si>
  <si>
    <t>PORTA DE ABRIR, 3 FOLHAS, VIDRO E ALUMÍNIO, 368 x 310 cm</t>
  </si>
  <si>
    <t>30.6.3.4</t>
  </si>
  <si>
    <t>PORTA DE CORRER, 2 FOLHAS, VIDRO E ALUMÍNIO, 180 x 310 cm</t>
  </si>
  <si>
    <t>30.6.3.5</t>
  </si>
  <si>
    <t>PORTA DE CORRER, 2 FOLHAS, VIDRO E ALUMÍNIO, 270 x 310 cm</t>
  </si>
  <si>
    <t>30.6.3.6</t>
  </si>
  <si>
    <t>PORTA PIVOTANTE, 1 FOLHA, VIDRO TEMPERADO, 120 x 240 cm</t>
  </si>
  <si>
    <t>30.7.</t>
  </si>
  <si>
    <t>30.7.1.</t>
  </si>
  <si>
    <t>30.7.1.1</t>
  </si>
  <si>
    <t>30.7.1.2</t>
  </si>
  <si>
    <t>GUARDA-CORPO, VIDRO E ALUMINIO, 105 cm</t>
  </si>
  <si>
    <t>30.7.2.</t>
  </si>
  <si>
    <t>30.7.2.1</t>
  </si>
  <si>
    <t>ABERTURA PARA CHURRASQUEIRA, ALUMÍNIO, 60 x 100 cm</t>
  </si>
  <si>
    <t>30.7.2.2</t>
  </si>
  <si>
    <t>JANELA BASCULANTE, 1 FOLHA, ALUMÍNIO E VIDRO, 50 x 105 cm</t>
  </si>
  <si>
    <t>30.7.2.3</t>
  </si>
  <si>
    <t>JANELA DE CORRER, 2 FOLHAS, ALUMÍNIO E VIDRO, 140 x 220 cm</t>
  </si>
  <si>
    <t>30.7.2.4</t>
  </si>
  <si>
    <t>JANELA DE CORRER, 2 FOLHAS, ALUMÍNIO E VIDRO, 160 x 150 cm</t>
  </si>
  <si>
    <t>30.7.2.5</t>
  </si>
  <si>
    <t>JANELA DE CORRER, 2 FOLHAS, ALUMÍNIO E VIDRO, 160 x 220 cm</t>
  </si>
  <si>
    <t>30.7.2.6</t>
  </si>
  <si>
    <t>JANELA DE CORRER, 2 FOLHAS, ALUMÍNIO E VIDRO, 180 x 150 cm</t>
  </si>
  <si>
    <t>30.7.2.7</t>
  </si>
  <si>
    <t>JANELA DE CORRER, 2 FOLHAS, ALUMÍNIO E VIDRO, 180 x 220 cm</t>
  </si>
  <si>
    <t>30.7.2.8</t>
  </si>
  <si>
    <t>JANELA DE CORRER, 2 FOLHAS, ALUMÍNIO E VIDRO, 240 x 220 cm</t>
  </si>
  <si>
    <t>30.7.2.9</t>
  </si>
  <si>
    <t>30.7.2.10</t>
  </si>
  <si>
    <t>30.7.3.</t>
  </si>
  <si>
    <t>30.7.3.1</t>
  </si>
  <si>
    <t>30.7.3.2</t>
  </si>
  <si>
    <t>PORTA DE CORRER, 2 FOLHAS, VIDRO E ALUMÍNIO, 230 x 260 cm</t>
  </si>
  <si>
    <t>30.7.3.3</t>
  </si>
  <si>
    <t>PORTA DE CORRER, 2 FOLHAS, VIDRO E ALUMÍNIO, 330 x 260 cm</t>
  </si>
  <si>
    <t>30.8.</t>
  </si>
  <si>
    <t>30.8.1.</t>
  </si>
  <si>
    <t>30.8.1.1</t>
  </si>
  <si>
    <t>30.8.1.2</t>
  </si>
  <si>
    <t>30.8.2.</t>
  </si>
  <si>
    <t>30.8.2.1</t>
  </si>
  <si>
    <t>30.8.2.2</t>
  </si>
  <si>
    <t>30.8.2.3</t>
  </si>
  <si>
    <t>30.8.2.4</t>
  </si>
  <si>
    <t>30.8.2.5</t>
  </si>
  <si>
    <t>30.8.2.6</t>
  </si>
  <si>
    <t>30.8.2.7</t>
  </si>
  <si>
    <t>30.8.2.8</t>
  </si>
  <si>
    <t>30.8.2.9</t>
  </si>
  <si>
    <t>30.8.2.10</t>
  </si>
  <si>
    <t>30.8.3.</t>
  </si>
  <si>
    <t>30.8.3.1</t>
  </si>
  <si>
    <t>30.8.3.2</t>
  </si>
  <si>
    <t>30.8.3.3</t>
  </si>
  <si>
    <t>30.9.</t>
  </si>
  <si>
    <t>30.9.1.</t>
  </si>
  <si>
    <t>30.9.1.1</t>
  </si>
  <si>
    <t>30.9.1.2</t>
  </si>
  <si>
    <t>30.9.2.</t>
  </si>
  <si>
    <t>30.9.2.1</t>
  </si>
  <si>
    <t>30.9.2.2</t>
  </si>
  <si>
    <t>30.9.2.3</t>
  </si>
  <si>
    <t>30.9.2.4</t>
  </si>
  <si>
    <t>30.9.2.5</t>
  </si>
  <si>
    <t>30.9.2.6</t>
  </si>
  <si>
    <t>30.9.2.7</t>
  </si>
  <si>
    <t>30.9.2.8</t>
  </si>
  <si>
    <t>30.9.2.9</t>
  </si>
  <si>
    <t>30.9.2.10</t>
  </si>
  <si>
    <t>30.9.3.</t>
  </si>
  <si>
    <t>30.9.3.1</t>
  </si>
  <si>
    <t>30.9.3.2</t>
  </si>
  <si>
    <t>30.9.3.3</t>
  </si>
  <si>
    <t>30.10.</t>
  </si>
  <si>
    <t>30.10.1.</t>
  </si>
  <si>
    <t>30.10.1.1</t>
  </si>
  <si>
    <t>30.10.1.2</t>
  </si>
  <si>
    <t>30.10.2.</t>
  </si>
  <si>
    <t>30.10.2.1</t>
  </si>
  <si>
    <t>30.10.2.2</t>
  </si>
  <si>
    <t>30.10.2.3</t>
  </si>
  <si>
    <t>30.10.2.4</t>
  </si>
  <si>
    <t>30.10.2.5</t>
  </si>
  <si>
    <t>30.10.2.6</t>
  </si>
  <si>
    <t>30.10.2.7</t>
  </si>
  <si>
    <t>30.10.2.8</t>
  </si>
  <si>
    <t>30.10.2.9</t>
  </si>
  <si>
    <t>30.10.2.10</t>
  </si>
  <si>
    <t>30.10.3.</t>
  </si>
  <si>
    <t>30.10.3.1</t>
  </si>
  <si>
    <t>30.10.3.2</t>
  </si>
  <si>
    <t>30.10.3.3</t>
  </si>
  <si>
    <t>30.11.</t>
  </si>
  <si>
    <t>30.11.1.</t>
  </si>
  <si>
    <t>30.11.1.1</t>
  </si>
  <si>
    <t>30.11.1.2</t>
  </si>
  <si>
    <t>30.11.2.</t>
  </si>
  <si>
    <t>30.11.2.1</t>
  </si>
  <si>
    <t>30.11.2.2</t>
  </si>
  <si>
    <t>30.11.2.3</t>
  </si>
  <si>
    <t>30.11.2.4</t>
  </si>
  <si>
    <t>30.11.2.5</t>
  </si>
  <si>
    <t>30.11.2.6</t>
  </si>
  <si>
    <t>30.11.2.7</t>
  </si>
  <si>
    <t>30.11.2.8</t>
  </si>
  <si>
    <t>30.11.2.9</t>
  </si>
  <si>
    <t>30.11.2.10</t>
  </si>
  <si>
    <t>30.11.3.</t>
  </si>
  <si>
    <t>30.11.3.1</t>
  </si>
  <si>
    <t>30.11.3.2</t>
  </si>
  <si>
    <t>30.11.3.3</t>
  </si>
  <si>
    <t>30.12.</t>
  </si>
  <si>
    <t>30.12.1.</t>
  </si>
  <si>
    <t>30.12.1.1</t>
  </si>
  <si>
    <t>30.12.1.2</t>
  </si>
  <si>
    <t>30.12.2.</t>
  </si>
  <si>
    <t>30.12.2.1</t>
  </si>
  <si>
    <t>30.12.2.2</t>
  </si>
  <si>
    <t>30.12.2.3</t>
  </si>
  <si>
    <t>30.12.2.4</t>
  </si>
  <si>
    <t>30.12.2.5</t>
  </si>
  <si>
    <t>30.12.2.6</t>
  </si>
  <si>
    <t>30.12.2.7</t>
  </si>
  <si>
    <t>30.12.2.8</t>
  </si>
  <si>
    <t>30.12.2.9</t>
  </si>
  <si>
    <t>30.12.2.10</t>
  </si>
  <si>
    <t>30.12.3.</t>
  </si>
  <si>
    <t>30.12.3.1</t>
  </si>
  <si>
    <t>30.12.3.2</t>
  </si>
  <si>
    <t>30.12.3.3</t>
  </si>
  <si>
    <t>30.13.</t>
  </si>
  <si>
    <t>30.13.1.</t>
  </si>
  <si>
    <t>30.13.1.1</t>
  </si>
  <si>
    <t>30.13.1.2</t>
  </si>
  <si>
    <t>30.13.2.</t>
  </si>
  <si>
    <t>30.13.2.1</t>
  </si>
  <si>
    <t>30.13.2.2</t>
  </si>
  <si>
    <t>30.13.2.3</t>
  </si>
  <si>
    <t>30.13.2.4</t>
  </si>
  <si>
    <t>30.13.2.5</t>
  </si>
  <si>
    <t>30.13.2.6</t>
  </si>
  <si>
    <t>30.13.2.7</t>
  </si>
  <si>
    <t>30.13.2.8</t>
  </si>
  <si>
    <t>30.13.2.9</t>
  </si>
  <si>
    <t>30.13.2.10</t>
  </si>
  <si>
    <t>30.13.3.</t>
  </si>
  <si>
    <t>30.13.3.1</t>
  </si>
  <si>
    <t>30.13.3.2</t>
  </si>
  <si>
    <t>30.13.3.3</t>
  </si>
  <si>
    <t>30.14.</t>
  </si>
  <si>
    <t>30.14.1.</t>
  </si>
  <si>
    <t>30.14.1.1</t>
  </si>
  <si>
    <t>30.14.1.2</t>
  </si>
  <si>
    <t>30.14.2.</t>
  </si>
  <si>
    <t>30.14.2.1</t>
  </si>
  <si>
    <t>30.14.2.2</t>
  </si>
  <si>
    <t>30.14.2.3</t>
  </si>
  <si>
    <t>30.14.2.4</t>
  </si>
  <si>
    <t>30.14.2.5</t>
  </si>
  <si>
    <t>30.14.2.6</t>
  </si>
  <si>
    <t>30.14.2.7</t>
  </si>
  <si>
    <t>30.14.2.8</t>
  </si>
  <si>
    <t>30.14.2.9</t>
  </si>
  <si>
    <t>30.14.2.10</t>
  </si>
  <si>
    <t>30.14.3.</t>
  </si>
  <si>
    <t>30.14.3.1</t>
  </si>
  <si>
    <t>30.14.3.2</t>
  </si>
  <si>
    <t>30.14.3.3</t>
  </si>
  <si>
    <t>30.15.</t>
  </si>
  <si>
    <t>30.15.1.</t>
  </si>
  <si>
    <t>30.15.1.1</t>
  </si>
  <si>
    <t>30.15.1.2</t>
  </si>
  <si>
    <t>30.15.2.</t>
  </si>
  <si>
    <t>30.15.2.1</t>
  </si>
  <si>
    <t>30.15.2.2</t>
  </si>
  <si>
    <t>30.15.2.3</t>
  </si>
  <si>
    <t>30.15.2.4</t>
  </si>
  <si>
    <t>30.15.2.5</t>
  </si>
  <si>
    <t>30.15.2.6</t>
  </si>
  <si>
    <t>30.15.2.7</t>
  </si>
  <si>
    <t>30.15.2.8</t>
  </si>
  <si>
    <t>30.15.2.9</t>
  </si>
  <si>
    <t>30.15.2.10</t>
  </si>
  <si>
    <t>30.15.3.</t>
  </si>
  <si>
    <t>30.15.3.1</t>
  </si>
  <si>
    <t>30.15.3.2</t>
  </si>
  <si>
    <t>30.15.3.3</t>
  </si>
  <si>
    <t>30.16.</t>
  </si>
  <si>
    <t>30.16.1.</t>
  </si>
  <si>
    <t>30.16.1.1</t>
  </si>
  <si>
    <t>30.16.1.2</t>
  </si>
  <si>
    <t>30.16.2.</t>
  </si>
  <si>
    <t>30.16.2.1</t>
  </si>
  <si>
    <t>30.16.2.2</t>
  </si>
  <si>
    <t>30.16.2.3</t>
  </si>
  <si>
    <t>30.16.2.4</t>
  </si>
  <si>
    <t>30.16.2.5</t>
  </si>
  <si>
    <t>30.16.2.6</t>
  </si>
  <si>
    <t>30.16.2.7</t>
  </si>
  <si>
    <t>30.16.2.8</t>
  </si>
  <si>
    <t>30.16.2.9</t>
  </si>
  <si>
    <t>30.16.2.10</t>
  </si>
  <si>
    <t>30.16.3.</t>
  </si>
  <si>
    <t>30.16.3.1</t>
  </si>
  <si>
    <t>30.16.3.2</t>
  </si>
  <si>
    <t>30.16.3.3</t>
  </si>
  <si>
    <t>30.17.</t>
  </si>
  <si>
    <t>30.17.1.</t>
  </si>
  <si>
    <t>30.17.1.1</t>
  </si>
  <si>
    <t>30.17.1.2</t>
  </si>
  <si>
    <t>30.17.2.</t>
  </si>
  <si>
    <t>30.17.2.1</t>
  </si>
  <si>
    <t>30.17.2.2</t>
  </si>
  <si>
    <t>30.17.2.3</t>
  </si>
  <si>
    <t>30.17.2.4</t>
  </si>
  <si>
    <t>30.17.2.5</t>
  </si>
  <si>
    <t>30.17.2.6</t>
  </si>
  <si>
    <t>30.17.2.7</t>
  </si>
  <si>
    <t>30.17.2.8</t>
  </si>
  <si>
    <t>30.17.2.9</t>
  </si>
  <si>
    <t>30.17.2.10</t>
  </si>
  <si>
    <t>30.17.3.</t>
  </si>
  <si>
    <t>30.17.3.1</t>
  </si>
  <si>
    <t>30.17.3.2</t>
  </si>
  <si>
    <t>30.17.3.3</t>
  </si>
  <si>
    <t>30.18.</t>
  </si>
  <si>
    <t>30.18.1.</t>
  </si>
  <si>
    <t>30.18.1.1</t>
  </si>
  <si>
    <t>30.18.1.2</t>
  </si>
  <si>
    <t>30.18.2.</t>
  </si>
  <si>
    <t>30.18.2.1</t>
  </si>
  <si>
    <t>30.18.2.2</t>
  </si>
  <si>
    <t>30.18.2.3</t>
  </si>
  <si>
    <t>30.18.2.4</t>
  </si>
  <si>
    <t>30.18.2.5</t>
  </si>
  <si>
    <t>30.18.2.6</t>
  </si>
  <si>
    <t>30.18.2.7</t>
  </si>
  <si>
    <t>30.18.2.8</t>
  </si>
  <si>
    <t>30.18.2.9</t>
  </si>
  <si>
    <t>30.18.2.10</t>
  </si>
  <si>
    <t>30.18.3.</t>
  </si>
  <si>
    <t>30.18.3.1</t>
  </si>
  <si>
    <t>30.18.3.2</t>
  </si>
  <si>
    <t>30.18.3.3</t>
  </si>
  <si>
    <t>30.19.</t>
  </si>
  <si>
    <t>30.19.1.</t>
  </si>
  <si>
    <t>30.19.1.1</t>
  </si>
  <si>
    <t>30.19.1.2</t>
  </si>
  <si>
    <t>30.19.2.</t>
  </si>
  <si>
    <t>30.19.2.1</t>
  </si>
  <si>
    <t>30.19.2.2</t>
  </si>
  <si>
    <t>30.19.2.3</t>
  </si>
  <si>
    <t>30.19.2.4</t>
  </si>
  <si>
    <t>30.19.2.5</t>
  </si>
  <si>
    <t>30.19.2.6</t>
  </si>
  <si>
    <t>30.19.2.7</t>
  </si>
  <si>
    <t>30.19.2.8</t>
  </si>
  <si>
    <t>30.19.2.9</t>
  </si>
  <si>
    <t>30.19.2.10</t>
  </si>
  <si>
    <t>30.19.3.</t>
  </si>
  <si>
    <t>30.19.3.1</t>
  </si>
  <si>
    <t>30.19.3.2</t>
  </si>
  <si>
    <t>30.19.3.3</t>
  </si>
  <si>
    <t>30.20.</t>
  </si>
  <si>
    <t>30.20.1.</t>
  </si>
  <si>
    <t>30.20.1.1</t>
  </si>
  <si>
    <t>30.20.1.2</t>
  </si>
  <si>
    <t>30.20.1.3</t>
  </si>
  <si>
    <t>30.20.2.</t>
  </si>
  <si>
    <t>30.20.2.1</t>
  </si>
  <si>
    <t>30.20.2.2</t>
  </si>
  <si>
    <t>30.20.2.3</t>
  </si>
  <si>
    <t>30.20.2.4</t>
  </si>
  <si>
    <t>30.20.2.5</t>
  </si>
  <si>
    <t>30.20.2.6</t>
  </si>
  <si>
    <t>30.20.2.7</t>
  </si>
  <si>
    <t>30.20.2.8</t>
  </si>
  <si>
    <t>30.20.2.9</t>
  </si>
  <si>
    <t>30.20.2.10</t>
  </si>
  <si>
    <t>30.20.3.</t>
  </si>
  <si>
    <t>30.20.3.1</t>
  </si>
  <si>
    <t>30.20.3.2</t>
  </si>
  <si>
    <t>PORTA DE CORRER, 3 FOLHAS, VIDRO E ALUMÍNIO, 300 x 260 cm</t>
  </si>
  <si>
    <t>30.21.</t>
  </si>
  <si>
    <t>30.21.1.</t>
  </si>
  <si>
    <t>30.21.1.1</t>
  </si>
  <si>
    <t>30.21.2.</t>
  </si>
  <si>
    <t>30.21.2.1</t>
  </si>
  <si>
    <t>30.21.2.2</t>
  </si>
  <si>
    <t>JANELA BASCULANTE, 1 FOLHA, ALUMÍNIO E VIDRO, 150 x 105 cm</t>
  </si>
  <si>
    <t>30.21.2.3</t>
  </si>
  <si>
    <t>30.21.2.4</t>
  </si>
  <si>
    <t>30.21.2.5</t>
  </si>
  <si>
    <t>30.21.2.6</t>
  </si>
  <si>
    <t>30.21.2.7</t>
  </si>
  <si>
    <t>30.21.2.8</t>
  </si>
  <si>
    <t>30.21.2.9</t>
  </si>
  <si>
    <t>30.21.3.</t>
  </si>
  <si>
    <t>30.21.3.1</t>
  </si>
  <si>
    <t>PORTA DE ABRIR, 1 FOLHA, ALUMÍNIO VENEZIANA, 70 x 260 cm</t>
  </si>
  <si>
    <t>30.21.3.2</t>
  </si>
  <si>
    <t>PORTA DE CORRER, 4 FOLHAS, VIDRO E ALUMÍNIO, 500 x 270 cm</t>
  </si>
  <si>
    <t>30.22.</t>
  </si>
  <si>
    <t>30.22.1.</t>
  </si>
  <si>
    <t>30.22.1.1</t>
  </si>
  <si>
    <t>31.</t>
  </si>
  <si>
    <t>31.1.</t>
  </si>
  <si>
    <t>31.1.1.</t>
  </si>
  <si>
    <t>31.1.1.1</t>
  </si>
  <si>
    <t>CORRIMÃO ESCADA_PAREDE - MADEIRA</t>
  </si>
  <si>
    <t>31.2.</t>
  </si>
  <si>
    <t>31.2.1.</t>
  </si>
  <si>
    <t>31.2.1.1</t>
  </si>
  <si>
    <t>31.3.</t>
  </si>
  <si>
    <t>31.3.1.</t>
  </si>
  <si>
    <t>31.3.1.1</t>
  </si>
  <si>
    <t>31.4.</t>
  </si>
  <si>
    <t>31.4.1.</t>
  </si>
  <si>
    <t>31.4.1.1</t>
  </si>
  <si>
    <t>31.5.</t>
  </si>
  <si>
    <t>31.5.1.</t>
  </si>
  <si>
    <t>31.5.1.1</t>
  </si>
  <si>
    <t>31.6.</t>
  </si>
  <si>
    <t>31.6.1.</t>
  </si>
  <si>
    <t>31.6.1.1</t>
  </si>
  <si>
    <t>31.6.2.</t>
  </si>
  <si>
    <t>31.6.2.1</t>
  </si>
  <si>
    <t>PORTA DE ABRIR, 1 FOLHA, MADEIRA, 70 x 210 cm</t>
  </si>
  <si>
    <t>31.6.2.2</t>
  </si>
  <si>
    <t>PORTA DE ABRIR, 1 FOLHA, MADEIRA, 90 x 210 cm</t>
  </si>
  <si>
    <t>31.7.</t>
  </si>
  <si>
    <t>31.7.1.</t>
  </si>
  <si>
    <t>31.7.1.1</t>
  </si>
  <si>
    <t>31.7.2.</t>
  </si>
  <si>
    <t>31.7.2.1</t>
  </si>
  <si>
    <t>31.7.2.2</t>
  </si>
  <si>
    <t>PORTA DE ABRIR, 1 FOLHA, MADEIRA, 80 x 210 cm</t>
  </si>
  <si>
    <t>31.7.2.3</t>
  </si>
  <si>
    <t>31.7.2.4</t>
  </si>
  <si>
    <t>PORTA DE CORRER, 1 FOLHA, MADEIRA, 70 x 210 cm</t>
  </si>
  <si>
    <t>31.8.</t>
  </si>
  <si>
    <t>31.8.1.</t>
  </si>
  <si>
    <t>31.8.1.1</t>
  </si>
  <si>
    <t>31.8.2.</t>
  </si>
  <si>
    <t>31.8.2.1</t>
  </si>
  <si>
    <t>31.8.2.2</t>
  </si>
  <si>
    <t>31.8.2.3</t>
  </si>
  <si>
    <t>31.8.2.4</t>
  </si>
  <si>
    <t>31.9.</t>
  </si>
  <si>
    <t>31.9.1.</t>
  </si>
  <si>
    <t>31.9.1.1</t>
  </si>
  <si>
    <t>31.9.2.</t>
  </si>
  <si>
    <t>31.9.2.1</t>
  </si>
  <si>
    <t>31.9.2.2</t>
  </si>
  <si>
    <t>31.9.2.3</t>
  </si>
  <si>
    <t>31.9.2.4</t>
  </si>
  <si>
    <t>31.10.</t>
  </si>
  <si>
    <t>31.10.1.</t>
  </si>
  <si>
    <t>31.10.1.1</t>
  </si>
  <si>
    <t>31.10.2.</t>
  </si>
  <si>
    <t>31.10.2.1</t>
  </si>
  <si>
    <t>31.10.2.2</t>
  </si>
  <si>
    <t>31.10.2.3</t>
  </si>
  <si>
    <t>31.10.2.4</t>
  </si>
  <si>
    <t>31.11.</t>
  </si>
  <si>
    <t>31.11.1.</t>
  </si>
  <si>
    <t>31.11.1.1</t>
  </si>
  <si>
    <t>31.11.2.</t>
  </si>
  <si>
    <t>31.11.2.1</t>
  </si>
  <si>
    <t>31.11.2.2</t>
  </si>
  <si>
    <t>31.11.2.3</t>
  </si>
  <si>
    <t>31.11.2.4</t>
  </si>
  <si>
    <t>31.12.</t>
  </si>
  <si>
    <t>31.12.1.</t>
  </si>
  <si>
    <t>31.12.1.1</t>
  </si>
  <si>
    <t>31.12.2.</t>
  </si>
  <si>
    <t>31.12.2.1</t>
  </si>
  <si>
    <t>31.12.2.2</t>
  </si>
  <si>
    <t>31.12.2.3</t>
  </si>
  <si>
    <t>31.12.2.4</t>
  </si>
  <si>
    <t>31.13.</t>
  </si>
  <si>
    <t>31.13.1.</t>
  </si>
  <si>
    <t>31.13.1.1</t>
  </si>
  <si>
    <t>31.13.2.</t>
  </si>
  <si>
    <t>31.13.2.1</t>
  </si>
  <si>
    <t>31.13.2.2</t>
  </si>
  <si>
    <t>31.13.2.3</t>
  </si>
  <si>
    <t>31.13.2.4</t>
  </si>
  <si>
    <t>31.14.</t>
  </si>
  <si>
    <t>31.14.1.</t>
  </si>
  <si>
    <t>31.14.1.1</t>
  </si>
  <si>
    <t>31.14.2.</t>
  </si>
  <si>
    <t>31.14.2.1</t>
  </si>
  <si>
    <t>31.14.2.2</t>
  </si>
  <si>
    <t>31.14.2.3</t>
  </si>
  <si>
    <t>31.14.2.4</t>
  </si>
  <si>
    <t>31.15.</t>
  </si>
  <si>
    <t>31.15.1.</t>
  </si>
  <si>
    <t>31.15.1.1</t>
  </si>
  <si>
    <t>31.15.2.</t>
  </si>
  <si>
    <t>31.15.2.1</t>
  </si>
  <si>
    <t>31.15.2.2</t>
  </si>
  <si>
    <t>31.15.2.3</t>
  </si>
  <si>
    <t>31.15.2.4</t>
  </si>
  <si>
    <t>31.16.</t>
  </si>
  <si>
    <t>31.16.1.</t>
  </si>
  <si>
    <t>31.16.1.1</t>
  </si>
  <si>
    <t>31.16.2.</t>
  </si>
  <si>
    <t>31.16.2.1</t>
  </si>
  <si>
    <t>31.16.2.2</t>
  </si>
  <si>
    <t>31.16.2.3</t>
  </si>
  <si>
    <t>31.16.2.4</t>
  </si>
  <si>
    <t>31.17.</t>
  </si>
  <si>
    <t>31.17.1.</t>
  </si>
  <si>
    <t>31.17.1.1</t>
  </si>
  <si>
    <t>31.17.2.</t>
  </si>
  <si>
    <t>31.17.2.1</t>
  </si>
  <si>
    <t>31.17.2.2</t>
  </si>
  <si>
    <t>31.17.2.3</t>
  </si>
  <si>
    <t>31.17.2.4</t>
  </si>
  <si>
    <t>31.18.</t>
  </si>
  <si>
    <t>31.18.1.</t>
  </si>
  <si>
    <t>31.18.1.1</t>
  </si>
  <si>
    <t>31.18.2.</t>
  </si>
  <si>
    <t>31.18.2.1</t>
  </si>
  <si>
    <t>31.18.2.2</t>
  </si>
  <si>
    <t>31.18.2.3</t>
  </si>
  <si>
    <t>31.18.2.4</t>
  </si>
  <si>
    <t>31.19.</t>
  </si>
  <si>
    <t>31.19.1.</t>
  </si>
  <si>
    <t>31.19.1.1</t>
  </si>
  <si>
    <t>31.19.2.</t>
  </si>
  <si>
    <t>31.19.2.1</t>
  </si>
  <si>
    <t>31.19.2.2</t>
  </si>
  <si>
    <t>31.19.2.3</t>
  </si>
  <si>
    <t>31.19.2.4</t>
  </si>
  <si>
    <t>31.20.</t>
  </si>
  <si>
    <t>31.20.1.</t>
  </si>
  <si>
    <t>31.20.1.1</t>
  </si>
  <si>
    <t>31.20.2.</t>
  </si>
  <si>
    <t>31.20.2.1</t>
  </si>
  <si>
    <t>31.20.2.2</t>
  </si>
  <si>
    <t>31.20.2.3</t>
  </si>
  <si>
    <t>31.20.2.4</t>
  </si>
  <si>
    <t>31.21.</t>
  </si>
  <si>
    <t>31.21.1.</t>
  </si>
  <si>
    <t>31.21.1.1</t>
  </si>
  <si>
    <t>31.21.1.2</t>
  </si>
  <si>
    <t>31.21.1.3</t>
  </si>
  <si>
    <t>31.21.1.4</t>
  </si>
  <si>
    <t>32.</t>
  </si>
  <si>
    <t>32.1.</t>
  </si>
  <si>
    <t>32.1.1.</t>
  </si>
  <si>
    <t>32.1.1.1</t>
  </si>
  <si>
    <t>PORTA DE ABRIR, 1 FOLHA, CORTA FOGO, 90 x 175 cm</t>
  </si>
  <si>
    <t>32.1.1.2</t>
  </si>
  <si>
    <t>PORTA DE ABRIR, 1 FOLHA, CORTA FOGO, 90 x 210 cm</t>
  </si>
  <si>
    <t>32.2.</t>
  </si>
  <si>
    <t>32.2.1.</t>
  </si>
  <si>
    <t>32.2.1.1</t>
  </si>
  <si>
    <t>32.3.</t>
  </si>
  <si>
    <t>32.3.1.</t>
  </si>
  <si>
    <t>32.3.1.1</t>
  </si>
  <si>
    <t>32.4.</t>
  </si>
  <si>
    <t>32.4.1.</t>
  </si>
  <si>
    <t>32.4.1.1</t>
  </si>
  <si>
    <t>32.5.</t>
  </si>
  <si>
    <t>32.5.1.</t>
  </si>
  <si>
    <t>32.5.1.1</t>
  </si>
  <si>
    <t>32.6.</t>
  </si>
  <si>
    <t>32.6.1.</t>
  </si>
  <si>
    <t>32.6.1.1</t>
  </si>
  <si>
    <t>32.7.</t>
  </si>
  <si>
    <t>32.7.1.</t>
  </si>
  <si>
    <t>32.7.1.1</t>
  </si>
  <si>
    <t>GRADIL METALICO, COR CHUMBO, 105 cm</t>
  </si>
  <si>
    <t>32.7.2.</t>
  </si>
  <si>
    <t>32.7.2.1</t>
  </si>
  <si>
    <t>32.8.</t>
  </si>
  <si>
    <t>32.8.1.</t>
  </si>
  <si>
    <t>32.8.1.1</t>
  </si>
  <si>
    <t>32.8.2.</t>
  </si>
  <si>
    <t>32.8.2.1</t>
  </si>
  <si>
    <t>32.9.</t>
  </si>
  <si>
    <t>32.9.1.</t>
  </si>
  <si>
    <t>32.9.1.1</t>
  </si>
  <si>
    <t>32.9.2.</t>
  </si>
  <si>
    <t>32.9.2.1</t>
  </si>
  <si>
    <t>32.10.</t>
  </si>
  <si>
    <t>32.10.1.</t>
  </si>
  <si>
    <t>32.10.1.1</t>
  </si>
  <si>
    <t>32.10.2.</t>
  </si>
  <si>
    <t>32.10.2.1</t>
  </si>
  <si>
    <t>32.11.</t>
  </si>
  <si>
    <t>32.11.1.</t>
  </si>
  <si>
    <t>32.11.1.1</t>
  </si>
  <si>
    <t>32.11.2.</t>
  </si>
  <si>
    <t>32.11.2.1</t>
  </si>
  <si>
    <t>32.12.</t>
  </si>
  <si>
    <t>32.12.1.</t>
  </si>
  <si>
    <t>32.12.1.1</t>
  </si>
  <si>
    <t>32.12.2.</t>
  </si>
  <si>
    <t>32.12.2.1</t>
  </si>
  <si>
    <t>32.13.</t>
  </si>
  <si>
    <t>32.13.1.</t>
  </si>
  <si>
    <t>32.13.1.1</t>
  </si>
  <si>
    <t>32.13.2.</t>
  </si>
  <si>
    <t>32.13.2.1</t>
  </si>
  <si>
    <t>32.14.</t>
  </si>
  <si>
    <t>32.14.1.</t>
  </si>
  <si>
    <t>32.14.1.1</t>
  </si>
  <si>
    <t>32.14.2.</t>
  </si>
  <si>
    <t>32.14.2.1</t>
  </si>
  <si>
    <t>32.15.</t>
  </si>
  <si>
    <t>32.15.1.</t>
  </si>
  <si>
    <t>32.15.1.1</t>
  </si>
  <si>
    <t>32.15.2.</t>
  </si>
  <si>
    <t>32.15.2.1</t>
  </si>
  <si>
    <t>32.16.</t>
  </si>
  <si>
    <t>32.16.1.</t>
  </si>
  <si>
    <t>32.16.1.1</t>
  </si>
  <si>
    <t>32.16.2.</t>
  </si>
  <si>
    <t>32.16.2.1</t>
  </si>
  <si>
    <t>32.17.</t>
  </si>
  <si>
    <t>32.17.1.</t>
  </si>
  <si>
    <t>32.17.1.1</t>
  </si>
  <si>
    <t>32.17.2.</t>
  </si>
  <si>
    <t>32.17.2.1</t>
  </si>
  <si>
    <t>32.18.</t>
  </si>
  <si>
    <t>32.18.1.</t>
  </si>
  <si>
    <t>32.18.1.1</t>
  </si>
  <si>
    <t>32.18.2.</t>
  </si>
  <si>
    <t>32.18.2.1</t>
  </si>
  <si>
    <t>32.19.</t>
  </si>
  <si>
    <t>32.19.1.</t>
  </si>
  <si>
    <t>32.19.1.1</t>
  </si>
  <si>
    <t>32.19.2.</t>
  </si>
  <si>
    <t>32.19.2.1</t>
  </si>
  <si>
    <t>32.20.</t>
  </si>
  <si>
    <t>32.20.1.</t>
  </si>
  <si>
    <t>32.20.1.1</t>
  </si>
  <si>
    <t>32.20.2.</t>
  </si>
  <si>
    <t>32.20.2.1</t>
  </si>
  <si>
    <t>32.21.</t>
  </si>
  <si>
    <t>32.21.1.</t>
  </si>
  <si>
    <t>32.21.1.1</t>
  </si>
  <si>
    <t>32.21.2.</t>
  </si>
  <si>
    <t>32.21.2.1</t>
  </si>
  <si>
    <t>32.22.</t>
  </si>
  <si>
    <t>32.22.1.</t>
  </si>
  <si>
    <t>32.22.1.1</t>
  </si>
  <si>
    <t>33.</t>
  </si>
  <si>
    <t>Chapisco externo</t>
  </si>
  <si>
    <t>33.1.</t>
  </si>
  <si>
    <t>33.1.1</t>
  </si>
  <si>
    <t>.CHAPISCO ARGAMASSADO EXTERNO</t>
  </si>
  <si>
    <t>33.1.2</t>
  </si>
  <si>
    <t>.CHAPISCO ARGAMASSADO PARA ESTRUTURA EXTERNO</t>
  </si>
  <si>
    <t>33.2.</t>
  </si>
  <si>
    <t>33.2.1</t>
  </si>
  <si>
    <t>33.2.2</t>
  </si>
  <si>
    <t>33.3.</t>
  </si>
  <si>
    <t>33.3.1</t>
  </si>
  <si>
    <t>33.3.2</t>
  </si>
  <si>
    <t>33.4.</t>
  </si>
  <si>
    <t>33.4.1</t>
  </si>
  <si>
    <t>33.4.2</t>
  </si>
  <si>
    <t>33.5.</t>
  </si>
  <si>
    <t>33.5.1</t>
  </si>
  <si>
    <t>33.5.2</t>
  </si>
  <si>
    <t>33.6.</t>
  </si>
  <si>
    <t>33.6.1</t>
  </si>
  <si>
    <t>33.6.2</t>
  </si>
  <si>
    <t>33.7.</t>
  </si>
  <si>
    <t>33.7.1</t>
  </si>
  <si>
    <t>33.7.2</t>
  </si>
  <si>
    <t>33.8.</t>
  </si>
  <si>
    <t>33.8.1</t>
  </si>
  <si>
    <t>33.8.2</t>
  </si>
  <si>
    <t>33.9.</t>
  </si>
  <si>
    <t>33.9.1</t>
  </si>
  <si>
    <t>33.9.2</t>
  </si>
  <si>
    <t>33.10.</t>
  </si>
  <si>
    <t>33.10.1</t>
  </si>
  <si>
    <t>33.10.2</t>
  </si>
  <si>
    <t>33.11.</t>
  </si>
  <si>
    <t>33.11.1</t>
  </si>
  <si>
    <t>33.11.2</t>
  </si>
  <si>
    <t>33.12.</t>
  </si>
  <si>
    <t>33.12.1</t>
  </si>
  <si>
    <t>33.12.2</t>
  </si>
  <si>
    <t>33.13.</t>
  </si>
  <si>
    <t>33.13.1</t>
  </si>
  <si>
    <t>33.13.2</t>
  </si>
  <si>
    <t>33.14.</t>
  </si>
  <si>
    <t>33.14.1</t>
  </si>
  <si>
    <t>33.14.2</t>
  </si>
  <si>
    <t>33.15.</t>
  </si>
  <si>
    <t>33.15.1</t>
  </si>
  <si>
    <t>33.15.2</t>
  </si>
  <si>
    <t>33.16.</t>
  </si>
  <si>
    <t>33.16.1</t>
  </si>
  <si>
    <t>33.16.2</t>
  </si>
  <si>
    <t>33.17.</t>
  </si>
  <si>
    <t>33.17.1</t>
  </si>
  <si>
    <t>33.17.2</t>
  </si>
  <si>
    <t>33.18.</t>
  </si>
  <si>
    <t>33.18.1</t>
  </si>
  <si>
    <t>33.18.2</t>
  </si>
  <si>
    <t>33.19.</t>
  </si>
  <si>
    <t>33.19.1</t>
  </si>
  <si>
    <t>33.19.2</t>
  </si>
  <si>
    <t>33.20.</t>
  </si>
  <si>
    <t>33.20.1</t>
  </si>
  <si>
    <t>33.20.2</t>
  </si>
  <si>
    <t>33.21.</t>
  </si>
  <si>
    <t>33.21.1</t>
  </si>
  <si>
    <t>33.22.</t>
  </si>
  <si>
    <t>33.22.1</t>
  </si>
  <si>
    <t>33.23.</t>
  </si>
  <si>
    <t>33.23.1</t>
  </si>
  <si>
    <t>34.</t>
  </si>
  <si>
    <t>Reboco externo</t>
  </si>
  <si>
    <t>34.1.</t>
  </si>
  <si>
    <t>34.1.1</t>
  </si>
  <si>
    <t>.REBOCO ARGAMASSADO EXTERNO</t>
  </si>
  <si>
    <t>34.2.</t>
  </si>
  <si>
    <t>34.2.1</t>
  </si>
  <si>
    <t>34.3.</t>
  </si>
  <si>
    <t>34.3.1</t>
  </si>
  <si>
    <t>34.4.</t>
  </si>
  <si>
    <t>34.4.1</t>
  </si>
  <si>
    <t>34.5.</t>
  </si>
  <si>
    <t>34.5.1</t>
  </si>
  <si>
    <t>34.6.</t>
  </si>
  <si>
    <t>34.6.1</t>
  </si>
  <si>
    <t>34.7.</t>
  </si>
  <si>
    <t>34.7.1</t>
  </si>
  <si>
    <t>34.8.</t>
  </si>
  <si>
    <t>34.8.1</t>
  </si>
  <si>
    <t>34.9.</t>
  </si>
  <si>
    <t>34.9.1</t>
  </si>
  <si>
    <t>34.10.</t>
  </si>
  <si>
    <t>34.10.1</t>
  </si>
  <si>
    <t>34.11.</t>
  </si>
  <si>
    <t>34.11.1</t>
  </si>
  <si>
    <t>34.12.</t>
  </si>
  <si>
    <t>34.12.1</t>
  </si>
  <si>
    <t>34.13.</t>
  </si>
  <si>
    <t>34.13.1</t>
  </si>
  <si>
    <t>34.14.</t>
  </si>
  <si>
    <t>34.14.1</t>
  </si>
  <si>
    <t>34.15.</t>
  </si>
  <si>
    <t>34.15.1</t>
  </si>
  <si>
    <t>34.16.</t>
  </si>
  <si>
    <t>34.16.1</t>
  </si>
  <si>
    <t>34.17.</t>
  </si>
  <si>
    <t>34.17.1</t>
  </si>
  <si>
    <t>34.18.</t>
  </si>
  <si>
    <t>34.18.1</t>
  </si>
  <si>
    <t>34.19.</t>
  </si>
  <si>
    <t>34.19.1</t>
  </si>
  <si>
    <t>34.20.</t>
  </si>
  <si>
    <t>34.20.1</t>
  </si>
  <si>
    <t>34.21.</t>
  </si>
  <si>
    <t>34.21.1</t>
  </si>
  <si>
    <t>34.22.</t>
  </si>
  <si>
    <t>34.22.1</t>
  </si>
  <si>
    <t>34.23.</t>
  </si>
  <si>
    <t>34.23.1</t>
  </si>
  <si>
    <t>35.</t>
  </si>
  <si>
    <t>35.1.</t>
  </si>
  <si>
    <t>35.1.1</t>
  </si>
  <si>
    <t>REVESTIMENTO EXTERNO - PINTURA PARA FACHADA, COCAR</t>
  </si>
  <si>
    <t>35.1.2</t>
  </si>
  <si>
    <t>REVESTIMENTO EXTERNO - PINTURA PARA FACHADA, DIVISA VIZINHO</t>
  </si>
  <si>
    <t>35.1.3</t>
  </si>
  <si>
    <t>REVESTIMENTO EXTERNO - PINTURA PARA FACHADA, ESTRADA VELHA</t>
  </si>
  <si>
    <t>35.1.4</t>
  </si>
  <si>
    <t>REVESTIMENTO EXTERNO - PINTURA PARA FACHADA, PENA DE GANSO</t>
  </si>
  <si>
    <t>35.2.</t>
  </si>
  <si>
    <t>35.2.1</t>
  </si>
  <si>
    <t>REVESTIMENTO EXTERNO - PINTURA PARA FACHADA, CINZA URBANO</t>
  </si>
  <si>
    <t>35.2.2</t>
  </si>
  <si>
    <t>35.2.3</t>
  </si>
  <si>
    <t>35.2.4</t>
  </si>
  <si>
    <t>35.2.5</t>
  </si>
  <si>
    <t>REVESTIMENTO EXTERNO - PINTURA PARA FACHADA, PAPEL PICADO</t>
  </si>
  <si>
    <t>35.2.6</t>
  </si>
  <si>
    <t>35.3.</t>
  </si>
  <si>
    <t>35.3.1</t>
  </si>
  <si>
    <t>35.3.2</t>
  </si>
  <si>
    <t>35.3.3</t>
  </si>
  <si>
    <t>35.3.4</t>
  </si>
  <si>
    <t>35.3.5</t>
  </si>
  <si>
    <t>35.3.6</t>
  </si>
  <si>
    <t>35.4.</t>
  </si>
  <si>
    <t>35.4.1</t>
  </si>
  <si>
    <t>35.4.2</t>
  </si>
  <si>
    <t>35.4.3</t>
  </si>
  <si>
    <t>35.4.4</t>
  </si>
  <si>
    <t>35.4.5</t>
  </si>
  <si>
    <t>35.4.6</t>
  </si>
  <si>
    <t>35.5.</t>
  </si>
  <si>
    <t>35.5.1</t>
  </si>
  <si>
    <t>35.5.2</t>
  </si>
  <si>
    <t>35.5.3</t>
  </si>
  <si>
    <t>35.5.4</t>
  </si>
  <si>
    <t>35.5.5</t>
  </si>
  <si>
    <t>35.5.6</t>
  </si>
  <si>
    <t>35.6.</t>
  </si>
  <si>
    <t>35.6.1</t>
  </si>
  <si>
    <t>REVESTIMENTO EXTERNO - PINTURA PARA FACHADA, CARVÃO MINERAL</t>
  </si>
  <si>
    <t>35.6.2</t>
  </si>
  <si>
    <t>35.6.3</t>
  </si>
  <si>
    <t>35.6.4</t>
  </si>
  <si>
    <t>35.6.5</t>
  </si>
  <si>
    <t>35.6.6</t>
  </si>
  <si>
    <t>35.6.7</t>
  </si>
  <si>
    <t>35.7.</t>
  </si>
  <si>
    <t>35.7.1</t>
  </si>
  <si>
    <t>35.7.2</t>
  </si>
  <si>
    <t>35.7.3</t>
  </si>
  <si>
    <t>35.7.4</t>
  </si>
  <si>
    <t>35.7.5</t>
  </si>
  <si>
    <t>35.7.6</t>
  </si>
  <si>
    <t>35.8.</t>
  </si>
  <si>
    <t>35.8.1</t>
  </si>
  <si>
    <t>35.8.2</t>
  </si>
  <si>
    <t>35.8.3</t>
  </si>
  <si>
    <t>35.8.4</t>
  </si>
  <si>
    <t>35.8.5</t>
  </si>
  <si>
    <t>35.8.6</t>
  </si>
  <si>
    <t>35.9.</t>
  </si>
  <si>
    <t>35.9.1</t>
  </si>
  <si>
    <t>35.9.2</t>
  </si>
  <si>
    <t>35.9.3</t>
  </si>
  <si>
    <t>35.9.4</t>
  </si>
  <si>
    <t>35.9.5</t>
  </si>
  <si>
    <t>35.9.6</t>
  </si>
  <si>
    <t>35.10.</t>
  </si>
  <si>
    <t>35.10.1</t>
  </si>
  <si>
    <t>35.10.2</t>
  </si>
  <si>
    <t>35.10.3</t>
  </si>
  <si>
    <t>35.10.4</t>
  </si>
  <si>
    <t>35.10.5</t>
  </si>
  <si>
    <t>35.10.6</t>
  </si>
  <si>
    <t>35.11.</t>
  </si>
  <si>
    <t>35.11.1</t>
  </si>
  <si>
    <t>35.11.2</t>
  </si>
  <si>
    <t>35.11.3</t>
  </si>
  <si>
    <t>35.11.4</t>
  </si>
  <si>
    <t>35.11.5</t>
  </si>
  <si>
    <t>35.11.6</t>
  </si>
  <si>
    <t>35.12.</t>
  </si>
  <si>
    <t>35.12.1</t>
  </si>
  <si>
    <t>35.12.2</t>
  </si>
  <si>
    <t>35.12.3</t>
  </si>
  <si>
    <t>35.12.4</t>
  </si>
  <si>
    <t>35.12.5</t>
  </si>
  <si>
    <t>35.12.6</t>
  </si>
  <si>
    <t>35.13.</t>
  </si>
  <si>
    <t>35.13.1</t>
  </si>
  <si>
    <t>35.13.2</t>
  </si>
  <si>
    <t>35.13.3</t>
  </si>
  <si>
    <t>35.13.4</t>
  </si>
  <si>
    <t>35.13.5</t>
  </si>
  <si>
    <t>35.13.6</t>
  </si>
  <si>
    <t>35.14.</t>
  </si>
  <si>
    <t>35.14.1</t>
  </si>
  <si>
    <t>35.14.2</t>
  </si>
  <si>
    <t>35.14.3</t>
  </si>
  <si>
    <t>35.14.4</t>
  </si>
  <si>
    <t>35.14.5</t>
  </si>
  <si>
    <t>35.14.6</t>
  </si>
  <si>
    <t>35.15.</t>
  </si>
  <si>
    <t>35.15.1</t>
  </si>
  <si>
    <t>35.15.2</t>
  </si>
  <si>
    <t>35.15.3</t>
  </si>
  <si>
    <t>35.15.4</t>
  </si>
  <si>
    <t>35.15.5</t>
  </si>
  <si>
    <t>35.15.6</t>
  </si>
  <si>
    <t>35.16.</t>
  </si>
  <si>
    <t>35.16.1</t>
  </si>
  <si>
    <t>35.16.2</t>
  </si>
  <si>
    <t>35.16.3</t>
  </si>
  <si>
    <t>35.16.4</t>
  </si>
  <si>
    <t>35.16.5</t>
  </si>
  <si>
    <t>35.16.6</t>
  </si>
  <si>
    <t>35.17.</t>
  </si>
  <si>
    <t>35.17.1</t>
  </si>
  <si>
    <t>35.17.2</t>
  </si>
  <si>
    <t>35.17.3</t>
  </si>
  <si>
    <t>35.17.4</t>
  </si>
  <si>
    <t>35.17.5</t>
  </si>
  <si>
    <t>35.17.6</t>
  </si>
  <si>
    <t>35.18.</t>
  </si>
  <si>
    <t>35.18.1</t>
  </si>
  <si>
    <t>35.18.2</t>
  </si>
  <si>
    <t>35.18.3</t>
  </si>
  <si>
    <t>35.18.4</t>
  </si>
  <si>
    <t>35.18.5</t>
  </si>
  <si>
    <t>35.18.6</t>
  </si>
  <si>
    <t>35.19.</t>
  </si>
  <si>
    <t>35.19.1</t>
  </si>
  <si>
    <t>35.19.2</t>
  </si>
  <si>
    <t>35.19.3</t>
  </si>
  <si>
    <t>35.19.4</t>
  </si>
  <si>
    <t>35.19.5</t>
  </si>
  <si>
    <t>35.19.6</t>
  </si>
  <si>
    <t>35.20.</t>
  </si>
  <si>
    <t>35.20.1</t>
  </si>
  <si>
    <t>35.20.2</t>
  </si>
  <si>
    <t>35.20.3</t>
  </si>
  <si>
    <t>35.20.4</t>
  </si>
  <si>
    <t>35.20.5</t>
  </si>
  <si>
    <t>35.20.6</t>
  </si>
  <si>
    <t>35.21.</t>
  </si>
  <si>
    <t>35.21.1</t>
  </si>
  <si>
    <t>35.21.2</t>
  </si>
  <si>
    <t>35.21.3</t>
  </si>
  <si>
    <t>35.21.4</t>
  </si>
  <si>
    <t>35.21.5</t>
  </si>
  <si>
    <t>35.22.</t>
  </si>
  <si>
    <t>35.22.1</t>
  </si>
  <si>
    <t>35.22.2</t>
  </si>
  <si>
    <t>35.23.</t>
  </si>
  <si>
    <t>35.23.1</t>
  </si>
  <si>
    <t>36.</t>
  </si>
  <si>
    <t>Mão de obra 6</t>
  </si>
  <si>
    <t>36.1.</t>
  </si>
  <si>
    <t>36.1.1</t>
  </si>
  <si>
    <t>MÃO DE OBRA -  .CHAPISCO ARGAMASSADO EXTERNO</t>
  </si>
  <si>
    <t>36.1.2</t>
  </si>
  <si>
    <t>MÃO DE OBRA -  .CHAPISCO ARGAMASSADO PARA ESTRUTURA EXTERNO</t>
  </si>
  <si>
    <t>36.1.3</t>
  </si>
  <si>
    <t>MÃO DE OBRA -  PINTURA EXTERNA - PAREDE</t>
  </si>
  <si>
    <t>36.1.4</t>
  </si>
  <si>
    <t>MÃO DE OBRA -  .REBOCO ARGAMASSADO EXTERNO</t>
  </si>
  <si>
    <t>36.2.</t>
  </si>
  <si>
    <t>36.2.1</t>
  </si>
  <si>
    <t>36.2.2</t>
  </si>
  <si>
    <t>36.2.3</t>
  </si>
  <si>
    <t>36.2.4</t>
  </si>
  <si>
    <t>36.3.</t>
  </si>
  <si>
    <t>36.3.1</t>
  </si>
  <si>
    <t>36.3.2</t>
  </si>
  <si>
    <t>36.3.3</t>
  </si>
  <si>
    <t>36.3.4</t>
  </si>
  <si>
    <t>36.4.</t>
  </si>
  <si>
    <t>36.4.1</t>
  </si>
  <si>
    <t>36.4.2</t>
  </si>
  <si>
    <t>36.4.3</t>
  </si>
  <si>
    <t>36.4.4</t>
  </si>
  <si>
    <t>36.5.</t>
  </si>
  <si>
    <t>36.5.1</t>
  </si>
  <si>
    <t>36.5.2</t>
  </si>
  <si>
    <t>36.5.3</t>
  </si>
  <si>
    <t>36.5.4</t>
  </si>
  <si>
    <t>36.6.</t>
  </si>
  <si>
    <t>36.6.1</t>
  </si>
  <si>
    <t>36.6.2</t>
  </si>
  <si>
    <t>36.6.3</t>
  </si>
  <si>
    <t>36.6.4</t>
  </si>
  <si>
    <t>36.7.</t>
  </si>
  <si>
    <t>36.7.1</t>
  </si>
  <si>
    <t>36.7.2</t>
  </si>
  <si>
    <t>36.7.3</t>
  </si>
  <si>
    <t>36.7.4</t>
  </si>
  <si>
    <t>36.8.</t>
  </si>
  <si>
    <t>36.8.1</t>
  </si>
  <si>
    <t>36.8.2</t>
  </si>
  <si>
    <t>36.8.3</t>
  </si>
  <si>
    <t>36.8.4</t>
  </si>
  <si>
    <t>36.9.</t>
  </si>
  <si>
    <t>36.9.1</t>
  </si>
  <si>
    <t>36.9.2</t>
  </si>
  <si>
    <t>36.9.3</t>
  </si>
  <si>
    <t>36.9.4</t>
  </si>
  <si>
    <t>36.10.</t>
  </si>
  <si>
    <t>36.10.1</t>
  </si>
  <si>
    <t>36.10.2</t>
  </si>
  <si>
    <t>36.10.3</t>
  </si>
  <si>
    <t>36.10.4</t>
  </si>
  <si>
    <t>36.11.</t>
  </si>
  <si>
    <t>36.11.1</t>
  </si>
  <si>
    <t>36.11.2</t>
  </si>
  <si>
    <t>36.11.3</t>
  </si>
  <si>
    <t>36.11.4</t>
  </si>
  <si>
    <t>36.12.</t>
  </si>
  <si>
    <t>36.12.1</t>
  </si>
  <si>
    <t>36.12.2</t>
  </si>
  <si>
    <t>36.12.3</t>
  </si>
  <si>
    <t>36.12.4</t>
  </si>
  <si>
    <t>36.13.</t>
  </si>
  <si>
    <t>36.13.1</t>
  </si>
  <si>
    <t>36.13.2</t>
  </si>
  <si>
    <t>36.13.3</t>
  </si>
  <si>
    <t>36.13.4</t>
  </si>
  <si>
    <t>36.14.</t>
  </si>
  <si>
    <t>36.14.1</t>
  </si>
  <si>
    <t>36.14.2</t>
  </si>
  <si>
    <t>36.14.3</t>
  </si>
  <si>
    <t>36.14.4</t>
  </si>
  <si>
    <t>36.15.</t>
  </si>
  <si>
    <t>36.15.1</t>
  </si>
  <si>
    <t>36.15.2</t>
  </si>
  <si>
    <t>36.15.3</t>
  </si>
  <si>
    <t>36.15.4</t>
  </si>
  <si>
    <t>36.16.</t>
  </si>
  <si>
    <t>36.16.1</t>
  </si>
  <si>
    <t>36.16.2</t>
  </si>
  <si>
    <t>36.16.3</t>
  </si>
  <si>
    <t>36.16.4</t>
  </si>
  <si>
    <t>36.17.</t>
  </si>
  <si>
    <t>36.17.1</t>
  </si>
  <si>
    <t>36.17.2</t>
  </si>
  <si>
    <t>36.17.3</t>
  </si>
  <si>
    <t>36.17.4</t>
  </si>
  <si>
    <t>36.18.</t>
  </si>
  <si>
    <t>36.18.1</t>
  </si>
  <si>
    <t>36.18.2</t>
  </si>
  <si>
    <t>36.18.3</t>
  </si>
  <si>
    <t>36.18.4</t>
  </si>
  <si>
    <t>36.19.</t>
  </si>
  <si>
    <t>36.19.1</t>
  </si>
  <si>
    <t>36.19.2</t>
  </si>
  <si>
    <t>36.19.3</t>
  </si>
  <si>
    <t>36.19.4</t>
  </si>
  <si>
    <t>36.20.</t>
  </si>
  <si>
    <t>36.20.1</t>
  </si>
  <si>
    <t>36.20.2</t>
  </si>
  <si>
    <t>36.20.3</t>
  </si>
  <si>
    <t>36.20.4</t>
  </si>
  <si>
    <t>36.21.</t>
  </si>
  <si>
    <t>36.21.1</t>
  </si>
  <si>
    <t>36.21.2</t>
  </si>
  <si>
    <t>36.21.3</t>
  </si>
  <si>
    <t>36.22.</t>
  </si>
  <si>
    <t>36.22.1</t>
  </si>
  <si>
    <t>36.22.2</t>
  </si>
  <si>
    <t>36.22.3</t>
  </si>
  <si>
    <t>36.23.</t>
  </si>
  <si>
    <t>36.23.1</t>
  </si>
  <si>
    <t>36.23.2</t>
  </si>
  <si>
    <t>36.23.3</t>
  </si>
  <si>
    <t>37.</t>
  </si>
  <si>
    <t>37.1.</t>
  </si>
  <si>
    <t>37.1.1</t>
  </si>
  <si>
    <t>REVESTIMENTO - GRAMA</t>
  </si>
  <si>
    <t>37.1.2</t>
  </si>
  <si>
    <t>REVESTIMENTO - GRAMA SINTÉTICA</t>
  </si>
  <si>
    <t>TIPO 1,2,3</t>
  </si>
  <si>
    <t>TIPO 4,5</t>
  </si>
  <si>
    <t>TIPO 6,7</t>
  </si>
  <si>
    <t>TIPO 8,9</t>
  </si>
  <si>
    <t>TIPO 10,11,12</t>
  </si>
  <si>
    <t>TIPO 13, DUPLEX, COBERTURA</t>
  </si>
  <si>
    <t>COMPOSIÇÃO</t>
  </si>
  <si>
    <t>Graute para reforços verticais em alvenaria estrutural - 30 MPa</t>
  </si>
  <si>
    <t>Graute para reforços horizontais em alvenaria estrutural - Vergas e contravergas</t>
  </si>
  <si>
    <t xml:space="preserve">Graute Horizontal </t>
  </si>
  <si>
    <t xml:space="preserve">Graute Vertical </t>
  </si>
  <si>
    <t>Complementares para alvenaria estrutural</t>
  </si>
  <si>
    <t>04.003.002</t>
  </si>
  <si>
    <t>04.003.002.001</t>
  </si>
  <si>
    <t>04.003.002.002</t>
  </si>
  <si>
    <t>04.003.002.003</t>
  </si>
  <si>
    <t>Alvenaria de vedacao de blocos de concreto furados na horizontal de 14x19x19cm (espessura 14cm) com argamassa industrializada de assentamento</t>
  </si>
  <si>
    <t>38.</t>
  </si>
  <si>
    <t>Verga</t>
  </si>
  <si>
    <t>38.1.</t>
  </si>
  <si>
    <t>38.1.1.</t>
  </si>
  <si>
    <t>38.1.1.1</t>
  </si>
  <si>
    <t>A00 - Abertura elevador</t>
  </si>
  <si>
    <t>38.1.1.2</t>
  </si>
  <si>
    <t>38.1.1.3</t>
  </si>
  <si>
    <t>38.1.1.4</t>
  </si>
  <si>
    <t>38.1.1.5</t>
  </si>
  <si>
    <t>38.1.1.6</t>
  </si>
  <si>
    <t>38.1.1.7</t>
  </si>
  <si>
    <t>38.1.1.8</t>
  </si>
  <si>
    <t>38.1.1.9</t>
  </si>
  <si>
    <t>38.2.</t>
  </si>
  <si>
    <t>38.2.1.</t>
  </si>
  <si>
    <t>38.2.1.1</t>
  </si>
  <si>
    <t>38.2.1.2</t>
  </si>
  <si>
    <t>38.2.1.3</t>
  </si>
  <si>
    <t>38.2.1.4</t>
  </si>
  <si>
    <t>38.3.</t>
  </si>
  <si>
    <t>38.3.1.</t>
  </si>
  <si>
    <t>38.3.1.1</t>
  </si>
  <si>
    <t>38.3.1.2</t>
  </si>
  <si>
    <t>38.3.1.3</t>
  </si>
  <si>
    <t>38.3.1.4</t>
  </si>
  <si>
    <t>38.4.</t>
  </si>
  <si>
    <t>38.4.1.</t>
  </si>
  <si>
    <t>38.4.1.1</t>
  </si>
  <si>
    <t>38.4.1.2</t>
  </si>
  <si>
    <t>38.4.1.3</t>
  </si>
  <si>
    <t>38.4.1.4</t>
  </si>
  <si>
    <t>38.5.</t>
  </si>
  <si>
    <t>38.5.1.</t>
  </si>
  <si>
    <t>38.5.1.1</t>
  </si>
  <si>
    <t>38.5.1.2</t>
  </si>
  <si>
    <t>38.5.1.3</t>
  </si>
  <si>
    <t>38.5.1.4</t>
  </si>
  <si>
    <t>38.6.</t>
  </si>
  <si>
    <t>38.6.1.</t>
  </si>
  <si>
    <t>38.6.1.1</t>
  </si>
  <si>
    <t>38.6.1.2</t>
  </si>
  <si>
    <t>38.6.1.3</t>
  </si>
  <si>
    <t>38.6.1.4</t>
  </si>
  <si>
    <t>38.6.1.5</t>
  </si>
  <si>
    <t>38.6.1.6</t>
  </si>
  <si>
    <t>38.6.1.7</t>
  </si>
  <si>
    <t>38.6.1.8</t>
  </si>
  <si>
    <t>38.6.1.9</t>
  </si>
  <si>
    <t>38.6.1.10</t>
  </si>
  <si>
    <t>38.7.</t>
  </si>
  <si>
    <t>38.7.1.</t>
  </si>
  <si>
    <t>38.7.1.1</t>
  </si>
  <si>
    <t>38.7.1.2</t>
  </si>
  <si>
    <t>38.7.1.3</t>
  </si>
  <si>
    <t>38.7.1.4</t>
  </si>
  <si>
    <t>38.7.1.5</t>
  </si>
  <si>
    <t>38.7.1.6</t>
  </si>
  <si>
    <t>38.7.1.7</t>
  </si>
  <si>
    <t>38.7.1.8</t>
  </si>
  <si>
    <t>38.7.1.9</t>
  </si>
  <si>
    <t>38.8.</t>
  </si>
  <si>
    <t>38.8.1.</t>
  </si>
  <si>
    <t>38.8.1.1</t>
  </si>
  <si>
    <t>38.8.1.2</t>
  </si>
  <si>
    <t>38.8.1.3</t>
  </si>
  <si>
    <t>38.8.1.4</t>
  </si>
  <si>
    <t>38.8.1.5</t>
  </si>
  <si>
    <t>38.8.1.6</t>
  </si>
  <si>
    <t>38.8.1.7</t>
  </si>
  <si>
    <t>38.8.1.8</t>
  </si>
  <si>
    <t>38.8.1.9</t>
  </si>
  <si>
    <t>38.9.</t>
  </si>
  <si>
    <t>38.9.1.</t>
  </si>
  <si>
    <t>38.9.1.1</t>
  </si>
  <si>
    <t>38.9.1.2</t>
  </si>
  <si>
    <t>38.9.1.3</t>
  </si>
  <si>
    <t>38.9.1.4</t>
  </si>
  <si>
    <t>38.9.1.5</t>
  </si>
  <si>
    <t>38.9.1.6</t>
  </si>
  <si>
    <t>38.9.1.7</t>
  </si>
  <si>
    <t>38.9.1.8</t>
  </si>
  <si>
    <t>38.9.1.9</t>
  </si>
  <si>
    <t>38.10.</t>
  </si>
  <si>
    <t>38.10.1.</t>
  </si>
  <si>
    <t>38.10.1.1</t>
  </si>
  <si>
    <t>38.10.1.2</t>
  </si>
  <si>
    <t>38.10.1.3</t>
  </si>
  <si>
    <t>38.10.1.4</t>
  </si>
  <si>
    <t>38.10.1.5</t>
  </si>
  <si>
    <t>38.10.1.6</t>
  </si>
  <si>
    <t>38.10.1.7</t>
  </si>
  <si>
    <t>38.10.1.8</t>
  </si>
  <si>
    <t>38.10.1.9</t>
  </si>
  <si>
    <t>38.11.</t>
  </si>
  <si>
    <t>38.11.1.</t>
  </si>
  <si>
    <t>38.11.1.1</t>
  </si>
  <si>
    <t>38.11.1.2</t>
  </si>
  <si>
    <t>38.11.1.3</t>
  </si>
  <si>
    <t>38.11.1.4</t>
  </si>
  <si>
    <t>38.11.1.5</t>
  </si>
  <si>
    <t>38.11.1.6</t>
  </si>
  <si>
    <t>38.11.1.7</t>
  </si>
  <si>
    <t>38.11.1.8</t>
  </si>
  <si>
    <t>38.11.1.9</t>
  </si>
  <si>
    <t>38.12.</t>
  </si>
  <si>
    <t>38.12.1.</t>
  </si>
  <si>
    <t>38.12.1.1</t>
  </si>
  <si>
    <t>38.12.1.2</t>
  </si>
  <si>
    <t>38.12.1.3</t>
  </si>
  <si>
    <t>38.12.1.4</t>
  </si>
  <si>
    <t>38.12.1.5</t>
  </si>
  <si>
    <t>38.12.1.6</t>
  </si>
  <si>
    <t>38.12.1.7</t>
  </si>
  <si>
    <t>38.12.1.8</t>
  </si>
  <si>
    <t>38.12.1.9</t>
  </si>
  <si>
    <t>38.13.</t>
  </si>
  <si>
    <t>38.13.1.</t>
  </si>
  <si>
    <t>38.13.1.1</t>
  </si>
  <si>
    <t>38.13.1.2</t>
  </si>
  <si>
    <t>38.13.1.3</t>
  </si>
  <si>
    <t>38.13.1.4</t>
  </si>
  <si>
    <t>38.13.1.5</t>
  </si>
  <si>
    <t>38.13.1.6</t>
  </si>
  <si>
    <t>38.13.1.7</t>
  </si>
  <si>
    <t>38.13.1.8</t>
  </si>
  <si>
    <t>38.13.1.9</t>
  </si>
  <si>
    <t>38.14.</t>
  </si>
  <si>
    <t>38.14.1.</t>
  </si>
  <si>
    <t>38.14.1.1</t>
  </si>
  <si>
    <t>38.14.1.2</t>
  </si>
  <si>
    <t>38.14.1.3</t>
  </si>
  <si>
    <t>38.14.1.4</t>
  </si>
  <si>
    <t>38.14.1.5</t>
  </si>
  <si>
    <t>38.14.1.6</t>
  </si>
  <si>
    <t>38.14.1.7</t>
  </si>
  <si>
    <t>38.14.1.8</t>
  </si>
  <si>
    <t>38.14.1.9</t>
  </si>
  <si>
    <t>38.15.</t>
  </si>
  <si>
    <t>38.15.1.</t>
  </si>
  <si>
    <t>38.15.1.1</t>
  </si>
  <si>
    <t>38.15.1.2</t>
  </si>
  <si>
    <t>38.15.1.3</t>
  </si>
  <si>
    <t>38.15.1.4</t>
  </si>
  <si>
    <t>38.15.1.5</t>
  </si>
  <si>
    <t>38.15.1.6</t>
  </si>
  <si>
    <t>38.15.1.7</t>
  </si>
  <si>
    <t>38.15.1.8</t>
  </si>
  <si>
    <t>38.15.1.9</t>
  </si>
  <si>
    <t>38.16.</t>
  </si>
  <si>
    <t>38.16.1.</t>
  </si>
  <si>
    <t>38.16.1.1</t>
  </si>
  <si>
    <t>38.16.1.2</t>
  </si>
  <si>
    <t>38.16.1.3</t>
  </si>
  <si>
    <t>38.16.1.4</t>
  </si>
  <si>
    <t>38.16.1.5</t>
  </si>
  <si>
    <t>38.16.1.6</t>
  </si>
  <si>
    <t>38.16.1.7</t>
  </si>
  <si>
    <t>38.16.1.8</t>
  </si>
  <si>
    <t>38.16.1.9</t>
  </si>
  <si>
    <t>38.17.</t>
  </si>
  <si>
    <t>38.17.1.</t>
  </si>
  <si>
    <t>38.17.1.1</t>
  </si>
  <si>
    <t>38.17.1.2</t>
  </si>
  <si>
    <t>38.17.1.3</t>
  </si>
  <si>
    <t>38.17.1.4</t>
  </si>
  <si>
    <t>38.17.1.5</t>
  </si>
  <si>
    <t>38.17.1.6</t>
  </si>
  <si>
    <t>38.17.1.7</t>
  </si>
  <si>
    <t>38.17.1.8</t>
  </si>
  <si>
    <t>38.17.1.9</t>
  </si>
  <si>
    <t>38.18.</t>
  </si>
  <si>
    <t>38.18.1.</t>
  </si>
  <si>
    <t>38.18.1.1</t>
  </si>
  <si>
    <t>38.18.1.2</t>
  </si>
  <si>
    <t>38.18.1.3</t>
  </si>
  <si>
    <t>38.18.1.4</t>
  </si>
  <si>
    <t>38.18.1.5</t>
  </si>
  <si>
    <t>38.18.1.6</t>
  </si>
  <si>
    <t>38.18.1.7</t>
  </si>
  <si>
    <t>38.18.1.8</t>
  </si>
  <si>
    <t>38.18.1.9</t>
  </si>
  <si>
    <t>38.19.</t>
  </si>
  <si>
    <t>38.19.1.</t>
  </si>
  <si>
    <t>38.19.1.1</t>
  </si>
  <si>
    <t>38.19.1.2</t>
  </si>
  <si>
    <t>38.19.1.3</t>
  </si>
  <si>
    <t>38.19.1.4</t>
  </si>
  <si>
    <t>38.19.1.5</t>
  </si>
  <si>
    <t>38.19.1.6</t>
  </si>
  <si>
    <t>38.19.1.7</t>
  </si>
  <si>
    <t>38.19.1.8</t>
  </si>
  <si>
    <t>38.19.1.9</t>
  </si>
  <si>
    <t>38.20.</t>
  </si>
  <si>
    <t>38.20.1.</t>
  </si>
  <si>
    <t>38.20.1.1</t>
  </si>
  <si>
    <t>38.20.1.2</t>
  </si>
  <si>
    <t>38.20.1.3</t>
  </si>
  <si>
    <t>38.20.1.4</t>
  </si>
  <si>
    <t>38.20.1.5</t>
  </si>
  <si>
    <t>38.20.1.6</t>
  </si>
  <si>
    <t>38.20.1.7</t>
  </si>
  <si>
    <t>38.20.1.8</t>
  </si>
  <si>
    <t>38.21.</t>
  </si>
  <si>
    <t>38.21.1.</t>
  </si>
  <si>
    <t>38.21.1.1</t>
  </si>
  <si>
    <t>38.21.1.2</t>
  </si>
  <si>
    <t>38.21.1.3</t>
  </si>
  <si>
    <t>38.21.1.4</t>
  </si>
  <si>
    <t>38.21.1.5</t>
  </si>
  <si>
    <t>38.21.1.6</t>
  </si>
  <si>
    <t>38.21.1.7</t>
  </si>
  <si>
    <t>38.21.1.8</t>
  </si>
  <si>
    <t>38.22.</t>
  </si>
  <si>
    <t>38.22.1.</t>
  </si>
  <si>
    <t>38.22.1.1</t>
  </si>
  <si>
    <t>39.</t>
  </si>
  <si>
    <t>Verga e Contraverga</t>
  </si>
  <si>
    <t>39.1.</t>
  </si>
  <si>
    <t>39.1.1.</t>
  </si>
  <si>
    <t>39.1.1.1</t>
  </si>
  <si>
    <t>39.1.1.2</t>
  </si>
  <si>
    <t>39.1.1.3</t>
  </si>
  <si>
    <t>39.1.1.4</t>
  </si>
  <si>
    <t>39.1.1.5</t>
  </si>
  <si>
    <t>39.1.1.6</t>
  </si>
  <si>
    <t>39.2.</t>
  </si>
  <si>
    <t>39.2.1.</t>
  </si>
  <si>
    <t>39.2.1.1</t>
  </si>
  <si>
    <t>39.2.1.2</t>
  </si>
  <si>
    <t>39.2.1.3</t>
  </si>
  <si>
    <t>39.3.</t>
  </si>
  <si>
    <t>39.3.1.</t>
  </si>
  <si>
    <t>39.3.1.1</t>
  </si>
  <si>
    <t>39.3.1.2</t>
  </si>
  <si>
    <t>39.3.1.3</t>
  </si>
  <si>
    <t>39.4.</t>
  </si>
  <si>
    <t>39.4.1.</t>
  </si>
  <si>
    <t>39.4.1.1</t>
  </si>
  <si>
    <t>39.4.1.2</t>
  </si>
  <si>
    <t>39.4.1.3</t>
  </si>
  <si>
    <t>39.5.</t>
  </si>
  <si>
    <t>39.5.1.</t>
  </si>
  <si>
    <t>39.5.1.1</t>
  </si>
  <si>
    <t>39.5.1.2</t>
  </si>
  <si>
    <t>39.5.1.3</t>
  </si>
  <si>
    <t>39.6.</t>
  </si>
  <si>
    <t>39.6.1.</t>
  </si>
  <si>
    <t>39.6.1.1</t>
  </si>
  <si>
    <t>39.6.1.2</t>
  </si>
  <si>
    <t>39.6.1.3</t>
  </si>
  <si>
    <t>39.6.1.4</t>
  </si>
  <si>
    <t>39.6.1.5</t>
  </si>
  <si>
    <t>39.6.1.6</t>
  </si>
  <si>
    <t>39.6.1.7</t>
  </si>
  <si>
    <t>39.6.1.8</t>
  </si>
  <si>
    <t>39.6.1.9</t>
  </si>
  <si>
    <t>39.6.1.10</t>
  </si>
  <si>
    <t>39.6.1.11</t>
  </si>
  <si>
    <t>39.6.1.12</t>
  </si>
  <si>
    <t>39.7.</t>
  </si>
  <si>
    <t>39.7.1.</t>
  </si>
  <si>
    <t>39.7.1.1</t>
  </si>
  <si>
    <t>39.7.1.2</t>
  </si>
  <si>
    <t>39.7.1.3</t>
  </si>
  <si>
    <t>39.7.1.4</t>
  </si>
  <si>
    <t>39.7.1.5</t>
  </si>
  <si>
    <t>39.7.1.6</t>
  </si>
  <si>
    <t>39.7.1.7</t>
  </si>
  <si>
    <t>39.7.1.8</t>
  </si>
  <si>
    <t>39.7.1.9</t>
  </si>
  <si>
    <t>39.7.1.10</t>
  </si>
  <si>
    <t>39.8.</t>
  </si>
  <si>
    <t>39.8.1.</t>
  </si>
  <si>
    <t>39.8.1.1</t>
  </si>
  <si>
    <t>39.8.1.2</t>
  </si>
  <si>
    <t>39.8.1.3</t>
  </si>
  <si>
    <t>39.8.1.4</t>
  </si>
  <si>
    <t>39.8.1.5</t>
  </si>
  <si>
    <t>39.8.1.6</t>
  </si>
  <si>
    <t>39.8.1.7</t>
  </si>
  <si>
    <t>39.8.1.8</t>
  </si>
  <si>
    <t>39.8.1.9</t>
  </si>
  <si>
    <t>39.8.1.10</t>
  </si>
  <si>
    <t>39.9.</t>
  </si>
  <si>
    <t>39.9.1.</t>
  </si>
  <si>
    <t>39.9.1.1</t>
  </si>
  <si>
    <t>39.9.1.2</t>
  </si>
  <si>
    <t>39.9.1.3</t>
  </si>
  <si>
    <t>39.9.1.4</t>
  </si>
  <si>
    <t>39.9.1.5</t>
  </si>
  <si>
    <t>39.9.1.6</t>
  </si>
  <si>
    <t>39.9.1.7</t>
  </si>
  <si>
    <t>39.9.1.8</t>
  </si>
  <si>
    <t>39.9.1.9</t>
  </si>
  <si>
    <t>39.9.1.10</t>
  </si>
  <si>
    <t>39.10.</t>
  </si>
  <si>
    <t>39.10.1.</t>
  </si>
  <si>
    <t>39.10.1.1</t>
  </si>
  <si>
    <t>39.10.1.2</t>
  </si>
  <si>
    <t>39.10.1.3</t>
  </si>
  <si>
    <t>39.10.1.4</t>
  </si>
  <si>
    <t>39.10.1.5</t>
  </si>
  <si>
    <t>39.10.1.6</t>
  </si>
  <si>
    <t>39.10.1.7</t>
  </si>
  <si>
    <t>39.10.1.8</t>
  </si>
  <si>
    <t>39.10.1.9</t>
  </si>
  <si>
    <t>39.10.1.10</t>
  </si>
  <si>
    <t>39.11.</t>
  </si>
  <si>
    <t>39.11.1.</t>
  </si>
  <si>
    <t>39.11.1.1</t>
  </si>
  <si>
    <t>39.11.1.2</t>
  </si>
  <si>
    <t>39.11.1.3</t>
  </si>
  <si>
    <t>39.11.1.4</t>
  </si>
  <si>
    <t>39.11.1.5</t>
  </si>
  <si>
    <t>39.11.1.6</t>
  </si>
  <si>
    <t>39.11.1.7</t>
  </si>
  <si>
    <t>39.11.1.8</t>
  </si>
  <si>
    <t>39.11.1.9</t>
  </si>
  <si>
    <t>39.11.1.10</t>
  </si>
  <si>
    <t>39.12.</t>
  </si>
  <si>
    <t>39.12.1.</t>
  </si>
  <si>
    <t>39.12.1.1</t>
  </si>
  <si>
    <t>39.12.1.2</t>
  </si>
  <si>
    <t>39.12.1.3</t>
  </si>
  <si>
    <t>39.12.1.4</t>
  </si>
  <si>
    <t>39.12.1.5</t>
  </si>
  <si>
    <t>39.12.1.6</t>
  </si>
  <si>
    <t>39.12.1.7</t>
  </si>
  <si>
    <t>39.12.1.8</t>
  </si>
  <si>
    <t>39.12.1.9</t>
  </si>
  <si>
    <t>39.12.1.10</t>
  </si>
  <si>
    <t>39.13.</t>
  </si>
  <si>
    <t>39.13.1.</t>
  </si>
  <si>
    <t>39.13.1.1</t>
  </si>
  <si>
    <t>39.13.1.2</t>
  </si>
  <si>
    <t>39.13.1.3</t>
  </si>
  <si>
    <t>39.13.1.4</t>
  </si>
  <si>
    <t>39.13.1.5</t>
  </si>
  <si>
    <t>39.13.1.6</t>
  </si>
  <si>
    <t>39.13.1.7</t>
  </si>
  <si>
    <t>39.13.1.8</t>
  </si>
  <si>
    <t>39.13.1.9</t>
  </si>
  <si>
    <t>39.13.1.10</t>
  </si>
  <si>
    <t>39.14.</t>
  </si>
  <si>
    <t>39.14.1.</t>
  </si>
  <si>
    <t>39.14.1.1</t>
  </si>
  <si>
    <t>39.14.1.2</t>
  </si>
  <si>
    <t>39.14.1.3</t>
  </si>
  <si>
    <t>39.14.1.4</t>
  </si>
  <si>
    <t>39.14.1.5</t>
  </si>
  <si>
    <t>39.14.1.6</t>
  </si>
  <si>
    <t>39.14.1.7</t>
  </si>
  <si>
    <t>39.14.1.8</t>
  </si>
  <si>
    <t>39.14.1.9</t>
  </si>
  <si>
    <t>39.14.1.10</t>
  </si>
  <si>
    <t>39.15.</t>
  </si>
  <si>
    <t>39.15.1.</t>
  </si>
  <si>
    <t>39.15.1.1</t>
  </si>
  <si>
    <t>39.15.1.2</t>
  </si>
  <si>
    <t>39.15.1.3</t>
  </si>
  <si>
    <t>39.15.1.4</t>
  </si>
  <si>
    <t>39.15.1.5</t>
  </si>
  <si>
    <t>39.15.1.6</t>
  </si>
  <si>
    <t>39.15.1.7</t>
  </si>
  <si>
    <t>39.15.1.8</t>
  </si>
  <si>
    <t>39.15.1.9</t>
  </si>
  <si>
    <t>39.15.1.10</t>
  </si>
  <si>
    <t>39.16.</t>
  </si>
  <si>
    <t>39.16.1.</t>
  </si>
  <si>
    <t>39.16.1.1</t>
  </si>
  <si>
    <t>39.16.1.2</t>
  </si>
  <si>
    <t>39.16.1.3</t>
  </si>
  <si>
    <t>39.16.1.4</t>
  </si>
  <si>
    <t>39.16.1.5</t>
  </si>
  <si>
    <t>39.16.1.6</t>
  </si>
  <si>
    <t>39.16.1.7</t>
  </si>
  <si>
    <t>39.16.1.8</t>
  </si>
  <si>
    <t>39.16.1.9</t>
  </si>
  <si>
    <t>39.16.1.10</t>
  </si>
  <si>
    <t>39.17.</t>
  </si>
  <si>
    <t>39.17.1.</t>
  </si>
  <si>
    <t>39.17.1.1</t>
  </si>
  <si>
    <t>39.17.1.2</t>
  </si>
  <si>
    <t>39.17.1.3</t>
  </si>
  <si>
    <t>39.17.1.4</t>
  </si>
  <si>
    <t>39.17.1.5</t>
  </si>
  <si>
    <t>39.17.1.6</t>
  </si>
  <si>
    <t>39.17.1.7</t>
  </si>
  <si>
    <t>39.17.1.8</t>
  </si>
  <si>
    <t>39.17.1.9</t>
  </si>
  <si>
    <t>39.17.1.10</t>
  </si>
  <si>
    <t>39.18.</t>
  </si>
  <si>
    <t>39.18.1.</t>
  </si>
  <si>
    <t>39.18.1.1</t>
  </si>
  <si>
    <t>39.18.1.2</t>
  </si>
  <si>
    <t>39.18.1.3</t>
  </si>
  <si>
    <t>39.18.1.4</t>
  </si>
  <si>
    <t>39.18.1.5</t>
  </si>
  <si>
    <t>39.18.1.6</t>
  </si>
  <si>
    <t>39.18.1.7</t>
  </si>
  <si>
    <t>39.18.1.8</t>
  </si>
  <si>
    <t>39.18.1.9</t>
  </si>
  <si>
    <t>39.18.1.10</t>
  </si>
  <si>
    <t>39.19.</t>
  </si>
  <si>
    <t>39.19.1.</t>
  </si>
  <si>
    <t>39.19.1.1</t>
  </si>
  <si>
    <t>39.19.1.2</t>
  </si>
  <si>
    <t>39.19.1.3</t>
  </si>
  <si>
    <t>39.19.1.4</t>
  </si>
  <si>
    <t>39.19.1.5</t>
  </si>
  <si>
    <t>39.19.1.6</t>
  </si>
  <si>
    <t>39.19.1.7</t>
  </si>
  <si>
    <t>39.19.1.8</t>
  </si>
  <si>
    <t>39.19.1.9</t>
  </si>
  <si>
    <t>39.19.1.10</t>
  </si>
  <si>
    <t>39.20.</t>
  </si>
  <si>
    <t>39.20.1.</t>
  </si>
  <si>
    <t>39.20.1.1</t>
  </si>
  <si>
    <t>39.20.1.2</t>
  </si>
  <si>
    <t>39.20.1.3</t>
  </si>
  <si>
    <t>39.20.1.4</t>
  </si>
  <si>
    <t>39.20.1.5</t>
  </si>
  <si>
    <t>39.20.1.6</t>
  </si>
  <si>
    <t>39.20.1.7</t>
  </si>
  <si>
    <t>39.20.1.8</t>
  </si>
  <si>
    <t>39.20.1.9</t>
  </si>
  <si>
    <t>39.20.1.10</t>
  </si>
  <si>
    <t>39.21.</t>
  </si>
  <si>
    <t>39.21.1.</t>
  </si>
  <si>
    <t>39.21.1.1</t>
  </si>
  <si>
    <t>39.21.1.2</t>
  </si>
  <si>
    <t>39.21.1.3</t>
  </si>
  <si>
    <t>39.21.1.4</t>
  </si>
  <si>
    <t>39.21.1.5</t>
  </si>
  <si>
    <t>39.21.1.6</t>
  </si>
  <si>
    <t>39.21.1.7</t>
  </si>
  <si>
    <t>39.21.1.8</t>
  </si>
  <si>
    <t>39.21.1.9</t>
  </si>
  <si>
    <t>39.22.</t>
  </si>
  <si>
    <t>39.22.1.</t>
  </si>
  <si>
    <t>39.22.1.1</t>
  </si>
  <si>
    <t>Mão de obra para assentamento de blocos de concreto</t>
  </si>
  <si>
    <t>Verga + Contraverga - TOTAL</t>
  </si>
  <si>
    <t>ALVENARIAS E VEDAÇÕES - TIPO (X13)</t>
  </si>
  <si>
    <t>IMPERMEABILIZAÇÃO E TRATAMENTOS - GARAGEM (X3)</t>
  </si>
  <si>
    <t>IMPERMEABILIZAÇÃO E TRATAMENTOS - GARAGEM 5</t>
  </si>
  <si>
    <t>IMPERMEABILIZAÇAO EM CENTRAL DE GAS/LIXEIRA/ FOSSO ELEVADOR</t>
  </si>
  <si>
    <t>02_GARAGEM (X3)</t>
  </si>
  <si>
    <t>02_GARAGEM 5</t>
  </si>
  <si>
    <t>IMPERMEABILIZAÇAO EM AREA DE SERVIÇO, AREAS TECNICAS, BANHEIROS, COZINHAS, SAUNA</t>
  </si>
  <si>
    <t>IMPERMEABILIZAÇAO EM TERRAÇOS, FLOREIRAS E PISCINA</t>
  </si>
  <si>
    <t>Impermeabilização de Área de serviço, Áreas tecnicas, Banheiro, Cozinhas e  Sauna</t>
  </si>
  <si>
    <t>Impermeabilização de Floreiras, Terraços E Piscinas</t>
  </si>
  <si>
    <t>IMPERMEABILIZAÇAO EM AREA DE SERVIÇO, AREAS TECNICAS, BANHEIROS, BOX DE BANHEIROS, COZINHAS, SACADAS</t>
  </si>
  <si>
    <t xml:space="preserve">PARA EAP CONSIDERADO TIPO X13 COMO QUADRO </t>
  </si>
  <si>
    <t xml:space="preserve">Impermeabilização de Terraços </t>
  </si>
  <si>
    <t xml:space="preserve">ÁREA SEM ACESSO </t>
  </si>
  <si>
    <t xml:space="preserve">Impermeabilização de Terraço </t>
  </si>
  <si>
    <t>02_GARAGEM (x3)</t>
  </si>
  <si>
    <t xml:space="preserve">TIPO (X13) </t>
  </si>
  <si>
    <t xml:space="preserve">02_GARAGEM (X3) </t>
  </si>
  <si>
    <t>07_TIPO (X13)</t>
  </si>
  <si>
    <t>Bloco 14x09x19cm - Canaleta J</t>
  </si>
  <si>
    <t>Para fomas borda laje</t>
  </si>
  <si>
    <t>Junta de movimentação ultima laje</t>
  </si>
  <si>
    <t>NÃO TEM ENCUNHAMENTO EM ALVENARIA ESTRUTURAL</t>
  </si>
  <si>
    <t xml:space="preserve">canaleta J utilizada para concretagem laje </t>
  </si>
  <si>
    <t>Sanduiche com manta +  eps</t>
  </si>
  <si>
    <t>Acrescentado 15% por segurança</t>
  </si>
  <si>
    <t xml:space="preserve">Revestimento de Azulejo Cerâmico - Lixeira </t>
  </si>
  <si>
    <t xml:space="preserve">Revestimento de Porcelanato em Paredes - Área Comum </t>
  </si>
  <si>
    <t>07_TIPO (x13)</t>
  </si>
  <si>
    <t>Forro Especiais</t>
  </si>
  <si>
    <t>Forro de Madeira</t>
  </si>
  <si>
    <t>Material similar com custo reduzido</t>
  </si>
  <si>
    <t xml:space="preserve">Piso concreto Cimentado </t>
  </si>
  <si>
    <t>Garagens e escadaria</t>
  </si>
  <si>
    <t xml:space="preserve">Frente empreendimento </t>
  </si>
  <si>
    <t>Box</t>
  </si>
  <si>
    <t>Escadaria</t>
  </si>
  <si>
    <t>Escadarias</t>
  </si>
  <si>
    <t xml:space="preserve">Escadaria + Área sem acesso </t>
  </si>
  <si>
    <t>Revestimento Cerâmica em Áreas comuns</t>
  </si>
  <si>
    <t>Revestimento em Porcelanato Áreas Comuns</t>
  </si>
  <si>
    <t>Revestimento em Porcelanato, aplicação em Áreas Comuns</t>
  </si>
  <si>
    <t>Revestimento em Porcelanato aplicação em Áreas Privativas</t>
  </si>
  <si>
    <t>Revestimento de piso emborrachado - Área Comum Interna</t>
  </si>
  <si>
    <t>Revestimento de piso laminado, nas áreas privativas - Material e mão de Obra</t>
  </si>
  <si>
    <t>Rodapé de revestimento cerâmico = 10cm</t>
  </si>
  <si>
    <t xml:space="preserve">Soleira </t>
  </si>
  <si>
    <t xml:space="preserve">Soleira em pedra natural </t>
  </si>
  <si>
    <t>Mão de obra execução Piso Cimentado</t>
  </si>
  <si>
    <t>Piso concreto Estampado - Material e Mão de Obra</t>
  </si>
  <si>
    <t>Mão de obra de rodapé Porcelanato/ Cerâmico</t>
  </si>
  <si>
    <t>Mão de obra para assentamento de soleira em pedra natural</t>
  </si>
  <si>
    <t>Pintura em Resina para demarcação de vagas em piso, 1 demão</t>
  </si>
  <si>
    <t>Pintura em Piso com Resina, Aplicação Manual, 2 Demãos</t>
  </si>
  <si>
    <t>Dutos e Fossos - 1 demão de selador + 1 demão de tinta</t>
  </si>
  <si>
    <t>Escada/Antecamara - 1 demão de selador + 3 demão de tinta</t>
  </si>
  <si>
    <t>Hall - 1 demão de selador + 2 demão de passa PVA + 3 demão de tinta</t>
  </si>
  <si>
    <t>Pintura área comum - 1 demão de selador + 2 demão de passa PVA + 3 demão de tinta</t>
  </si>
  <si>
    <t>Pintura área privativa- 1 demão de selador + 2 demão de passa PVA + 3 demão de tinta</t>
  </si>
  <si>
    <t xml:space="preserve">Mao De Obra Para Pintura Acrilica Em Paredes, 1 Demao de fundo preparador + 1 demão de tinta </t>
  </si>
  <si>
    <t>Mão de obra para Pintura acrílica em teto, Selador 1 Demão e Tinta Acrílica 3 demãos</t>
  </si>
  <si>
    <t>ESQUADRIAS, VIDROS E FERRAGENS - TÉRREO</t>
  </si>
  <si>
    <t xml:space="preserve">DESCRIÇÃO </t>
  </si>
  <si>
    <t>UNI</t>
  </si>
  <si>
    <t>QNT</t>
  </si>
  <si>
    <t xml:space="preserve">VALOR </t>
  </si>
  <si>
    <t>Valor p/m² esquadrias</t>
  </si>
  <si>
    <t>ESQUADRIAS DE ALUMÍNIO</t>
  </si>
  <si>
    <t>PORTÕES - MATERIAL A DEFINIR</t>
  </si>
  <si>
    <t>GARAGEM5</t>
  </si>
  <si>
    <t>GUARDA CORPO EM VIDRO E ALUMÍNIO 100cm</t>
  </si>
  <si>
    <t>GUARDA CORPO EM VIDRO E ALUMÍNIO 105cm</t>
  </si>
  <si>
    <t>Corrimão de Alumínio</t>
  </si>
  <si>
    <t>Portões de Alumínio</t>
  </si>
  <si>
    <t>Porta de madeira de correr Semi Oca - 70x210cm (kit completo) - fixação com espuma expansiva</t>
  </si>
  <si>
    <t>Porta corta-fogo, 1 folha, 90x175 cm - instalado</t>
  </si>
  <si>
    <t xml:space="preserve">Gradil Metálico </t>
  </si>
  <si>
    <t xml:space="preserve">Gradil Metálico h=105cm - cor chumbo </t>
  </si>
  <si>
    <t>Mesmo padrão do marena</t>
  </si>
  <si>
    <t xml:space="preserve">QUANTIDADE EXTRAÍDA DE PROJETOS DE MODULAÇÃO: XPCON_PORTO_CERRO_EST63_R01 - PLANTA DE MODULAÇÃO DE 1° E 2º FIADA E FORMAS PAVTO TIPO </t>
  </si>
  <si>
    <t>TIPOS DE SISTEMA</t>
  </si>
  <si>
    <t>PAVIMENTO</t>
  </si>
  <si>
    <t>LINHA</t>
  </si>
  <si>
    <t>QUANTIDADE</t>
  </si>
  <si>
    <t>REPETIÇÃO</t>
  </si>
  <si>
    <t>UNIDADE</t>
  </si>
  <si>
    <t>PCI - Gás</t>
  </si>
  <si>
    <t>01-Térreo</t>
  </si>
  <si>
    <t>Acessórios</t>
  </si>
  <si>
    <t>pç</t>
  </si>
  <si>
    <t>06-Lazer</t>
  </si>
  <si>
    <t>07-Tipo x13</t>
  </si>
  <si>
    <t>08-Tipo Dif. 1</t>
  </si>
  <si>
    <t>09-Duplex Superior</t>
  </si>
  <si>
    <t>10-Casa de Máquinas</t>
  </si>
  <si>
    <t>Cobre</t>
  </si>
  <si>
    <t>Ferro Galvanizado</t>
  </si>
  <si>
    <t>02-Garagem 02</t>
  </si>
  <si>
    <t>03-Garagem 03</t>
  </si>
  <si>
    <t>04-Garagem 04</t>
  </si>
  <si>
    <t>05-Garagem 05</t>
  </si>
  <si>
    <t>Alpex</t>
  </si>
  <si>
    <t>Gás Multicamada</t>
  </si>
  <si>
    <t>VALOR UNITÁRIO</t>
  </si>
  <si>
    <t>VALOR TOTAL</t>
  </si>
  <si>
    <t>Válvula de esfera tripartida 1/2" ø15xø15</t>
  </si>
  <si>
    <t>Válvula de esfera tripartida 3/4" ø20xø20</t>
  </si>
  <si>
    <t>Bucha de redução de ferro galvanizado ø15xø8</t>
  </si>
  <si>
    <t>Bucha de redução de ferro galvanizado ø20xø15</t>
  </si>
  <si>
    <t>Bujão com rebordo de ferro galvanizado ø15</t>
  </si>
  <si>
    <t>Cotovelo de ferro galvanizado 45º ø40xø40</t>
  </si>
  <si>
    <t>Cotovelo de ferro galvanizado 90º ø20xø20</t>
  </si>
  <si>
    <t>Cotovelo de ferro galvanizado 90º ø40xø40</t>
  </si>
  <si>
    <t>Luva de redução de ferro galvanizado ø50xø20</t>
  </si>
  <si>
    <t>Luva de redução de ferro galvanizado ø50xø40</t>
  </si>
  <si>
    <t>Niple duplo de ferro galvanizado ø15xø15</t>
  </si>
  <si>
    <t>Te de ferro galvanizado ø20xø20xø20</t>
  </si>
  <si>
    <t>Tê de redução de ferro galvanizado ø20xø20xø15</t>
  </si>
  <si>
    <t>União de ferro galvanizado com assento plano - Rosca BSP ø15xø15</t>
  </si>
  <si>
    <t>União de ferro galvanizado com assento plano - Rosca BSP ø50xø50</t>
  </si>
  <si>
    <t>Tubo - Ferro Galvanizado 20</t>
  </si>
  <si>
    <t>Tubo - Ferro Galvanizado 40</t>
  </si>
  <si>
    <t>Válvula esfera angular Macho/Macho 1/2"x1/2" ø16xø16</t>
  </si>
  <si>
    <t>Conector macho de cobre 20mmX3/4" ø20xø20</t>
  </si>
  <si>
    <t>Bujão com rebordo de ferro galvanizado ø25</t>
  </si>
  <si>
    <t>Tê de redução de ferro galvanizado ø25xø25xø20</t>
  </si>
  <si>
    <t>Joelho 90º 20mm, Alpex Gás – TIGRE ø20xø20</t>
  </si>
  <si>
    <t>Joelho 90º RF 20mm, Alpex Gás – TIGRE ø20xø16</t>
  </si>
  <si>
    <t>Tê de Redução 20x20x20mm, Alpex Gás – TIGRE ø20xø20xø20</t>
  </si>
  <si>
    <t>Tubo - Gás Multicamada 20</t>
  </si>
  <si>
    <t>Te de ferro galvanizado ø25xø25xø25</t>
  </si>
  <si>
    <t>Tê de redução de ferro galvanizado ø40xø40xø25</t>
  </si>
  <si>
    <t>Tubo - Ferro Galvanizado 25</t>
  </si>
  <si>
    <t>Cotovelo de ferro galvanizado 90º ø25xø25</t>
  </si>
  <si>
    <t>Luva de redução de ferro galvanizado ø40xø25</t>
  </si>
  <si>
    <t>Válvula de retenção horizontal 2 1/2" – DocolBásicos ø65xø65</t>
  </si>
  <si>
    <t>OBS</t>
  </si>
  <si>
    <t>Linha Suprema</t>
  </si>
  <si>
    <t xml:space="preserve">Linha suprema vidro temperado </t>
  </si>
  <si>
    <t xml:space="preserve">Linha Suprema - sem pintura </t>
  </si>
  <si>
    <t xml:space="preserve">Linha Supreme temperado 6mm </t>
  </si>
  <si>
    <t>Temperado 10mm</t>
  </si>
  <si>
    <t>32 mm temperado 6mm</t>
  </si>
  <si>
    <t>Linha Prime Vidro laminado 4+4</t>
  </si>
  <si>
    <t>Total sem GC e guarda corpo</t>
  </si>
  <si>
    <t>Custo</t>
  </si>
  <si>
    <t>Área (m2)</t>
  </si>
  <si>
    <t>PERDA</t>
  </si>
  <si>
    <t>TOTAL C/PERDA</t>
  </si>
  <si>
    <t>Total Garagens</t>
  </si>
  <si>
    <t xml:space="preserve">Total Lazer </t>
  </si>
  <si>
    <t>Total Material</t>
  </si>
  <si>
    <t>Preventivo</t>
  </si>
  <si>
    <t>Dispositivos</t>
  </si>
  <si>
    <t>Cilindro de gás GLP P-190</t>
  </si>
  <si>
    <t>GÁS - Regulador de pressão de 1º estagio 15kg/h</t>
  </si>
  <si>
    <t>Abrigo medidor de gás 40x65x20</t>
  </si>
  <si>
    <t>Medidor de gás G-1,6 (GLP) + Conjunto Regulador de Pressão de 2º Estágio 7 kg + 1 m tubulação cobre flexível + Válvula Esfera Gas MF + Niple com Borboleta para Gás + Conectores</t>
  </si>
  <si>
    <t>Medidor de gás: G 1,6 (GLP)</t>
  </si>
  <si>
    <t>Abrigo medidor de gás 120x80x20</t>
  </si>
  <si>
    <t>Medidor de gás G-0,6 (GLP) + Conjunto Regulador de Pressão de 2º Estágio 7 kg + 1 m tubulação cobre flexível + Válvula Esfera Gas MF + Niple com Borboleta para Gás + Conectores</t>
  </si>
  <si>
    <t>Medidor de gás: G 0,6 (GLP)</t>
  </si>
  <si>
    <t>Abrigo medidor de gás</t>
  </si>
  <si>
    <t>GÁS - Placa: Central de Gás</t>
  </si>
  <si>
    <t>Placa: Gás Inflamável</t>
  </si>
  <si>
    <t>Dados Fevereiro 2025</t>
  </si>
  <si>
    <t>Cub 02/2025</t>
  </si>
  <si>
    <t>Cub 07/2025</t>
  </si>
  <si>
    <t>Fator de correção</t>
  </si>
  <si>
    <t>Total Mão de Obra</t>
  </si>
  <si>
    <t>Total Material Térreo</t>
  </si>
  <si>
    <t>Total MO Térreo</t>
  </si>
  <si>
    <t>Total MO Garagens</t>
  </si>
  <si>
    <t>Total MO Lazer</t>
  </si>
  <si>
    <t>Total MO Tipo (x13)</t>
  </si>
  <si>
    <t>Total MO Duplex Inferior</t>
  </si>
  <si>
    <t>Duplex Superior Material</t>
  </si>
  <si>
    <t>Total MO Duplex Superior</t>
  </si>
  <si>
    <t>INSTALAÇÕES PREVENTIVAS E GLP - GARAGEM (X4)</t>
  </si>
  <si>
    <t>PCI - Hidrantes</t>
  </si>
  <si>
    <t>Hidrante de Recalque</t>
  </si>
  <si>
    <t>Registro de gaveta Industrial 2 1/2" - DocolBásicos</t>
  </si>
  <si>
    <t>11-Reservatório</t>
  </si>
  <si>
    <t>Flange de ferro galvanizado</t>
  </si>
  <si>
    <t>Niple duplo de ferro galvanizado</t>
  </si>
  <si>
    <t>Cotovelo de ferro galvanizado 90º</t>
  </si>
  <si>
    <t>Te de ferro galvanizado</t>
  </si>
  <si>
    <t>União de ferro galvanizado com assento plano - Rosca BSP</t>
  </si>
  <si>
    <t>Tubo - Aço Galvanizado NPT</t>
  </si>
  <si>
    <t>Tubo - Ferro Galvanizado</t>
  </si>
  <si>
    <t>ITEM - Diâmetro 65mm</t>
  </si>
  <si>
    <t>Perda</t>
  </si>
  <si>
    <t>Total c/ Perda</t>
  </si>
  <si>
    <t>Valor Unitário</t>
  </si>
  <si>
    <t>Valor Total</t>
  </si>
  <si>
    <t>Total MO</t>
  </si>
  <si>
    <t>Abrigo para conjunto de controle e manobra: 40x60x20 cm</t>
  </si>
  <si>
    <t>Engate metálico de cilindro: P190</t>
  </si>
  <si>
    <t>Extintor de incêndio: PQS 4kg</t>
  </si>
  <si>
    <t>Placa: Não fume</t>
  </si>
  <si>
    <t>SHP - Mangotinho: Abrigo para Mangotinho 60x120x30 + Mangueira 30m 1" com Esguicho tipo regulável</t>
  </si>
  <si>
    <t>Extintor de incêndio: CO2 4kg</t>
  </si>
  <si>
    <t>Sistema Pressurização SHP - Hydrosystem - TP-IN02-EJ - 5 cv</t>
  </si>
  <si>
    <t>PREVENTIVO</t>
  </si>
  <si>
    <t>PREVENTIVO - ELÉTRICA</t>
  </si>
  <si>
    <t>Preventivo Elétrica</t>
  </si>
  <si>
    <t>CAIXA DE PASSAGEM – PAREDE 2x2" - Embutido - PVC - Tigre</t>
  </si>
  <si>
    <t>CAIXA DE PASSAGEM – PAREDE 2x4" - Aparente - Condulete 5 Entradas - PVC - Tigre</t>
  </si>
  <si>
    <t>CAIXA DE PASSAGEM – PAREDE 2x4" - Embutido - PVC - Tigre</t>
  </si>
  <si>
    <t>CAIXA DE PASSAGEM – PAREDE 4x4" - Embutido - PVC - Tigre</t>
  </si>
  <si>
    <t>CAIXA DE PASSAGEM – TETO 4x4" - Octogonal - Embutido - PVC – Tigre</t>
  </si>
  <si>
    <t>QUADROS DE MEDIÇÃO COLETIVA 01 Módulo - Trifásico - Embutido - Alumínio - Padrão CELESC</t>
  </si>
  <si>
    <t>RAMAL DE ENTRADA QGE - 55x68x25 - Sobrepor - Alumínio – Renatec</t>
  </si>
  <si>
    <t>PLACA 4x2"e 4x4" Placa p/ 1 função</t>
  </si>
  <si>
    <t>SUPORTE P/ PLACA 4x2" e 4x4" Suporte 4x2"</t>
  </si>
  <si>
    <t>TAMPÃO PVC P/ CONDULETE Tampão Plástico 3/4"</t>
  </si>
  <si>
    <t>Alarme Acionador Manual Desliga Sistema de Energia Convencional</t>
  </si>
  <si>
    <t>Alarme Acionador Manual de Alarme de Incêndio Endereçável</t>
  </si>
  <si>
    <t>Alarme Central de Alarme de Incendio Endereçável</t>
  </si>
  <si>
    <t>Alarme Sirene Alarme de Incêndio</t>
  </si>
  <si>
    <t>Iluminação Bloco Autônomo Duplo  - 110/220 Vac | 200lm | 2 horas</t>
  </si>
  <si>
    <t>Iluminação Bloco Autônomo Simples - 110/220 Vac | 100lm | 2 horas</t>
  </si>
  <si>
    <t>CURVA HORIZONTAL 90° 75x75mm</t>
  </si>
  <si>
    <t>CURVA VERTICAL INTERNA 90° 75x75mm</t>
  </si>
  <si>
    <t>ELETROCALHA LISA TIPO U – PREVENTIVO 75x75mm (Eletrocalha, eletrodutos e lã de rocha - Proteção 4h contra incêndio)</t>
  </si>
  <si>
    <t>TAMPA P/ CURVA HORIZONTAL 90° 75x75mm</t>
  </si>
  <si>
    <t>TAMPA P/ CURVA VERTICAL INTERNA 90° 75x75mm</t>
  </si>
  <si>
    <t>TAMPA P/ ELETROCALHA LISA TIPO U 75x75mm</t>
  </si>
  <si>
    <t>ACESSÓRIOS Fixador para Eletroduto - 1/4x24mm - Pino de Aço com Fita de Nylon - Walsywa</t>
  </si>
  <si>
    <t>ELETRODUTO FLEXÍVEL TIPO LEVE 1"</t>
  </si>
  <si>
    <t>ELETRODUTO FLEXÍVEL TIPO LEVE 3/4"</t>
  </si>
  <si>
    <t>ELETRODUTO FLEXÍVEL TIPO MÉDIO 1"</t>
  </si>
  <si>
    <t>ELETRODUTO FLEXÍVEL TIPO MÉDIO 1.1/4"</t>
  </si>
  <si>
    <t>ELETRODUTO FLEXÍVEL TIPO MÉDIO 2"</t>
  </si>
  <si>
    <t>ELETRODUTO FLEXÍVEL TIPO MÉDIO 3/4"</t>
  </si>
  <si>
    <t>TOMADA Módulo - Tomada 2P+T 10A</t>
  </si>
  <si>
    <t>TOMADA Módulo - Tomada 2P+T 10A para Condulete</t>
  </si>
  <si>
    <t>TAMPA PVC P/ CONDULETE Tampa p/ 1 tomada</t>
  </si>
  <si>
    <t>SUPORTE P/ PLACA 4x2" e 4x4" Suporte 4x2"  - INCLUSO ITEM ACIMA</t>
  </si>
  <si>
    <t xml:space="preserve">Total </t>
  </si>
  <si>
    <t>Garagens (x4)</t>
  </si>
  <si>
    <t xml:space="preserve">Lazer </t>
  </si>
  <si>
    <t>Duplex inferior</t>
  </si>
  <si>
    <t>Duplex superior</t>
  </si>
  <si>
    <t>Caixa de Equipotencialização com 8 Terminais para uso Interno e Externo, 180x150x90mm, em Polipropileno</t>
  </si>
  <si>
    <t>180x150x90mm</t>
  </si>
  <si>
    <t>Conector ATERRINSERT com disco em latão e rosca fêmea M12 . Distância entre Re-bar e face da fôrma regulável entre 25 e 40 mm</t>
  </si>
  <si>
    <t>M12</t>
  </si>
  <si>
    <t>Minicaptor em Barra Chata de Alumínio, 7/8″ x 1/8″ x 300 mm</t>
  </si>
  <si>
    <t>7/8″ x 1/8″ x 300 mm</t>
  </si>
  <si>
    <t>ELETRODUTO PVC RÍGIDO</t>
  </si>
  <si>
    <t>3/4"</t>
  </si>
  <si>
    <t>1"</t>
  </si>
  <si>
    <t>Cabo de Cobre</t>
  </si>
  <si>
    <t>#16mm² - Verde-amarelo</t>
  </si>
  <si>
    <t>Cabo de cobre</t>
  </si>
  <si>
    <t>#35mm² - Verde-amarelo</t>
  </si>
  <si>
    <t>Cordoalha em Aço Galvanizado ou vergalhão</t>
  </si>
  <si>
    <t xml:space="preserve"> Ø 7/16'', Com 7 fios, 70mm²</t>
  </si>
  <si>
    <t>Barra Chata de Alumínio</t>
  </si>
  <si>
    <t>7/8″ x 1/8″ (70mm²), com Furos Ø7 mm</t>
  </si>
  <si>
    <t>Valor unitário</t>
  </si>
  <si>
    <t>Garagem (x4)</t>
  </si>
  <si>
    <t>Dup Inferior</t>
  </si>
  <si>
    <t>Dup Superior</t>
  </si>
  <si>
    <t>DIMENSÃO</t>
  </si>
  <si>
    <t>AR-CONDICIONADO</t>
  </si>
  <si>
    <t>3/8"</t>
  </si>
  <si>
    <t>5/8"</t>
  </si>
  <si>
    <t>10 mm</t>
  </si>
  <si>
    <t>18 mm</t>
  </si>
  <si>
    <t>12.000 BTU/h</t>
  </si>
  <si>
    <t>18.000 BTU/h</t>
  </si>
  <si>
    <t>24.000 BTU/h</t>
  </si>
  <si>
    <t>36.000 BTU/h</t>
  </si>
  <si>
    <t>Soldável</t>
  </si>
  <si>
    <t>ø25xø20</t>
  </si>
  <si>
    <t>Série Normal</t>
  </si>
  <si>
    <t>ø100xø100</t>
  </si>
  <si>
    <t>1/4"</t>
  </si>
  <si>
    <t>1/2"</t>
  </si>
  <si>
    <t>6 mm</t>
  </si>
  <si>
    <t>12 mm</t>
  </si>
  <si>
    <t>Terminais de ar</t>
  </si>
  <si>
    <t>Renovador de ar 100mm</t>
  </si>
  <si>
    <t>Terminal de ventilação circular plástico - 100 mm</t>
  </si>
  <si>
    <t>PVC Esgoto - Série Normal</t>
  </si>
  <si>
    <t>Série Reforçada</t>
  </si>
  <si>
    <t>ø50xø50</t>
  </si>
  <si>
    <t>00 - TÉRREO/GARAGEM 01</t>
  </si>
  <si>
    <t>05 - LAZER DIFERENCIADO</t>
  </si>
  <si>
    <t>07 - TIPO 02</t>
  </si>
  <si>
    <t>19 - DUPLEX INFERIOR</t>
  </si>
  <si>
    <t>20 - DUPLEX SUPERIOR</t>
  </si>
  <si>
    <t>Tubo de Cobre Flexível para Ar Condicionado (L)3/8"</t>
  </si>
  <si>
    <t>Tubo de Cobre Flexível para Ar Condicionado (S)5/8"</t>
  </si>
  <si>
    <t>Eletroduto Flexível Tipo Leve 3/4"</t>
  </si>
  <si>
    <t>Isolamento Térmico (L) 10 mm</t>
  </si>
  <si>
    <t>Isolamento Térmico (S) 18 mm</t>
  </si>
  <si>
    <t>Caixa de passagem 12.000 BTU/h</t>
  </si>
  <si>
    <t>Caixa de passagem 18.000 BTU/h</t>
  </si>
  <si>
    <t>Caixa de passagem 24.000 BTU/h</t>
  </si>
  <si>
    <t>Caixa de passagem 36.000 BTU/h</t>
  </si>
  <si>
    <t>Luva Soldável com Rosca 25 x 1/2''ø25xø20</t>
  </si>
  <si>
    <t>Joelho 90ºø100xø100</t>
  </si>
  <si>
    <t>Luva Simples 100mm, Esgoto Série Normal - TIGREø100xø100</t>
  </si>
  <si>
    <t>Tubo de Cobre Flexível para Ar Condicionado (L)1/4"</t>
  </si>
  <si>
    <t>Tubo de Cobre Flexível para Ar Condicionado (S)1/2"</t>
  </si>
  <si>
    <t>Tubo de Cobre Flexível para Ar Condicionado (S)3/8"</t>
  </si>
  <si>
    <t>Isolamento Térmico (L) 6 mm</t>
  </si>
  <si>
    <t>Isolamento Térmico (S) 12 mm</t>
  </si>
  <si>
    <t>Tubo - PVC Esgoto - Série Normal 100mm</t>
  </si>
  <si>
    <t>Luva Soldável com Rosca 25 x 1/2'' ø25xø20</t>
  </si>
  <si>
    <t>Joelho 45º ø100xø100</t>
  </si>
  <si>
    <t>Joelho 90º ø100xø100</t>
  </si>
  <si>
    <t>Luva Simples 100mm, Esgoto Série Normal – TIGRE ø100xø100</t>
  </si>
  <si>
    <t>Tubo - PVC Esgoto - Série Normal 100 mm</t>
  </si>
  <si>
    <t>Bucha de Redução Soldável Curtaø25xø20</t>
  </si>
  <si>
    <t>Joelho 90º ø50xø50</t>
  </si>
  <si>
    <t>Luva Simples 50mm, Esgoto Série Reforçada – TIGRE ø50xø50</t>
  </si>
  <si>
    <t>Tubo de Cobre Flexível para Ar Condicionado (L) 1/4"</t>
  </si>
  <si>
    <t>Tubo de Cobre Flexível para Ar Condicionado (S) 1/2"</t>
  </si>
  <si>
    <t>Tubo de Cobre Flexível para Ar Condicionado (S) 3/8"</t>
  </si>
  <si>
    <t>TOTAL c/ PERDA</t>
  </si>
  <si>
    <t>TOTAL TÉRREO</t>
  </si>
  <si>
    <t>TOTAL LAZER</t>
  </si>
  <si>
    <t>TOTAL TIPO</t>
  </si>
  <si>
    <t>CLIMATIZAÇÃO, EXAUSTÃO MECÂNICA E PRESSURIZAÇÃO - TÉRREO</t>
  </si>
  <si>
    <t>Infraestrutura de ar condicionado</t>
  </si>
  <si>
    <t>EXAUSTORES</t>
  </si>
  <si>
    <t xml:space="preserve">Sem quantitativo em projeto (estimado) </t>
  </si>
  <si>
    <t>UNITÁRIO</t>
  </si>
  <si>
    <t>AR CONDICIONADO INSTALADO</t>
  </si>
  <si>
    <t>No pavimento lazer considerado ar condicionado instalado</t>
  </si>
  <si>
    <t>R$ Unitário</t>
  </si>
  <si>
    <t>R$ Total</t>
  </si>
  <si>
    <t>CAIXA DE PASSAGEM – TETO 4x4" - Octogonal - Embutido - PVC - Tigre</t>
  </si>
  <si>
    <t>QUADRO DE DISTRIBUIÇÃO CARREGADOR VEICULAR 1000X800X250 até 20</t>
  </si>
  <si>
    <t>CONECTORES PORCELANA Conector Tripolar</t>
  </si>
  <si>
    <t>PLACA 4x2"e 4x4" Placa c/ Furo</t>
  </si>
  <si>
    <t>TAMPA PVC P/ CONDULETE Tampa Cega</t>
  </si>
  <si>
    <t>CURVA HORIZONTAL 90° 100x100mm</t>
  </si>
  <si>
    <t>CURVA VERTICAL EXTERNA 45° 100x100mm</t>
  </si>
  <si>
    <t>CURVA VERTICAL INTERNA 45° 100x100mm</t>
  </si>
  <si>
    <t>ELETROCALHA LISA TIPO U 100x100mm</t>
  </si>
  <si>
    <t>ELETROCALHA LISA TIPO U – PREVENTIVO 100x100mm (Eletrocalha, eletrodutos e lã de rocha - Proteção 4h contra incêndio)</t>
  </si>
  <si>
    <t>T HORIZONTAL  90° 100x100mm</t>
  </si>
  <si>
    <t>TAMPA P/ CURVA HORIZONTAL 90° 100x100mm</t>
  </si>
  <si>
    <t>TAMPA P/ CURVA VERTICAL EXTERNA 45° 100x100mm</t>
  </si>
  <si>
    <t>TAMPA P/ CURVA VERTICAL INTERNA 45° 100x100mm</t>
  </si>
  <si>
    <t>TAMPA P/ ELETROCALHA LISA TIPO U 100x100mm</t>
  </si>
  <si>
    <t>TAMPA P/ T HORIZONTAL  90° 100x100mm</t>
  </si>
  <si>
    <t>INFRA PARA CARROS ELÉTRICOS</t>
  </si>
  <si>
    <t>RAMAL DE ENTRADA</t>
  </si>
  <si>
    <t>REDE LÓGICA</t>
  </si>
  <si>
    <t>CAIXA DE PASSAGEM – PISO Tampa 65x45 - R1</t>
  </si>
  <si>
    <t>QUADRO DE DISTRIBUIÇÃO TELECOM 120x65x25cm - Sobrepor - Alumínio - Renatec</t>
  </si>
  <si>
    <t>PEAD - Polietileno de Alta Densidade 2"</t>
  </si>
  <si>
    <t>CAIXA DE PASSAGEM – TETO 40x40x20cm - Sobrepor - Alumínio - Renatec</t>
  </si>
  <si>
    <t>ELETRODUTO PVC RÍGIDO 2"</t>
  </si>
  <si>
    <t>CAIXA DE PASSAGEM – PISO Tampa 90x70 - B125 - Padrão CELESC</t>
  </si>
  <si>
    <t>QUADROS DE MEDIÇÃO COLETIVA 02 Módulos - Barramento Blindado - Embutido - Alumínio - Padrão CELESC</t>
  </si>
  <si>
    <t>QUADROS DE MEDIÇÃO COLETIVA 06 Módulos - Barramento Blindado - Embutido - Alumínio - Padrão CELESC</t>
  </si>
  <si>
    <t>RAMAL DE ENTRADA BEP - 26x52x20cm - Sobrepor - Alumínio -  Padrão CELESC</t>
  </si>
  <si>
    <t>RAMAL DE ENTRADA QGP - 120x120x25 - Sobrepor - Alumínio</t>
  </si>
  <si>
    <t>RAMAL DE ENTRADA QTA - 55x68x25 - Sobrepor - Alumínio - Renatec</t>
  </si>
  <si>
    <t>DISJUNTOR TERMOMAGNÉTICO TRIPOLAR 50A - C - mín. 10kA</t>
  </si>
  <si>
    <t>DISJUNTOR TERMOMAGNÉTICO TRIPOLAR 50A - C - mín. 11kA</t>
  </si>
  <si>
    <t>ACESSÓRIOS Terminal Mecânico para Aterramento de Eletroduto</t>
  </si>
  <si>
    <t>CAIXA DE INSPEÇÃO Caixa de Inspeção - 30x30x40cm</t>
  </si>
  <si>
    <t>HASTE DE ATERRAMENTO Eletrodo de Aterramento em aço revestido em cobre 1/2"ou 5/8:  | 2.4m de comprimento | revestimento mínimo 0,254mm</t>
  </si>
  <si>
    <t>Cabo de cobre Nú - 7 fios 95mm²</t>
  </si>
  <si>
    <t>RAMAL DE SAÍDA</t>
  </si>
  <si>
    <t>QUADRO DE DISTRIBUIÇÃO ELÉTRICO 24 Disjuntores - 38x35x8cm - Embutido - PVC - Tigre</t>
  </si>
  <si>
    <t>QUADROS DE MEDIÇÃO COLETIVA Caixa Leitura Local/Remota padrão CELESC</t>
  </si>
  <si>
    <t>ELETROCALHA LISA TIPO U 150x100mm</t>
  </si>
  <si>
    <t>TAMPA P/ ELETROCALHA LISA TIPO U 150x100mm</t>
  </si>
  <si>
    <t>ELETRODUTOS, ELETROCALHAS E CAIXAS</t>
  </si>
  <si>
    <t>ACESSÓRIOS Abraçadeira para Condulete - 1"</t>
  </si>
  <si>
    <t>ACESSÓRIOS Abraçadeira para Condulete - 3/4</t>
  </si>
  <si>
    <t>ACESSÓRIOS Fita de Alumínio com Presilha</t>
  </si>
  <si>
    <t>ACESSÓRIOS Placa de Identificação da Unidade Consumidora</t>
  </si>
  <si>
    <t>AÇO GALVANIZADO 3"</t>
  </si>
  <si>
    <t>CABEÇOTE AÇO GALVANIZADO 3"</t>
  </si>
  <si>
    <t>CURVA ELETRODUTO AÇO GALVANIZADO 90º 3"</t>
  </si>
  <si>
    <t>CURVA ELETRODUTO PVC RAIO LONGO 90º 2"</t>
  </si>
  <si>
    <t>ELETRODUTO PVC RÍGIDO 1"</t>
  </si>
  <si>
    <t>ELETRODUTO PVC RÍGIDO 3/4"</t>
  </si>
  <si>
    <t>PEAD - Polietileno de Alta Densidade 4"</t>
  </si>
  <si>
    <t>PEAD - Polietileno de Alta Densidade Fita Sinalizadora de Conduto de Energia Elétrica</t>
  </si>
  <si>
    <t>SEALTUBO 3/4"</t>
  </si>
  <si>
    <t>CURVA HORIZONTAL 90° 150x100mm</t>
  </si>
  <si>
    <t>CURVA VERTICAL INTERNA 90° 150x75mm</t>
  </si>
  <si>
    <t>TAMPA P/ CURVA VERTICAL INTERNA 90° 150x75mm</t>
  </si>
  <si>
    <t>CAIXA DE PASSAGEM – PAREDE 20x20x8cm - Embutido - PVC - Tigre</t>
  </si>
  <si>
    <t>CAIXA DE PASSAGEM – PISO TUBO PVC - 40cm - Ø100mm</t>
  </si>
  <si>
    <t>ACABAMENTOS E ACESSÓRIOS</t>
  </si>
  <si>
    <t>LÂMPADA Lâmpada Halógena</t>
  </si>
  <si>
    <t>PLACA 4x2"e 4x4" Placa p/ 2 funções</t>
  </si>
  <si>
    <t>PLACA 4x2"e 4x4" Placa p/ 3 funções</t>
  </si>
  <si>
    <t>PLACA 4x2"e 4x4" Placa p/ 6 funções</t>
  </si>
  <si>
    <t>SUPORTE P/ PLACA 4x2" e 4x4" Suporte 4x4"</t>
  </si>
  <si>
    <t>INTERRUPTOR Módulo - Cego</t>
  </si>
  <si>
    <t>INTERRUPTOR Módulo - Interruptor Paralelo</t>
  </si>
  <si>
    <t>INTERRUPTOR Módulo - Interruptor Pulsador</t>
  </si>
  <si>
    <t>INTERRUPTOR Módulo - Interruptor Simples</t>
  </si>
  <si>
    <t>INTERRUPTOR Módulo - Interruptor p/ Campainha</t>
  </si>
  <si>
    <t>SENSOR Sensor de Presença - Teto</t>
  </si>
  <si>
    <t>SENSOR Sensor fotoelétrico</t>
  </si>
  <si>
    <t>TOMADA Cigarra</t>
  </si>
  <si>
    <t>TOMADA Módulo - Tomada 2P+T 20A</t>
  </si>
  <si>
    <t>QUADROS ELÉTRICOS E DISJUNTORES</t>
  </si>
  <si>
    <t>QUADRO DE DISTRIBUIÇÃO ELÉTRICO 16 Disjuntores - 34x25x8cm - Embutido - PVC - Tigre</t>
  </si>
  <si>
    <t>QUADRO DE DISTRIBUIÇÃO ELÉTRICO 16 Disjuntores - 42x36x10cm - Embutido - Metálico</t>
  </si>
  <si>
    <t>QUADRO DE DISTRIBUIÇÃO ELÉTRICO 36 Disjuntores - 52x35x8cm - Embutido - PVC - Tigre</t>
  </si>
  <si>
    <t>RAMAL DE ENTRADA QDC - 55x68x25 - Sobrepor - Alumínio - Renatec</t>
  </si>
  <si>
    <t>DISJUNTOR TERMOMAGNÉTICO MONOPOLAR 10A - B - mín. 3kA</t>
  </si>
  <si>
    <t>DISJUNTOR TERMOMAGNÉTICO MONOPOLAR 10A - C - mín. 3kA</t>
  </si>
  <si>
    <t>DISJUNTOR TERMOMAGNÉTICO MONOPOLAR 16A - B - mín. 3kA</t>
  </si>
  <si>
    <t>DISJUNTOR TERMOMAGNÉTICO MONOPOLAR 16A - C - mín. 3kA</t>
  </si>
  <si>
    <t>DISJUNTOR TERMOMAGNÉTICO MONOPOLAR 20A - C - mín. 3kA</t>
  </si>
  <si>
    <t>DISJUNTOR TERMOMAGNÉTICO MONOPOLAR 32A - C - mín. 3kA</t>
  </si>
  <si>
    <t>DISJUNTOR TERMOMAGNÉTICO TRIPOLAR 20A - C - mín. 3kA</t>
  </si>
  <si>
    <t>DISJUNTOR TERMOMAGNÉTICO TRIPOLAR 50A - C - mín. 3kA</t>
  </si>
  <si>
    <t>DISPOSITIVO DE PROTEÇÃO CONTRA SURTO Classe 2 - 275 V - 20 kA</t>
  </si>
  <si>
    <t>INTERRUPTOR TETRAPOLAR DR 25 A - 10 kA - 30mA</t>
  </si>
  <si>
    <t>INTERRUPTOR TETRAPOLAR DR 40 A - 10 kA - 30mA</t>
  </si>
  <si>
    <t>LUMINÁRIAS, LAMPADAS E ACESSÓRIOS</t>
  </si>
  <si>
    <t>PAREDE Arandela</t>
  </si>
  <si>
    <t>PAREDE Luminária de Piscina</t>
  </si>
  <si>
    <t>PAREDE Soquete Porcelana E27</t>
  </si>
  <si>
    <t>PAREDE Tartaruga</t>
  </si>
  <si>
    <t>PISO Balizador</t>
  </si>
  <si>
    <t>PISO Pequena</t>
  </si>
  <si>
    <t>TETO Pendente</t>
  </si>
  <si>
    <t>TETO Plafon LED</t>
  </si>
  <si>
    <t>Iluminação Placa de Saída Autônoma 25x16cm - 110/220V | 30lm | 2 horas - Parede</t>
  </si>
  <si>
    <t>Iluminação Placa de Saída Autônoma 25x16cm Face dupla - 110/220V | 30lm | 2 horas - Teto</t>
  </si>
  <si>
    <t>TELECOM</t>
  </si>
  <si>
    <t>CAIXA DE PASSAGEM – TETO 30x30x15cm - Sobrepor - Alumínio - Renatec</t>
  </si>
  <si>
    <t>QUADRO DE DISTRIBUIÇÃO TELECOM 20x20x8cm - Embutido - PVC - Tigre</t>
  </si>
  <si>
    <t>QUADRO DE DISTRIBUIÇÃO TELECOM 30x30x8cm - Embutido - PVC - Tigre</t>
  </si>
  <si>
    <t>PLACA 4x2"e 4x4" Placa Cega 4x2"</t>
  </si>
  <si>
    <t>AUTOMAÇÃO Controle de Acesso</t>
  </si>
  <si>
    <t>TOMADAS DE TELEFONE, TV E DADOS FECHADURA ELETROIMA UNIVERSAL</t>
  </si>
  <si>
    <t>TOMADAS DE TELEFONE, TV E DADOS Botão Interno</t>
  </si>
  <si>
    <t>TOMADAS DE TELEFONE, TV E DADOS Caixa de Som</t>
  </si>
  <si>
    <t>TOMADAS DE TELEFONE, TV E DADOS Câmera de Segurança</t>
  </si>
  <si>
    <t>TOMADAS DE TELEFONE, TV E DADOS Dock de Som</t>
  </si>
  <si>
    <t>TOMADAS DE TELEFONE, TV E DADOS Interfone</t>
  </si>
  <si>
    <t>TOMADAS DE TELEFONE, TV E DADOS Tomada RJ11</t>
  </si>
  <si>
    <t>TOMADAS DE TELEFONE, TV E DADOS Tomada RJ45</t>
  </si>
  <si>
    <t>TOMADAS DE TELEFONE, TV E DADOS Tomada p/ Antena de TV ( p/ cabo coaxial 9mm)</t>
  </si>
  <si>
    <t>ELETRODUTO FLEXÍVEL TIPO LEVE 2"</t>
  </si>
  <si>
    <t>INTERRUPTOR TETRAPOLAR DR 40 A - 10 kA - 30Ma</t>
  </si>
  <si>
    <t>COM BARRAMENTO</t>
  </si>
  <si>
    <t>Não há explicação</t>
  </si>
  <si>
    <t>sem dados - após definição solicitar cotação</t>
  </si>
  <si>
    <t>já no preço da placa</t>
  </si>
  <si>
    <t>PERSONALIZADO-APÓS DEFINIÇÃO SOLICITAR COTAÇÃO</t>
  </si>
  <si>
    <t>Bomba</t>
  </si>
  <si>
    <t>BERMAD</t>
  </si>
  <si>
    <t>Roscável</t>
  </si>
  <si>
    <t>Coletor de Esgoto JEI</t>
  </si>
  <si>
    <t>PVC Esgoto - Série Reforçada</t>
  </si>
  <si>
    <t>PVC Soldável - Marrom</t>
  </si>
  <si>
    <t>01 - GARAGEM 02</t>
  </si>
  <si>
    <t>02 - GARAGEM 03</t>
  </si>
  <si>
    <t>03 - GARAGEM 04</t>
  </si>
  <si>
    <t>04 - GARAGEM 05</t>
  </si>
  <si>
    <t>Caixas e Ralos</t>
  </si>
  <si>
    <t>21 - COBERTURA</t>
  </si>
  <si>
    <t>22 - RESERVATÓRIO</t>
  </si>
  <si>
    <t>Aquapluv</t>
  </si>
  <si>
    <t>VERTICAL</t>
  </si>
  <si>
    <t>PPR</t>
  </si>
  <si>
    <t>PPR PN 12</t>
  </si>
  <si>
    <t>PPR PN 20</t>
  </si>
  <si>
    <t>Bomba de recalque de água potável: verificar especificaçao no Esquema Vertical HidráulicoVerificar especificaçao no Esquema Vertical Hidráulico</t>
  </si>
  <si>
    <t>Filtro T compact 2" - BERMADø50xø50</t>
  </si>
  <si>
    <t>Caixa Sifonada com Grelha e Porta Grelha Quadrada com 3 Entradas - DN 100 x 150 x 50mmø100xø150xø50</t>
  </si>
  <si>
    <t>Hidrômetro de entrada 1"ø32xø32</t>
  </si>
  <si>
    <t>Placa: Água de reúso1"</t>
  </si>
  <si>
    <t>Ralo linear 50 cm-</t>
  </si>
  <si>
    <t>Registro de gaveta ABNT 1" - DocolBásicosø32xø32</t>
  </si>
  <si>
    <t>Registro de gaveta ABNT 2" - DocolBásicosø60xø60</t>
  </si>
  <si>
    <t>Registro de gaveta DocolBase 3/4" - DocolBásicosø25xø25</t>
  </si>
  <si>
    <t>Tubete para hidrômetro 3/4"ø32xø32</t>
  </si>
  <si>
    <t>Válvula elétrica On/Off, corpo, tampa e assento em nylon reforçado, mola interna em aço inox AISI 304,ø60xø60</t>
  </si>
  <si>
    <t>Flange de ferro galvanizadoø50xø50</t>
  </si>
  <si>
    <t>União de ferro galvanizado com assento plano - Rosca BSPø50xø50</t>
  </si>
  <si>
    <t>Plug Roscável 1/2'', PVC Branco, Água Fria - TIGREø20</t>
  </si>
  <si>
    <t>Plug Roscável 3/4'', PVC Branco, Água Fria - TIGREø25</t>
  </si>
  <si>
    <t>Adaptador Soldável Curto com Bolsa e Rosca para Registro 25 x 3/4''ø25xø25</t>
  </si>
  <si>
    <t>Adaptador Soldável Curto com Bolsa e Rosca para Registro 32 x 1''ø32xø32</t>
  </si>
  <si>
    <t>Adaptador Soldável Curto com Bolsa e Rosca para Registro 60 x 2''ø60xø60</t>
  </si>
  <si>
    <t>Bucha de Redução Soldável Longa 40x25mm, PVC Marrom, Água Fria - TIGREø40xø25</t>
  </si>
  <si>
    <t>Bucha de Redução Soldável Longa 60x32mm, PVC Marrom, Água Fria - TIGREø60xø32</t>
  </si>
  <si>
    <t>Curva de Transposição Soldável 25mm, PVC Marrom, Água Fria - TIGREø25xø25</t>
  </si>
  <si>
    <t>Joelho 45º Soldávelø25xø25</t>
  </si>
  <si>
    <t>Joelho 90º Soldávelø25xø25</t>
  </si>
  <si>
    <t>Joelho 90º Soldávelø32xø32</t>
  </si>
  <si>
    <t>Joelho 90º Soldávelø60xø60</t>
  </si>
  <si>
    <t>Joelho 90º Soldável com Bucha de Latão 25 x 1/2''ø25xø20</t>
  </si>
  <si>
    <t>Joelho 90º Soldável com Bucha de Latão 25 x 3/4''ø25xø25</t>
  </si>
  <si>
    <t>Luva Soldável e com Bucha de Latão 32 x 1''ø32xø32</t>
  </si>
  <si>
    <t>Tê Soldávelø25xø25xø25</t>
  </si>
  <si>
    <t>Tê Soldávelø60xø60xø60</t>
  </si>
  <si>
    <t>Cap 100mm, Esgoto Série Reforçada - TIGREø100</t>
  </si>
  <si>
    <t>Cap 150mm, Esgoto Série Reforçada - TIGREø150</t>
  </si>
  <si>
    <t>Joelho 45ºø50xø50</t>
  </si>
  <si>
    <t>Joelho 45ºø75xø75</t>
  </si>
  <si>
    <t>Joelho 45ºø100xø100</t>
  </si>
  <si>
    <t>Joelho 90ºø50xø50</t>
  </si>
  <si>
    <t>Joelho 90ºø75xø75</t>
  </si>
  <si>
    <t>Junção Simplesø100xø100xø50</t>
  </si>
  <si>
    <t>Junção Simplesø100xø100xø75</t>
  </si>
  <si>
    <t>Junção Simplesø100xø100xø100</t>
  </si>
  <si>
    <t>Luva Simples 50mm, Esgoto Série Reforçada - TIGREø50xø50</t>
  </si>
  <si>
    <t>Luva Simples 75mm, Esgoto Série Reforçada - TIGREø75xø75</t>
  </si>
  <si>
    <t>Luva Simples 100mm, Esgoto Série Reforçada - TIGREø100xø100</t>
  </si>
  <si>
    <t>Luva Simples 150mm, Esgoto Série Reforçada - TIGREø150xø150</t>
  </si>
  <si>
    <t>Têø100xø100xø100</t>
  </si>
  <si>
    <t>Tubo - PVC - Coletor de Esgoto JEI250</t>
  </si>
  <si>
    <t>Tubo - Ferro Galvanizado50</t>
  </si>
  <si>
    <t>Tubo - PVC Esgoto - Série Normal100</t>
  </si>
  <si>
    <t>Tubo - PVC Esgoto - Série Reforçada50</t>
  </si>
  <si>
    <t>Tubo - PVC Esgoto - Série Reforçada75</t>
  </si>
  <si>
    <t>Tubo - PVC Esgoto - Série Reforçada100</t>
  </si>
  <si>
    <t>Tubo - PVC Esgoto - Série Reforçada150</t>
  </si>
  <si>
    <t>Tubo - PVC Soldável - Marrom25</t>
  </si>
  <si>
    <t>Tubo - PVC Soldável - Marrom32</t>
  </si>
  <si>
    <t>Tubo - PVC Soldável - Marrom60</t>
  </si>
  <si>
    <t>Luva Soldável com Rosca 25 x 3/4''ø25xø25</t>
  </si>
  <si>
    <t>Placa: Água de reúso-</t>
  </si>
  <si>
    <t>Cap 75mm, Esgoto Série Normal - TIGREø75</t>
  </si>
  <si>
    <t>Cap 100mm, Esgoto Série Normal - TIGREø100</t>
  </si>
  <si>
    <t>Joelho 45º ø75xø75</t>
  </si>
  <si>
    <t>Junção Simplesø75xø75xø50</t>
  </si>
  <si>
    <t>Junção Simplesø75xø75xø75</t>
  </si>
  <si>
    <t>Luva Simples 50mm, Esgoto Série Normal - TIGREø50xø50</t>
  </si>
  <si>
    <t>Luva Simples 75mm, Esgoto Série Normal - TIGREø75xø75</t>
  </si>
  <si>
    <t>Redução Excêntricaø75xø50</t>
  </si>
  <si>
    <t>Cap 75mm, Esgoto Série Reforçada - TIGREø75</t>
  </si>
  <si>
    <t>Redução Excêntrica 75x50mm, Esgoto Série Reforçada - TIGREø75xø50</t>
  </si>
  <si>
    <t>Redução Excêntrica 100x75mm, Esgoto Série Reforçada - TIGREø100xø75</t>
  </si>
  <si>
    <t>Tubo - PVC Esgoto - Série Normal50</t>
  </si>
  <si>
    <t>Tubo - PVC Esgoto - Série Normal75</t>
  </si>
  <si>
    <t>Bucha de Redução Soldável Curtaø40xø32</t>
  </si>
  <si>
    <t>Caixa Sifonada com Grelha e Porta Grelha Quadrados com 7 Entradas - DN 150 x 150 x 50mmø150xø150xø50</t>
  </si>
  <si>
    <t>Caixa Sifonada com Ralo oculto com 3 Entradas - DN 100 x 150 x 50mmø100xø150xø50</t>
  </si>
  <si>
    <t>Grelha Hemisfer Flexível, 88/100, Aquapluv Style - TIGRE100</t>
  </si>
  <si>
    <t>Porta Grelha Quadrado p/ Grelha Quadrada 100mm, Esgoto - TIGRE100</t>
  </si>
  <si>
    <t>Registro de pressão DocolBase 3/4" - DocolBásicosø25xø25</t>
  </si>
  <si>
    <t>Válvula de esfera com alavanca vermelha 1" - DocolBásicosø32xø32</t>
  </si>
  <si>
    <t>Bucha de Redução Roscável 2.1/2'' x 1.1/2'', PVC Branco, Água Fria - TIGREø75xø50</t>
  </si>
  <si>
    <t>Adaptador Soldável Curto com Bolsa e Rosca para Registro 40 x 1.1/4''ø40xø40</t>
  </si>
  <si>
    <t>Bucha de Redução Soldável Curtaø32xø25</t>
  </si>
  <si>
    <t>Joelho 45º Soldávelø32xø32</t>
  </si>
  <si>
    <t>Luva Soldável e com Bucha de Latão 25 x 1/2''ø25xø20</t>
  </si>
  <si>
    <t>Luva Soldável e com Bucha de Latão 25 x 3/4''ø25xø25</t>
  </si>
  <si>
    <t>Tê de Redução Soldávelø32xø32xø25</t>
  </si>
  <si>
    <t>Tê Soldávelø32xø32xø32</t>
  </si>
  <si>
    <t>Bucha de Redução Longaø50xø40</t>
  </si>
  <si>
    <t>Cap 40mm, Esgoto Série Normal - TIGREø40</t>
  </si>
  <si>
    <t>Cap 50mm, Esgoto Série Normal - TIGREø50</t>
  </si>
  <si>
    <t>Joelho 45ºø40xø40</t>
  </si>
  <si>
    <t>Joelho 90ºø40xø40</t>
  </si>
  <si>
    <t>Joelho 90º com Anel 40mm, Esgoto Série Normal - TIGREø40xø40</t>
  </si>
  <si>
    <t>Junção Invertida 100 x 50mm, Esgoto Série Normal - TIGREø100xø100xø50</t>
  </si>
  <si>
    <t>Junção Invertida 100 x 75mm, Esgoto Série Normal - TIGREø100xø100xø75</t>
  </si>
  <si>
    <t>Junção Simplesø40xø40xø40</t>
  </si>
  <si>
    <t>Junção Simplesø50xø50xø50</t>
  </si>
  <si>
    <t>Redução Excêntricaø100xø75</t>
  </si>
  <si>
    <t>Redução Excêntricaø150xø100</t>
  </si>
  <si>
    <t>Têø40xø40xø40</t>
  </si>
  <si>
    <t>Têø50xø50xø50</t>
  </si>
  <si>
    <t>Têø75xø75xø50</t>
  </si>
  <si>
    <t>Têø75xø75xø75</t>
  </si>
  <si>
    <t>Têø100xø100xø50</t>
  </si>
  <si>
    <t>Tê de Inspeção 75x75mm, Esgoto Série Reforçada - TIGREø75xø75xø75</t>
  </si>
  <si>
    <t>Tê de Inspeção 100x75mm, Esgoto Série Normal - TIGREø100xø100xø75</t>
  </si>
  <si>
    <t>Tê de Inspeção 100x75mm, Esgoto Série Reforçada - TIGREø100xø100xø75</t>
  </si>
  <si>
    <t>Redução Excêntrica 150x100mm, Esgoto Série Reforçada - TIGREø150xø100</t>
  </si>
  <si>
    <t>Tubo - PVC Esgoto - Série Normal40</t>
  </si>
  <si>
    <t>Tubo - PVC Esgoto - Série Normal150</t>
  </si>
  <si>
    <t>Tubo - PVC Soldável - Marrom40</t>
  </si>
  <si>
    <t>Caixa Sifonada com Grelha e Porta Grelha Redondos com 7 Entradas - DN 150 x 150 x 50mmø150xø150xø50</t>
  </si>
  <si>
    <t>Hidrômetro 3/4" (Qn = 2,5 m³/h)ø25xø25</t>
  </si>
  <si>
    <t>Ralo Quadrado Montado - Branco c/ grelha branca 100 x 53 x 40mm, Esgoto - TIGREø40</t>
  </si>
  <si>
    <t>Tubete para hidrômetro 3/4"ø25xø25</t>
  </si>
  <si>
    <t>Bucha de Redução Roscável 1'' x 3/4'', PVC Branco, Água Fria - TIGREø32xø25</t>
  </si>
  <si>
    <t>Adapatador para máquina de lavar roupa, Esgoto Série Normal - TIGREø40</t>
  </si>
  <si>
    <t>Curva 90º Curta 50mm, Esgoto Série Normal - TIGREø50xø50</t>
  </si>
  <si>
    <t>Bucha de Redução Longa 50x40mm, Esgoto Série Reforçada - TIGREø50xø40</t>
  </si>
  <si>
    <t>Tubo - PVC Esgoto - Série Reforçada40</t>
  </si>
  <si>
    <t>Junção Invertida 100 x 100mm, Esgoto Série Normal - TIGREø100xø100xø100</t>
  </si>
  <si>
    <t>Grelha Quadrada Branca 150mm, Esgoto - TIGREø100</t>
  </si>
  <si>
    <t>Joelho 90º Soldávelø40xø40</t>
  </si>
  <si>
    <t>Flange de ferro galvanizadoø25xø25</t>
  </si>
  <si>
    <t>Niple duplo de ferro galvanizadoø25xø25</t>
  </si>
  <si>
    <t>União de ferro galvanizado com assento plano - Rosca BSPø25xø25</t>
  </si>
  <si>
    <t>Tubo - Ferro Galvanizado25</t>
  </si>
  <si>
    <t>Bomba de pressurização de água potável: verificar especificação no Esquema Vertical HidráulicoVerificar especificação no Esquema Vertical Hidráulico</t>
  </si>
  <si>
    <t>Filtro de água pluvial: ACQUASAVE VF1ø150xø100xø150xø100</t>
  </si>
  <si>
    <t>Grelha Hemisfer Flexível, 88/100, Aquapluv - TIGRE100</t>
  </si>
  <si>
    <t>BERMAD - Válvula de Retenção VA 407R - 3"ø80xø80</t>
  </si>
  <si>
    <t>Valvula redutora de pressão pilotada 420 2" - BERMADø50xø50</t>
  </si>
  <si>
    <t>Válvula de alívio: 430 2" - BERMADø50xø50</t>
  </si>
  <si>
    <t>Válvula redutora de pressão: 42LP 1.1/4" - BERMADø32xø32</t>
  </si>
  <si>
    <t>Válvula ventosa combinada: C30 1" - BERMADø25</t>
  </si>
  <si>
    <t>Chave Boia de Nível-</t>
  </si>
  <si>
    <t>Registro de gaveta ABNT 1 1/2" - DocolBásicosø50xø50</t>
  </si>
  <si>
    <t>Registro de gaveta ABNT 1 1/4" - DocolBásicosø40xø40</t>
  </si>
  <si>
    <t>Registro de gaveta Industrial 3" - DocolBásicosø85xø85</t>
  </si>
  <si>
    <t>Válvula de esfera com alavanca azul 1 1/4" - DocolBásicosø40xø40</t>
  </si>
  <si>
    <t>Válvula de esfera com alavanca azul 3" - DocolBásicosø85xø85</t>
  </si>
  <si>
    <t>Válvula de esfera com alavanca vermelha 1 1/4" - DocolBásicosø40xø40</t>
  </si>
  <si>
    <t>Válvula de esfera com alavanca vermelha 2" - DocolBásicosø60xø60</t>
  </si>
  <si>
    <t>Válvula de sucção 4" - Genebreø100</t>
  </si>
  <si>
    <t>Válvula redutora de pressão 42LP - 3/4"ø20xø20</t>
  </si>
  <si>
    <t>Y-strainer. Strainer on stainless steel stretched plate.ø20xø20</t>
  </si>
  <si>
    <t>Cotovelo de ferro galvanizado 90ºø32xø32</t>
  </si>
  <si>
    <t>Cotovelo de ferro galvanizado 90ºø40xø40</t>
  </si>
  <si>
    <t>Cotovelo de ferro galvanizado 90ºø80xø80</t>
  </si>
  <si>
    <t>Cotovelo de ferro galvanizado 90ºø104xø104</t>
  </si>
  <si>
    <t>Flange de ferro galvanizadoø32xø32</t>
  </si>
  <si>
    <t>Flange de ferro galvanizadoø40xø40</t>
  </si>
  <si>
    <t>Flange de ferro galvanizadoø80xø80</t>
  </si>
  <si>
    <t>Flange de ferro galvanizadoø100xø100</t>
  </si>
  <si>
    <t>Luva de redução de ferro galvanizadoø80xø40</t>
  </si>
  <si>
    <t>Luva de redução de ferro galvanizadoø80xø50</t>
  </si>
  <si>
    <t>Niple duplo de ferro galvanizadoø32xø32</t>
  </si>
  <si>
    <t>Niple duplo de ferro galvanizadoø40xø40</t>
  </si>
  <si>
    <t>Niple duplo de ferro galvanizadoø80xø80</t>
  </si>
  <si>
    <t>Niple duplo de ferro galvanizadoø100xø100</t>
  </si>
  <si>
    <t>União de ferro galvanizado com assento cônico de bronze-ferro - Rosca BSPø32xø32</t>
  </si>
  <si>
    <t>União de ferro galvanizado com assento cônico de bronze-ferro - Rosca BSPø50xø50</t>
  </si>
  <si>
    <t>União de ferro galvanizado com assento plano - Rosca BSPø32xø32</t>
  </si>
  <si>
    <t>União de ferro galvanizado com assento plano - Rosca BSPø80xø80</t>
  </si>
  <si>
    <t>União de ferro galvanizado com assento plano - Rosca BSPø100xø100</t>
  </si>
  <si>
    <t>Bucha de Redução 50x40, PPR Termofusão - TIGREø50xø40</t>
  </si>
  <si>
    <t>Bucha de Redução 63x50, PPR Termofusão - TIGREø63xø50</t>
  </si>
  <si>
    <t>Conector Macho 32x1, PPR Termofusão - TIGREø32xø32</t>
  </si>
  <si>
    <t>Conector Macho 40x1.1/4, PPR Termofusão - TIGREø40xø40</t>
  </si>
  <si>
    <t>Conector Macho 63x2, PPR Termofusão - TIGREø63xø63</t>
  </si>
  <si>
    <t>Conector Macho 90x3, PPR Termofusão - TIGREø90xø90</t>
  </si>
  <si>
    <t>Joelho 45º 90mm, PPR Termofusão - TIGREø90xø90</t>
  </si>
  <si>
    <t>Joelho 90º 32mm, PPR Termofusão - TIGREø32xø32</t>
  </si>
  <si>
    <t>Joelho 90º 40mm, PPR Termofusão - TIGREø40xø40</t>
  </si>
  <si>
    <t>Joelho 90º 50mm, PPR Termofusão - TIGREø50xø50</t>
  </si>
  <si>
    <t>Joelho 90º 63mm, PPR Termofusão - TIGREø63xø63</t>
  </si>
  <si>
    <t>Joelho 90º 90mm, PPR Termofusão - TIGREø90xø90</t>
  </si>
  <si>
    <t>Tê Normal 40x40x40mm, PPR Termofusão - TIGREø40xø40xø40</t>
  </si>
  <si>
    <t>Tê Normal 63x63x63mm, PPR Termofusão - TIGREø63xø63xø63</t>
  </si>
  <si>
    <t>Tê Normal 90x90x90mm, PPR Termofusão - TIGREø90xø90xø90</t>
  </si>
  <si>
    <t>Adaptador Soldável Curto com Bolsa e Rosca para Registro 50 x 1.1/2''ø50xø50</t>
  </si>
  <si>
    <t>Adaptador Soldável Curto com Bolsa e Rosca para Registro 85 x 3''ø85xø85</t>
  </si>
  <si>
    <t>Adaptador Soldável Curto com Bolsa e Rosca para Registro 110 x 4''ø110xø110</t>
  </si>
  <si>
    <t>Bucha de Redução Soldável Curtaø50xø40</t>
  </si>
  <si>
    <t>Bucha de Redução Soldável Curtaø60xø50</t>
  </si>
  <si>
    <t>Bucha de Redução Soldável Curtaø75xø60</t>
  </si>
  <si>
    <t>Bucha de Redução Soldável Curtaø85xø75</t>
  </si>
  <si>
    <t>Bucha de Redução Soldável Longa 50x32mm, PVC Marrom, Água Fria - TIGREø50xø32</t>
  </si>
  <si>
    <t>Bucha de Redução Soldável Longa 60x40mm, PVC Marrom, Água Fria - TIGREø60xø40</t>
  </si>
  <si>
    <t>Bucha de Redução Soldável Longa 85x60mm, PVC Marrom, Água Fria - TIGREø85xø60</t>
  </si>
  <si>
    <t>Joelho 45º Soldávelø40xø40</t>
  </si>
  <si>
    <t>Joelho 45º Soldávelø85xø85</t>
  </si>
  <si>
    <t>Joelho 90º Soldávelø50xø50</t>
  </si>
  <si>
    <t>Joelho 90º Soldávelø110xø110</t>
  </si>
  <si>
    <t>Joelho 90º Soldável ø85xø85</t>
  </si>
  <si>
    <t>Tê de Redução Soldávelø40xø40xø32</t>
  </si>
  <si>
    <t>Tê de Redução Soldávelø50xø50xø32</t>
  </si>
  <si>
    <t>Tê de Redução Soldávelø50xø50xø40</t>
  </si>
  <si>
    <t>Tê de Redução Soldávelø60xø60xø50</t>
  </si>
  <si>
    <t>Tê de Redução Soldávelø75xø75xø50</t>
  </si>
  <si>
    <t>Tê de Redução Soldávelø85xø85xø60</t>
  </si>
  <si>
    <t>Tê Soldávelø40xø40xø40</t>
  </si>
  <si>
    <t>Tê Soldávelø50xø50xø50</t>
  </si>
  <si>
    <t>Tê Soldávelø85xø85xø85</t>
  </si>
  <si>
    <t>Tê Soldávelø110xø110xø110</t>
  </si>
  <si>
    <t>Tubo - Ferro Galvanizado32</t>
  </si>
  <si>
    <t>Tubo - Ferro Galvanizado40</t>
  </si>
  <si>
    <t>Tubo - Ferro Galvanizado80</t>
  </si>
  <si>
    <t>Tubo - Ferro Galvanizado100</t>
  </si>
  <si>
    <t>Tubo - PVC Soldável - Marrom50</t>
  </si>
  <si>
    <t>Tubo - PVC Soldável - Marrom75</t>
  </si>
  <si>
    <t>Tubo - PVC Soldável - Marrom85</t>
  </si>
  <si>
    <t>Tubo - PVC Soldável - Marrom110</t>
  </si>
  <si>
    <t>Joelho 45ºø50xø50 Série Reforçada</t>
  </si>
  <si>
    <t>Joelho 45ºø75xø75 Série Reforçada</t>
  </si>
  <si>
    <t>Joelho 45ºø100xø100 Série Reforçada</t>
  </si>
  <si>
    <t>Tubo - PPR - PN 12 32mm</t>
  </si>
  <si>
    <t>Tubo - PPR - PN 12 40mm</t>
  </si>
  <si>
    <t>Tubo - PPR - PN 12 50mm</t>
  </si>
  <si>
    <t>Tubo - PPR - PN 12 63mm</t>
  </si>
  <si>
    <t>Tubo - PPR - PN 12 90mm</t>
  </si>
  <si>
    <t>Tubo - PPR - PN 20 32mm</t>
  </si>
  <si>
    <t>Tubo - PPR - PN 20 90mm</t>
  </si>
  <si>
    <t>Joelho 45ºø150xø150 Série Reforçada</t>
  </si>
  <si>
    <t>Joelho 90ºø50xø50 Série Reforçada</t>
  </si>
  <si>
    <t>Joelho 90ºø75xø75 Série Reforçada</t>
  </si>
  <si>
    <t>Joelho 90ºø100xø100 Série Reforçada</t>
  </si>
  <si>
    <t>Joelho 90ºø150xø150 Série Reforçada</t>
  </si>
  <si>
    <t>Junção Simplesø100xø100xø50 Série Reforçada</t>
  </si>
  <si>
    <t>Junção Simplesø100xø100xø75 Série Reforçada</t>
  </si>
  <si>
    <t>Junção Simplesø100xø100xø100 Série Reforçada</t>
  </si>
  <si>
    <t>Têø100xø100xø100 Série Reforçada</t>
  </si>
  <si>
    <t>Têø150xø150xø150 Série Reforçada</t>
  </si>
  <si>
    <t>Junção Simplesø75xø75xø50 Série Reforçada</t>
  </si>
  <si>
    <t>Junção Simplesø75xø75xø75 Série Reforçada</t>
  </si>
  <si>
    <t>Junção Simplesø150xø150xø100 Série Reforçada</t>
  </si>
  <si>
    <t>Junção Simplesø150xø150xø150 Série Reforçada</t>
  </si>
  <si>
    <t>Joelho 90º para Pé de Coluna c/ fibra de vidroø100xø100 Série Reforçada</t>
  </si>
  <si>
    <t>Junção Simplesø50xø50xø50 Série Reforçada</t>
  </si>
  <si>
    <t>Têø50xø50xø50 Série Reforçada</t>
  </si>
  <si>
    <t>Joelho 45ºø40xø40 Série Reforçada</t>
  </si>
  <si>
    <t>Joelho 90ºø40xø40 Série Reforçada</t>
  </si>
  <si>
    <t>Joelho 90º para Pé de Coluna c/ fibra de vidroø75xø75 Série Reforçada</t>
  </si>
  <si>
    <t xml:space="preserve">APÓS DEFINIÇÃO SOLICITAR COTAÇÃO </t>
  </si>
  <si>
    <t>Instalações hidrossanitárias</t>
  </si>
  <si>
    <t>SISTEMAS E INSTALAÇÕES HIDROSSANITÁRIAS E DRENAGEM - GARAGEM (x4)</t>
  </si>
  <si>
    <t>SISTEMAS E INSTALAÇÕES ELÉTRICAS  - TÉRREO</t>
  </si>
  <si>
    <t>Chuveiro Elétrico</t>
  </si>
  <si>
    <t>Barra de apoio PNE</t>
  </si>
  <si>
    <t>Sifão ajustável multiuso</t>
  </si>
  <si>
    <t>Anel de vedação, 100 mm, para saíde de bacia sanitária</t>
  </si>
  <si>
    <t>Engate/ rabicho flexível inóx 1/2"x40mm</t>
  </si>
  <si>
    <t>Parafuso niquelado para fixação de bacia sanitária - tamanho S-10</t>
  </si>
  <si>
    <t>Válvula de escoamento para lavatório</t>
  </si>
  <si>
    <t>AMBIENTE</t>
  </si>
  <si>
    <t>DESCRIÇÃO</t>
  </si>
  <si>
    <t>TERREO</t>
  </si>
  <si>
    <t>Vaso sanitário deca branco PNE</t>
  </si>
  <si>
    <t>Lavatório PNE de canto</t>
  </si>
  <si>
    <t>Torneira banheiro PNE</t>
  </si>
  <si>
    <t>Acabamento metálico para registro de gaveta</t>
  </si>
  <si>
    <t>Cuba de embutir</t>
  </si>
  <si>
    <t>Bancada em granito</t>
  </si>
  <si>
    <t>Vaso sanitário deca branco</t>
  </si>
  <si>
    <t>Cozinhas/areas de serviço</t>
  </si>
  <si>
    <t>Sacadas</t>
  </si>
  <si>
    <t>Válvula de escoamento para cuba</t>
  </si>
  <si>
    <t>Cuba de cozinha</t>
  </si>
  <si>
    <t>CUSTO UNITÁRIO</t>
  </si>
  <si>
    <t>CUSTO TOTAL</t>
  </si>
  <si>
    <t>LOUÇAS</t>
  </si>
  <si>
    <t>METAIS</t>
  </si>
  <si>
    <t>Torneira de jardim</t>
  </si>
  <si>
    <t>BANCADA</t>
  </si>
  <si>
    <t>Lava Pés</t>
  </si>
  <si>
    <t>L.S</t>
  </si>
  <si>
    <t>L.S c/ pia</t>
  </si>
  <si>
    <t>Torneira banheiro</t>
  </si>
  <si>
    <t>Lavatório</t>
  </si>
  <si>
    <t>TIPO (x13)</t>
  </si>
  <si>
    <t>LS PCD</t>
  </si>
  <si>
    <t>Lounge</t>
  </si>
  <si>
    <t>Torneira cozinha</t>
  </si>
  <si>
    <t>Gourmet</t>
  </si>
  <si>
    <t>Salão de festas</t>
  </si>
  <si>
    <t>IS</t>
  </si>
  <si>
    <t>TOTAL METAIS</t>
  </si>
  <si>
    <t>TOTAL LOUÇAS</t>
  </si>
  <si>
    <t>TOTAL BANCADAS</t>
  </si>
  <si>
    <t>Parede Com Sistema Em Chapas De Gesso Para Drywall, Uso Interno, Montante 70mm, Com Uma Face Simples Standart (ST/70/ST)</t>
  </si>
  <si>
    <t xml:space="preserve">BLOCOS </t>
  </si>
  <si>
    <t>ÁREA (M2)</t>
  </si>
  <si>
    <t>Tipo 1, 2, 3 - 16MPa</t>
  </si>
  <si>
    <t>Argamassa 12 Mpa</t>
  </si>
  <si>
    <t>Tipo 4,5 - 14 MPa</t>
  </si>
  <si>
    <t>Tipo 6,7 - 12 MPa</t>
  </si>
  <si>
    <t>Argamassa 8 Mpa</t>
  </si>
  <si>
    <t>Tipo 8,9 - 10 MPa</t>
  </si>
  <si>
    <t>Tipo 10,11,12 - 8 MPa</t>
  </si>
  <si>
    <t>Argamassa 6 Mpa</t>
  </si>
  <si>
    <t>Restante - 6 Mpa</t>
  </si>
  <si>
    <t>total</t>
  </si>
  <si>
    <t>Manutenção Periódica de Elevadore Cremalheira</t>
  </si>
  <si>
    <t>Mobilização e Desmobilização de Elevador cremalheira</t>
  </si>
  <si>
    <t>Montagem e Desmontagem Grua</t>
  </si>
  <si>
    <t>Mobilização e Desmobilização  Grua</t>
  </si>
  <si>
    <t>Manutenção Periódica de Grua</t>
  </si>
  <si>
    <t>ESQUADRIAS, VIDROS E FERRAGENS - GARAGEM (X3)</t>
  </si>
  <si>
    <t>ESQUADRIAS, VIDROS E FERRAGENS - GARAGEM 5</t>
  </si>
  <si>
    <t>ESQUADRIAS, VIDROS E FERRAGENS - LAZER</t>
  </si>
  <si>
    <t>ESQUADRIAS, VIDROS E FERRAGENS - TIPO (X13)</t>
  </si>
  <si>
    <t>ESQUADRIAS, VIDROS E FERRAGENS - DUPLEX INFERIOR</t>
  </si>
  <si>
    <t>ESQUADRIAS, VIDROS E FERRAGENS - DUPLEX SUPERIOR</t>
  </si>
  <si>
    <t>ESQUADRIAS, VIDROS E FERRAGENS - COBERTURA</t>
  </si>
  <si>
    <t xml:space="preserve">ESTUCAMENTO EM TETO COM PINTURA </t>
  </si>
  <si>
    <t>15.17.</t>
  </si>
  <si>
    <t>15.17.1</t>
  </si>
  <si>
    <t>15.18.</t>
  </si>
  <si>
    <t>15.18.1</t>
  </si>
  <si>
    <t>15.19.</t>
  </si>
  <si>
    <t>15.19.1</t>
  </si>
  <si>
    <t>15.20.</t>
  </si>
  <si>
    <t>15.20.1</t>
  </si>
  <si>
    <t>15.21.</t>
  </si>
  <si>
    <t>15.21.1</t>
  </si>
  <si>
    <t>15.22.</t>
  </si>
  <si>
    <t>15.22.1</t>
  </si>
  <si>
    <t>20.1.5</t>
  </si>
  <si>
    <t>20.2.4</t>
  </si>
  <si>
    <t>20.3.4</t>
  </si>
  <si>
    <t>28.1.2</t>
  </si>
  <si>
    <t>28.2.2</t>
  </si>
  <si>
    <t>28.3.2</t>
  </si>
  <si>
    <t>28.4.2</t>
  </si>
  <si>
    <t>28.5.2</t>
  </si>
  <si>
    <t>28.6.2</t>
  </si>
  <si>
    <t>28.7.2</t>
  </si>
  <si>
    <t>28.8.2</t>
  </si>
  <si>
    <t>28.9.2</t>
  </si>
  <si>
    <t>28.10.2</t>
  </si>
  <si>
    <t>28.11.2</t>
  </si>
  <si>
    <t>28.12.2</t>
  </si>
  <si>
    <t>28.13.2</t>
  </si>
  <si>
    <t>28.14.2</t>
  </si>
  <si>
    <t>28.15.2</t>
  </si>
  <si>
    <t>28.16.2</t>
  </si>
  <si>
    <t>28.17.2</t>
  </si>
  <si>
    <t>28.18.2</t>
  </si>
  <si>
    <t>28.19.2</t>
  </si>
  <si>
    <t>28.20.2</t>
  </si>
  <si>
    <t>Laminado + manta pebd + instalação</t>
  </si>
  <si>
    <t>Qunatitativo do projetista retirado perda de 10% (perda de 30% adicionada na composição de custo)</t>
  </si>
  <si>
    <t>Graute para reforços verticais em alvenaria estrutural - 25 MPa</t>
  </si>
  <si>
    <t>Graute para reforços verticais em alvenaria estrutural - 20 MPa</t>
  </si>
  <si>
    <t>Graute para reforços verticais em alvenaria estrutural - 18 MPa</t>
  </si>
  <si>
    <t>Cimento</t>
  </si>
  <si>
    <t>Areia</t>
  </si>
  <si>
    <t>Pedrisco</t>
  </si>
  <si>
    <t>Qunaidade</t>
  </si>
  <si>
    <t>Graute  30</t>
  </si>
  <si>
    <t>Graute  25</t>
  </si>
  <si>
    <t>Graute  20</t>
  </si>
  <si>
    <t>Graute  18</t>
  </si>
  <si>
    <t>Mão de obra para execução de alvenaria estrutural</t>
  </si>
  <si>
    <t>GARAGEM (X4)</t>
  </si>
  <si>
    <t>Estrutura de exaustão - Banheiros enclausurados</t>
  </si>
  <si>
    <t>Parede 55_BRISE 5 cm</t>
  </si>
  <si>
    <t>Brise de Alumínio - Decoração Fachada</t>
  </si>
  <si>
    <t>Serralheria</t>
  </si>
  <si>
    <t>Escada de marinheiro</t>
  </si>
  <si>
    <t>Ascenção de grua</t>
  </si>
  <si>
    <t>Montagem e Desmontagem Elevador Cremalheira</t>
  </si>
  <si>
    <t>a cada 3 pavimentos</t>
  </si>
  <si>
    <t>XPCon Empreendimentos</t>
  </si>
  <si>
    <t>XPCon</t>
  </si>
  <si>
    <t>R01</t>
  </si>
  <si>
    <t>1 JOGO PARA PAVTO TIPO</t>
  </si>
  <si>
    <t>Prevision</t>
  </si>
  <si>
    <t>mês</t>
  </si>
  <si>
    <t xml:space="preserve">Fornecido pelo whatsapp </t>
  </si>
  <si>
    <t>Individualização de matriculas (apartamentos e vagas)</t>
  </si>
  <si>
    <t>Imposto sobre Serviços</t>
  </si>
  <si>
    <t>Certidão Negativa de Debitos (Acompanhamento e Emissão Final)</t>
  </si>
  <si>
    <t>QUANTIFICAÇÃO</t>
  </si>
  <si>
    <t>PISCINA</t>
  </si>
  <si>
    <t>Descrição quantitativo</t>
  </si>
  <si>
    <t>unidade</t>
  </si>
  <si>
    <t>Preço unitário</t>
  </si>
  <si>
    <t>Preço total</t>
  </si>
  <si>
    <t>DISPOSITIVO DE ASPIRAÇÃO 1.1/2", CANOPLA INOX COM TAMPA FECHAMENTO AUTOMÁTICO</t>
  </si>
  <si>
    <t>DISPOSITIVO DE RETORNO 1.1/2", DR-50, CANOPLA INOX.</t>
  </si>
  <si>
    <t>DISPOSITIVO DE EXTRAVASOR SUPERFICIAL 1.1/2", CANOPLA INOX</t>
  </si>
  <si>
    <t>GERADOR DE CLORO SODRAMAR MOD.GS 42-220V</t>
  </si>
  <si>
    <t>BASE INÉRCIA VIBRA-STOP, DIM: 60x60cm, CAP. CARGA: 500 kg, FREQ. NATURAL 5 Hz.</t>
  </si>
  <si>
    <t>BASE INÉRCIA VIBRA-STOP, DIM: 40x60cm, CAP. CARGA: 30 kg, FREQ. NATURAL 5 Hz</t>
  </si>
  <si>
    <t>GRADE DE FUNDO 15cm X 15cm COM TAMPA FSB BASE LATÃO</t>
  </si>
  <si>
    <t>BÓIA SALVA-VIDAS CIRCULAR RÍGIDA, DIÂMETRO: 60cm, COM FITA REFLEXIVA E CABO DE POLIPROPILENO</t>
  </si>
  <si>
    <t>BOTÃO DESLIGAMENTO ANTI PÂNICO IP65</t>
  </si>
  <si>
    <t>CAIXA PARA QUADRO DE COMANDO - IP 66</t>
  </si>
  <si>
    <t>CHAVE CONTACTORA: RELÉ TÉRMICO / CONTACTOR</t>
  </si>
  <si>
    <t>DISPOSITIVO DR TETRAPOLAR CONTRA FUGA DE CORRENTE.</t>
  </si>
  <si>
    <t>RELÉ FALTA DE FASE</t>
  </si>
  <si>
    <t>TIMER PROGRAMADOR ELETROMECÂNICO</t>
  </si>
  <si>
    <t>PORTO CERRO - PRELIMINAR</t>
  </si>
  <si>
    <t>VALOR</t>
  </si>
  <si>
    <t xml:space="preserve">SUPRAESTRUTURA </t>
  </si>
  <si>
    <t>ALVENARIA C/ ALVENARIA ESTRUTURAL</t>
  </si>
  <si>
    <t>INSTALAÇÕES ELÉTRICAS, HIDRÁULICAS, GLP, PREVENTIVAS</t>
  </si>
  <si>
    <t>IMPERMEABILIZAÇÃO</t>
  </si>
  <si>
    <t>REVESTIMENTOS INTERNOS EM PAREDE</t>
  </si>
  <si>
    <t>REVESTIMENTOS E ACABAMENTOS INTERNOS EM TETO</t>
  </si>
  <si>
    <t>PINTURA INTERNA</t>
  </si>
  <si>
    <t>REVESTIMENTOS E ACABAMENTOS DE FACHADA</t>
  </si>
  <si>
    <t>IMPREVISTOS E CONTINGENCIAS</t>
  </si>
  <si>
    <t>PORTO CERRO R01</t>
  </si>
  <si>
    <t>PORTO CERRO R00</t>
  </si>
  <si>
    <t>Outorga onerosa</t>
  </si>
  <si>
    <t>Prazo validado com planejamento</t>
  </si>
  <si>
    <t>Locação de Elevador Cremalheira</t>
  </si>
  <si>
    <t>Locação de Grua Tipo Torre Ascensional</t>
  </si>
  <si>
    <t>Prazo validado com planejamento - custo de locação de mercado sem  manutenção</t>
  </si>
  <si>
    <t>Adicionado/alterado em reivsao</t>
  </si>
  <si>
    <t>Adicção de taxas e ajuste de equipamentos</t>
  </si>
  <si>
    <t>Retirada ede 1 jogo de forma</t>
  </si>
  <si>
    <t xml:space="preserve">REVESTIMENTO CERAMICA PAREDE BOX </t>
  </si>
  <si>
    <t>Estrutura e trama para cobertura</t>
  </si>
  <si>
    <t>Estrutura de telhamento</t>
  </si>
  <si>
    <t>Telhamento para cobertura</t>
  </si>
  <si>
    <t>Mão de obra de cobertura</t>
  </si>
  <si>
    <t>Troca de laje impermeabilizada por telhado</t>
  </si>
  <si>
    <t>Adicionado ceramica em area de box</t>
  </si>
  <si>
    <t>Box em ceramica</t>
  </si>
  <si>
    <t>Calha Interna Chapa Galvanizada Corte 40</t>
  </si>
  <si>
    <t>Aumento de carga prevista por solicitação do Glauber</t>
  </si>
  <si>
    <t>Piscina Adulto</t>
  </si>
  <si>
    <t>Piscina Infaltil</t>
  </si>
  <si>
    <t>Piscina Aquecida</t>
  </si>
  <si>
    <t>m³³</t>
  </si>
  <si>
    <t>FILTRO DE AREIA SODRAMAR FM-36</t>
  </si>
  <si>
    <t>ELETROBOMBA SODRAMAR BMC-33 (1/3 VC)</t>
  </si>
  <si>
    <t>FILTRO DE AREIA SODRAMAR FM-25</t>
  </si>
  <si>
    <t>ELETROBOMBA SODRAMAR BMC-25 (1/4 VC)</t>
  </si>
  <si>
    <t>trocador de Calor TIV Para Piscinas - Sodramar (Full Inverter) tiv-45</t>
  </si>
  <si>
    <t>KIT FP-6-2-SI FONTE INTERATIVA COM 6 JATOS</t>
  </si>
  <si>
    <t>Inclusão de sistema de aquecimento e splash piscina</t>
  </si>
  <si>
    <t>INSTALAÇÕES</t>
  </si>
  <si>
    <t>Qunatidade</t>
  </si>
  <si>
    <t>Valor (R$)</t>
  </si>
  <si>
    <t>Consideração</t>
  </si>
  <si>
    <t xml:space="preserve">SISTEMAS </t>
  </si>
  <si>
    <t>Levantado</t>
  </si>
  <si>
    <t>Média</t>
  </si>
  <si>
    <t>Sistsema de câmeras (CFTV)</t>
  </si>
  <si>
    <t>Sistema de controle de acesso facial</t>
  </si>
  <si>
    <t>Sistema de wi-fi (areas comuns)</t>
  </si>
  <si>
    <t>Sistema de som (areas comuns)</t>
  </si>
  <si>
    <t>Aparelho interfone</t>
  </si>
  <si>
    <t>Centro de acesso digital</t>
  </si>
  <si>
    <t>Fechadura solenoide</t>
  </si>
  <si>
    <t>Fechadura eletromagnetica</t>
  </si>
  <si>
    <t>Fonte alimentação</t>
  </si>
  <si>
    <t>no Break</t>
  </si>
  <si>
    <t>Bateria</t>
  </si>
  <si>
    <t>Botão de saida</t>
  </si>
  <si>
    <t>Tag id</t>
  </si>
  <si>
    <t>Porteiro externo (acesso facial)</t>
  </si>
  <si>
    <t>Ponto</t>
  </si>
  <si>
    <t>Sistema de câmeras e controle de acesso</t>
  </si>
  <si>
    <t>Instalação</t>
  </si>
  <si>
    <t>Mao de obra de instalacoes de som e wi-fi</t>
  </si>
  <si>
    <t>Sistema de som e wi-fi</t>
  </si>
  <si>
    <t>Sistemas adicionados conforme material comercial</t>
  </si>
  <si>
    <t>Sistemas de Geradores</t>
  </si>
  <si>
    <t>Revestimento de granito em piso do elevador</t>
  </si>
  <si>
    <t>Mão de Obra Piso em Granito</t>
  </si>
  <si>
    <t>Abertura para churrasqueira alumínio</t>
  </si>
  <si>
    <t>Adicionado</t>
  </si>
  <si>
    <t>Nicho de banheiro para embutir em fibra</t>
  </si>
  <si>
    <t>Adicionado em banheiros provativos</t>
  </si>
  <si>
    <t>Adição de piso do elevador</t>
  </si>
  <si>
    <t>Adição de azulejo em parede dos banheiros e nichos</t>
  </si>
  <si>
    <t>Adição de azulejo em parede dos banheiros</t>
  </si>
  <si>
    <t>Adição de sistemas keyless, camera, som, wi-fi e aquecimento de piscina</t>
  </si>
  <si>
    <t>Adição de moldura churrasqueira</t>
  </si>
  <si>
    <t>R01 - 03/09/2025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</si>
</sst>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8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_);_(&quot;R$&quot;* \(#,##0\);_(&quot;R$&quot;* &quot;-&quot;_);_(@_)"/>
    <numFmt numFmtId="165" formatCode="_(* #,##0_);_(* \(#,##0\);_(* &quot;-&quot;_);_(@_)"/>
    <numFmt numFmtId="166" formatCode="_(&quot;R$&quot;* #,##0.00_);_(&quot;R$&quot;* \(#,##0.00\);_(&quot;R$&quot;* &quot;-&quot;??_);_(@_)"/>
    <numFmt numFmtId="167" formatCode="_(* #,##0.00_);_(* \(#,##0.00\);_(* &quot;-&quot;??_);_(@_)"/>
    <numFmt numFmtId="168" formatCode="dd/mm/yy;@"/>
    <numFmt numFmtId="169" formatCode="#.##000"/>
    <numFmt numFmtId="170" formatCode="#.##0,"/>
    <numFmt numFmtId="171" formatCode="\$#,#00"/>
    <numFmt numFmtId="172" formatCode="\$#,"/>
    <numFmt numFmtId="173" formatCode="#,#00"/>
    <numFmt numFmtId="174" formatCode="%#,#00"/>
    <numFmt numFmtId="175" formatCode="_([$€-2]* #,##0.00_);_([$€-2]* \(#,##0.00\);_([$€-2]* &quot;-&quot;??_)"/>
    <numFmt numFmtId="176" formatCode="#,"/>
    <numFmt numFmtId="177" formatCode="#,##0.0"/>
    <numFmt numFmtId="178" formatCode="#,##0.0000"/>
    <numFmt numFmtId="179" formatCode="General_)"/>
    <numFmt numFmtId="180" formatCode="_(&quot;R$ &quot;* #,##0.00_);_(&quot;R$ &quot;* \(#,##0.00\);_(&quot;R$ &quot;* &quot;-&quot;??_);_(@_)"/>
    <numFmt numFmtId="181" formatCode="_-* #,##0.00_-;\-* #,##0.00_-;_-* &quot;-&quot;??_-;_-@"/>
    <numFmt numFmtId="182" formatCode="_(* #,##0_);_(* \(#,##0\);_(* &quot;-&quot;??_);_(@_)"/>
    <numFmt numFmtId="183" formatCode="_-&quot;R$&quot;\ * #,##0.0000_-;\-&quot;R$&quot;\ * #,##0.0000_-;_-&quot;R$&quot;\ * &quot;-&quot;??_-;_-@_-"/>
    <numFmt numFmtId="184" formatCode="_-* #,##0.00_-;\-* #,##0.00_-;_-* \-??_-;_-@_-"/>
    <numFmt numFmtId="185" formatCode="0#"/>
    <numFmt numFmtId="186" formatCode="00#"/>
    <numFmt numFmtId="187" formatCode="[$-416]mmm\-yy;@"/>
    <numFmt numFmtId="188" formatCode="_-&quot;R$&quot;\ * #,##0.00_-;\-&quot;R$&quot;\ * #,##0.00_-;_-&quot;R$&quot;\ * &quot;-&quot;??_-;_-@"/>
  </numFmts>
  <fonts count="16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Courier"/>
      <family val="3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Arial"/>
      <family val="2"/>
    </font>
    <font>
      <sz val="10"/>
      <name val="Arial"/>
      <family val="2"/>
    </font>
    <font>
      <sz val="10"/>
      <name val="Swis721 Lt BT"/>
      <family val="2"/>
    </font>
    <font>
      <sz val="1"/>
      <color indexed="18"/>
      <name val="Courier"/>
      <family val="3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10"/>
      <color indexed="8"/>
      <name val="Arial"/>
      <family val="2"/>
    </font>
    <font>
      <b/>
      <sz val="8"/>
      <name val="Times New Roman"/>
      <family val="1"/>
    </font>
    <font>
      <sz val="8"/>
      <color indexed="81"/>
      <name val="Tahoma"/>
      <family val="2"/>
    </font>
    <font>
      <sz val="8"/>
      <name val="Trebuchet MS"/>
      <family val="2"/>
    </font>
    <font>
      <sz val="8"/>
      <color rgb="FFFF000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0"/>
      <name val="MS Sans Serif"/>
      <family val="2"/>
    </font>
    <font>
      <sz val="14"/>
      <name val="Arial"/>
      <family val="2"/>
    </font>
    <font>
      <sz val="8"/>
      <color indexed="8"/>
      <name val="Arial"/>
      <family val="2"/>
    </font>
    <font>
      <b/>
      <i/>
      <sz val="9"/>
      <color indexed="8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9"/>
      <color indexed="81"/>
      <name val="Segoe UI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color theme="8" tint="-0.499984740745262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color theme="8" tint="-0.499984740745262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theme="0" tint="-0.249977111117893"/>
      <name val="Arial"/>
      <family val="2"/>
    </font>
    <font>
      <b/>
      <i/>
      <sz val="9"/>
      <color indexed="8"/>
      <name val="Calibri"/>
      <family val="2"/>
      <scheme val="minor"/>
    </font>
    <font>
      <sz val="9"/>
      <color rgb="FF0000FF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indexed="12"/>
      <name val="Calibri"/>
      <family val="2"/>
      <scheme val="minor"/>
    </font>
    <font>
      <b/>
      <sz val="9"/>
      <color indexed="12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9.5"/>
      <name val="Calibri"/>
      <family val="2"/>
      <scheme val="minor"/>
    </font>
    <font>
      <sz val="9.5"/>
      <name val="Calibri"/>
      <family val="2"/>
      <scheme val="minor"/>
    </font>
    <font>
      <sz val="9.5"/>
      <color theme="0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sz val="8"/>
      <color theme="0" tint="-0.499984740745262"/>
      <name val="Arial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sz val="9"/>
      <color rgb="FFD23200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0"/>
      <color theme="10"/>
      <name val="Arial"/>
      <family val="2"/>
    </font>
    <font>
      <sz val="9"/>
      <color rgb="FFD23200"/>
      <name val="Calibri"/>
      <family val="2"/>
      <scheme val="minor"/>
    </font>
    <font>
      <b/>
      <sz val="14"/>
      <color theme="0"/>
      <name val="Arial"/>
      <family val="2"/>
    </font>
    <font>
      <b/>
      <sz val="8"/>
      <color rgb="FFF43800"/>
      <name val="Arial"/>
      <family val="2"/>
    </font>
    <font>
      <sz val="8"/>
      <color rgb="FFF43800"/>
      <name val="Arial"/>
      <family val="2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</font>
    <font>
      <sz val="10"/>
      <color rgb="FF121212"/>
      <name val="Poppins"/>
    </font>
    <font>
      <sz val="11"/>
      <color theme="1"/>
      <name val="Poppins"/>
    </font>
    <font>
      <b/>
      <sz val="8"/>
      <color theme="0"/>
      <name val="Poppins"/>
    </font>
    <font>
      <sz val="10"/>
      <name val="Arial"/>
      <family val="2"/>
    </font>
    <font>
      <sz val="10"/>
      <name val="Courier New"/>
      <family val="3"/>
    </font>
    <font>
      <sz val="8"/>
      <color rgb="FF121212"/>
      <name val="Poppins"/>
    </font>
    <font>
      <sz val="8"/>
      <color rgb="FF121212"/>
      <name val="Calibri"/>
      <family val="2"/>
      <scheme val="minor"/>
    </font>
    <font>
      <i/>
      <sz val="8"/>
      <color rgb="FF121212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121212"/>
      <name val="Poppins"/>
    </font>
    <font>
      <sz val="11"/>
      <color rgb="FF121212"/>
      <name val="Poppins"/>
    </font>
    <font>
      <sz val="9"/>
      <name val="Poppins"/>
    </font>
    <font>
      <sz val="9"/>
      <color theme="1"/>
      <name val="Poppins"/>
    </font>
    <font>
      <b/>
      <sz val="9"/>
      <color theme="0"/>
      <name val="Poppins"/>
    </font>
    <font>
      <b/>
      <sz val="12"/>
      <color indexed="8"/>
      <name val="Arial"/>
      <family val="2"/>
    </font>
    <font>
      <sz val="9"/>
      <color theme="0" tint="-0.34998626667073579"/>
      <name val="Poppins"/>
    </font>
    <font>
      <sz val="10"/>
      <color indexed="8"/>
      <name val="MS Sans Serif"/>
    </font>
    <font>
      <b/>
      <sz val="9"/>
      <color theme="0" tint="-0.499984740745262"/>
      <name val="Poppins"/>
    </font>
    <font>
      <sz val="9"/>
      <color rgb="FFFF0000"/>
      <name val="Poppins"/>
    </font>
    <font>
      <sz val="9"/>
      <color theme="0" tint="-0.499984740745262"/>
      <name val="Poppins"/>
    </font>
    <font>
      <b/>
      <u/>
      <sz val="9"/>
      <name val="Poppins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8"/>
      <color indexed="12"/>
      <name val="Arial"/>
      <family val="2"/>
    </font>
    <font>
      <sz val="11"/>
      <color theme="1"/>
      <name val="Calibri"/>
      <family val="2"/>
      <scheme val="minor"/>
    </font>
    <font>
      <b/>
      <sz val="15"/>
      <color theme="0"/>
      <name val="Poppins"/>
    </font>
    <font>
      <sz val="8"/>
      <color rgb="FFFF0000"/>
      <name val="Poppins"/>
    </font>
    <font>
      <sz val="8"/>
      <name val="Poppins"/>
    </font>
    <font>
      <sz val="8"/>
      <color theme="1"/>
      <name val="Poppins"/>
    </font>
    <font>
      <b/>
      <sz val="8"/>
      <color rgb="FF121212"/>
      <name val="Poppins"/>
    </font>
    <font>
      <b/>
      <sz val="8"/>
      <color rgb="FFFF0000"/>
      <name val="Poppins"/>
    </font>
    <font>
      <sz val="8"/>
      <color rgb="FF000000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4"/>
      <color theme="0"/>
      <name val="Poppins"/>
    </font>
    <font>
      <b/>
      <sz val="14"/>
      <color rgb="FF002060"/>
      <name val="Poppins"/>
    </font>
    <font>
      <b/>
      <sz val="11"/>
      <color theme="0"/>
      <name val="Poppins"/>
    </font>
    <font>
      <b/>
      <sz val="11"/>
      <color rgb="FFF5F5F5"/>
      <name val="Poppins"/>
    </font>
    <font>
      <sz val="11"/>
      <name val="Poppins"/>
    </font>
    <font>
      <sz val="10"/>
      <color theme="1"/>
      <name val="Calibri"/>
      <family val="2"/>
      <scheme val="minor"/>
    </font>
    <font>
      <b/>
      <sz val="14"/>
      <color theme="0"/>
      <name val="Calibri"/>
      <family val="2"/>
    </font>
    <font>
      <b/>
      <sz val="12"/>
      <color theme="0"/>
      <name val="Calibri"/>
      <family val="2"/>
    </font>
    <font>
      <sz val="9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Calibri"/>
      <family val="2"/>
    </font>
    <font>
      <i/>
      <sz val="11"/>
      <name val="Calibri"/>
      <family val="2"/>
    </font>
    <font>
      <i/>
      <sz val="11"/>
      <color theme="1"/>
      <name val="Calibri"/>
      <family val="2"/>
    </font>
  </fonts>
  <fills count="6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mediumGray">
        <fgColor indexed="9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29292F"/>
        <bgColor indexed="64"/>
      </patternFill>
    </fill>
    <fill>
      <patternFill patternType="solid">
        <fgColor rgb="FF29292F"/>
        <bgColor rgb="FF3F3F3F"/>
      </patternFill>
    </fill>
    <fill>
      <patternFill patternType="solid">
        <fgColor rgb="FF29292F"/>
        <bgColor rgb="FFA6A6A6"/>
      </patternFill>
    </fill>
    <fill>
      <patternFill patternType="solid">
        <fgColor rgb="FF1851D6"/>
        <bgColor indexed="64"/>
      </patternFill>
    </fill>
    <fill>
      <patternFill patternType="solid">
        <fgColor theme="0" tint="-0.14999847407452621"/>
        <bgColor indexed="9"/>
      </patternFill>
    </fill>
    <fill>
      <patternFill patternType="solid">
        <fgColor theme="0"/>
        <bgColor theme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55AE5"/>
        <bgColor rgb="FF255AE5"/>
      </patternFill>
    </fill>
    <fill>
      <patternFill patternType="solid">
        <fgColor theme="0"/>
        <bgColor rgb="FFDCDCDC"/>
      </patternFill>
    </fill>
    <fill>
      <patternFill patternType="solid">
        <fgColor theme="0" tint="-9.9978637043366805E-2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rgb="FFA5A5A5"/>
        <bgColor rgb="FFA5A5A5"/>
      </patternFill>
    </fill>
    <fill>
      <patternFill patternType="solid">
        <fgColor rgb="FF7F7F7F"/>
        <bgColor rgb="FF7F7F7F"/>
      </patternFill>
    </fill>
    <fill>
      <patternFill patternType="solid">
        <fgColor rgb="FF3F3F3F"/>
        <bgColor rgb="FF3F3F3F"/>
      </patternFill>
    </fill>
    <fill>
      <patternFill patternType="solid">
        <fgColor rgb="FFFFFF00"/>
        <bgColor rgb="FFFFFF00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mediumGray">
        <fgColor indexed="9"/>
        <bgColor rgb="FFFFFF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A077B5"/>
        <bgColor indexed="64"/>
      </patternFill>
    </fill>
    <fill>
      <patternFill patternType="solid">
        <fgColor rgb="FF989DD0"/>
        <bgColor indexed="64"/>
      </patternFill>
    </fill>
    <fill>
      <patternFill patternType="solid">
        <fgColor rgb="FFF6F4F6"/>
        <bgColor indexed="64"/>
      </patternFill>
    </fill>
    <fill>
      <patternFill patternType="solid">
        <fgColor rgb="FFAAA1B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3400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rgb="FF4B4B4B"/>
        <bgColor indexed="64"/>
      </patternFill>
    </fill>
    <fill>
      <patternFill patternType="solid">
        <fgColor rgb="FFDCDCDC"/>
        <bgColor rgb="FFDCDCDC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rgb="FFD8D8D8"/>
      </patternFill>
    </fill>
    <fill>
      <patternFill patternType="solid">
        <fgColor theme="0" tint="-0.249977111117893"/>
        <bgColor rgb="FFBFBFBF"/>
      </patternFill>
    </fill>
  </fills>
  <borders count="24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indexed="64"/>
      </left>
      <right style="thin">
        <color theme="0" tint="-0.499984740745262"/>
      </right>
      <top/>
      <bottom style="hair">
        <color indexed="64"/>
      </bottom>
      <diagonal/>
    </border>
    <border>
      <left/>
      <right style="thin">
        <color theme="0" tint="-0.499984740745262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/>
      <right style="thin">
        <color theme="1" tint="0.499984740745262"/>
      </right>
      <top style="double">
        <color indexed="64"/>
      </top>
      <bottom style="double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29292F"/>
      </left>
      <right/>
      <top style="thin">
        <color rgb="FF29292F"/>
      </top>
      <bottom style="thin">
        <color rgb="FF29292F"/>
      </bottom>
      <diagonal/>
    </border>
    <border>
      <left/>
      <right/>
      <top style="thin">
        <color rgb="FF29292F"/>
      </top>
      <bottom style="thin">
        <color rgb="FF29292F"/>
      </bottom>
      <diagonal/>
    </border>
    <border>
      <left style="thin">
        <color rgb="FF29292F"/>
      </left>
      <right style="thin">
        <color rgb="FF29292F"/>
      </right>
      <top style="thin">
        <color rgb="FF29292F"/>
      </top>
      <bottom/>
      <diagonal/>
    </border>
    <border>
      <left style="thin">
        <color rgb="FF29292F"/>
      </left>
      <right style="thin">
        <color rgb="FF29292F"/>
      </right>
      <top/>
      <bottom/>
      <diagonal/>
    </border>
    <border>
      <left style="thin">
        <color rgb="FF29292F"/>
      </left>
      <right style="thin">
        <color rgb="FF29292F"/>
      </right>
      <top/>
      <bottom style="thin">
        <color rgb="FF29292F"/>
      </bottom>
      <diagonal/>
    </border>
    <border>
      <left/>
      <right/>
      <top style="thin">
        <color rgb="FF29292F"/>
      </top>
      <bottom/>
      <diagonal/>
    </border>
    <border>
      <left style="thin">
        <color rgb="FF29292F"/>
      </left>
      <right/>
      <top style="thin">
        <color rgb="FF29292F"/>
      </top>
      <bottom/>
      <diagonal/>
    </border>
    <border>
      <left/>
      <right style="thin">
        <color rgb="FF29292F"/>
      </right>
      <top style="thin">
        <color rgb="FF29292F"/>
      </top>
      <bottom/>
      <diagonal/>
    </border>
    <border>
      <left style="thin">
        <color rgb="FF29292F"/>
      </left>
      <right/>
      <top/>
      <bottom/>
      <diagonal/>
    </border>
    <border>
      <left/>
      <right style="thin">
        <color rgb="FF29292F"/>
      </right>
      <top/>
      <bottom/>
      <diagonal/>
    </border>
    <border>
      <left style="thin">
        <color rgb="FF29292F"/>
      </left>
      <right/>
      <top/>
      <bottom style="thin">
        <color rgb="FF29292F"/>
      </bottom>
      <diagonal/>
    </border>
    <border>
      <left/>
      <right style="thin">
        <color rgb="FF29292F"/>
      </right>
      <top/>
      <bottom style="thin">
        <color rgb="FF29292F"/>
      </bottom>
      <diagonal/>
    </border>
    <border>
      <left/>
      <right/>
      <top/>
      <bottom style="thin">
        <color rgb="FF29292F"/>
      </bottom>
      <diagonal/>
    </border>
    <border>
      <left/>
      <right/>
      <top style="thin">
        <color rgb="FF29292F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29292F"/>
      </top>
      <bottom/>
      <diagonal/>
    </border>
    <border>
      <left style="thin">
        <color indexed="64"/>
      </left>
      <right/>
      <top style="thin">
        <color rgb="FF29292F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/>
      <top style="hair">
        <color theme="0" tint="-0.499984740745262"/>
      </top>
      <bottom/>
      <diagonal/>
    </border>
    <border>
      <left/>
      <right/>
      <top/>
      <bottom style="hair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/>
      <bottom style="hair">
        <color rgb="FF000000"/>
      </bottom>
      <diagonal/>
    </border>
    <border>
      <left/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medium">
        <color indexed="64"/>
      </bottom>
      <diagonal/>
    </border>
    <border>
      <left style="thin">
        <color rgb="FF000000"/>
      </left>
      <right/>
      <top style="hair">
        <color rgb="FF000000"/>
      </top>
      <bottom style="medium">
        <color indexed="64"/>
      </bottom>
      <diagonal/>
    </border>
    <border>
      <left/>
      <right style="thin">
        <color rgb="FF000000"/>
      </right>
      <top style="hair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medium">
        <color indexed="64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499984740745262"/>
      </bottom>
      <diagonal/>
    </border>
    <border>
      <left/>
      <right style="thin">
        <color indexed="64"/>
      </right>
      <top style="thin">
        <color rgb="FF29292F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indexed="64"/>
      </bottom>
      <diagonal/>
    </border>
    <border>
      <left/>
      <right/>
      <top style="medium">
        <color rgb="FF000000"/>
      </top>
      <bottom style="double">
        <color indexed="64"/>
      </bottom>
      <diagonal/>
    </border>
    <border>
      <left/>
      <right style="thin">
        <color rgb="FF000000"/>
      </right>
      <top style="medium">
        <color rgb="FF000000"/>
      </top>
      <bottom style="double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indexed="64"/>
      </right>
      <top/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theme="0" tint="-0.499984740745262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29292F"/>
      </right>
      <top style="thin">
        <color indexed="64"/>
      </top>
      <bottom/>
      <diagonal/>
    </border>
    <border>
      <left style="thin">
        <color rgb="FF29292F"/>
      </left>
      <right/>
      <top style="thin">
        <color indexed="64"/>
      </top>
      <bottom style="thin">
        <color rgb="FF29292F"/>
      </bottom>
      <diagonal/>
    </border>
    <border>
      <left/>
      <right/>
      <top style="thin">
        <color indexed="64"/>
      </top>
      <bottom style="thin">
        <color rgb="FF29292F"/>
      </bottom>
      <diagonal/>
    </border>
    <border>
      <left style="thin">
        <color indexed="64"/>
      </left>
      <right/>
      <top/>
      <bottom style="thin">
        <color rgb="FF29292F"/>
      </bottom>
      <diagonal/>
    </border>
    <border>
      <left/>
      <right/>
      <top style="thin">
        <color rgb="FF29292F"/>
      </top>
      <bottom style="hair">
        <color theme="0" tint="-0.499984740745262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 style="thin">
        <color theme="2" tint="-9.9978637043366805E-2"/>
      </left>
      <right/>
      <top/>
      <bottom/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indexed="64"/>
      </left>
      <right style="thin">
        <color theme="2" tint="-0.499984740745262"/>
      </right>
      <top style="medium">
        <color indexed="64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medium">
        <color indexed="64"/>
      </top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indexed="64"/>
      </right>
      <top style="medium">
        <color indexed="64"/>
      </top>
      <bottom style="thin">
        <color theme="2" tint="-0.499984740745262"/>
      </bottom>
      <diagonal/>
    </border>
    <border>
      <left style="medium">
        <color indexed="64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indexed="64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indexed="64"/>
      </left>
      <right style="thin">
        <color theme="2" tint="-0.499984740745262"/>
      </right>
      <top style="thin">
        <color theme="2" tint="-0.499984740745262"/>
      </top>
      <bottom style="medium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medium">
        <color indexed="64"/>
      </bottom>
      <diagonal/>
    </border>
    <border>
      <left style="thin">
        <color theme="2" tint="-0.499984740745262"/>
      </left>
      <right style="medium">
        <color indexed="64"/>
      </right>
      <top style="thin">
        <color theme="2" tint="-0.499984740745262"/>
      </top>
      <bottom style="medium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indexed="64"/>
      </left>
      <right style="thin">
        <color theme="2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2" tint="-0.499984740745262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646464"/>
      </left>
      <right style="medium">
        <color indexed="64"/>
      </right>
      <top/>
      <bottom style="hair">
        <color rgb="FF000000"/>
      </bottom>
      <diagonal/>
    </border>
    <border>
      <left style="medium">
        <color indexed="64"/>
      </left>
      <right style="thin">
        <color rgb="FF646464"/>
      </right>
      <top/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29292F"/>
      </bottom>
      <diagonal/>
    </border>
    <border>
      <left style="thin">
        <color indexed="64"/>
      </left>
      <right/>
      <top style="thin">
        <color rgb="FF29292F"/>
      </top>
      <bottom style="thin">
        <color rgb="FF29292F"/>
      </bottom>
      <diagonal/>
    </border>
    <border>
      <left style="thin">
        <color indexed="64"/>
      </left>
      <right/>
      <top style="thin">
        <color rgb="FF29292F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</borders>
  <cellStyleXfs count="304">
    <xf numFmtId="0" fontId="0" fillId="0" borderId="0" applyNumberFormat="0" applyFont="0" applyFill="0" applyBorder="0" applyAlignment="0" applyProtection="0"/>
    <xf numFmtId="169" fontId="40" fillId="0" borderId="0">
      <protection locked="0"/>
    </xf>
    <xf numFmtId="170" fontId="40" fillId="0" borderId="0">
      <protection locked="0"/>
    </xf>
    <xf numFmtId="171" fontId="40" fillId="0" borderId="0">
      <protection locked="0"/>
    </xf>
    <xf numFmtId="172" fontId="40" fillId="0" borderId="0">
      <protection locked="0"/>
    </xf>
    <xf numFmtId="0" fontId="40" fillId="0" borderId="0">
      <protection locked="0"/>
    </xf>
    <xf numFmtId="175" fontId="34" fillId="0" borderId="0" applyFont="0" applyFill="0" applyBorder="0" applyAlignment="0" applyProtection="0"/>
    <xf numFmtId="173" fontId="40" fillId="0" borderId="0">
      <protection locked="0"/>
    </xf>
    <xf numFmtId="0" fontId="41" fillId="0" borderId="0">
      <protection locked="0"/>
    </xf>
    <xf numFmtId="0" fontId="41" fillId="0" borderId="0">
      <protection locked="0"/>
    </xf>
    <xf numFmtId="0" fontId="35" fillId="0" borderId="0" applyNumberFormat="0" applyFont="0" applyFill="0" applyBorder="0" applyAlignment="0" applyProtection="0"/>
    <xf numFmtId="0" fontId="34" fillId="0" borderId="0"/>
    <xf numFmtId="0" fontId="44" fillId="0" borderId="0"/>
    <xf numFmtId="0" fontId="39" fillId="0" borderId="0"/>
    <xf numFmtId="39" fontId="38" fillId="0" borderId="0"/>
    <xf numFmtId="0" fontId="34" fillId="0" borderId="0" applyNumberFormat="0" applyFont="0" applyFill="0" applyBorder="0" applyAlignment="0" applyProtection="0"/>
    <xf numFmtId="0" fontId="43" fillId="0" borderId="0"/>
    <xf numFmtId="0" fontId="34" fillId="0" borderId="0"/>
    <xf numFmtId="0" fontId="46" fillId="0" borderId="0"/>
    <xf numFmtId="174" fontId="40" fillId="0" borderId="0">
      <protection locked="0"/>
    </xf>
    <xf numFmtId="9" fontId="34" fillId="0" borderId="0" applyNumberFormat="0" applyFont="0" applyFill="0" applyBorder="0" applyAlignment="0" applyProtection="0"/>
    <xf numFmtId="176" fontId="45" fillId="0" borderId="0">
      <protection locked="0"/>
    </xf>
    <xf numFmtId="167" fontId="34" fillId="0" borderId="0" applyNumberFormat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7" fontId="33" fillId="0" borderId="0" applyNumberFormat="0" applyFont="0" applyFill="0" applyBorder="0" applyAlignment="0" applyProtection="0"/>
    <xf numFmtId="167" fontId="35" fillId="0" borderId="0" applyNumberFormat="0" applyFont="0" applyFill="0" applyBorder="0" applyAlignment="0" applyProtection="0"/>
    <xf numFmtId="167" fontId="34" fillId="0" borderId="0" applyFont="0" applyFill="0" applyBorder="0" applyAlignment="0" applyProtection="0"/>
    <xf numFmtId="167" fontId="34" fillId="0" borderId="0" applyNumberFormat="0" applyFont="0" applyFill="0" applyBorder="0" applyAlignment="0" applyProtection="0"/>
    <xf numFmtId="167" fontId="42" fillId="0" borderId="0" applyNumberFormat="0" applyFont="0" applyFill="0" applyBorder="0" applyAlignment="0" applyProtection="0"/>
    <xf numFmtId="167" fontId="43" fillId="0" borderId="0" applyFont="0" applyFill="0" applyBorder="0" applyAlignment="0" applyProtection="0"/>
    <xf numFmtId="0" fontId="33" fillId="0" borderId="0"/>
    <xf numFmtId="0" fontId="50" fillId="0" borderId="0" applyNumberFormat="0" applyFont="0" applyBorder="0" applyAlignment="0"/>
    <xf numFmtId="0" fontId="34" fillId="0" borderId="0"/>
    <xf numFmtId="0" fontId="51" fillId="0" borderId="30" applyNumberFormat="0" applyFont="0" applyBorder="0" applyAlignment="0"/>
    <xf numFmtId="0" fontId="32" fillId="0" borderId="0"/>
    <xf numFmtId="0" fontId="53" fillId="0" borderId="0"/>
    <xf numFmtId="167" fontId="53" fillId="0" borderId="0" applyFont="0" applyFill="0" applyBorder="0" applyAlignment="0" applyProtection="0"/>
    <xf numFmtId="0" fontId="56" fillId="0" borderId="0"/>
    <xf numFmtId="167" fontId="56" fillId="0" borderId="0" applyFont="0" applyFill="0" applyBorder="0" applyAlignment="0" applyProtection="0"/>
    <xf numFmtId="0" fontId="37" fillId="0" borderId="0"/>
    <xf numFmtId="167" fontId="37" fillId="0" borderId="0" applyFont="0" applyFill="0" applyBorder="0" applyAlignment="0" applyProtection="0"/>
    <xf numFmtId="0" fontId="33" fillId="0" borderId="0"/>
    <xf numFmtId="0" fontId="55" fillId="0" borderId="0"/>
    <xf numFmtId="167" fontId="56" fillId="0" borderId="0" applyFont="0" applyFill="0" applyBorder="0" applyAlignment="0" applyProtection="0"/>
    <xf numFmtId="167" fontId="5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 applyNumberFormat="0" applyFont="0" applyFill="0" applyBorder="0" applyAlignment="0" applyProtection="0"/>
    <xf numFmtId="167" fontId="33" fillId="0" borderId="0" applyNumberFormat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0" fontId="33" fillId="0" borderId="0"/>
    <xf numFmtId="0" fontId="58" fillId="0" borderId="0"/>
    <xf numFmtId="9" fontId="53" fillId="0" borderId="0" applyFont="0" applyFill="0" applyBorder="0" applyAlignment="0" applyProtection="0"/>
    <xf numFmtId="0" fontId="63" fillId="0" borderId="0"/>
    <xf numFmtId="167" fontId="33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0" fontId="37" fillId="0" borderId="0"/>
    <xf numFmtId="0" fontId="33" fillId="0" borderId="0"/>
    <xf numFmtId="0" fontId="66" fillId="0" borderId="0"/>
    <xf numFmtId="0" fontId="31" fillId="0" borderId="0"/>
    <xf numFmtId="0" fontId="33" fillId="0" borderId="0" applyNumberFormat="0" applyFont="0" applyFill="0" applyBorder="0" applyAlignment="0" applyProtection="0"/>
    <xf numFmtId="0" fontId="33" fillId="0" borderId="0" applyNumberFormat="0" applyFont="0" applyFill="0" applyBorder="0" applyAlignment="0" applyProtection="0"/>
    <xf numFmtId="0" fontId="30" fillId="0" borderId="0"/>
    <xf numFmtId="167" fontId="30" fillId="0" borderId="0" applyFont="0" applyFill="0" applyBorder="0" applyAlignment="0" applyProtection="0"/>
    <xf numFmtId="0" fontId="29" fillId="0" borderId="0"/>
    <xf numFmtId="0" fontId="28" fillId="0" borderId="0"/>
    <xf numFmtId="167" fontId="28" fillId="0" borderId="0" applyFont="0" applyFill="0" applyBorder="0" applyAlignment="0" applyProtection="0"/>
    <xf numFmtId="0" fontId="27" fillId="0" borderId="0"/>
    <xf numFmtId="167" fontId="27" fillId="0" borderId="0" applyFont="0" applyFill="0" applyBorder="0" applyAlignment="0" applyProtection="0"/>
    <xf numFmtId="0" fontId="27" fillId="0" borderId="0"/>
    <xf numFmtId="0" fontId="26" fillId="0" borderId="0"/>
    <xf numFmtId="167" fontId="26" fillId="0" borderId="0" applyFont="0" applyFill="0" applyBorder="0" applyAlignment="0" applyProtection="0"/>
    <xf numFmtId="0" fontId="37" fillId="0" borderId="0"/>
    <xf numFmtId="179" fontId="33" fillId="0" borderId="0"/>
    <xf numFmtId="167" fontId="37" fillId="0" borderId="0" applyFont="0" applyFill="0" applyBorder="0" applyAlignment="0" applyProtection="0"/>
    <xf numFmtId="9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75" fontId="33" fillId="0" borderId="0" applyFont="0" applyFill="0" applyBorder="0" applyAlignment="0" applyProtection="0"/>
    <xf numFmtId="0" fontId="33" fillId="0" borderId="0"/>
    <xf numFmtId="0" fontId="25" fillId="0" borderId="0"/>
    <xf numFmtId="9" fontId="33" fillId="0" borderId="0" applyNumberFormat="0" applyFont="0" applyFill="0" applyBorder="0" applyAlignment="0" applyProtection="0"/>
    <xf numFmtId="167" fontId="33" fillId="0" borderId="0" applyNumberFormat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NumberFormat="0" applyFont="0" applyFill="0" applyBorder="0" applyAlignment="0" applyProtection="0"/>
    <xf numFmtId="167" fontId="33" fillId="0" borderId="0" applyNumberFormat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NumberFormat="0" applyFont="0" applyFill="0" applyBorder="0" applyAlignment="0" applyProtection="0"/>
    <xf numFmtId="167" fontId="33" fillId="0" borderId="0" applyNumberFormat="0" applyFont="0" applyFill="0" applyBorder="0" applyAlignment="0" applyProtection="0"/>
    <xf numFmtId="167" fontId="33" fillId="0" borderId="0" applyFont="0" applyFill="0" applyBorder="0" applyAlignment="0" applyProtection="0"/>
    <xf numFmtId="0" fontId="33" fillId="0" borderId="0"/>
    <xf numFmtId="0" fontId="25" fillId="0" borderId="0"/>
    <xf numFmtId="167" fontId="53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NumberFormat="0" applyFont="0" applyFill="0" applyBorder="0" applyAlignment="0" applyProtection="0"/>
    <xf numFmtId="167" fontId="33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0" fontId="33" fillId="0" borderId="0"/>
    <xf numFmtId="0" fontId="25" fillId="0" borderId="0"/>
    <xf numFmtId="9" fontId="33" fillId="0" borderId="0" applyFont="0" applyFill="0" applyBorder="0" applyAlignment="0" applyProtection="0"/>
    <xf numFmtId="0" fontId="25" fillId="0" borderId="0"/>
    <xf numFmtId="167" fontId="25" fillId="0" borderId="0" applyFont="0" applyFill="0" applyBorder="0" applyAlignment="0" applyProtection="0"/>
    <xf numFmtId="0" fontId="25" fillId="0" borderId="0"/>
    <xf numFmtId="0" fontId="25" fillId="0" borderId="0"/>
    <xf numFmtId="167" fontId="25" fillId="0" borderId="0" applyFont="0" applyFill="0" applyBorder="0" applyAlignment="0" applyProtection="0"/>
    <xf numFmtId="0" fontId="25" fillId="0" borderId="0"/>
    <xf numFmtId="167" fontId="25" fillId="0" borderId="0" applyFont="0" applyFill="0" applyBorder="0" applyAlignment="0" applyProtection="0"/>
    <xf numFmtId="0" fontId="25" fillId="0" borderId="0"/>
    <xf numFmtId="0" fontId="25" fillId="0" borderId="0"/>
    <xf numFmtId="167" fontId="25" fillId="0" borderId="0" applyFont="0" applyFill="0" applyBorder="0" applyAlignment="0" applyProtection="0"/>
    <xf numFmtId="167" fontId="37" fillId="0" borderId="0" applyFont="0" applyFill="0" applyBorder="0" applyAlignment="0" applyProtection="0"/>
    <xf numFmtId="166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0" fontId="24" fillId="0" borderId="0"/>
    <xf numFmtId="167" fontId="24" fillId="0" borderId="0" applyFont="0" applyFill="0" applyBorder="0" applyAlignment="0" applyProtection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166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0" fontId="24" fillId="0" borderId="0"/>
    <xf numFmtId="167" fontId="33" fillId="0" borderId="0" applyNumberFormat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NumberFormat="0" applyFont="0" applyFill="0" applyBorder="0" applyAlignment="0" applyProtection="0"/>
    <xf numFmtId="167" fontId="33" fillId="0" borderId="0" applyNumberFormat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NumberFormat="0" applyFont="0" applyFill="0" applyBorder="0" applyAlignment="0" applyProtection="0"/>
    <xf numFmtId="167" fontId="33" fillId="0" borderId="0" applyNumberFormat="0" applyFont="0" applyFill="0" applyBorder="0" applyAlignment="0" applyProtection="0"/>
    <xf numFmtId="167" fontId="33" fillId="0" borderId="0" applyFont="0" applyFill="0" applyBorder="0" applyAlignment="0" applyProtection="0"/>
    <xf numFmtId="0" fontId="24" fillId="0" borderId="0"/>
    <xf numFmtId="167" fontId="53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5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NumberFormat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0" fontId="24" fillId="0" borderId="0"/>
    <xf numFmtId="167" fontId="24" fillId="0" borderId="0" applyFont="0" applyFill="0" applyBorder="0" applyAlignment="0" applyProtection="0"/>
    <xf numFmtId="0" fontId="24" fillId="0" borderId="0"/>
    <xf numFmtId="0" fontId="24" fillId="0" borderId="0"/>
    <xf numFmtId="167" fontId="24" fillId="0" borderId="0" applyFont="0" applyFill="0" applyBorder="0" applyAlignment="0" applyProtection="0"/>
    <xf numFmtId="167" fontId="37" fillId="0" borderId="0" applyFont="0" applyFill="0" applyBorder="0" applyAlignment="0" applyProtection="0"/>
    <xf numFmtId="166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7" fontId="37" fillId="0" borderId="0" applyFont="0" applyFill="0" applyBorder="0" applyAlignment="0" applyProtection="0"/>
    <xf numFmtId="0" fontId="37" fillId="0" borderId="0"/>
    <xf numFmtId="167" fontId="33" fillId="0" borderId="0" applyFont="0" applyFill="0" applyBorder="0" applyAlignment="0" applyProtection="0"/>
    <xf numFmtId="167" fontId="33" fillId="0" borderId="0" applyNumberFormat="0" applyFont="0" applyFill="0" applyBorder="0" applyAlignment="0" applyProtection="0"/>
    <xf numFmtId="9" fontId="33" fillId="0" borderId="0" applyFont="0" applyFill="0" applyBorder="0" applyAlignment="0" applyProtection="0"/>
    <xf numFmtId="167" fontId="37" fillId="0" borderId="0" applyFont="0" applyFill="0" applyBorder="0" applyAlignment="0" applyProtection="0"/>
    <xf numFmtId="0" fontId="33" fillId="0" borderId="0" applyNumberFormat="0" applyFont="0" applyFill="0" applyBorder="0" applyAlignment="0" applyProtection="0"/>
    <xf numFmtId="0" fontId="53" fillId="0" borderId="0"/>
    <xf numFmtId="167" fontId="53" fillId="0" borderId="0" applyFont="0" applyFill="0" applyBorder="0" applyAlignment="0" applyProtection="0"/>
    <xf numFmtId="0" fontId="33" fillId="0" borderId="0"/>
    <xf numFmtId="0" fontId="23" fillId="0" borderId="0"/>
    <xf numFmtId="9" fontId="93" fillId="0" borderId="0" applyFont="0" applyFill="0" applyBorder="0" applyAlignment="0" applyProtection="0"/>
    <xf numFmtId="167" fontId="93" fillId="0" borderId="0" applyFont="0" applyFill="0" applyBorder="0" applyAlignment="0" applyProtection="0"/>
    <xf numFmtId="0" fontId="94" fillId="0" borderId="0" applyNumberFormat="0" applyFill="0" applyBorder="0" applyAlignment="0" applyProtection="0"/>
    <xf numFmtId="0" fontId="58" fillId="0" borderId="0"/>
    <xf numFmtId="180" fontId="93" fillId="0" borderId="0" applyFont="0" applyFill="0" applyBorder="0" applyAlignment="0" applyProtection="0"/>
    <xf numFmtId="0" fontId="103" fillId="0" borderId="0"/>
    <xf numFmtId="184" fontId="103" fillId="0" borderId="0" applyBorder="0" applyProtection="0"/>
    <xf numFmtId="9" fontId="33" fillId="0" borderId="0"/>
    <xf numFmtId="0" fontId="22" fillId="0" borderId="0"/>
    <xf numFmtId="0" fontId="21" fillId="0" borderId="0"/>
    <xf numFmtId="167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0" fillId="0" borderId="0"/>
    <xf numFmtId="0" fontId="20" fillId="0" borderId="0"/>
    <xf numFmtId="167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0" fontId="19" fillId="0" borderId="0"/>
    <xf numFmtId="167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8" fillId="0" borderId="0"/>
    <xf numFmtId="166" fontId="107" fillId="0" borderId="0" applyFont="0" applyFill="0" applyBorder="0" applyAlignment="0" applyProtection="0"/>
    <xf numFmtId="0" fontId="17" fillId="0" borderId="0"/>
    <xf numFmtId="43" fontId="108" fillId="0" borderId="0" applyFont="0" applyFill="0" applyBorder="0" applyAlignment="0" applyProtection="0"/>
    <xf numFmtId="179" fontId="108" fillId="0" borderId="0"/>
    <xf numFmtId="0" fontId="16" fillId="0" borderId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33" fillId="0" borderId="0"/>
    <xf numFmtId="43" fontId="15" fillId="0" borderId="0" applyFont="0" applyFill="0" applyBorder="0" applyAlignment="0" applyProtection="0"/>
    <xf numFmtId="44" fontId="33" fillId="0" borderId="0" applyFont="0" applyFill="0" applyBorder="0" applyAlignment="0" applyProtection="0"/>
    <xf numFmtId="44" fontId="15" fillId="0" borderId="0" applyFont="0" applyFill="0" applyBorder="0" applyAlignment="0" applyProtection="0"/>
    <xf numFmtId="43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14" fillId="0" borderId="0"/>
    <xf numFmtId="0" fontId="14" fillId="0" borderId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167" fontId="120" fillId="0" borderId="0" applyFont="0" applyFill="0" applyBorder="0" applyAlignment="0" applyProtection="0"/>
    <xf numFmtId="44" fontId="122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2" fillId="0" borderId="0"/>
    <xf numFmtId="0" fontId="11" fillId="0" borderId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33" fillId="0" borderId="0"/>
    <xf numFmtId="0" fontId="132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97" fillId="0" borderId="0" applyNumberForma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7" fillId="0" borderId="0"/>
    <xf numFmtId="167" fontId="7" fillId="0" borderId="0" applyFont="0" applyFill="0" applyBorder="0" applyAlignment="0" applyProtection="0"/>
    <xf numFmtId="0" fontId="142" fillId="0" borderId="0"/>
    <xf numFmtId="44" fontId="142" fillId="0" borderId="0" applyFont="0" applyFill="0" applyBorder="0" applyAlignment="0" applyProtection="0"/>
    <xf numFmtId="9" fontId="149" fillId="0" borderId="0" applyFont="0" applyFill="0" applyBorder="0" applyAlignment="0" applyProtection="0"/>
    <xf numFmtId="0" fontId="5" fillId="0" borderId="0"/>
    <xf numFmtId="0" fontId="4" fillId="0" borderId="0"/>
    <xf numFmtId="0" fontId="2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</cellStyleXfs>
  <cellXfs count="1209">
    <xf numFmtId="0" fontId="0" fillId="0" borderId="0" xfId="0" applyNumberFormat="1" applyFont="1" applyFill="1" applyBorder="1" applyAlignment="1"/>
    <xf numFmtId="0" fontId="33" fillId="0" borderId="0" xfId="58" applyFont="1" applyAlignment="1">
      <alignment vertical="center"/>
    </xf>
    <xf numFmtId="0" fontId="61" fillId="0" borderId="0" xfId="58" applyFont="1" applyAlignment="1">
      <alignment vertical="center"/>
    </xf>
    <xf numFmtId="0" fontId="60" fillId="0" borderId="0" xfId="58" applyFont="1" applyAlignment="1">
      <alignment vertical="center"/>
    </xf>
    <xf numFmtId="0" fontId="37" fillId="0" borderId="0" xfId="41" applyFont="1" applyAlignment="1">
      <alignment vertical="center"/>
    </xf>
    <xf numFmtId="0" fontId="37" fillId="2" borderId="0" xfId="41" applyFont="1" applyFill="1" applyAlignment="1">
      <alignment vertical="center"/>
    </xf>
    <xf numFmtId="49" fontId="33" fillId="0" borderId="2" xfId="53" applyNumberFormat="1" applyFont="1" applyBorder="1"/>
    <xf numFmtId="0" fontId="33" fillId="0" borderId="2" xfId="53" applyFont="1" applyBorder="1"/>
    <xf numFmtId="0" fontId="33" fillId="0" borderId="0" xfId="53" applyNumberFormat="1" applyFont="1" applyFill="1" applyBorder="1" applyAlignment="1"/>
    <xf numFmtId="0" fontId="33" fillId="0" borderId="0" xfId="53" applyNumberFormat="1" applyFont="1" applyFill="1" applyBorder="1" applyAlignment="1">
      <alignment vertical="center"/>
    </xf>
    <xf numFmtId="4" fontId="37" fillId="0" borderId="0" xfId="41" applyNumberFormat="1" applyFont="1" applyAlignment="1">
      <alignment vertical="center"/>
    </xf>
    <xf numFmtId="0" fontId="37" fillId="0" borderId="0" xfId="41" applyFont="1" applyAlignment="1">
      <alignment horizontal="center" vertical="center"/>
    </xf>
    <xf numFmtId="0" fontId="64" fillId="0" borderId="0" xfId="58" applyFont="1" applyAlignment="1">
      <alignment vertical="center"/>
    </xf>
    <xf numFmtId="0" fontId="54" fillId="0" borderId="0" xfId="58" applyFont="1" applyAlignment="1">
      <alignment vertical="center"/>
    </xf>
    <xf numFmtId="0" fontId="33" fillId="0" borderId="0" xfId="53" applyNumberFormat="1" applyFont="1" applyFill="1" applyBorder="1" applyAlignment="1">
      <alignment horizontal="center"/>
    </xf>
    <xf numFmtId="0" fontId="37" fillId="0" borderId="0" xfId="53" applyNumberFormat="1" applyFont="1" applyFill="1" applyBorder="1" applyAlignment="1">
      <alignment vertical="center"/>
    </xf>
    <xf numFmtId="0" fontId="47" fillId="0" borderId="0" xfId="45" applyFont="1" applyAlignment="1">
      <alignment vertical="center"/>
    </xf>
    <xf numFmtId="0" fontId="47" fillId="0" borderId="0" xfId="45" applyFont="1"/>
    <xf numFmtId="17" fontId="71" fillId="0" borderId="0" xfId="45" applyNumberFormat="1" applyFont="1" applyAlignment="1">
      <alignment horizontal="left" vertical="center"/>
    </xf>
    <xf numFmtId="0" fontId="71" fillId="0" borderId="0" xfId="45" applyFont="1"/>
    <xf numFmtId="0" fontId="68" fillId="0" borderId="0" xfId="45" applyFont="1" applyAlignment="1">
      <alignment vertical="center"/>
    </xf>
    <xf numFmtId="0" fontId="37" fillId="0" borderId="0" xfId="53" applyNumberFormat="1" applyFont="1" applyFill="1" applyBorder="1" applyAlignment="1">
      <alignment horizontal="center" vertical="center"/>
    </xf>
    <xf numFmtId="0" fontId="36" fillId="0" borderId="0" xfId="53" applyNumberFormat="1" applyFont="1" applyFill="1" applyBorder="1" applyAlignment="1">
      <alignment horizontal="center" vertical="center"/>
    </xf>
    <xf numFmtId="49" fontId="37" fillId="0" borderId="0" xfId="53" applyNumberFormat="1" applyFont="1" applyFill="1" applyBorder="1" applyAlignment="1">
      <alignment vertical="center"/>
    </xf>
    <xf numFmtId="0" fontId="33" fillId="0" borderId="26" xfId="53" applyNumberFormat="1" applyFont="1" applyFill="1" applyBorder="1" applyAlignment="1">
      <alignment vertical="center"/>
    </xf>
    <xf numFmtId="0" fontId="33" fillId="0" borderId="19" xfId="53" applyNumberFormat="1" applyFont="1" applyFill="1" applyBorder="1" applyAlignment="1">
      <alignment vertical="center"/>
    </xf>
    <xf numFmtId="0" fontId="33" fillId="0" borderId="0" xfId="53" applyFont="1" applyBorder="1" applyAlignment="1">
      <alignment horizontal="center"/>
    </xf>
    <xf numFmtId="0" fontId="80" fillId="0" borderId="0" xfId="53" applyNumberFormat="1" applyFont="1" applyFill="1" applyBorder="1" applyAlignment="1">
      <alignment horizontal="center" vertical="center"/>
    </xf>
    <xf numFmtId="0" fontId="33" fillId="0" borderId="2" xfId="53" applyFont="1" applyBorder="1" applyAlignment="1">
      <alignment horizontal="center" vertical="center"/>
    </xf>
    <xf numFmtId="0" fontId="33" fillId="0" borderId="22" xfId="53" applyNumberFormat="1" applyFont="1" applyFill="1" applyBorder="1" applyAlignment="1">
      <alignment vertical="center"/>
    </xf>
    <xf numFmtId="0" fontId="33" fillId="0" borderId="24" xfId="53" applyNumberFormat="1" applyFont="1" applyFill="1" applyBorder="1" applyAlignment="1">
      <alignment vertical="center"/>
    </xf>
    <xf numFmtId="0" fontId="33" fillId="0" borderId="16" xfId="53" applyNumberFormat="1" applyFont="1" applyFill="1" applyBorder="1" applyAlignment="1">
      <alignment vertical="center"/>
    </xf>
    <xf numFmtId="0" fontId="47" fillId="0" borderId="0" xfId="53" applyNumberFormat="1" applyFont="1" applyFill="1" applyBorder="1" applyAlignment="1">
      <alignment vertical="center"/>
    </xf>
    <xf numFmtId="0" fontId="47" fillId="0" borderId="0" xfId="53" applyNumberFormat="1" applyFont="1" applyFill="1" applyBorder="1" applyAlignment="1">
      <alignment horizontal="center" vertical="center"/>
    </xf>
    <xf numFmtId="0" fontId="49" fillId="0" borderId="0" xfId="53" applyNumberFormat="1" applyFont="1" applyFill="1" applyBorder="1" applyAlignment="1">
      <alignment vertical="center"/>
    </xf>
    <xf numFmtId="0" fontId="49" fillId="0" borderId="0" xfId="53" applyNumberFormat="1" applyFont="1" applyFill="1" applyBorder="1" applyAlignment="1">
      <alignment horizontal="center" vertical="center"/>
    </xf>
    <xf numFmtId="0" fontId="57" fillId="0" borderId="5" xfId="53" applyFont="1" applyBorder="1" applyAlignment="1">
      <alignment vertical="center"/>
    </xf>
    <xf numFmtId="0" fontId="57" fillId="0" borderId="16" xfId="53" applyFont="1" applyBorder="1" applyAlignment="1">
      <alignment vertical="center"/>
    </xf>
    <xf numFmtId="0" fontId="67" fillId="3" borderId="33" xfId="41" applyFont="1" applyFill="1" applyBorder="1" applyAlignment="1">
      <alignment vertical="center"/>
    </xf>
    <xf numFmtId="0" fontId="81" fillId="0" borderId="0" xfId="58" applyFont="1" applyAlignment="1">
      <alignment vertical="center"/>
    </xf>
    <xf numFmtId="0" fontId="71" fillId="0" borderId="0" xfId="41" applyFont="1" applyAlignment="1">
      <alignment vertical="center"/>
    </xf>
    <xf numFmtId="2" fontId="71" fillId="3" borderId="31" xfId="57" applyNumberFormat="1" applyFont="1" applyFill="1" applyBorder="1" applyAlignment="1">
      <alignment vertical="center"/>
    </xf>
    <xf numFmtId="2" fontId="71" fillId="3" borderId="32" xfId="57" applyNumberFormat="1" applyFont="1" applyFill="1" applyBorder="1" applyAlignment="1">
      <alignment vertical="center"/>
    </xf>
    <xf numFmtId="0" fontId="47" fillId="0" borderId="0" xfId="41" applyFont="1" applyAlignment="1">
      <alignment vertical="center"/>
    </xf>
    <xf numFmtId="167" fontId="71" fillId="0" borderId="0" xfId="50" applyFont="1" applyAlignment="1">
      <alignment vertical="center"/>
    </xf>
    <xf numFmtId="0" fontId="71" fillId="2" borderId="20" xfId="41" applyFont="1" applyFill="1" applyBorder="1" applyAlignment="1">
      <alignment vertical="center" wrapText="1"/>
    </xf>
    <xf numFmtId="3" fontId="71" fillId="2" borderId="20" xfId="50" applyNumberFormat="1" applyFont="1" applyFill="1" applyBorder="1" applyAlignment="1">
      <alignment horizontal="center" vertical="center" wrapText="1"/>
    </xf>
    <xf numFmtId="4" fontId="71" fillId="0" borderId="20" xfId="50" applyNumberFormat="1" applyFont="1" applyFill="1" applyBorder="1" applyAlignment="1">
      <alignment vertical="center" wrapText="1"/>
    </xf>
    <xf numFmtId="4" fontId="71" fillId="3" borderId="20" xfId="50" applyNumberFormat="1" applyFont="1" applyFill="1" applyBorder="1" applyAlignment="1">
      <alignment vertical="center" wrapText="1"/>
    </xf>
    <xf numFmtId="4" fontId="71" fillId="3" borderId="27" xfId="50" applyNumberFormat="1" applyFont="1" applyFill="1" applyBorder="1" applyAlignment="1">
      <alignment vertical="center" wrapText="1"/>
    </xf>
    <xf numFmtId="0" fontId="71" fillId="2" borderId="0" xfId="41" applyFont="1" applyFill="1" applyAlignment="1">
      <alignment vertical="center"/>
    </xf>
    <xf numFmtId="4" fontId="67" fillId="3" borderId="0" xfId="41" applyNumberFormat="1" applyFont="1" applyFill="1" applyAlignment="1">
      <alignment vertical="center"/>
    </xf>
    <xf numFmtId="0" fontId="84" fillId="2" borderId="0" xfId="41" applyFont="1" applyFill="1" applyAlignment="1">
      <alignment vertical="center"/>
    </xf>
    <xf numFmtId="0" fontId="85" fillId="2" borderId="0" xfId="41" applyFont="1" applyFill="1" applyAlignment="1">
      <alignment horizontal="left" vertical="center"/>
    </xf>
    <xf numFmtId="0" fontId="67" fillId="2" borderId="0" xfId="41" applyFont="1" applyFill="1" applyAlignment="1">
      <alignment vertical="center"/>
    </xf>
    <xf numFmtId="0" fontId="71" fillId="2" borderId="20" xfId="41" quotePrefix="1" applyFont="1" applyFill="1" applyBorder="1" applyAlignment="1">
      <alignment vertical="center" wrapText="1"/>
    </xf>
    <xf numFmtId="0" fontId="67" fillId="3" borderId="35" xfId="41" applyFont="1" applyFill="1" applyBorder="1" applyAlignment="1">
      <alignment vertical="center"/>
    </xf>
    <xf numFmtId="3" fontId="67" fillId="3" borderId="33" xfId="41" applyNumberFormat="1" applyFont="1" applyFill="1" applyBorder="1" applyAlignment="1">
      <alignment horizontal="center" vertical="center"/>
    </xf>
    <xf numFmtId="0" fontId="71" fillId="3" borderId="33" xfId="41" applyFont="1" applyFill="1" applyBorder="1" applyAlignment="1">
      <alignment vertical="center"/>
    </xf>
    <xf numFmtId="0" fontId="85" fillId="3" borderId="33" xfId="41" applyFont="1" applyFill="1" applyBorder="1" applyAlignment="1">
      <alignment horizontal="right" vertical="center"/>
    </xf>
    <xf numFmtId="4" fontId="67" fillId="3" borderId="33" xfId="41" applyNumberFormat="1" applyFont="1" applyFill="1" applyBorder="1" applyAlignment="1">
      <alignment vertical="center"/>
    </xf>
    <xf numFmtId="4" fontId="67" fillId="3" borderId="37" xfId="41" applyNumberFormat="1" applyFont="1" applyFill="1" applyBorder="1" applyAlignment="1">
      <alignment vertical="center"/>
    </xf>
    <xf numFmtId="0" fontId="71" fillId="0" borderId="29" xfId="41" applyFont="1" applyBorder="1" applyAlignment="1">
      <alignment vertical="center"/>
    </xf>
    <xf numFmtId="4" fontId="67" fillId="3" borderId="29" xfId="41" applyNumberFormat="1" applyFont="1" applyFill="1" applyBorder="1" applyAlignment="1">
      <alignment vertical="center"/>
    </xf>
    <xf numFmtId="0" fontId="37" fillId="0" borderId="0" xfId="58" applyFont="1" applyAlignment="1">
      <alignment horizontal="center" vertical="center"/>
    </xf>
    <xf numFmtId="4" fontId="67" fillId="3" borderId="33" xfId="41" applyNumberFormat="1" applyFont="1" applyFill="1" applyBorder="1" applyAlignment="1">
      <alignment horizontal="center" vertical="center"/>
    </xf>
    <xf numFmtId="0" fontId="67" fillId="0" borderId="0" xfId="45" applyFont="1" applyAlignment="1">
      <alignment vertical="center"/>
    </xf>
    <xf numFmtId="0" fontId="71" fillId="0" borderId="0" xfId="45" applyFont="1" applyAlignment="1">
      <alignment vertical="center"/>
    </xf>
    <xf numFmtId="0" fontId="88" fillId="0" borderId="0" xfId="45" applyFont="1"/>
    <xf numFmtId="0" fontId="89" fillId="0" borderId="0" xfId="53" applyNumberFormat="1" applyFont="1" applyFill="1" applyBorder="1" applyAlignment="1">
      <alignment horizontal="center" vertical="center"/>
    </xf>
    <xf numFmtId="0" fontId="88" fillId="0" borderId="0" xfId="45" applyFont="1" applyAlignment="1">
      <alignment vertical="center"/>
    </xf>
    <xf numFmtId="2" fontId="71" fillId="0" borderId="31" xfId="57" applyNumberFormat="1" applyFont="1" applyBorder="1" applyAlignment="1">
      <alignment vertical="center"/>
    </xf>
    <xf numFmtId="1" fontId="71" fillId="0" borderId="31" xfId="57" applyNumberFormat="1" applyFont="1" applyBorder="1" applyAlignment="1">
      <alignment horizontal="center" vertical="center"/>
    </xf>
    <xf numFmtId="4" fontId="71" fillId="3" borderId="31" xfId="50" applyNumberFormat="1" applyFont="1" applyFill="1" applyBorder="1" applyAlignment="1">
      <alignment vertical="center"/>
    </xf>
    <xf numFmtId="4" fontId="82" fillId="0" borderId="27" xfId="50" applyNumberFormat="1" applyFont="1" applyFill="1" applyBorder="1" applyAlignment="1">
      <alignment vertical="center" wrapText="1"/>
    </xf>
    <xf numFmtId="0" fontId="91" fillId="2" borderId="0" xfId="41" applyFont="1" applyFill="1" applyAlignment="1">
      <alignment horizontal="center" vertical="center"/>
    </xf>
    <xf numFmtId="0" fontId="92" fillId="0" borderId="0" xfId="41" applyFont="1" applyAlignment="1">
      <alignment vertical="center"/>
    </xf>
    <xf numFmtId="4" fontId="71" fillId="2" borderId="31" xfId="50" applyNumberFormat="1" applyFont="1" applyFill="1" applyBorder="1" applyAlignment="1">
      <alignment vertical="center" wrapText="1"/>
    </xf>
    <xf numFmtId="4" fontId="71" fillId="0" borderId="31" xfId="50" applyNumberFormat="1" applyFont="1" applyFill="1" applyBorder="1" applyAlignment="1">
      <alignment vertical="center" wrapText="1"/>
    </xf>
    <xf numFmtId="3" fontId="71" fillId="4" borderId="31" xfId="50" applyNumberFormat="1" applyFont="1" applyFill="1" applyBorder="1" applyAlignment="1">
      <alignment horizontal="center" vertical="center" wrapText="1"/>
    </xf>
    <xf numFmtId="3" fontId="71" fillId="2" borderId="31" xfId="50" applyNumberFormat="1" applyFont="1" applyFill="1" applyBorder="1" applyAlignment="1">
      <alignment horizontal="center" vertical="center"/>
    </xf>
    <xf numFmtId="0" fontId="71" fillId="2" borderId="36" xfId="41" quotePrefix="1" applyFont="1" applyFill="1" applyBorder="1" applyAlignment="1">
      <alignment vertical="center"/>
    </xf>
    <xf numFmtId="4" fontId="71" fillId="3" borderId="33" xfId="41" applyNumberFormat="1" applyFont="1" applyFill="1" applyBorder="1" applyAlignment="1">
      <alignment vertical="center"/>
    </xf>
    <xf numFmtId="3" fontId="71" fillId="3" borderId="33" xfId="41" applyNumberFormat="1" applyFont="1" applyFill="1" applyBorder="1" applyAlignment="1">
      <alignment horizontal="center" vertical="center"/>
    </xf>
    <xf numFmtId="4" fontId="67" fillId="3" borderId="44" xfId="41" applyNumberFormat="1" applyFont="1" applyFill="1" applyBorder="1" applyAlignment="1">
      <alignment horizontal="center" vertical="center"/>
    </xf>
    <xf numFmtId="0" fontId="83" fillId="2" borderId="0" xfId="58" applyFont="1" applyFill="1" applyAlignment="1">
      <alignment vertical="center"/>
    </xf>
    <xf numFmtId="4" fontId="86" fillId="5" borderId="29" xfId="58" applyNumberFormat="1" applyFont="1" applyFill="1" applyBorder="1" applyAlignment="1">
      <alignment vertical="center"/>
    </xf>
    <xf numFmtId="10" fontId="83" fillId="2" borderId="0" xfId="59" applyNumberFormat="1" applyFont="1" applyFill="1" applyBorder="1" applyAlignment="1">
      <alignment horizontal="center" vertical="center"/>
    </xf>
    <xf numFmtId="4" fontId="67" fillId="3" borderId="42" xfId="41" applyNumberFormat="1" applyFont="1" applyFill="1" applyBorder="1" applyAlignment="1">
      <alignment horizontal="center" vertical="center"/>
    </xf>
    <xf numFmtId="0" fontId="77" fillId="10" borderId="19" xfId="41" applyFont="1" applyFill="1" applyBorder="1" applyAlignment="1">
      <alignment horizontal="center" vertical="center"/>
    </xf>
    <xf numFmtId="0" fontId="77" fillId="10" borderId="23" xfId="41" applyFont="1" applyFill="1" applyBorder="1" applyAlignment="1">
      <alignment horizontal="center" vertical="center"/>
    </xf>
    <xf numFmtId="0" fontId="77" fillId="10" borderId="1" xfId="41" applyFont="1" applyFill="1" applyBorder="1" applyAlignment="1">
      <alignment horizontal="center" vertical="center"/>
    </xf>
    <xf numFmtId="0" fontId="77" fillId="10" borderId="25" xfId="41" applyFont="1" applyFill="1" applyBorder="1" applyAlignment="1">
      <alignment horizontal="center" vertical="center"/>
    </xf>
    <xf numFmtId="0" fontId="77" fillId="10" borderId="0" xfId="41" applyFont="1" applyFill="1" applyAlignment="1">
      <alignment horizontal="center" vertical="center" wrapText="1"/>
    </xf>
    <xf numFmtId="0" fontId="77" fillId="10" borderId="23" xfId="41" applyFont="1" applyFill="1" applyBorder="1" applyAlignment="1">
      <alignment horizontal="center" vertical="center" wrapText="1"/>
    </xf>
    <xf numFmtId="0" fontId="77" fillId="10" borderId="1" xfId="41" applyFont="1" applyFill="1" applyBorder="1" applyAlignment="1">
      <alignment horizontal="center" vertical="center" wrapText="1"/>
    </xf>
    <xf numFmtId="0" fontId="77" fillId="10" borderId="19" xfId="41" applyFont="1" applyFill="1" applyBorder="1" applyAlignment="1">
      <alignment horizontal="center" vertical="center" wrapText="1"/>
    </xf>
    <xf numFmtId="0" fontId="77" fillId="10" borderId="16" xfId="41" applyFont="1" applyFill="1" applyBorder="1" applyAlignment="1">
      <alignment horizontal="center" vertical="center" wrapText="1"/>
    </xf>
    <xf numFmtId="0" fontId="77" fillId="10" borderId="6" xfId="41" applyFont="1" applyFill="1" applyBorder="1" applyAlignment="1">
      <alignment horizontal="center" vertical="center" wrapText="1"/>
    </xf>
    <xf numFmtId="49" fontId="69" fillId="10" borderId="6" xfId="53" applyNumberFormat="1" applyFont="1" applyFill="1" applyBorder="1" applyAlignment="1">
      <alignment horizontal="center" vertical="center" wrapText="1"/>
    </xf>
    <xf numFmtId="49" fontId="77" fillId="10" borderId="6" xfId="53" applyNumberFormat="1" applyFont="1" applyFill="1" applyBorder="1" applyAlignment="1">
      <alignment horizontal="center" vertical="center" wrapText="1"/>
    </xf>
    <xf numFmtId="0" fontId="77" fillId="10" borderId="19" xfId="30" applyNumberFormat="1" applyFont="1" applyFill="1" applyBorder="1" applyAlignment="1">
      <alignment horizontal="center" vertical="center" wrapText="1"/>
    </xf>
    <xf numFmtId="0" fontId="33" fillId="0" borderId="5" xfId="53" applyNumberFormat="1" applyFont="1" applyFill="1" applyBorder="1" applyAlignment="1">
      <alignment vertical="center"/>
    </xf>
    <xf numFmtId="0" fontId="36" fillId="0" borderId="0" xfId="30" applyNumberFormat="1" applyFont="1" applyFill="1" applyBorder="1" applyAlignment="1">
      <alignment vertical="center"/>
    </xf>
    <xf numFmtId="177" fontId="72" fillId="10" borderId="6" xfId="58" applyNumberFormat="1" applyFont="1" applyFill="1" applyBorder="1" applyAlignment="1">
      <alignment horizontal="center" vertical="center"/>
    </xf>
    <xf numFmtId="4" fontId="72" fillId="10" borderId="15" xfId="58" applyNumberFormat="1" applyFont="1" applyFill="1" applyBorder="1" applyAlignment="1">
      <alignment horizontal="centerContinuous" vertical="center"/>
    </xf>
    <xf numFmtId="0" fontId="73" fillId="10" borderId="17" xfId="58" applyFont="1" applyFill="1" applyBorder="1" applyAlignment="1">
      <alignment horizontal="centerContinuous" vertical="center"/>
    </xf>
    <xf numFmtId="4" fontId="72" fillId="10" borderId="17" xfId="58" applyNumberFormat="1" applyFont="1" applyFill="1" applyBorder="1" applyAlignment="1">
      <alignment horizontal="centerContinuous" vertical="center"/>
    </xf>
    <xf numFmtId="4" fontId="72" fillId="10" borderId="18" xfId="58" applyNumberFormat="1" applyFont="1" applyFill="1" applyBorder="1" applyAlignment="1">
      <alignment horizontal="centerContinuous" vertical="center"/>
    </xf>
    <xf numFmtId="4" fontId="95" fillId="3" borderId="0" xfId="47" applyNumberFormat="1" applyFont="1" applyFill="1" applyAlignment="1">
      <alignment vertical="center"/>
    </xf>
    <xf numFmtId="4" fontId="95" fillId="3" borderId="0" xfId="47" applyNumberFormat="1" applyFont="1" applyFill="1" applyAlignment="1">
      <alignment horizontal="center" vertical="center"/>
    </xf>
    <xf numFmtId="4" fontId="95" fillId="3" borderId="53" xfId="47" applyNumberFormat="1" applyFont="1" applyFill="1" applyBorder="1" applyAlignment="1">
      <alignment vertical="center"/>
    </xf>
    <xf numFmtId="4" fontId="95" fillId="3" borderId="54" xfId="47" applyNumberFormat="1" applyFont="1" applyFill="1" applyBorder="1" applyAlignment="1">
      <alignment vertical="center"/>
    </xf>
    <xf numFmtId="4" fontId="95" fillId="3" borderId="54" xfId="47" applyNumberFormat="1" applyFont="1" applyFill="1" applyBorder="1" applyAlignment="1">
      <alignment horizontal="center" vertical="center"/>
    </xf>
    <xf numFmtId="177" fontId="72" fillId="10" borderId="43" xfId="58" applyNumberFormat="1" applyFont="1" applyFill="1" applyBorder="1" applyAlignment="1">
      <alignment horizontal="center" vertical="center"/>
    </xf>
    <xf numFmtId="4" fontId="95" fillId="3" borderId="55" xfId="47" applyNumberFormat="1" applyFont="1" applyFill="1" applyBorder="1" applyAlignment="1">
      <alignment horizontal="center" vertical="center"/>
    </xf>
    <xf numFmtId="0" fontId="75" fillId="0" borderId="57" xfId="45" applyFont="1" applyBorder="1" applyAlignment="1">
      <alignment vertical="center"/>
    </xf>
    <xf numFmtId="0" fontId="47" fillId="0" borderId="57" xfId="45" applyFont="1" applyBorder="1" applyAlignment="1">
      <alignment vertical="center"/>
    </xf>
    <xf numFmtId="17" fontId="47" fillId="0" borderId="57" xfId="45" applyNumberFormat="1" applyFont="1" applyBorder="1" applyAlignment="1">
      <alignment horizontal="left" vertical="center"/>
    </xf>
    <xf numFmtId="178" fontId="47" fillId="0" borderId="57" xfId="82" applyNumberFormat="1" applyFont="1" applyBorder="1" applyAlignment="1">
      <alignment horizontal="left" vertical="center"/>
    </xf>
    <xf numFmtId="0" fontId="75" fillId="0" borderId="58" xfId="45" applyFont="1" applyBorder="1" applyAlignment="1">
      <alignment vertical="center"/>
    </xf>
    <xf numFmtId="17" fontId="47" fillId="0" borderId="60" xfId="45" applyNumberFormat="1" applyFont="1" applyBorder="1" applyAlignment="1">
      <alignment horizontal="left" vertical="center"/>
    </xf>
    <xf numFmtId="0" fontId="75" fillId="0" borderId="62" xfId="45" applyFont="1" applyBorder="1" applyAlignment="1">
      <alignment vertical="center"/>
    </xf>
    <xf numFmtId="0" fontId="75" fillId="0" borderId="63" xfId="45" applyFont="1" applyBorder="1" applyAlignment="1">
      <alignment vertical="center"/>
    </xf>
    <xf numFmtId="0" fontId="47" fillId="0" borderId="64" xfId="45" applyFont="1" applyBorder="1" applyAlignment="1">
      <alignment vertical="center"/>
    </xf>
    <xf numFmtId="0" fontId="47" fillId="0" borderId="65" xfId="45" applyFont="1" applyBorder="1" applyAlignment="1">
      <alignment vertical="center"/>
    </xf>
    <xf numFmtId="178" fontId="47" fillId="0" borderId="66" xfId="82" applyNumberFormat="1" applyFont="1" applyBorder="1" applyAlignment="1">
      <alignment horizontal="left" vertical="center"/>
    </xf>
    <xf numFmtId="14" fontId="47" fillId="0" borderId="67" xfId="45" applyNumberFormat="1" applyFont="1" applyBorder="1" applyAlignment="1">
      <alignment horizontal="left" vertical="center"/>
    </xf>
    <xf numFmtId="0" fontId="47" fillId="0" borderId="62" xfId="45" applyFont="1" applyBorder="1" applyAlignment="1">
      <alignment vertical="center"/>
    </xf>
    <xf numFmtId="0" fontId="47" fillId="0" borderId="63" xfId="45" applyFont="1" applyBorder="1" applyAlignment="1">
      <alignment vertical="center"/>
    </xf>
    <xf numFmtId="0" fontId="68" fillId="0" borderId="57" xfId="45" applyFont="1" applyBorder="1" applyAlignment="1">
      <alignment vertical="center"/>
    </xf>
    <xf numFmtId="0" fontId="47" fillId="0" borderId="61" xfId="45" applyFont="1" applyBorder="1" applyAlignment="1">
      <alignment vertical="center"/>
    </xf>
    <xf numFmtId="17" fontId="47" fillId="0" borderId="66" xfId="45" applyNumberFormat="1" applyFont="1" applyBorder="1" applyAlignment="1">
      <alignment horizontal="left" vertical="center"/>
    </xf>
    <xf numFmtId="14" fontId="47" fillId="0" borderId="57" xfId="45" applyNumberFormat="1" applyFont="1" applyBorder="1" applyAlignment="1">
      <alignment horizontal="left" vertical="center"/>
    </xf>
    <xf numFmtId="0" fontId="62" fillId="0" borderId="0" xfId="41" applyFont="1" applyAlignment="1">
      <alignment vertical="center"/>
    </xf>
    <xf numFmtId="0" fontId="48" fillId="0" borderId="56" xfId="45" applyFont="1" applyBorder="1" applyAlignment="1">
      <alignment vertical="center"/>
    </xf>
    <xf numFmtId="168" fontId="88" fillId="0" borderId="69" xfId="52" quotePrefix="1" applyNumberFormat="1" applyFont="1" applyFill="1" applyBorder="1" applyAlignment="1">
      <alignment horizontal="left" vertical="center"/>
    </xf>
    <xf numFmtId="0" fontId="59" fillId="0" borderId="5" xfId="53" applyFont="1" applyBorder="1" applyAlignment="1">
      <alignment horizontal="center" vertical="center"/>
    </xf>
    <xf numFmtId="0" fontId="59" fillId="0" borderId="16" xfId="53" applyFont="1" applyBorder="1" applyAlignment="1">
      <alignment horizontal="center" vertical="center"/>
    </xf>
    <xf numFmtId="0" fontId="37" fillId="0" borderId="0" xfId="30" applyNumberFormat="1" applyFont="1" applyFill="1" applyBorder="1" applyAlignment="1">
      <alignment vertical="center"/>
    </xf>
    <xf numFmtId="0" fontId="87" fillId="0" borderId="0" xfId="45" applyFont="1"/>
    <xf numFmtId="0" fontId="77" fillId="10" borderId="9" xfId="53" applyNumberFormat="1" applyFont="1" applyFill="1" applyBorder="1" applyAlignment="1">
      <alignment horizontal="center" vertical="center" wrapText="1"/>
    </xf>
    <xf numFmtId="0" fontId="77" fillId="10" borderId="18" xfId="30" applyNumberFormat="1" applyFont="1" applyFill="1" applyBorder="1" applyAlignment="1">
      <alignment horizontal="center" vertical="center" wrapText="1"/>
    </xf>
    <xf numFmtId="0" fontId="47" fillId="0" borderId="59" xfId="45" applyFont="1" applyBorder="1" applyAlignment="1">
      <alignment vertical="center"/>
    </xf>
    <xf numFmtId="0" fontId="71" fillId="0" borderId="57" xfId="45" applyFont="1" applyBorder="1" applyAlignment="1">
      <alignment vertical="center"/>
    </xf>
    <xf numFmtId="0" fontId="71" fillId="0" borderId="65" xfId="45" applyFont="1" applyBorder="1" applyAlignment="1">
      <alignment vertical="center"/>
    </xf>
    <xf numFmtId="0" fontId="71" fillId="0" borderId="64" xfId="45" applyFont="1" applyBorder="1" applyAlignment="1">
      <alignment vertical="center"/>
    </xf>
    <xf numFmtId="0" fontId="71" fillId="0" borderId="68" xfId="45" applyFont="1" applyBorder="1" applyAlignment="1">
      <alignment vertical="center"/>
    </xf>
    <xf numFmtId="0" fontId="71" fillId="0" borderId="67" xfId="45" applyFont="1" applyBorder="1" applyAlignment="1">
      <alignment vertical="center"/>
    </xf>
    <xf numFmtId="0" fontId="71" fillId="0" borderId="66" xfId="45" applyFont="1" applyBorder="1" applyAlignment="1">
      <alignment vertical="center"/>
    </xf>
    <xf numFmtId="166" fontId="37" fillId="0" borderId="0" xfId="41" applyNumberFormat="1" applyFont="1" applyAlignment="1">
      <alignment vertical="center"/>
    </xf>
    <xf numFmtId="166" fontId="36" fillId="0" borderId="0" xfId="41" applyNumberFormat="1" applyFont="1" applyAlignment="1">
      <alignment vertical="center"/>
    </xf>
    <xf numFmtId="183" fontId="37" fillId="0" borderId="0" xfId="41" applyNumberFormat="1" applyFont="1" applyAlignment="1">
      <alignment vertical="center"/>
    </xf>
    <xf numFmtId="0" fontId="100" fillId="0" borderId="0" xfId="41" applyFont="1" applyAlignment="1">
      <alignment vertical="center"/>
    </xf>
    <xf numFmtId="0" fontId="101" fillId="0" borderId="0" xfId="41" applyFont="1" applyAlignment="1">
      <alignment vertical="center"/>
    </xf>
    <xf numFmtId="0" fontId="67" fillId="0" borderId="7" xfId="45" applyFont="1" applyBorder="1" applyAlignment="1">
      <alignment vertical="center"/>
    </xf>
    <xf numFmtId="168" fontId="67" fillId="0" borderId="23" xfId="52" quotePrefix="1" applyNumberFormat="1" applyFont="1" applyFill="1" applyBorder="1" applyAlignment="1">
      <alignment horizontal="left" vertical="center"/>
    </xf>
    <xf numFmtId="0" fontId="49" fillId="0" borderId="0" xfId="45" applyFont="1" applyAlignment="1">
      <alignment horizontal="center" vertical="center"/>
    </xf>
    <xf numFmtId="4" fontId="71" fillId="3" borderId="31" xfId="50" applyNumberFormat="1" applyFont="1" applyFill="1" applyBorder="1" applyAlignment="1">
      <alignment vertical="center" wrapText="1"/>
    </xf>
    <xf numFmtId="3" fontId="84" fillId="2" borderId="41" xfId="50" applyNumberFormat="1" applyFont="1" applyFill="1" applyBorder="1" applyAlignment="1">
      <alignment horizontal="center" vertical="center"/>
    </xf>
    <xf numFmtId="182" fontId="71" fillId="3" borderId="33" xfId="41" applyNumberFormat="1" applyFont="1" applyFill="1" applyBorder="1" applyAlignment="1">
      <alignment vertical="center"/>
    </xf>
    <xf numFmtId="4" fontId="98" fillId="8" borderId="39" xfId="50" applyNumberFormat="1" applyFont="1" applyFill="1" applyBorder="1" applyAlignment="1">
      <alignment vertical="center"/>
    </xf>
    <xf numFmtId="4" fontId="98" fillId="8" borderId="40" xfId="50" applyNumberFormat="1" applyFont="1" applyFill="1" applyBorder="1" applyAlignment="1">
      <alignment horizontal="center" vertical="center"/>
    </xf>
    <xf numFmtId="3" fontId="71" fillId="0" borderId="31" xfId="50" applyNumberFormat="1" applyFont="1" applyFill="1" applyBorder="1" applyAlignment="1">
      <alignment horizontal="center" vertical="center" wrapText="1"/>
    </xf>
    <xf numFmtId="0" fontId="71" fillId="0" borderId="0" xfId="41" applyFont="1" applyAlignment="1">
      <alignment horizontal="left" vertical="center"/>
    </xf>
    <xf numFmtId="3" fontId="71" fillId="0" borderId="34" xfId="50" applyNumberFormat="1" applyFont="1" applyFill="1" applyBorder="1" applyAlignment="1">
      <alignment horizontal="center" vertical="center" wrapText="1"/>
    </xf>
    <xf numFmtId="4" fontId="71" fillId="0" borderId="34" xfId="50" applyNumberFormat="1" applyFont="1" applyFill="1" applyBorder="1" applyAlignment="1">
      <alignment vertical="center" wrapText="1"/>
    </xf>
    <xf numFmtId="4" fontId="71" fillId="3" borderId="34" xfId="50" applyNumberFormat="1" applyFont="1" applyFill="1" applyBorder="1" applyAlignment="1">
      <alignment vertical="center"/>
    </xf>
    <xf numFmtId="4" fontId="95" fillId="8" borderId="38" xfId="50" applyNumberFormat="1" applyFont="1" applyFill="1" applyBorder="1" applyAlignment="1">
      <alignment vertical="center"/>
    </xf>
    <xf numFmtId="4" fontId="95" fillId="8" borderId="39" xfId="50" applyNumberFormat="1" applyFont="1" applyFill="1" applyBorder="1" applyAlignment="1">
      <alignment vertical="center"/>
    </xf>
    <xf numFmtId="4" fontId="71" fillId="3" borderId="20" xfId="50" applyNumberFormat="1" applyFont="1" applyFill="1" applyBorder="1" applyAlignment="1">
      <alignment vertical="center"/>
    </xf>
    <xf numFmtId="3" fontId="71" fillId="0" borderId="20" xfId="50" applyNumberFormat="1" applyFont="1" applyFill="1" applyBorder="1" applyAlignment="1">
      <alignment horizontal="center" vertical="center" wrapText="1"/>
    </xf>
    <xf numFmtId="182" fontId="47" fillId="0" borderId="0" xfId="45" applyNumberFormat="1" applyFont="1" applyAlignment="1">
      <alignment vertical="center"/>
    </xf>
    <xf numFmtId="4" fontId="95" fillId="14" borderId="38" xfId="47" applyNumberFormat="1" applyFont="1" applyFill="1" applyBorder="1" applyAlignment="1">
      <alignment vertical="center"/>
    </xf>
    <xf numFmtId="4" fontId="95" fillId="14" borderId="39" xfId="47" applyNumberFormat="1" applyFont="1" applyFill="1" applyBorder="1" applyAlignment="1">
      <alignment vertical="center"/>
    </xf>
    <xf numFmtId="4" fontId="95" fillId="14" borderId="39" xfId="47" applyNumberFormat="1" applyFont="1" applyFill="1" applyBorder="1" applyAlignment="1">
      <alignment horizontal="center" vertical="center"/>
    </xf>
    <xf numFmtId="4" fontId="49" fillId="14" borderId="40" xfId="50" applyNumberFormat="1" applyFont="1" applyFill="1" applyBorder="1" applyAlignment="1">
      <alignment vertical="center"/>
    </xf>
    <xf numFmtId="4" fontId="49" fillId="3" borderId="41" xfId="50" applyNumberFormat="1" applyFont="1" applyFill="1" applyBorder="1" applyAlignment="1">
      <alignment vertical="center"/>
    </xf>
    <xf numFmtId="4" fontId="70" fillId="3" borderId="42" xfId="41" applyNumberFormat="1" applyFont="1" applyFill="1" applyBorder="1" applyAlignment="1">
      <alignment vertical="center"/>
    </xf>
    <xf numFmtId="2" fontId="71" fillId="2" borderId="31" xfId="57" applyNumberFormat="1" applyFont="1" applyFill="1" applyBorder="1" applyAlignment="1">
      <alignment vertical="center"/>
    </xf>
    <xf numFmtId="4" fontId="95" fillId="3" borderId="39" xfId="47" applyNumberFormat="1" applyFont="1" applyFill="1" applyBorder="1" applyAlignment="1">
      <alignment vertical="center"/>
    </xf>
    <xf numFmtId="4" fontId="95" fillId="3" borderId="39" xfId="47" applyNumberFormat="1" applyFont="1" applyFill="1" applyBorder="1" applyAlignment="1">
      <alignment horizontal="center" vertical="center"/>
    </xf>
    <xf numFmtId="4" fontId="95" fillId="3" borderId="40" xfId="47" applyNumberFormat="1" applyFont="1" applyFill="1" applyBorder="1" applyAlignment="1">
      <alignment horizontal="center" vertical="center"/>
    </xf>
    <xf numFmtId="4" fontId="79" fillId="3" borderId="54" xfId="47" applyNumberFormat="1" applyFont="1" applyFill="1" applyBorder="1" applyAlignment="1">
      <alignment vertical="center"/>
    </xf>
    <xf numFmtId="4" fontId="79" fillId="3" borderId="54" xfId="47" applyNumberFormat="1" applyFont="1" applyFill="1" applyBorder="1" applyAlignment="1">
      <alignment horizontal="center" vertical="center"/>
    </xf>
    <xf numFmtId="4" fontId="71" fillId="3" borderId="77" xfId="50" applyNumberFormat="1" applyFont="1" applyFill="1" applyBorder="1" applyAlignment="1">
      <alignment vertical="center"/>
    </xf>
    <xf numFmtId="0" fontId="71" fillId="2" borderId="75" xfId="41" applyFont="1" applyFill="1" applyBorder="1" applyAlignment="1">
      <alignment horizontal="left" vertical="center"/>
    </xf>
    <xf numFmtId="2" fontId="77" fillId="10" borderId="22" xfId="53" applyNumberFormat="1" applyFont="1" applyFill="1" applyBorder="1" applyAlignment="1">
      <alignment horizontal="center" vertical="center" wrapText="1"/>
    </xf>
    <xf numFmtId="0" fontId="71" fillId="0" borderId="74" xfId="41" applyFont="1" applyBorder="1" applyAlignment="1">
      <alignment horizontal="left" vertical="center"/>
    </xf>
    <xf numFmtId="4" fontId="72" fillId="10" borderId="9" xfId="58" applyNumberFormat="1" applyFont="1" applyFill="1" applyBorder="1" applyAlignment="1">
      <alignment horizontal="centerContinuous" vertical="center"/>
    </xf>
    <xf numFmtId="0" fontId="77" fillId="10" borderId="5" xfId="30" applyNumberFormat="1" applyFont="1" applyFill="1" applyBorder="1" applyAlignment="1">
      <alignment horizontal="center" vertical="center" wrapText="1"/>
    </xf>
    <xf numFmtId="0" fontId="33" fillId="0" borderId="2" xfId="53" applyFont="1" applyBorder="1" applyAlignment="1">
      <alignment horizontal="right"/>
    </xf>
    <xf numFmtId="0" fontId="57" fillId="0" borderId="5" xfId="53" applyFont="1" applyBorder="1" applyAlignment="1">
      <alignment horizontal="right" vertical="center"/>
    </xf>
    <xf numFmtId="0" fontId="57" fillId="0" borderId="16" xfId="53" applyFont="1" applyBorder="1" applyAlignment="1">
      <alignment horizontal="right" vertical="center"/>
    </xf>
    <xf numFmtId="0" fontId="88" fillId="0" borderId="0" xfId="45" applyFont="1" applyAlignment="1">
      <alignment horizontal="right"/>
    </xf>
    <xf numFmtId="0" fontId="88" fillId="0" borderId="0" xfId="45" applyFont="1" applyAlignment="1">
      <alignment horizontal="right" vertical="center"/>
    </xf>
    <xf numFmtId="0" fontId="36" fillId="0" borderId="0" xfId="30" applyNumberFormat="1" applyFont="1" applyFill="1" applyBorder="1" applyAlignment="1">
      <alignment horizontal="right" vertical="center"/>
    </xf>
    <xf numFmtId="168" fontId="67" fillId="0" borderId="7" xfId="52" quotePrefix="1" applyNumberFormat="1" applyFont="1" applyFill="1" applyBorder="1" applyAlignment="1">
      <alignment horizontal="left" vertical="center"/>
    </xf>
    <xf numFmtId="17" fontId="88" fillId="0" borderId="0" xfId="45" applyNumberFormat="1" applyFont="1" applyAlignment="1">
      <alignment horizontal="left" vertical="center"/>
    </xf>
    <xf numFmtId="17" fontId="71" fillId="0" borderId="0" xfId="45" applyNumberFormat="1" applyFont="1" applyAlignment="1">
      <alignment vertical="center"/>
    </xf>
    <xf numFmtId="168" fontId="71" fillId="0" borderId="23" xfId="52" quotePrefix="1" applyNumberFormat="1" applyFont="1" applyFill="1" applyBorder="1" applyAlignment="1">
      <alignment horizontal="left" vertical="center"/>
    </xf>
    <xf numFmtId="168" fontId="88" fillId="0" borderId="61" xfId="52" quotePrefix="1" applyNumberFormat="1" applyFont="1" applyFill="1" applyBorder="1" applyAlignment="1">
      <alignment horizontal="left" vertical="center"/>
    </xf>
    <xf numFmtId="168" fontId="67" fillId="0" borderId="0" xfId="52" quotePrefix="1" applyNumberFormat="1" applyFont="1" applyFill="1" applyBorder="1" applyAlignment="1">
      <alignment horizontal="left" vertical="center"/>
    </xf>
    <xf numFmtId="185" fontId="92" fillId="0" borderId="0" xfId="51" applyNumberFormat="1" applyFont="1" applyAlignment="1">
      <alignment horizontal="left" vertical="center"/>
    </xf>
    <xf numFmtId="186" fontId="92" fillId="0" borderId="0" xfId="51" applyNumberFormat="1" applyFont="1" applyAlignment="1">
      <alignment horizontal="left" vertical="center"/>
    </xf>
    <xf numFmtId="49" fontId="69" fillId="10" borderId="6" xfId="53" applyNumberFormat="1" applyFont="1" applyFill="1" applyBorder="1" applyAlignment="1">
      <alignment horizontal="center" vertical="center"/>
    </xf>
    <xf numFmtId="49" fontId="49" fillId="0" borderId="45" xfId="53" applyNumberFormat="1" applyFont="1" applyFill="1" applyBorder="1" applyAlignment="1">
      <alignment horizontal="left" vertical="center" wrapText="1"/>
    </xf>
    <xf numFmtId="49" fontId="49" fillId="0" borderId="46" xfId="53" applyNumberFormat="1" applyFont="1" applyFill="1" applyBorder="1" applyAlignment="1">
      <alignment horizontal="left" vertical="center"/>
    </xf>
    <xf numFmtId="49" fontId="49" fillId="0" borderId="46" xfId="53" quotePrefix="1" applyNumberFormat="1" applyFont="1" applyFill="1" applyBorder="1" applyAlignment="1">
      <alignment horizontal="left" vertical="center" wrapText="1"/>
    </xf>
    <xf numFmtId="0" fontId="49" fillId="0" borderId="46" xfId="53" applyNumberFormat="1" applyFont="1" applyFill="1" applyBorder="1" applyAlignment="1">
      <alignment vertical="center"/>
    </xf>
    <xf numFmtId="0" fontId="49" fillId="0" borderId="46" xfId="53" applyNumberFormat="1" applyFont="1" applyFill="1" applyBorder="1" applyAlignment="1">
      <alignment horizontal="center" vertical="center" wrapText="1"/>
    </xf>
    <xf numFmtId="4" fontId="49" fillId="0" borderId="46" xfId="30" applyNumberFormat="1" applyFont="1" applyFill="1" applyBorder="1" applyAlignment="1">
      <alignment horizontal="center" vertical="center" wrapText="1"/>
    </xf>
    <xf numFmtId="4" fontId="49" fillId="0" borderId="46" xfId="30" applyNumberFormat="1" applyFont="1" applyFill="1" applyBorder="1" applyAlignment="1">
      <alignment horizontal="left" vertical="center"/>
    </xf>
    <xf numFmtId="4" fontId="49" fillId="0" borderId="47" xfId="53" applyNumberFormat="1" applyFont="1" applyFill="1" applyBorder="1" applyAlignment="1">
      <alignment horizontal="center" vertical="center" wrapText="1"/>
    </xf>
    <xf numFmtId="0" fontId="77" fillId="10" borderId="7" xfId="41" applyFont="1" applyFill="1" applyBorder="1" applyAlignment="1">
      <alignment horizontal="center" vertical="center" wrapText="1"/>
    </xf>
    <xf numFmtId="0" fontId="77" fillId="10" borderId="24" xfId="41" applyFont="1" applyFill="1" applyBorder="1" applyAlignment="1">
      <alignment horizontal="center" vertical="center"/>
    </xf>
    <xf numFmtId="0" fontId="47" fillId="0" borderId="68" xfId="45" applyFont="1" applyBorder="1" applyAlignment="1">
      <alignment vertical="center"/>
    </xf>
    <xf numFmtId="0" fontId="47" fillId="0" borderId="0" xfId="69" applyNumberFormat="1" applyFont="1" applyFill="1" applyBorder="1" applyAlignment="1"/>
    <xf numFmtId="0" fontId="69" fillId="17" borderId="88" xfId="69" applyFont="1" applyFill="1" applyBorder="1" applyAlignment="1">
      <alignment horizontal="center" vertical="center"/>
    </xf>
    <xf numFmtId="181" fontId="69" fillId="17" borderId="90" xfId="69" applyNumberFormat="1" applyFont="1" applyFill="1" applyBorder="1" applyAlignment="1">
      <alignment horizontal="center" vertical="center" wrapText="1"/>
    </xf>
    <xf numFmtId="0" fontId="110" fillId="15" borderId="91" xfId="69" applyFont="1" applyFill="1" applyBorder="1" applyAlignment="1">
      <alignment vertical="center" wrapText="1"/>
    </xf>
    <xf numFmtId="181" fontId="110" fillId="15" borderId="96" xfId="69" applyNumberFormat="1" applyFont="1" applyFill="1" applyBorder="1" applyAlignment="1">
      <alignment vertical="center" wrapText="1"/>
    </xf>
    <xf numFmtId="0" fontId="110" fillId="15" borderId="97" xfId="69" applyFont="1" applyFill="1" applyBorder="1" applyAlignment="1">
      <alignment vertical="center" wrapText="1"/>
    </xf>
    <xf numFmtId="0" fontId="111" fillId="15" borderId="97" xfId="69" applyFont="1" applyFill="1" applyBorder="1" applyAlignment="1">
      <alignment horizontal="right" vertical="center" wrapText="1"/>
    </xf>
    <xf numFmtId="181" fontId="112" fillId="15" borderId="96" xfId="69" applyNumberFormat="1" applyFont="1" applyFill="1" applyBorder="1" applyAlignment="1">
      <alignment vertical="center" wrapText="1"/>
    </xf>
    <xf numFmtId="181" fontId="110" fillId="15" borderId="102" xfId="69" applyNumberFormat="1" applyFont="1" applyFill="1" applyBorder="1" applyAlignment="1">
      <alignment vertical="center" wrapText="1"/>
    </xf>
    <xf numFmtId="166" fontId="49" fillId="15" borderId="103" xfId="249" applyFont="1" applyFill="1" applyBorder="1" applyAlignment="1">
      <alignment horizontal="center" vertical="center"/>
    </xf>
    <xf numFmtId="10" fontId="112" fillId="15" borderId="103" xfId="69" applyNumberFormat="1" applyFont="1" applyFill="1" applyBorder="1" applyAlignment="1">
      <alignment horizontal="center" vertical="center"/>
    </xf>
    <xf numFmtId="10" fontId="112" fillId="19" borderId="103" xfId="69" applyNumberFormat="1" applyFont="1" applyFill="1" applyBorder="1" applyAlignment="1">
      <alignment horizontal="center" vertical="center"/>
    </xf>
    <xf numFmtId="166" fontId="49" fillId="19" borderId="103" xfId="249" applyFont="1" applyFill="1" applyBorder="1" applyAlignment="1">
      <alignment horizontal="center" vertical="center"/>
    </xf>
    <xf numFmtId="166" fontId="69" fillId="17" borderId="9" xfId="249" applyFont="1" applyFill="1" applyBorder="1" applyAlignment="1">
      <alignment horizontal="center" vertical="center"/>
    </xf>
    <xf numFmtId="9" fontId="69" fillId="17" borderId="9" xfId="69" applyNumberFormat="1" applyFont="1" applyFill="1" applyBorder="1" applyAlignment="1">
      <alignment horizontal="center" vertical="center"/>
    </xf>
    <xf numFmtId="181" fontId="90" fillId="9" borderId="73" xfId="69" applyNumberFormat="1" applyFont="1" applyFill="1" applyBorder="1"/>
    <xf numFmtId="0" fontId="77" fillId="10" borderId="72" xfId="41" applyFont="1" applyFill="1" applyBorder="1" applyAlignment="1">
      <alignment horizontal="center" vertical="center" wrapText="1"/>
    </xf>
    <xf numFmtId="4" fontId="113" fillId="0" borderId="46" xfId="30" applyNumberFormat="1" applyFont="1" applyFill="1" applyBorder="1" applyAlignment="1">
      <alignment horizontal="center" vertical="center" wrapText="1"/>
    </xf>
    <xf numFmtId="0" fontId="75" fillId="0" borderId="19" xfId="45" applyFont="1" applyBorder="1" applyAlignment="1">
      <alignment vertical="center"/>
    </xf>
    <xf numFmtId="0" fontId="48" fillId="5" borderId="56" xfId="45" applyFont="1" applyFill="1" applyBorder="1" applyAlignment="1">
      <alignment vertical="center"/>
    </xf>
    <xf numFmtId="0" fontId="117" fillId="16" borderId="132" xfId="207" applyFont="1" applyFill="1" applyBorder="1" applyAlignment="1">
      <alignment horizontal="center" vertical="center"/>
    </xf>
    <xf numFmtId="44" fontId="117" fillId="0" borderId="132" xfId="268" applyFont="1" applyFill="1" applyBorder="1" applyAlignment="1" applyProtection="1">
      <alignment vertical="center"/>
      <protection locked="0"/>
    </xf>
    <xf numFmtId="0" fontId="117" fillId="16" borderId="133" xfId="207" applyFont="1" applyFill="1" applyBorder="1" applyAlignment="1">
      <alignment horizontal="center" vertical="center"/>
    </xf>
    <xf numFmtId="44" fontId="117" fillId="0" borderId="133" xfId="268" applyFont="1" applyFill="1" applyBorder="1" applyAlignment="1" applyProtection="1">
      <alignment vertical="center"/>
      <protection locked="0"/>
    </xf>
    <xf numFmtId="0" fontId="126" fillId="0" borderId="87" xfId="207" applyFont="1" applyBorder="1" applyAlignment="1">
      <alignment horizontal="left" vertical="center" wrapText="1"/>
    </xf>
    <xf numFmtId="0" fontId="69" fillId="7" borderId="0" xfId="30" applyNumberFormat="1" applyFont="1" applyFill="1" applyBorder="1" applyAlignment="1">
      <alignment vertical="center"/>
    </xf>
    <xf numFmtId="4" fontId="69" fillId="7" borderId="0" xfId="30" applyNumberFormat="1" applyFont="1" applyFill="1" applyBorder="1" applyAlignment="1">
      <alignment vertical="center"/>
    </xf>
    <xf numFmtId="0" fontId="69" fillId="7" borderId="0" xfId="53" applyNumberFormat="1" applyFont="1" applyFill="1" applyBorder="1" applyAlignment="1">
      <alignment horizontal="center" vertical="center"/>
    </xf>
    <xf numFmtId="0" fontId="70" fillId="0" borderId="0" xfId="53" applyNumberFormat="1" applyFont="1" applyFill="1" applyBorder="1" applyAlignment="1">
      <alignment vertical="center"/>
    </xf>
    <xf numFmtId="49" fontId="69" fillId="7" borderId="0" xfId="53" applyNumberFormat="1" applyFont="1" applyFill="1" applyBorder="1" applyAlignment="1">
      <alignment vertical="center"/>
    </xf>
    <xf numFmtId="0" fontId="69" fillId="7" borderId="0" xfId="53" applyNumberFormat="1" applyFont="1" applyFill="1" applyBorder="1" applyAlignment="1">
      <alignment vertical="center"/>
    </xf>
    <xf numFmtId="49" fontId="70" fillId="0" borderId="0" xfId="53" applyNumberFormat="1" applyFont="1" applyFill="1" applyBorder="1" applyAlignment="1">
      <alignment vertical="center"/>
    </xf>
    <xf numFmtId="178" fontId="76" fillId="0" borderId="20" xfId="50" applyNumberFormat="1" applyFont="1" applyFill="1" applyBorder="1" applyAlignment="1">
      <alignment vertical="center" wrapText="1"/>
    </xf>
    <xf numFmtId="4" fontId="95" fillId="3" borderId="16" xfId="47" applyNumberFormat="1" applyFont="1" applyFill="1" applyBorder="1" applyAlignment="1">
      <alignment vertical="center"/>
    </xf>
    <xf numFmtId="17" fontId="96" fillId="13" borderId="0" xfId="45" applyNumberFormat="1" applyFont="1" applyFill="1" applyAlignment="1">
      <alignment horizontal="center" vertical="center"/>
    </xf>
    <xf numFmtId="177" fontId="72" fillId="10" borderId="22" xfId="58" applyNumberFormat="1" applyFont="1" applyFill="1" applyBorder="1" applyAlignment="1">
      <alignment horizontal="center" vertical="center"/>
    </xf>
    <xf numFmtId="4" fontId="95" fillId="3" borderId="134" xfId="47" applyNumberFormat="1" applyFont="1" applyFill="1" applyBorder="1" applyAlignment="1">
      <alignment horizontal="center" vertical="center"/>
    </xf>
    <xf numFmtId="4" fontId="67" fillId="3" borderId="54" xfId="47" applyNumberFormat="1" applyFont="1" applyFill="1" applyBorder="1" applyAlignment="1">
      <alignment horizontal="center" vertical="center"/>
    </xf>
    <xf numFmtId="4" fontId="72" fillId="10" borderId="24" xfId="58" applyNumberFormat="1" applyFont="1" applyFill="1" applyBorder="1" applyAlignment="1">
      <alignment horizontal="center" vertical="center"/>
    </xf>
    <xf numFmtId="4" fontId="72" fillId="10" borderId="16" xfId="58" applyNumberFormat="1" applyFont="1" applyFill="1" applyBorder="1" applyAlignment="1">
      <alignment horizontal="center" vertical="center"/>
    </xf>
    <xf numFmtId="4" fontId="71" fillId="0" borderId="20" xfId="50" applyNumberFormat="1" applyFont="1" applyFill="1" applyBorder="1" applyAlignment="1">
      <alignment horizontal="center" vertical="center" wrapText="1"/>
    </xf>
    <xf numFmtId="0" fontId="84" fillId="2" borderId="0" xfId="41" applyFont="1" applyFill="1" applyAlignment="1">
      <alignment horizontal="center" vertical="center"/>
    </xf>
    <xf numFmtId="4" fontId="77" fillId="10" borderId="0" xfId="41" applyNumberFormat="1" applyFont="1" applyFill="1" applyAlignment="1">
      <alignment horizontal="center" vertical="center" wrapText="1"/>
    </xf>
    <xf numFmtId="0" fontId="75" fillId="0" borderId="22" xfId="45" applyFont="1" applyBorder="1" applyAlignment="1">
      <alignment horizontal="center" vertical="center"/>
    </xf>
    <xf numFmtId="0" fontId="47" fillId="0" borderId="7" xfId="45" applyFont="1" applyBorder="1" applyAlignment="1">
      <alignment horizontal="center" vertical="center"/>
    </xf>
    <xf numFmtId="0" fontId="47" fillId="0" borderId="23" xfId="45" applyFont="1" applyBorder="1" applyAlignment="1">
      <alignment vertical="center"/>
    </xf>
    <xf numFmtId="178" fontId="47" fillId="0" borderId="24" xfId="82" applyNumberFormat="1" applyFont="1" applyBorder="1" applyAlignment="1">
      <alignment horizontal="center" vertical="center"/>
    </xf>
    <xf numFmtId="14" fontId="47" fillId="0" borderId="26" xfId="45" applyNumberFormat="1" applyFont="1" applyBorder="1" applyAlignment="1">
      <alignment horizontal="left" vertical="center"/>
    </xf>
    <xf numFmtId="0" fontId="91" fillId="0" borderId="0" xfId="53" applyFont="1"/>
    <xf numFmtId="0" fontId="74" fillId="10" borderId="15" xfId="41" applyFont="1" applyFill="1" applyBorder="1" applyAlignment="1">
      <alignment horizontal="centerContinuous" vertical="center"/>
    </xf>
    <xf numFmtId="0" fontId="74" fillId="10" borderId="17" xfId="41" applyFont="1" applyFill="1" applyBorder="1" applyAlignment="1">
      <alignment horizontal="centerContinuous" vertical="center"/>
    </xf>
    <xf numFmtId="15" fontId="74" fillId="10" borderId="18" xfId="41" applyNumberFormat="1" applyFont="1" applyFill="1" applyBorder="1" applyAlignment="1">
      <alignment horizontal="centerContinuous" vertical="center"/>
    </xf>
    <xf numFmtId="0" fontId="74" fillId="10" borderId="6" xfId="274" applyFont="1" applyFill="1" applyBorder="1" applyAlignment="1">
      <alignment horizontal="center" vertical="center"/>
    </xf>
    <xf numFmtId="0" fontId="74" fillId="10" borderId="1" xfId="274" applyFont="1" applyFill="1" applyBorder="1" applyAlignment="1">
      <alignment horizontal="center" vertical="center"/>
    </xf>
    <xf numFmtId="0" fontId="74" fillId="10" borderId="25" xfId="274" applyFont="1" applyFill="1" applyBorder="1" applyAlignment="1">
      <alignment horizontal="center" vertical="center"/>
    </xf>
    <xf numFmtId="4" fontId="130" fillId="3" borderId="48" xfId="50" applyNumberFormat="1" applyFont="1" applyFill="1" applyBorder="1" applyAlignment="1">
      <alignment vertical="center"/>
    </xf>
    <xf numFmtId="4" fontId="71" fillId="3" borderId="36" xfId="50" applyNumberFormat="1" applyFont="1" applyFill="1" applyBorder="1" applyAlignment="1">
      <alignment vertical="center"/>
    </xf>
    <xf numFmtId="4" fontId="71" fillId="3" borderId="28" xfId="50" applyNumberFormat="1" applyFont="1" applyFill="1" applyBorder="1" applyAlignment="1">
      <alignment vertical="center"/>
    </xf>
    <xf numFmtId="4" fontId="76" fillId="3" borderId="28" xfId="50" applyNumberFormat="1" applyFont="1" applyFill="1" applyBorder="1" applyAlignment="1">
      <alignment vertical="center"/>
    </xf>
    <xf numFmtId="0" fontId="71" fillId="0" borderId="76" xfId="41" applyFont="1" applyBorder="1" applyAlignment="1">
      <alignment vertical="center" wrapText="1"/>
    </xf>
    <xf numFmtId="3" fontId="71" fillId="2" borderId="31" xfId="42" applyNumberFormat="1" applyFont="1" applyFill="1" applyBorder="1" applyAlignment="1">
      <alignment horizontal="center" vertical="center"/>
    </xf>
    <xf numFmtId="4" fontId="71" fillId="0" borderId="20" xfId="42" applyNumberFormat="1" applyFont="1" applyFill="1" applyBorder="1" applyAlignment="1">
      <alignment vertical="center"/>
    </xf>
    <xf numFmtId="4" fontId="71" fillId="2" borderId="20" xfId="42" applyNumberFormat="1" applyFont="1" applyFill="1" applyBorder="1" applyAlignment="1">
      <alignment horizontal="center" vertical="center"/>
    </xf>
    <xf numFmtId="4" fontId="76" fillId="0" borderId="20" xfId="42" applyNumberFormat="1" applyFont="1" applyFill="1" applyBorder="1" applyAlignment="1">
      <alignment vertical="center"/>
    </xf>
    <xf numFmtId="0" fontId="67" fillId="2" borderId="0" xfId="274" applyFont="1" applyFill="1" applyAlignment="1">
      <alignment vertical="center"/>
    </xf>
    <xf numFmtId="0" fontId="71" fillId="2" borderId="0" xfId="41" quotePrefix="1" applyFont="1" applyFill="1" applyAlignment="1">
      <alignment horizontal="left" vertical="center"/>
    </xf>
    <xf numFmtId="0" fontId="36" fillId="0" borderId="0" xfId="41" applyFont="1" applyAlignment="1">
      <alignment vertical="center"/>
    </xf>
    <xf numFmtId="177" fontId="131" fillId="0" borderId="0" xfId="41" applyNumberFormat="1" applyFont="1" applyAlignment="1">
      <alignment horizontal="center" vertical="center"/>
    </xf>
    <xf numFmtId="4" fontId="49" fillId="0" borderId="46" xfId="104" applyNumberFormat="1" applyFont="1" applyFill="1" applyBorder="1" applyAlignment="1">
      <alignment horizontal="right" vertical="center" wrapText="1"/>
    </xf>
    <xf numFmtId="167" fontId="36" fillId="0" borderId="0" xfId="30" applyFont="1" applyFill="1" applyBorder="1" applyAlignment="1">
      <alignment vertical="center"/>
    </xf>
    <xf numFmtId="0" fontId="36" fillId="0" borderId="0" xfId="104" applyNumberFormat="1" applyFont="1" applyFill="1" applyBorder="1" applyAlignment="1">
      <alignment horizontal="left" vertical="center"/>
    </xf>
    <xf numFmtId="0" fontId="36" fillId="0" borderId="0" xfId="30" applyNumberFormat="1" applyFont="1" applyFill="1" applyBorder="1" applyAlignment="1">
      <alignment horizontal="left" vertical="center"/>
    </xf>
    <xf numFmtId="0" fontId="47" fillId="0" borderId="110" xfId="69" applyNumberFormat="1" applyFont="1" applyFill="1" applyBorder="1" applyAlignment="1"/>
    <xf numFmtId="0" fontId="47" fillId="0" borderId="3" xfId="69" applyNumberFormat="1" applyFont="1" applyFill="1" applyBorder="1" applyAlignment="1"/>
    <xf numFmtId="0" fontId="33" fillId="0" borderId="0" xfId="69" applyNumberFormat="1" applyFont="1" applyFill="1" applyBorder="1" applyAlignment="1"/>
    <xf numFmtId="0" fontId="110" fillId="15" borderId="97" xfId="69" applyFont="1" applyFill="1" applyBorder="1" applyAlignment="1">
      <alignment horizontal="left" vertical="center" wrapText="1"/>
    </xf>
    <xf numFmtId="0" fontId="111" fillId="15" borderId="99" xfId="69" applyFont="1" applyFill="1" applyBorder="1" applyAlignment="1">
      <alignment horizontal="right" vertical="center" wrapText="1"/>
    </xf>
    <xf numFmtId="0" fontId="69" fillId="17" borderId="78" xfId="69" applyFont="1" applyFill="1" applyBorder="1" applyAlignment="1">
      <alignment horizontal="center" vertical="center"/>
    </xf>
    <xf numFmtId="0" fontId="69" fillId="17" borderId="79" xfId="69" applyFont="1" applyFill="1" applyBorder="1" applyAlignment="1">
      <alignment horizontal="center" vertical="center"/>
    </xf>
    <xf numFmtId="0" fontId="69" fillId="17" borderId="80" xfId="69" applyFont="1" applyFill="1" applyBorder="1" applyAlignment="1">
      <alignment horizontal="center" vertical="center"/>
    </xf>
    <xf numFmtId="0" fontId="112" fillId="18" borderId="138" xfId="69" applyFont="1" applyFill="1" applyBorder="1" applyAlignment="1">
      <alignment horizontal="left" vertical="center"/>
    </xf>
    <xf numFmtId="166" fontId="112" fillId="15" borderId="139" xfId="249" applyFont="1" applyFill="1" applyBorder="1" applyAlignment="1">
      <alignment horizontal="center" vertical="center"/>
    </xf>
    <xf numFmtId="0" fontId="112" fillId="19" borderId="138" xfId="69" applyFont="1" applyFill="1" applyBorder="1" applyAlignment="1">
      <alignment horizontal="left" vertical="center"/>
    </xf>
    <xf numFmtId="166" fontId="112" fillId="19" borderId="139" xfId="249" applyFont="1" applyFill="1" applyBorder="1" applyAlignment="1">
      <alignment horizontal="center" vertical="center"/>
    </xf>
    <xf numFmtId="0" fontId="69" fillId="17" borderId="10" xfId="69" applyFont="1" applyFill="1" applyBorder="1" applyAlignment="1">
      <alignment horizontal="left" vertical="center"/>
    </xf>
    <xf numFmtId="166" fontId="69" fillId="17" borderId="13" xfId="249" applyFont="1" applyFill="1" applyBorder="1" applyAlignment="1">
      <alignment horizontal="center" vertical="center"/>
    </xf>
    <xf numFmtId="44" fontId="47" fillId="0" borderId="0" xfId="69" applyNumberFormat="1" applyFont="1" applyFill="1" applyBorder="1" applyAlignment="1"/>
    <xf numFmtId="44" fontId="47" fillId="0" borderId="110" xfId="69" applyNumberFormat="1" applyFont="1" applyFill="1" applyBorder="1" applyAlignment="1"/>
    <xf numFmtId="0" fontId="69" fillId="17" borderId="11" xfId="69" applyFont="1" applyFill="1" applyBorder="1" applyAlignment="1">
      <alignment horizontal="left" vertical="center"/>
    </xf>
    <xf numFmtId="166" fontId="69" fillId="17" borderId="12" xfId="249" applyFont="1" applyFill="1" applyBorder="1" applyAlignment="1">
      <alignment horizontal="left" vertical="center"/>
    </xf>
    <xf numFmtId="187" fontId="69" fillId="17" borderId="12" xfId="69" applyNumberFormat="1" applyFont="1" applyFill="1" applyBorder="1" applyAlignment="1">
      <alignment horizontal="center" vertical="center"/>
    </xf>
    <xf numFmtId="166" fontId="69" fillId="17" borderId="14" xfId="249" applyFont="1" applyFill="1" applyBorder="1" applyAlignment="1">
      <alignment horizontal="center" vertical="center"/>
    </xf>
    <xf numFmtId="0" fontId="47" fillId="0" borderId="111" xfId="69" applyNumberFormat="1" applyFont="1" applyFill="1" applyBorder="1" applyAlignment="1"/>
    <xf numFmtId="0" fontId="47" fillId="0" borderId="4" xfId="69" applyNumberFormat="1" applyFont="1" applyFill="1" applyBorder="1" applyAlignment="1"/>
    <xf numFmtId="0" fontId="47" fillId="0" borderId="8" xfId="69" applyNumberFormat="1" applyFont="1" applyFill="1" applyBorder="1" applyAlignment="1"/>
    <xf numFmtId="0" fontId="115" fillId="9" borderId="118" xfId="275" applyFont="1" applyFill="1" applyBorder="1" applyAlignment="1">
      <alignment vertical="center" wrapText="1"/>
    </xf>
    <xf numFmtId="0" fontId="104" fillId="15" borderId="140" xfId="275" applyFont="1" applyFill="1" applyBorder="1" applyAlignment="1">
      <alignment horizontal="left" vertical="center" wrapText="1"/>
    </xf>
    <xf numFmtId="0" fontId="104" fillId="15" borderId="141" xfId="275" applyFont="1" applyFill="1" applyBorder="1" applyAlignment="1">
      <alignment horizontal="center" vertical="center" wrapText="1"/>
    </xf>
    <xf numFmtId="181" fontId="104" fillId="15" borderId="141" xfId="275" applyNumberFormat="1" applyFont="1" applyFill="1" applyBorder="1" applyAlignment="1">
      <alignment horizontal="left" vertical="center" wrapText="1"/>
    </xf>
    <xf numFmtId="0" fontId="109" fillId="15" borderId="141" xfId="275" applyFont="1" applyFill="1" applyBorder="1" applyAlignment="1">
      <alignment horizontal="center" vertical="center" wrapText="1"/>
    </xf>
    <xf numFmtId="0" fontId="109" fillId="15" borderId="142" xfId="275" applyFont="1" applyFill="1" applyBorder="1" applyAlignment="1">
      <alignment horizontal="center" vertical="center" wrapText="1"/>
    </xf>
    <xf numFmtId="0" fontId="105" fillId="15" borderId="143" xfId="275" applyFont="1" applyFill="1" applyBorder="1"/>
    <xf numFmtId="0" fontId="132" fillId="0" borderId="0" xfId="275"/>
    <xf numFmtId="0" fontId="115" fillId="9" borderId="144" xfId="275" applyFont="1" applyFill="1" applyBorder="1" applyAlignment="1">
      <alignment vertical="center" wrapText="1"/>
    </xf>
    <xf numFmtId="0" fontId="104" fillId="15" borderId="135" xfId="275" applyFont="1" applyFill="1" applyBorder="1" applyAlignment="1">
      <alignment horizontal="left" vertical="center" wrapText="1"/>
    </xf>
    <xf numFmtId="0" fontId="104" fillId="15" borderId="136" xfId="275" applyFont="1" applyFill="1" applyBorder="1" applyAlignment="1">
      <alignment horizontal="center" vertical="center" wrapText="1"/>
    </xf>
    <xf numFmtId="181" fontId="104" fillId="15" borderId="136" xfId="275" applyNumberFormat="1" applyFont="1" applyFill="1" applyBorder="1" applyAlignment="1">
      <alignment horizontal="left" vertical="center" wrapText="1"/>
    </xf>
    <xf numFmtId="0" fontId="109" fillId="15" borderId="136" xfId="275" applyFont="1" applyFill="1" applyBorder="1" applyAlignment="1">
      <alignment horizontal="center" vertical="center" wrapText="1"/>
    </xf>
    <xf numFmtId="0" fontId="109" fillId="15" borderId="145" xfId="275" applyFont="1" applyFill="1" applyBorder="1" applyAlignment="1">
      <alignment horizontal="center" vertical="center" wrapText="1"/>
    </xf>
    <xf numFmtId="0" fontId="105" fillId="15" borderId="146" xfId="275" applyFont="1" applyFill="1" applyBorder="1"/>
    <xf numFmtId="0" fontId="109" fillId="15" borderId="147" xfId="275" applyFont="1" applyFill="1" applyBorder="1" applyAlignment="1">
      <alignment horizontal="center" vertical="center" wrapText="1"/>
    </xf>
    <xf numFmtId="0" fontId="132" fillId="0" borderId="9" xfId="275" applyBorder="1" applyAlignment="1">
      <alignment horizontal="center"/>
    </xf>
    <xf numFmtId="0" fontId="109" fillId="15" borderId="151" xfId="275" applyFont="1" applyFill="1" applyBorder="1"/>
    <xf numFmtId="0" fontId="116" fillId="15" borderId="117" xfId="275" applyFont="1" applyFill="1" applyBorder="1" applyAlignment="1">
      <alignment horizontal="center"/>
    </xf>
    <xf numFmtId="181" fontId="116" fillId="15" borderId="117" xfId="275" applyNumberFormat="1" applyFont="1" applyFill="1" applyBorder="1" applyAlignment="1">
      <alignment horizontal="center"/>
    </xf>
    <xf numFmtId="0" fontId="109" fillId="15" borderId="117" xfId="275" applyFont="1" applyFill="1" applyBorder="1" applyAlignment="1">
      <alignment horizontal="center"/>
    </xf>
    <xf numFmtId="0" fontId="116" fillId="15" borderId="152" xfId="275" applyFont="1" applyFill="1" applyBorder="1"/>
    <xf numFmtId="0" fontId="132" fillId="0" borderId="9" xfId="275" applyBorder="1"/>
    <xf numFmtId="0" fontId="109" fillId="15" borderId="145" xfId="275" applyFont="1" applyFill="1" applyBorder="1"/>
    <xf numFmtId="0" fontId="116" fillId="15" borderId="0" xfId="275" applyFont="1" applyFill="1" applyAlignment="1">
      <alignment horizontal="center"/>
    </xf>
    <xf numFmtId="181" fontId="116" fillId="15" borderId="0" xfId="275" applyNumberFormat="1" applyFont="1" applyFill="1" applyAlignment="1">
      <alignment horizontal="center"/>
    </xf>
    <xf numFmtId="0" fontId="109" fillId="15" borderId="0" xfId="275" applyFont="1" applyFill="1" applyAlignment="1">
      <alignment horizontal="center"/>
    </xf>
    <xf numFmtId="0" fontId="116" fillId="15" borderId="146" xfId="275" applyFont="1" applyFill="1" applyBorder="1"/>
    <xf numFmtId="43" fontId="0" fillId="0" borderId="9" xfId="276" applyFont="1" applyBorder="1" applyAlignment="1"/>
    <xf numFmtId="0" fontId="106" fillId="17" borderId="118" xfId="275" applyFont="1" applyFill="1" applyBorder="1" applyAlignment="1">
      <alignment horizontal="center" vertical="center"/>
    </xf>
    <xf numFmtId="0" fontId="106" fillId="17" borderId="119" xfId="275" applyFont="1" applyFill="1" applyBorder="1" applyAlignment="1">
      <alignment horizontal="center" vertical="center" wrapText="1"/>
    </xf>
    <xf numFmtId="181" fontId="106" fillId="17" borderId="120" xfId="275" applyNumberFormat="1" applyFont="1" applyFill="1" applyBorder="1" applyAlignment="1">
      <alignment horizontal="center" vertical="center" wrapText="1"/>
    </xf>
    <xf numFmtId="0" fontId="109" fillId="15" borderId="153" xfId="275" applyFont="1" applyFill="1" applyBorder="1" applyAlignment="1">
      <alignment vertical="center" wrapText="1"/>
    </xf>
    <xf numFmtId="181" fontId="109" fillId="15" borderId="137" xfId="275" applyNumberFormat="1" applyFont="1" applyFill="1" applyBorder="1" applyAlignment="1">
      <alignment horizontal="center" vertical="center" wrapText="1"/>
    </xf>
    <xf numFmtId="181" fontId="109" fillId="15" borderId="122" xfId="275" applyNumberFormat="1" applyFont="1" applyFill="1" applyBorder="1" applyAlignment="1">
      <alignment vertical="center" wrapText="1"/>
    </xf>
    <xf numFmtId="0" fontId="109" fillId="15" borderId="110" xfId="275" applyFont="1" applyFill="1" applyBorder="1" applyAlignment="1">
      <alignment horizontal="center"/>
    </xf>
    <xf numFmtId="0" fontId="109" fillId="15" borderId="3" xfId="275" applyFont="1" applyFill="1" applyBorder="1" applyAlignment="1">
      <alignment horizontal="center"/>
    </xf>
    <xf numFmtId="181" fontId="109" fillId="15" borderId="127" xfId="275" applyNumberFormat="1" applyFont="1" applyFill="1" applyBorder="1" applyAlignment="1">
      <alignment vertical="center" wrapText="1"/>
    </xf>
    <xf numFmtId="0" fontId="106" fillId="24" borderId="154" xfId="275" applyFont="1" applyFill="1" applyBorder="1" applyAlignment="1">
      <alignment vertical="center" wrapText="1"/>
    </xf>
    <xf numFmtId="181" fontId="106" fillId="24" borderId="155" xfId="275" applyNumberFormat="1" applyFont="1" applyFill="1" applyBorder="1" applyAlignment="1">
      <alignment horizontal="center" vertical="center" wrapText="1"/>
    </xf>
    <xf numFmtId="43" fontId="106" fillId="21" borderId="14" xfId="276" applyFont="1" applyFill="1" applyBorder="1" applyAlignment="1">
      <alignment vertical="center" wrapText="1"/>
    </xf>
    <xf numFmtId="0" fontId="116" fillId="15" borderId="145" xfId="275" applyFont="1" applyFill="1" applyBorder="1"/>
    <xf numFmtId="0" fontId="134" fillId="15" borderId="0" xfId="275" applyFont="1" applyFill="1" applyAlignment="1">
      <alignment horizontal="left"/>
    </xf>
    <xf numFmtId="0" fontId="109" fillId="15" borderId="0" xfId="275" applyFont="1" applyFill="1" applyAlignment="1">
      <alignment horizontal="left"/>
    </xf>
    <xf numFmtId="0" fontId="109" fillId="15" borderId="111" xfId="275" applyFont="1" applyFill="1" applyBorder="1" applyAlignment="1">
      <alignment horizontal="center"/>
    </xf>
    <xf numFmtId="0" fontId="109" fillId="15" borderId="8" xfId="275" applyFont="1" applyFill="1" applyBorder="1" applyAlignment="1">
      <alignment horizontal="center"/>
    </xf>
    <xf numFmtId="0" fontId="116" fillId="15" borderId="146" xfId="275" applyFont="1" applyFill="1" applyBorder="1" applyAlignment="1">
      <alignment horizontal="left"/>
    </xf>
    <xf numFmtId="0" fontId="106" fillId="17" borderId="156" xfId="275" applyFont="1" applyFill="1" applyBorder="1" applyAlignment="1">
      <alignment horizontal="center" vertical="center"/>
    </xf>
    <xf numFmtId="0" fontId="106" fillId="17" borderId="157" xfId="275" applyFont="1" applyFill="1" applyBorder="1" applyAlignment="1">
      <alignment horizontal="center" vertical="center" wrapText="1"/>
    </xf>
    <xf numFmtId="181" fontId="106" fillId="17" borderId="158" xfId="275" applyNumberFormat="1" applyFont="1" applyFill="1" applyBorder="1" applyAlignment="1">
      <alignment horizontal="center" vertical="center" wrapText="1"/>
    </xf>
    <xf numFmtId="0" fontId="135" fillId="5" borderId="112" xfId="277" applyFont="1" applyFill="1" applyBorder="1" applyAlignment="1">
      <alignment vertical="center" wrapText="1"/>
    </xf>
    <xf numFmtId="43" fontId="135" fillId="5" borderId="113" xfId="276" applyFont="1" applyFill="1" applyBorder="1" applyAlignment="1">
      <alignment horizontal="center" vertical="center" wrapText="1"/>
    </xf>
    <xf numFmtId="43" fontId="135" fillId="0" borderId="114" xfId="276" applyFont="1" applyFill="1" applyBorder="1" applyAlignment="1">
      <alignment vertical="center" wrapText="1"/>
    </xf>
    <xf numFmtId="0" fontId="106" fillId="21" borderId="159" xfId="277" applyFont="1" applyFill="1" applyBorder="1" applyAlignment="1">
      <alignment vertical="center" wrapText="1"/>
    </xf>
    <xf numFmtId="43" fontId="106" fillId="21" borderId="6" xfId="276" applyFont="1" applyFill="1" applyBorder="1" applyAlignment="1">
      <alignment horizontal="center" vertical="center" wrapText="1"/>
    </xf>
    <xf numFmtId="43" fontId="106" fillId="21" borderId="160" xfId="276" applyFont="1" applyFill="1" applyBorder="1" applyAlignment="1">
      <alignment vertical="center" wrapText="1"/>
    </xf>
    <xf numFmtId="0" fontId="109" fillId="15" borderId="117" xfId="275" applyFont="1" applyFill="1" applyBorder="1" applyAlignment="1">
      <alignment horizontal="left"/>
    </xf>
    <xf numFmtId="0" fontId="116" fillId="15" borderId="152" xfId="275" applyFont="1" applyFill="1" applyBorder="1" applyAlignment="1">
      <alignment horizontal="left"/>
    </xf>
    <xf numFmtId="0" fontId="110" fillId="5" borderId="112" xfId="278" applyFont="1" applyFill="1" applyBorder="1" applyAlignment="1">
      <alignment vertical="center" wrapText="1"/>
    </xf>
    <xf numFmtId="43" fontId="110" fillId="5" borderId="113" xfId="279" applyFont="1" applyFill="1" applyBorder="1" applyAlignment="1">
      <alignment horizontal="center" vertical="center" wrapText="1"/>
    </xf>
    <xf numFmtId="43" fontId="110" fillId="5" borderId="114" xfId="279" applyFont="1" applyFill="1" applyBorder="1" applyAlignment="1">
      <alignment vertical="center" wrapText="1"/>
    </xf>
    <xf numFmtId="0" fontId="110" fillId="5" borderId="115" xfId="278" applyFont="1" applyFill="1" applyBorder="1" applyAlignment="1">
      <alignment vertical="center" wrapText="1"/>
    </xf>
    <xf numFmtId="43" fontId="110" fillId="5" borderId="21" xfId="279" applyFont="1" applyFill="1" applyBorder="1" applyAlignment="1">
      <alignment horizontal="center" vertical="center" wrapText="1"/>
    </xf>
    <xf numFmtId="43" fontId="110" fillId="5" borderId="116" xfId="279" applyFont="1" applyFill="1" applyBorder="1" applyAlignment="1">
      <alignment vertical="center" wrapText="1"/>
    </xf>
    <xf numFmtId="0" fontId="69" fillId="21" borderId="10" xfId="278" applyFont="1" applyFill="1" applyBorder="1" applyAlignment="1">
      <alignment vertical="center" wrapText="1"/>
    </xf>
    <xf numFmtId="43" fontId="69" fillId="21" borderId="9" xfId="279" applyFont="1" applyFill="1" applyBorder="1" applyAlignment="1">
      <alignment horizontal="center" vertical="center" wrapText="1"/>
    </xf>
    <xf numFmtId="43" fontId="69" fillId="21" borderId="13" xfId="279" applyFont="1" applyFill="1" applyBorder="1" applyAlignment="1">
      <alignment vertical="center" wrapText="1"/>
    </xf>
    <xf numFmtId="181" fontId="109" fillId="15" borderId="0" xfId="275" applyNumberFormat="1" applyFont="1" applyFill="1" applyAlignment="1">
      <alignment horizontal="center"/>
    </xf>
    <xf numFmtId="0" fontId="109" fillId="15" borderId="146" xfId="275" applyFont="1" applyFill="1" applyBorder="1"/>
    <xf numFmtId="181" fontId="136" fillId="15" borderId="161" xfId="275" applyNumberFormat="1" applyFont="1" applyFill="1" applyBorder="1" applyAlignment="1">
      <alignment vertical="center" wrapText="1"/>
    </xf>
    <xf numFmtId="0" fontId="106" fillId="24" borderId="123" xfId="275" applyFont="1" applyFill="1" applyBorder="1" applyAlignment="1">
      <alignment vertical="center" wrapText="1"/>
    </xf>
    <xf numFmtId="181" fontId="106" fillId="24" borderId="124" xfId="275" applyNumberFormat="1" applyFont="1" applyFill="1" applyBorder="1" applyAlignment="1">
      <alignment horizontal="center" vertical="center" wrapText="1"/>
    </xf>
    <xf numFmtId="181" fontId="106" fillId="24" borderId="125" xfId="275" applyNumberFormat="1" applyFont="1" applyFill="1" applyBorder="1" applyAlignment="1">
      <alignment vertical="center" wrapText="1"/>
    </xf>
    <xf numFmtId="0" fontId="109" fillId="15" borderId="121" xfId="275" applyFont="1" applyFill="1" applyBorder="1" applyAlignment="1">
      <alignment vertical="center" wrapText="1"/>
    </xf>
    <xf numFmtId="181" fontId="109" fillId="15" borderId="108" xfId="275" applyNumberFormat="1" applyFont="1" applyFill="1" applyBorder="1" applyAlignment="1">
      <alignment horizontal="center" vertical="center" wrapText="1"/>
    </xf>
    <xf numFmtId="181" fontId="109" fillId="15" borderId="125" xfId="275" applyNumberFormat="1" applyFont="1" applyFill="1" applyBorder="1" applyAlignment="1">
      <alignment vertical="center" wrapText="1"/>
    </xf>
    <xf numFmtId="0" fontId="106" fillId="24" borderId="144" xfId="275" applyFont="1" applyFill="1" applyBorder="1" applyAlignment="1">
      <alignment vertical="center" wrapText="1"/>
    </xf>
    <xf numFmtId="181" fontId="106" fillId="24" borderId="51" xfId="275" applyNumberFormat="1" applyFont="1" applyFill="1" applyBorder="1" applyAlignment="1">
      <alignment horizontal="center" vertical="center" wrapText="1"/>
    </xf>
    <xf numFmtId="181" fontId="106" fillId="24" borderId="162" xfId="275" applyNumberFormat="1" applyFont="1" applyFill="1" applyBorder="1" applyAlignment="1">
      <alignment vertical="center" wrapText="1"/>
    </xf>
    <xf numFmtId="43" fontId="132" fillId="0" borderId="0" xfId="275" applyNumberFormat="1"/>
    <xf numFmtId="181" fontId="109" fillId="15" borderId="161" xfId="275" applyNumberFormat="1" applyFont="1" applyFill="1" applyBorder="1" applyAlignment="1">
      <alignment vertical="center" wrapText="1"/>
    </xf>
    <xf numFmtId="0" fontId="109" fillId="5" borderId="84" xfId="277" applyFont="1" applyFill="1" applyBorder="1" applyAlignment="1">
      <alignment vertical="center" wrapText="1"/>
    </xf>
    <xf numFmtId="0" fontId="116" fillId="15" borderId="147" xfId="275" applyFont="1" applyFill="1" applyBorder="1"/>
    <xf numFmtId="0" fontId="116" fillId="15" borderId="163" xfId="275" applyFont="1" applyFill="1" applyBorder="1" applyAlignment="1">
      <alignment horizontal="center"/>
    </xf>
    <xf numFmtId="181" fontId="116" fillId="15" borderId="163" xfId="275" applyNumberFormat="1" applyFont="1" applyFill="1" applyBorder="1" applyAlignment="1">
      <alignment horizontal="center"/>
    </xf>
    <xf numFmtId="0" fontId="109" fillId="15" borderId="163" xfId="275" applyFont="1" applyFill="1" applyBorder="1" applyAlignment="1">
      <alignment horizontal="center"/>
    </xf>
    <xf numFmtId="0" fontId="116" fillId="15" borderId="164" xfId="275" applyFont="1" applyFill="1" applyBorder="1"/>
    <xf numFmtId="0" fontId="109" fillId="15" borderId="123" xfId="275" applyFont="1" applyFill="1" applyBorder="1" applyAlignment="1">
      <alignment vertical="center" wrapText="1"/>
    </xf>
    <xf numFmtId="181" fontId="109" fillId="15" borderId="124" xfId="275" applyNumberFormat="1" applyFont="1" applyFill="1" applyBorder="1" applyAlignment="1">
      <alignment horizontal="center" vertical="center" wrapText="1"/>
    </xf>
    <xf numFmtId="0" fontId="105" fillId="15" borderId="165" xfId="275" applyFont="1" applyFill="1" applyBorder="1"/>
    <xf numFmtId="181" fontId="114" fillId="0" borderId="0" xfId="275" applyNumberFormat="1" applyFont="1"/>
    <xf numFmtId="0" fontId="105" fillId="15" borderId="166" xfId="275" applyFont="1" applyFill="1" applyBorder="1"/>
    <xf numFmtId="0" fontId="109" fillId="15" borderId="0" xfId="275" applyFont="1" applyFill="1" applyAlignment="1">
      <alignment horizontal="center" vertical="center" wrapText="1"/>
    </xf>
    <xf numFmtId="0" fontId="10" fillId="0" borderId="0" xfId="275" applyFont="1"/>
    <xf numFmtId="181" fontId="109" fillId="15" borderId="122" xfId="275" applyNumberFormat="1" applyFont="1" applyFill="1" applyBorder="1" applyAlignment="1">
      <alignment horizontal="center" vertical="center" wrapText="1"/>
    </xf>
    <xf numFmtId="0" fontId="114" fillId="25" borderId="0" xfId="275" applyFont="1" applyFill="1"/>
    <xf numFmtId="181" fontId="114" fillId="25" borderId="0" xfId="275" applyNumberFormat="1" applyFont="1" applyFill="1"/>
    <xf numFmtId="181" fontId="109" fillId="22" borderId="125" xfId="275" applyNumberFormat="1" applyFont="1" applyFill="1" applyBorder="1" applyAlignment="1">
      <alignment horizontal="center" vertical="center" wrapText="1"/>
    </xf>
    <xf numFmtId="0" fontId="137" fillId="15" borderId="121" xfId="275" applyFont="1" applyFill="1" applyBorder="1" applyAlignment="1">
      <alignment vertical="center" wrapText="1"/>
    </xf>
    <xf numFmtId="181" fontId="137" fillId="15" borderId="108" xfId="275" applyNumberFormat="1" applyFont="1" applyFill="1" applyBorder="1" applyAlignment="1">
      <alignment horizontal="center" vertical="center" wrapText="1"/>
    </xf>
    <xf numFmtId="181" fontId="137" fillId="15" borderId="122" xfId="275" applyNumberFormat="1" applyFont="1" applyFill="1" applyBorder="1" applyAlignment="1">
      <alignment horizontal="center" vertical="center" wrapText="1"/>
    </xf>
    <xf numFmtId="0" fontId="137" fillId="15" borderId="123" xfId="275" applyFont="1" applyFill="1" applyBorder="1" applyAlignment="1">
      <alignment vertical="center" wrapText="1"/>
    </xf>
    <xf numFmtId="181" fontId="137" fillId="15" borderId="124" xfId="275" applyNumberFormat="1" applyFont="1" applyFill="1" applyBorder="1" applyAlignment="1">
      <alignment horizontal="center" vertical="center" wrapText="1"/>
    </xf>
    <xf numFmtId="181" fontId="137" fillId="15" borderId="125" xfId="275" applyNumberFormat="1" applyFont="1" applyFill="1" applyBorder="1" applyAlignment="1">
      <alignment horizontal="center" vertical="center" wrapText="1"/>
    </xf>
    <xf numFmtId="0" fontId="109" fillId="15" borderId="126" xfId="275" applyFont="1" applyFill="1" applyBorder="1" applyAlignment="1">
      <alignment vertical="center" wrapText="1"/>
    </xf>
    <xf numFmtId="181" fontId="109" fillId="15" borderId="109" xfId="275" applyNumberFormat="1" applyFont="1" applyFill="1" applyBorder="1" applyAlignment="1">
      <alignment horizontal="center" vertical="center" wrapText="1"/>
    </xf>
    <xf numFmtId="181" fontId="109" fillId="15" borderId="127" xfId="275" applyNumberFormat="1" applyFont="1" applyFill="1" applyBorder="1" applyAlignment="1">
      <alignment horizontal="center" vertical="center" wrapText="1"/>
    </xf>
    <xf numFmtId="0" fontId="109" fillId="15" borderId="0" xfId="275" applyFont="1" applyFill="1"/>
    <xf numFmtId="181" fontId="109" fillId="15" borderId="161" xfId="275" applyNumberFormat="1" applyFont="1" applyFill="1" applyBorder="1" applyAlignment="1">
      <alignment horizontal="center" vertical="center" wrapText="1"/>
    </xf>
    <xf numFmtId="188" fontId="109" fillId="15" borderId="127" xfId="275" applyNumberFormat="1" applyFont="1" applyFill="1" applyBorder="1" applyAlignment="1">
      <alignment horizontal="center" vertical="center" wrapText="1"/>
    </xf>
    <xf numFmtId="181" fontId="127" fillId="0" borderId="0" xfId="275" applyNumberFormat="1" applyFont="1"/>
    <xf numFmtId="0" fontId="114" fillId="15" borderId="145" xfId="275" applyFont="1" applyFill="1" applyBorder="1"/>
    <xf numFmtId="44" fontId="109" fillId="15" borderId="0" xfId="275" applyNumberFormat="1" applyFont="1" applyFill="1"/>
    <xf numFmtId="0" fontId="114" fillId="15" borderId="146" xfId="275" applyFont="1" applyFill="1" applyBorder="1"/>
    <xf numFmtId="0" fontId="109" fillId="15" borderId="128" xfId="275" applyFont="1" applyFill="1" applyBorder="1" applyAlignment="1">
      <alignment vertical="center" wrapText="1"/>
    </xf>
    <xf numFmtId="181" fontId="109" fillId="15" borderId="129" xfId="275" applyNumberFormat="1" applyFont="1" applyFill="1" applyBorder="1" applyAlignment="1">
      <alignment horizontal="center" vertical="center" wrapText="1"/>
    </xf>
    <xf numFmtId="181" fontId="109" fillId="15" borderId="130" xfId="275" applyNumberFormat="1" applyFont="1" applyFill="1" applyBorder="1" applyAlignment="1">
      <alignment horizontal="center" vertical="center" wrapText="1"/>
    </xf>
    <xf numFmtId="0" fontId="114" fillId="15" borderId="0" xfId="275" applyFont="1" applyFill="1"/>
    <xf numFmtId="0" fontId="106" fillId="17" borderId="120" xfId="275" applyFont="1" applyFill="1" applyBorder="1" applyAlignment="1">
      <alignment horizontal="center" vertical="center" wrapText="1"/>
    </xf>
    <xf numFmtId="0" fontId="109" fillId="15" borderId="167" xfId="275" applyFont="1" applyFill="1" applyBorder="1" applyAlignment="1">
      <alignment vertical="center" wrapText="1"/>
    </xf>
    <xf numFmtId="181" fontId="106" fillId="23" borderId="171" xfId="275" applyNumberFormat="1" applyFont="1" applyFill="1" applyBorder="1" applyAlignment="1">
      <alignment horizontal="center" vertical="center" wrapText="1"/>
    </xf>
    <xf numFmtId="0" fontId="109" fillId="15" borderId="172" xfId="275" applyFont="1" applyFill="1" applyBorder="1" applyAlignment="1">
      <alignment vertical="center" wrapText="1"/>
    </xf>
    <xf numFmtId="181" fontId="109" fillId="15" borderId="70" xfId="275" applyNumberFormat="1" applyFont="1" applyFill="1" applyBorder="1" applyAlignment="1">
      <alignment horizontal="center" vertical="center" wrapText="1"/>
    </xf>
    <xf numFmtId="181" fontId="109" fillId="15" borderId="173" xfId="275" applyNumberFormat="1" applyFont="1" applyFill="1" applyBorder="1" applyAlignment="1">
      <alignment horizontal="center" vertical="center" wrapText="1"/>
    </xf>
    <xf numFmtId="0" fontId="114" fillId="0" borderId="145" xfId="275" applyFont="1" applyBorder="1"/>
    <xf numFmtId="0" fontId="114" fillId="0" borderId="146" xfId="275" applyFont="1" applyBorder="1"/>
    <xf numFmtId="0" fontId="106" fillId="17" borderId="131" xfId="275" applyFont="1" applyFill="1" applyBorder="1" applyAlignment="1">
      <alignment horizontal="center" vertical="center"/>
    </xf>
    <xf numFmtId="0" fontId="106" fillId="17" borderId="106" xfId="275" applyFont="1" applyFill="1" applyBorder="1" applyAlignment="1">
      <alignment horizontal="center" vertical="center" wrapText="1"/>
    </xf>
    <xf numFmtId="0" fontId="106" fillId="17" borderId="107" xfId="275" applyFont="1" applyFill="1" applyBorder="1" applyAlignment="1">
      <alignment horizontal="center" vertical="center" wrapText="1"/>
    </xf>
    <xf numFmtId="0" fontId="109" fillId="15" borderId="174" xfId="275" applyFont="1" applyFill="1" applyBorder="1" applyAlignment="1">
      <alignment vertical="center"/>
    </xf>
    <xf numFmtId="181" fontId="109" fillId="26" borderId="109" xfId="275" applyNumberFormat="1" applyFont="1" applyFill="1" applyBorder="1" applyAlignment="1">
      <alignment horizontal="center" vertical="center" wrapText="1"/>
    </xf>
    <xf numFmtId="181" fontId="109" fillId="26" borderId="175" xfId="275" applyNumberFormat="1" applyFont="1" applyFill="1" applyBorder="1" applyAlignment="1">
      <alignment horizontal="center" vertical="center" wrapText="1"/>
    </xf>
    <xf numFmtId="0" fontId="109" fillId="15" borderId="97" xfId="275" applyFont="1" applyFill="1" applyBorder="1" applyAlignment="1">
      <alignment vertical="center"/>
    </xf>
    <xf numFmtId="0" fontId="109" fillId="15" borderId="176" xfId="275" applyFont="1" applyFill="1" applyBorder="1" applyAlignment="1">
      <alignment vertical="center"/>
    </xf>
    <xf numFmtId="181" fontId="106" fillId="23" borderId="180" xfId="275" applyNumberFormat="1" applyFont="1" applyFill="1" applyBorder="1" applyAlignment="1">
      <alignment horizontal="center" vertical="center" wrapText="1"/>
    </xf>
    <xf numFmtId="0" fontId="114" fillId="0" borderId="0" xfId="275" applyFont="1"/>
    <xf numFmtId="0" fontId="106" fillId="0" borderId="0" xfId="275" applyFont="1" applyAlignment="1">
      <alignment horizontal="center" vertical="center" wrapText="1"/>
    </xf>
    <xf numFmtId="0" fontId="138" fillId="0" borderId="0" xfId="275" applyFont="1" applyAlignment="1">
      <alignment horizontal="center" vertical="center" wrapText="1"/>
    </xf>
    <xf numFmtId="181" fontId="106" fillId="0" borderId="0" xfId="275" applyNumberFormat="1" applyFont="1" applyAlignment="1">
      <alignment horizontal="center" vertical="center" wrapText="1"/>
    </xf>
    <xf numFmtId="0" fontId="135" fillId="0" borderId="0" xfId="275" applyFont="1" applyAlignment="1">
      <alignment horizontal="center" vertical="center" wrapText="1"/>
    </xf>
    <xf numFmtId="0" fontId="114" fillId="15" borderId="147" xfId="275" applyFont="1" applyFill="1" applyBorder="1"/>
    <xf numFmtId="0" fontId="114" fillId="15" borderId="163" xfId="275" applyFont="1" applyFill="1" applyBorder="1"/>
    <xf numFmtId="0" fontId="114" fillId="15" borderId="164" xfId="275" applyFont="1" applyFill="1" applyBorder="1"/>
    <xf numFmtId="4" fontId="49" fillId="0" borderId="46" xfId="104" applyNumberFormat="1" applyFont="1" applyFill="1" applyBorder="1" applyAlignment="1">
      <alignment horizontal="center" vertical="center" wrapText="1"/>
    </xf>
    <xf numFmtId="0" fontId="91" fillId="0" borderId="0" xfId="69" applyFont="1"/>
    <xf numFmtId="185" fontId="92" fillId="0" borderId="0" xfId="207" applyNumberFormat="1" applyFont="1" applyAlignment="1">
      <alignment horizontal="left" vertical="center"/>
    </xf>
    <xf numFmtId="186" fontId="92" fillId="0" borderId="0" xfId="207" applyNumberFormat="1" applyFont="1" applyAlignment="1">
      <alignment horizontal="left" vertical="center"/>
    </xf>
    <xf numFmtId="0" fontId="77" fillId="10" borderId="18" xfId="104" applyNumberFormat="1" applyFont="1" applyFill="1" applyBorder="1" applyAlignment="1">
      <alignment horizontal="center" vertical="center" wrapText="1"/>
    </xf>
    <xf numFmtId="0" fontId="77" fillId="10" borderId="5" xfId="104" applyNumberFormat="1" applyFont="1" applyFill="1" applyBorder="1" applyAlignment="1">
      <alignment horizontal="center" vertical="center" wrapText="1"/>
    </xf>
    <xf numFmtId="0" fontId="77" fillId="10" borderId="19" xfId="104" applyNumberFormat="1" applyFont="1" applyFill="1" applyBorder="1" applyAlignment="1">
      <alignment horizontal="center" vertical="center" wrapText="1"/>
    </xf>
    <xf numFmtId="4" fontId="49" fillId="0" borderId="46" xfId="104" applyNumberFormat="1" applyFont="1" applyFill="1" applyBorder="1" applyAlignment="1">
      <alignment horizontal="left" vertical="center"/>
    </xf>
    <xf numFmtId="43" fontId="49" fillId="0" borderId="0" xfId="279" applyFont="1" applyFill="1" applyBorder="1" applyAlignment="1">
      <alignment horizontal="center" vertical="center"/>
    </xf>
    <xf numFmtId="4" fontId="113" fillId="0" borderId="46" xfId="104" applyNumberFormat="1" applyFont="1" applyFill="1" applyBorder="1" applyAlignment="1">
      <alignment horizontal="center" vertical="center" wrapText="1"/>
    </xf>
    <xf numFmtId="4" fontId="49" fillId="0" borderId="0" xfId="53" applyNumberFormat="1" applyFont="1" applyFill="1" applyBorder="1" applyAlignment="1">
      <alignment horizontal="center" vertical="center"/>
    </xf>
    <xf numFmtId="0" fontId="49" fillId="28" borderId="46" xfId="53" applyNumberFormat="1" applyFont="1" applyFill="1" applyBorder="1" applyAlignment="1">
      <alignment vertical="center"/>
    </xf>
    <xf numFmtId="0" fontId="49" fillId="0" borderId="0" xfId="53" applyNumberFormat="1" applyFont="1" applyFill="1" applyBorder="1" applyAlignment="1">
      <alignment horizontal="left" vertical="center"/>
    </xf>
    <xf numFmtId="0" fontId="49" fillId="0" borderId="46" xfId="53" applyNumberFormat="1" applyFont="1" applyFill="1" applyBorder="1" applyAlignment="1">
      <alignment vertical="center" wrapText="1"/>
    </xf>
    <xf numFmtId="0" fontId="49" fillId="5" borderId="46" xfId="53" applyNumberFormat="1" applyFont="1" applyFill="1" applyBorder="1" applyAlignment="1">
      <alignment vertical="center"/>
    </xf>
    <xf numFmtId="2" fontId="49" fillId="0" borderId="0" xfId="53" applyNumberFormat="1" applyFont="1" applyFill="1" applyBorder="1" applyAlignment="1">
      <alignment horizontal="center" vertical="center"/>
    </xf>
    <xf numFmtId="0" fontId="139" fillId="5" borderId="46" xfId="53" applyNumberFormat="1" applyFont="1" applyFill="1" applyBorder="1" applyAlignment="1">
      <alignment vertical="center"/>
    </xf>
    <xf numFmtId="4" fontId="49" fillId="5" borderId="46" xfId="104" applyNumberFormat="1" applyFont="1" applyFill="1" applyBorder="1" applyAlignment="1">
      <alignment horizontal="center" vertical="center" wrapText="1"/>
    </xf>
    <xf numFmtId="0" fontId="36" fillId="0" borderId="0" xfId="104" applyNumberFormat="1" applyFont="1" applyFill="1" applyBorder="1" applyAlignment="1">
      <alignment vertical="center"/>
    </xf>
    <xf numFmtId="43" fontId="36" fillId="0" borderId="0" xfId="279" applyFont="1" applyFill="1" applyBorder="1" applyAlignment="1">
      <alignment vertical="center"/>
    </xf>
    <xf numFmtId="0" fontId="36" fillId="0" borderId="0" xfId="104" applyNumberFormat="1" applyFont="1" applyFill="1" applyBorder="1" applyAlignment="1">
      <alignment horizontal="right" vertical="center"/>
    </xf>
    <xf numFmtId="0" fontId="37" fillId="0" borderId="0" xfId="104" applyNumberFormat="1" applyFont="1" applyFill="1" applyBorder="1" applyAlignment="1">
      <alignment vertical="center"/>
    </xf>
    <xf numFmtId="44" fontId="36" fillId="0" borderId="0" xfId="30" applyNumberFormat="1" applyFont="1" applyFill="1" applyBorder="1" applyAlignment="1">
      <alignment vertical="center"/>
    </xf>
    <xf numFmtId="0" fontId="74" fillId="10" borderId="25" xfId="274" applyFont="1" applyFill="1" applyBorder="1" applyAlignment="1">
      <alignment horizontal="center" vertical="center" wrapText="1"/>
    </xf>
    <xf numFmtId="0" fontId="47" fillId="0" borderId="57" xfId="45" applyFont="1" applyBorder="1" applyAlignment="1">
      <alignment horizontal="right" vertical="center"/>
    </xf>
    <xf numFmtId="14" fontId="47" fillId="0" borderId="57" xfId="45" applyNumberFormat="1" applyFont="1" applyBorder="1" applyAlignment="1">
      <alignment horizontal="center" vertical="center"/>
    </xf>
    <xf numFmtId="17" fontId="102" fillId="13" borderId="56" xfId="45" applyNumberFormat="1" applyFont="1" applyFill="1" applyBorder="1" applyAlignment="1">
      <alignment vertical="center"/>
    </xf>
    <xf numFmtId="17" fontId="102" fillId="13" borderId="57" xfId="45" applyNumberFormat="1" applyFont="1" applyFill="1" applyBorder="1" applyAlignment="1">
      <alignment vertical="center"/>
    </xf>
    <xf numFmtId="17" fontId="102" fillId="13" borderId="63" xfId="45" applyNumberFormat="1" applyFont="1" applyFill="1" applyBorder="1" applyAlignment="1">
      <alignment vertical="center"/>
    </xf>
    <xf numFmtId="0" fontId="77" fillId="10" borderId="7" xfId="41" applyFont="1" applyFill="1" applyBorder="1" applyAlignment="1">
      <alignment horizontal="center" vertical="center"/>
    </xf>
    <xf numFmtId="43" fontId="36" fillId="2" borderId="9" xfId="288" applyFont="1" applyFill="1" applyBorder="1" applyAlignment="1">
      <alignment vertical="center"/>
    </xf>
    <xf numFmtId="0" fontId="77" fillId="10" borderId="0" xfId="41" applyFont="1" applyFill="1" applyAlignment="1">
      <alignment vertical="center" wrapText="1"/>
    </xf>
    <xf numFmtId="0" fontId="77" fillId="10" borderId="23" xfId="41" applyFont="1" applyFill="1" applyBorder="1" applyAlignment="1">
      <alignment vertical="center" wrapText="1"/>
    </xf>
    <xf numFmtId="0" fontId="78" fillId="10" borderId="1" xfId="41" applyFont="1" applyFill="1" applyBorder="1" applyAlignment="1">
      <alignment vertical="center"/>
    </xf>
    <xf numFmtId="0" fontId="74" fillId="10" borderId="15" xfId="41" applyFont="1" applyFill="1" applyBorder="1" applyAlignment="1">
      <alignment horizontal="left" vertical="center" indent="4"/>
    </xf>
    <xf numFmtId="0" fontId="78" fillId="10" borderId="0" xfId="41" applyFont="1" applyFill="1" applyAlignment="1">
      <alignment horizontal="left" vertical="center" indent="4"/>
    </xf>
    <xf numFmtId="0" fontId="140" fillId="10" borderId="15" xfId="41" applyFont="1" applyFill="1" applyBorder="1" applyAlignment="1">
      <alignment horizontal="centerContinuous" vertical="center"/>
    </xf>
    <xf numFmtId="0" fontId="140" fillId="10" borderId="17" xfId="41" applyFont="1" applyFill="1" applyBorder="1" applyAlignment="1">
      <alignment horizontal="centerContinuous" vertical="center"/>
    </xf>
    <xf numFmtId="15" fontId="140" fillId="10" borderId="18" xfId="41" applyNumberFormat="1" applyFont="1" applyFill="1" applyBorder="1" applyAlignment="1">
      <alignment horizontal="centerContinuous" vertical="center"/>
    </xf>
    <xf numFmtId="0" fontId="78" fillId="10" borderId="19" xfId="41" applyFont="1" applyFill="1" applyBorder="1" applyAlignment="1">
      <alignment horizontal="center" vertical="center"/>
    </xf>
    <xf numFmtId="0" fontId="78" fillId="10" borderId="6" xfId="41" applyFont="1" applyFill="1" applyBorder="1" applyAlignment="1">
      <alignment horizontal="center" vertical="center"/>
    </xf>
    <xf numFmtId="0" fontId="140" fillId="10" borderId="1" xfId="274" applyFont="1" applyFill="1" applyBorder="1" applyAlignment="1">
      <alignment horizontal="center" vertical="center"/>
    </xf>
    <xf numFmtId="0" fontId="140" fillId="10" borderId="6" xfId="274" applyFont="1" applyFill="1" applyBorder="1" applyAlignment="1">
      <alignment horizontal="center" vertical="center"/>
    </xf>
    <xf numFmtId="0" fontId="78" fillId="10" borderId="23" xfId="41" applyFont="1" applyFill="1" applyBorder="1" applyAlignment="1">
      <alignment horizontal="center" vertical="center"/>
    </xf>
    <xf numFmtId="0" fontId="78" fillId="10" borderId="1" xfId="41" applyFont="1" applyFill="1" applyBorder="1" applyAlignment="1">
      <alignment horizontal="center" vertical="center"/>
    </xf>
    <xf numFmtId="0" fontId="140" fillId="10" borderId="25" xfId="274" applyFont="1" applyFill="1" applyBorder="1" applyAlignment="1">
      <alignment horizontal="center" vertical="center" wrapText="1"/>
    </xf>
    <xf numFmtId="0" fontId="140" fillId="10" borderId="9" xfId="274" applyFont="1" applyFill="1" applyBorder="1" applyAlignment="1">
      <alignment horizontal="center" vertical="center" wrapText="1"/>
    </xf>
    <xf numFmtId="0" fontId="78" fillId="10" borderId="19" xfId="57" applyFont="1" applyFill="1" applyBorder="1" applyAlignment="1">
      <alignment horizontal="center" vertical="center"/>
    </xf>
    <xf numFmtId="0" fontId="78" fillId="11" borderId="52" xfId="69" applyFont="1" applyFill="1" applyBorder="1" applyAlignment="1">
      <alignment horizontal="center" vertical="center" wrapText="1"/>
    </xf>
    <xf numFmtId="0" fontId="140" fillId="10" borderId="15" xfId="41" applyFont="1" applyFill="1" applyBorder="1" applyAlignment="1">
      <alignment horizontal="center" vertical="center"/>
    </xf>
    <xf numFmtId="0" fontId="140" fillId="10" borderId="17" xfId="41" applyFont="1" applyFill="1" applyBorder="1" applyAlignment="1">
      <alignment horizontal="center" vertical="center"/>
    </xf>
    <xf numFmtId="0" fontId="78" fillId="12" borderId="51" xfId="69" applyFont="1" applyFill="1" applyBorder="1" applyAlignment="1">
      <alignment horizontal="center" vertical="center"/>
    </xf>
    <xf numFmtId="0" fontId="78" fillId="12" borderId="50" xfId="69" applyFont="1" applyFill="1" applyBorder="1" applyAlignment="1">
      <alignment horizontal="center" vertical="center"/>
    </xf>
    <xf numFmtId="3" fontId="67" fillId="3" borderId="33" xfId="41" applyNumberFormat="1" applyFont="1" applyFill="1" applyBorder="1" applyAlignment="1">
      <alignment vertical="center"/>
    </xf>
    <xf numFmtId="0" fontId="74" fillId="10" borderId="15" xfId="41" applyFont="1" applyFill="1" applyBorder="1" applyAlignment="1">
      <alignment horizontal="center" vertical="center"/>
    </xf>
    <xf numFmtId="0" fontId="74" fillId="10" borderId="17" xfId="41" applyFont="1" applyFill="1" applyBorder="1" applyAlignment="1">
      <alignment horizontal="center" vertical="center"/>
    </xf>
    <xf numFmtId="4" fontId="130" fillId="3" borderId="36" xfId="50" applyNumberFormat="1" applyFont="1" applyFill="1" applyBorder="1" applyAlignment="1">
      <alignment vertical="center"/>
    </xf>
    <xf numFmtId="0" fontId="71" fillId="0" borderId="49" xfId="41" applyFont="1" applyBorder="1" applyAlignment="1">
      <alignment vertical="center" wrapText="1"/>
    </xf>
    <xf numFmtId="17" fontId="96" fillId="13" borderId="16" xfId="45" applyNumberFormat="1" applyFont="1" applyFill="1" applyBorder="1" applyAlignment="1">
      <alignment vertical="center"/>
    </xf>
    <xf numFmtId="0" fontId="78" fillId="10" borderId="17" xfId="41" applyFont="1" applyFill="1" applyBorder="1" applyAlignment="1">
      <alignment horizontal="center" vertical="center"/>
    </xf>
    <xf numFmtId="0" fontId="78" fillId="10" borderId="24" xfId="41" applyFont="1" applyFill="1" applyBorder="1" applyAlignment="1">
      <alignment vertical="center"/>
    </xf>
    <xf numFmtId="0" fontId="78" fillId="10" borderId="24" xfId="41" applyFont="1" applyFill="1" applyBorder="1" applyAlignment="1">
      <alignment horizontal="center" vertical="center"/>
    </xf>
    <xf numFmtId="0" fontId="71" fillId="0" borderId="36" xfId="41" applyFont="1" applyBorder="1" applyAlignment="1">
      <alignment horizontal="left" vertical="center"/>
    </xf>
    <xf numFmtId="0" fontId="78" fillId="10" borderId="6" xfId="41" applyFont="1" applyFill="1" applyBorder="1" applyAlignment="1">
      <alignment vertical="center"/>
    </xf>
    <xf numFmtId="0" fontId="78" fillId="10" borderId="15" xfId="41" applyFont="1" applyFill="1" applyBorder="1" applyAlignment="1">
      <alignment horizontal="center" vertical="center"/>
    </xf>
    <xf numFmtId="0" fontId="78" fillId="10" borderId="18" xfId="41" applyFont="1" applyFill="1" applyBorder="1" applyAlignment="1">
      <alignment horizontal="center" vertical="center"/>
    </xf>
    <xf numFmtId="0" fontId="78" fillId="10" borderId="22" xfId="41" applyFont="1" applyFill="1" applyBorder="1" applyAlignment="1">
      <alignment vertical="center"/>
    </xf>
    <xf numFmtId="0" fontId="78" fillId="10" borderId="6" xfId="41" applyFont="1" applyFill="1" applyBorder="1" applyAlignment="1">
      <alignment horizontal="center" vertical="center" wrapText="1"/>
    </xf>
    <xf numFmtId="0" fontId="78" fillId="10" borderId="19" xfId="41" applyFont="1" applyFill="1" applyBorder="1" applyAlignment="1">
      <alignment vertical="center" wrapText="1"/>
    </xf>
    <xf numFmtId="0" fontId="78" fillId="10" borderId="19" xfId="41" applyFont="1" applyFill="1" applyBorder="1" applyAlignment="1">
      <alignment horizontal="center" vertical="center" wrapText="1"/>
    </xf>
    <xf numFmtId="0" fontId="78" fillId="10" borderId="26" xfId="41" applyFont="1" applyFill="1" applyBorder="1" applyAlignment="1">
      <alignment vertical="center"/>
    </xf>
    <xf numFmtId="0" fontId="78" fillId="10" borderId="26" xfId="41" applyFont="1" applyFill="1" applyBorder="1" applyAlignment="1">
      <alignment vertical="center" wrapText="1"/>
    </xf>
    <xf numFmtId="0" fontId="141" fillId="10" borderId="6" xfId="41" applyFont="1" applyFill="1" applyBorder="1" applyAlignment="1">
      <alignment horizontal="center" vertical="center"/>
    </xf>
    <xf numFmtId="0" fontId="78" fillId="10" borderId="6" xfId="57" applyFont="1" applyFill="1" applyBorder="1" applyAlignment="1">
      <alignment horizontal="center" vertical="center"/>
    </xf>
    <xf numFmtId="0" fontId="78" fillId="10" borderId="23" xfId="57" applyFont="1" applyFill="1" applyBorder="1" applyAlignment="1">
      <alignment horizontal="center" vertical="center"/>
    </xf>
    <xf numFmtId="0" fontId="140" fillId="10" borderId="17" xfId="41" applyFont="1" applyFill="1" applyBorder="1" applyAlignment="1">
      <alignment horizontal="left" vertical="center" indent="9"/>
    </xf>
    <xf numFmtId="0" fontId="78" fillId="10" borderId="24" xfId="57" applyFont="1" applyFill="1" applyBorder="1"/>
    <xf numFmtId="0" fontId="78" fillId="10" borderId="16" xfId="57" applyFont="1" applyFill="1" applyBorder="1"/>
    <xf numFmtId="0" fontId="78" fillId="10" borderId="1" xfId="57" applyFont="1" applyFill="1" applyBorder="1" applyAlignment="1">
      <alignment horizontal="center"/>
    </xf>
    <xf numFmtId="0" fontId="140" fillId="10" borderId="6" xfId="274" applyFont="1" applyFill="1" applyBorder="1" applyAlignment="1">
      <alignment horizontal="center"/>
    </xf>
    <xf numFmtId="0" fontId="78" fillId="10" borderId="25" xfId="57" applyFont="1" applyFill="1" applyBorder="1" applyAlignment="1">
      <alignment horizontal="left" vertical="center" indent="4"/>
    </xf>
    <xf numFmtId="0" fontId="78" fillId="10" borderId="15" xfId="57" applyFont="1" applyFill="1" applyBorder="1" applyAlignment="1">
      <alignment horizontal="left" vertical="center" indent="4"/>
    </xf>
    <xf numFmtId="0" fontId="78" fillId="10" borderId="1" xfId="57" applyFont="1" applyFill="1" applyBorder="1" applyAlignment="1">
      <alignment horizontal="center" vertical="center"/>
    </xf>
    <xf numFmtId="0" fontId="78" fillId="10" borderId="7" xfId="57" applyFont="1" applyFill="1" applyBorder="1" applyAlignment="1">
      <alignment horizontal="center"/>
    </xf>
    <xf numFmtId="0" fontId="78" fillId="10" borderId="23" xfId="57" applyFont="1" applyFill="1" applyBorder="1" applyAlignment="1">
      <alignment horizontal="center"/>
    </xf>
    <xf numFmtId="0" fontId="78" fillId="10" borderId="6" xfId="57" applyFont="1" applyFill="1" applyBorder="1" applyAlignment="1">
      <alignment horizontal="center"/>
    </xf>
    <xf numFmtId="0" fontId="140" fillId="10" borderId="25" xfId="274" applyFont="1" applyFill="1" applyBorder="1" applyAlignment="1">
      <alignment horizontal="center" wrapText="1"/>
    </xf>
    <xf numFmtId="0" fontId="140" fillId="10" borderId="9" xfId="274" applyFont="1" applyFill="1" applyBorder="1" applyAlignment="1">
      <alignment horizontal="center" wrapText="1"/>
    </xf>
    <xf numFmtId="0" fontId="78" fillId="10" borderId="19" xfId="57" applyFont="1" applyFill="1" applyBorder="1" applyAlignment="1">
      <alignment horizontal="center"/>
    </xf>
    <xf numFmtId="0" fontId="78" fillId="10" borderId="22" xfId="57" applyFont="1" applyFill="1" applyBorder="1" applyAlignment="1">
      <alignment horizontal="center" vertical="center"/>
    </xf>
    <xf numFmtId="43" fontId="71" fillId="3" borderId="33" xfId="288" applyFont="1" applyFill="1" applyBorder="1" applyAlignment="1">
      <alignment vertical="center"/>
    </xf>
    <xf numFmtId="0" fontId="49" fillId="20" borderId="0" xfId="53" applyNumberFormat="1" applyFont="1" applyFill="1" applyBorder="1" applyAlignment="1">
      <alignment horizontal="center" vertical="center"/>
    </xf>
    <xf numFmtId="0" fontId="49" fillId="0" borderId="46" xfId="53" quotePrefix="1" applyNumberFormat="1" applyFont="1" applyFill="1" applyBorder="1" applyAlignment="1">
      <alignment horizontal="left" vertical="center" wrapText="1"/>
    </xf>
    <xf numFmtId="0" fontId="48" fillId="5" borderId="184" xfId="45" applyFont="1" applyFill="1" applyBorder="1" applyAlignment="1">
      <alignment vertical="center"/>
    </xf>
    <xf numFmtId="0" fontId="47" fillId="5" borderId="185" xfId="45" applyFont="1" applyFill="1" applyBorder="1" applyAlignment="1">
      <alignment vertical="center"/>
    </xf>
    <xf numFmtId="0" fontId="75" fillId="5" borderId="185" xfId="45" applyFont="1" applyFill="1" applyBorder="1" applyAlignment="1">
      <alignment vertical="center"/>
    </xf>
    <xf numFmtId="0" fontId="75" fillId="5" borderId="6" xfId="45" applyFont="1" applyFill="1" applyBorder="1" applyAlignment="1">
      <alignment vertical="center"/>
    </xf>
    <xf numFmtId="0" fontId="118" fillId="0" borderId="0" xfId="293" applyFont="1"/>
    <xf numFmtId="0" fontId="47" fillId="5" borderId="57" xfId="45" applyFont="1" applyFill="1" applyBorder="1" applyAlignment="1">
      <alignment vertical="center"/>
    </xf>
    <xf numFmtId="0" fontId="47" fillId="5" borderId="1" xfId="45" applyFont="1" applyFill="1" applyBorder="1" applyAlignment="1">
      <alignment vertical="center"/>
    </xf>
    <xf numFmtId="178" fontId="47" fillId="5" borderId="25" xfId="82" applyNumberFormat="1" applyFont="1" applyFill="1" applyBorder="1" applyAlignment="1">
      <alignment horizontal="left" vertical="center"/>
    </xf>
    <xf numFmtId="0" fontId="119" fillId="10" borderId="133" xfId="207" applyFont="1" applyFill="1" applyBorder="1" applyAlignment="1">
      <alignment horizontal="center" vertical="center"/>
    </xf>
    <xf numFmtId="0" fontId="119" fillId="10" borderId="133" xfId="207" applyFont="1" applyFill="1" applyBorder="1" applyAlignment="1">
      <alignment horizontal="center" vertical="center" wrapText="1"/>
    </xf>
    <xf numFmtId="0" fontId="119" fillId="10" borderId="86" xfId="207" applyFont="1" applyFill="1" applyBorder="1" applyAlignment="1">
      <alignment horizontal="center" vertical="center" wrapText="1"/>
    </xf>
    <xf numFmtId="4" fontId="119" fillId="10" borderId="133" xfId="207" applyNumberFormat="1" applyFont="1" applyFill="1" applyBorder="1" applyAlignment="1">
      <alignment horizontal="center" vertical="center" wrapText="1"/>
    </xf>
    <xf numFmtId="44" fontId="119" fillId="10" borderId="133" xfId="207" applyNumberFormat="1" applyFont="1" applyFill="1" applyBorder="1" applyAlignment="1">
      <alignment horizontal="center" vertical="center" wrapText="1"/>
    </xf>
    <xf numFmtId="0" fontId="119" fillId="10" borderId="85" xfId="207" applyFont="1" applyFill="1" applyBorder="1" applyAlignment="1">
      <alignment horizontal="center" vertical="center"/>
    </xf>
    <xf numFmtId="0" fontId="121" fillId="0" borderId="0" xfId="293" applyFont="1" applyAlignment="1">
      <alignment vertical="center"/>
    </xf>
    <xf numFmtId="0" fontId="118" fillId="0" borderId="0" xfId="293" applyFont="1" applyAlignment="1">
      <alignment vertical="center"/>
    </xf>
    <xf numFmtId="0" fontId="117" fillId="16" borderId="132" xfId="293" applyFont="1" applyFill="1" applyBorder="1" applyAlignment="1">
      <alignment vertical="center" wrapText="1"/>
    </xf>
    <xf numFmtId="4" fontId="117" fillId="16" borderId="132" xfId="294" applyNumberFormat="1" applyFont="1" applyFill="1" applyBorder="1" applyAlignment="1" applyProtection="1">
      <alignment horizontal="center" vertical="center"/>
      <protection locked="0"/>
    </xf>
    <xf numFmtId="44" fontId="117" fillId="16" borderId="132" xfId="293" applyNumberFormat="1" applyFont="1" applyFill="1" applyBorder="1" applyAlignment="1">
      <alignment vertical="center"/>
    </xf>
    <xf numFmtId="4" fontId="123" fillId="0" borderId="132" xfId="293" applyNumberFormat="1" applyFont="1" applyBorder="1" applyAlignment="1">
      <alignment vertical="center" wrapText="1"/>
    </xf>
    <xf numFmtId="44" fontId="121" fillId="0" borderId="0" xfId="293" applyNumberFormat="1" applyFont="1" applyAlignment="1">
      <alignment vertical="center"/>
    </xf>
    <xf numFmtId="44" fontId="118" fillId="0" borderId="0" xfId="293" applyNumberFormat="1" applyFont="1" applyAlignment="1">
      <alignment vertical="center"/>
    </xf>
    <xf numFmtId="44" fontId="124" fillId="0" borderId="0" xfId="293" applyNumberFormat="1" applyFont="1" applyAlignment="1">
      <alignment vertical="center"/>
    </xf>
    <xf numFmtId="0" fontId="118" fillId="0" borderId="0" xfId="293" applyFont="1" applyAlignment="1">
      <alignment vertical="center" wrapText="1"/>
    </xf>
    <xf numFmtId="44" fontId="117" fillId="16" borderId="133" xfId="293" applyNumberFormat="1" applyFont="1" applyFill="1" applyBorder="1" applyAlignment="1">
      <alignment vertical="center"/>
    </xf>
    <xf numFmtId="4" fontId="123" fillId="0" borderId="133" xfId="293" applyNumberFormat="1" applyFont="1" applyBorder="1" applyAlignment="1">
      <alignment vertical="center" wrapText="1"/>
    </xf>
    <xf numFmtId="4" fontId="67" fillId="3" borderId="53" xfId="47" applyNumberFormat="1" applyFont="1" applyFill="1" applyBorder="1" applyAlignment="1">
      <alignment vertical="center"/>
    </xf>
    <xf numFmtId="166" fontId="67" fillId="3" borderId="54" xfId="249" applyFont="1" applyFill="1" applyBorder="1" applyAlignment="1">
      <alignment vertical="center"/>
    </xf>
    <xf numFmtId="0" fontId="118" fillId="0" borderId="0" xfId="293" applyFont="1" applyAlignment="1">
      <alignment horizontal="center"/>
    </xf>
    <xf numFmtId="4" fontId="118" fillId="0" borderId="0" xfId="293" applyNumberFormat="1" applyFont="1"/>
    <xf numFmtId="44" fontId="118" fillId="0" borderId="0" xfId="293" applyNumberFormat="1" applyFont="1"/>
    <xf numFmtId="0" fontId="110" fillId="15" borderId="97" xfId="69" applyFont="1" applyFill="1" applyBorder="1" applyAlignment="1">
      <alignment horizontal="right" vertical="center" wrapText="1"/>
    </xf>
    <xf numFmtId="0" fontId="6" fillId="0" borderId="9" xfId="275" applyFont="1" applyBorder="1"/>
    <xf numFmtId="17" fontId="47" fillId="0" borderId="0" xfId="69" applyNumberFormat="1" applyFont="1" applyFill="1" applyBorder="1" applyAlignment="1"/>
    <xf numFmtId="4" fontId="72" fillId="10" borderId="7" xfId="58" applyNumberFormat="1" applyFont="1" applyFill="1" applyBorder="1" applyAlignment="1">
      <alignment vertical="center"/>
    </xf>
    <xf numFmtId="4" fontId="72" fillId="10" borderId="0" xfId="58" applyNumberFormat="1" applyFont="1" applyFill="1" applyAlignment="1">
      <alignment vertical="center"/>
    </xf>
    <xf numFmtId="0" fontId="75" fillId="0" borderId="0" xfId="45" applyFont="1" applyAlignment="1">
      <alignment vertical="center"/>
    </xf>
    <xf numFmtId="17" fontId="47" fillId="0" borderId="0" xfId="45" applyNumberFormat="1" applyFont="1" applyAlignment="1">
      <alignment horizontal="left" vertical="center"/>
    </xf>
    <xf numFmtId="4" fontId="67" fillId="29" borderId="33" xfId="41" applyNumberFormat="1" applyFont="1" applyFill="1" applyBorder="1" applyAlignment="1">
      <alignment horizontal="center" vertical="center"/>
    </xf>
    <xf numFmtId="181" fontId="90" fillId="0" borderId="73" xfId="69" applyNumberFormat="1" applyFont="1" applyFill="1" applyBorder="1"/>
    <xf numFmtId="181" fontId="71" fillId="0" borderId="73" xfId="69" applyNumberFormat="1" applyFont="1" applyFill="1" applyBorder="1"/>
    <xf numFmtId="43" fontId="37" fillId="0" borderId="0" xfId="41" applyNumberFormat="1" applyFont="1" applyAlignment="1">
      <alignment vertical="center"/>
    </xf>
    <xf numFmtId="0" fontId="144" fillId="27" borderId="81" xfId="0" applyNumberFormat="1" applyFont="1" applyFill="1" applyBorder="1" applyAlignment="1"/>
    <xf numFmtId="0" fontId="144" fillId="27" borderId="2" xfId="0" applyNumberFormat="1" applyFont="1" applyFill="1" applyBorder="1" applyAlignment="1"/>
    <xf numFmtId="0" fontId="144" fillId="0" borderId="0" xfId="0" applyNumberFormat="1" applyFont="1" applyFill="1" applyBorder="1" applyAlignment="1"/>
    <xf numFmtId="0" fontId="144" fillId="27" borderId="110" xfId="0" applyNumberFormat="1" applyFont="1" applyFill="1" applyBorder="1" applyAlignment="1"/>
    <xf numFmtId="0" fontId="144" fillId="27" borderId="0" xfId="0" applyNumberFormat="1" applyFont="1" applyFill="1" applyBorder="1" applyAlignment="1"/>
    <xf numFmtId="0" fontId="144" fillId="27" borderId="111" xfId="0" applyNumberFormat="1" applyFont="1" applyFill="1" applyBorder="1" applyAlignment="1"/>
    <xf numFmtId="0" fontId="144" fillId="27" borderId="4" xfId="0" applyNumberFormat="1" applyFont="1" applyFill="1" applyBorder="1" applyAlignment="1"/>
    <xf numFmtId="0" fontId="144" fillId="0" borderId="0" xfId="0" applyNumberFormat="1" applyFont="1" applyFill="1" applyBorder="1" applyAlignment="1">
      <alignment horizontal="center"/>
    </xf>
    <xf numFmtId="0" fontId="144" fillId="0" borderId="0" xfId="0" applyNumberFormat="1" applyFont="1" applyFill="1" applyBorder="1" applyAlignment="1">
      <alignment horizontal="center" wrapText="1"/>
    </xf>
    <xf numFmtId="0" fontId="144" fillId="0" borderId="0" xfId="0" applyNumberFormat="1" applyFont="1" applyFill="1" applyBorder="1" applyAlignment="1">
      <alignment horizontal="center" vertical="center"/>
    </xf>
    <xf numFmtId="43" fontId="144" fillId="0" borderId="0" xfId="0" applyNumberFormat="1" applyFont="1" applyFill="1" applyBorder="1" applyAlignment="1">
      <alignment horizontal="center" vertical="center"/>
    </xf>
    <xf numFmtId="0" fontId="144" fillId="30" borderId="9" xfId="0" applyNumberFormat="1" applyFont="1" applyFill="1" applyBorder="1" applyAlignment="1"/>
    <xf numFmtId="0" fontId="144" fillId="30" borderId="9" xfId="0" applyNumberFormat="1" applyFont="1" applyFill="1" applyBorder="1" applyAlignment="1">
      <alignment horizontal="center" vertical="center"/>
    </xf>
    <xf numFmtId="0" fontId="144" fillId="0" borderId="9" xfId="0" applyNumberFormat="1" applyFont="1" applyFill="1" applyBorder="1" applyAlignment="1"/>
    <xf numFmtId="0" fontId="144" fillId="0" borderId="9" xfId="0" applyNumberFormat="1" applyFont="1" applyFill="1" applyBorder="1" applyAlignment="1">
      <alignment horizontal="center" vertical="center"/>
    </xf>
    <xf numFmtId="43" fontId="144" fillId="0" borderId="9" xfId="0" applyNumberFormat="1" applyFont="1" applyFill="1" applyBorder="1" applyAlignment="1">
      <alignment horizontal="center" vertical="center"/>
    </xf>
    <xf numFmtId="2" fontId="144" fillId="0" borderId="0" xfId="0" applyNumberFormat="1" applyFont="1" applyFill="1" applyBorder="1" applyAlignment="1">
      <alignment horizontal="center" vertical="center"/>
    </xf>
    <xf numFmtId="0" fontId="144" fillId="0" borderId="24" xfId="0" applyNumberFormat="1" applyFont="1" applyFill="1" applyBorder="1" applyAlignment="1">
      <alignment horizontal="center" vertical="center" wrapText="1"/>
    </xf>
    <xf numFmtId="0" fontId="144" fillId="0" borderId="16" xfId="0" applyNumberFormat="1" applyFont="1" applyFill="1" applyBorder="1" applyAlignment="1">
      <alignment horizontal="center" vertical="center"/>
    </xf>
    <xf numFmtId="0" fontId="144" fillId="31" borderId="9" xfId="0" applyNumberFormat="1" applyFont="1" applyFill="1" applyBorder="1" applyAlignment="1">
      <alignment horizontal="center" wrapText="1"/>
    </xf>
    <xf numFmtId="0" fontId="144" fillId="0" borderId="9" xfId="0" applyNumberFormat="1" applyFont="1" applyFill="1" applyBorder="1" applyAlignment="1">
      <alignment horizontal="center" vertical="center" wrapText="1"/>
    </xf>
    <xf numFmtId="2" fontId="144" fillId="0" borderId="9" xfId="0" applyNumberFormat="1" applyFont="1" applyFill="1" applyBorder="1" applyAlignment="1">
      <alignment horizontal="center" vertical="center"/>
    </xf>
    <xf numFmtId="0" fontId="144" fillId="31" borderId="9" xfId="0" applyNumberFormat="1" applyFont="1" applyFill="1" applyBorder="1" applyAlignment="1">
      <alignment horizontal="center" vertical="center"/>
    </xf>
    <xf numFmtId="43" fontId="144" fillId="31" borderId="9" xfId="0" applyNumberFormat="1" applyFont="1" applyFill="1" applyBorder="1" applyAlignment="1">
      <alignment horizontal="center" vertical="center"/>
    </xf>
    <xf numFmtId="166" fontId="144" fillId="31" borderId="9" xfId="235" applyFont="1" applyFill="1" applyBorder="1" applyAlignment="1">
      <alignment horizontal="center" vertical="center"/>
    </xf>
    <xf numFmtId="166" fontId="144" fillId="0" borderId="9" xfId="235" applyFont="1" applyFill="1" applyBorder="1" applyAlignment="1">
      <alignment horizontal="center" vertical="center"/>
    </xf>
    <xf numFmtId="166" fontId="144" fillId="0" borderId="0" xfId="235" applyFont="1" applyFill="1" applyBorder="1" applyAlignment="1"/>
    <xf numFmtId="0" fontId="144" fillId="8" borderId="9" xfId="0" applyNumberFormat="1" applyFont="1" applyFill="1" applyBorder="1" applyAlignment="1">
      <alignment horizontal="center" vertical="center" wrapText="1"/>
    </xf>
    <xf numFmtId="166" fontId="144" fillId="8" borderId="9" xfId="235" applyFont="1" applyFill="1" applyBorder="1" applyAlignment="1">
      <alignment horizontal="center" vertical="center"/>
    </xf>
    <xf numFmtId="0" fontId="144" fillId="8" borderId="9" xfId="0" applyNumberFormat="1" applyFont="1" applyFill="1" applyBorder="1" applyAlignment="1">
      <alignment horizontal="center" vertical="center"/>
    </xf>
    <xf numFmtId="166" fontId="144" fillId="0" borderId="16" xfId="235" applyFont="1" applyFill="1" applyBorder="1" applyAlignment="1">
      <alignment horizontal="center" vertical="center"/>
    </xf>
    <xf numFmtId="0" fontId="144" fillId="31" borderId="15" xfId="0" applyNumberFormat="1" applyFont="1" applyFill="1" applyBorder="1" applyAlignment="1">
      <alignment horizontal="center" wrapText="1"/>
    </xf>
    <xf numFmtId="166" fontId="144" fillId="8" borderId="15" xfId="235" applyFont="1" applyFill="1" applyBorder="1" applyAlignment="1">
      <alignment horizontal="center" vertical="center"/>
    </xf>
    <xf numFmtId="166" fontId="144" fillId="0" borderId="15" xfId="235" applyFont="1" applyFill="1" applyBorder="1" applyAlignment="1">
      <alignment horizontal="center" vertical="center"/>
    </xf>
    <xf numFmtId="2" fontId="144" fillId="0" borderId="15" xfId="0" applyNumberFormat="1" applyFont="1" applyFill="1" applyBorder="1" applyAlignment="1">
      <alignment horizontal="center" vertical="center"/>
    </xf>
    <xf numFmtId="166" fontId="144" fillId="0" borderId="0" xfId="235" applyFont="1" applyFill="1" applyBorder="1" applyAlignment="1">
      <alignment horizontal="center" vertical="center"/>
    </xf>
    <xf numFmtId="0" fontId="144" fillId="0" borderId="9" xfId="235" applyNumberFormat="1" applyFont="1" applyFill="1" applyBorder="1" applyAlignment="1">
      <alignment horizontal="center" vertical="center"/>
    </xf>
    <xf numFmtId="0" fontId="144" fillId="31" borderId="9" xfId="235" applyNumberFormat="1" applyFont="1" applyFill="1" applyBorder="1" applyAlignment="1">
      <alignment horizontal="center" vertical="center"/>
    </xf>
    <xf numFmtId="0" fontId="145" fillId="0" borderId="0" xfId="0" applyNumberFormat="1" applyFont="1" applyFill="1" applyBorder="1" applyAlignment="1"/>
    <xf numFmtId="0" fontId="145" fillId="0" borderId="0" xfId="0" applyNumberFormat="1" applyFont="1" applyFill="1" applyBorder="1" applyAlignment="1">
      <alignment horizontal="center"/>
    </xf>
    <xf numFmtId="0" fontId="145" fillId="0" borderId="0" xfId="0" applyNumberFormat="1" applyFont="1" applyFill="1" applyBorder="1" applyAlignment="1">
      <alignment horizontal="center" vertical="center" wrapText="1"/>
    </xf>
    <xf numFmtId="0" fontId="145" fillId="0" borderId="0" xfId="0" applyNumberFormat="1" applyFont="1" applyFill="1" applyBorder="1" applyAlignment="1">
      <alignment vertical="center" wrapText="1"/>
    </xf>
    <xf numFmtId="0" fontId="145" fillId="32" borderId="0" xfId="0" applyNumberFormat="1" applyFont="1" applyFill="1" applyBorder="1" applyAlignment="1">
      <alignment horizontal="center"/>
    </xf>
    <xf numFmtId="0" fontId="145" fillId="32" borderId="0" xfId="0" applyNumberFormat="1" applyFont="1" applyFill="1" applyBorder="1" applyAlignment="1"/>
    <xf numFmtId="0" fontId="144" fillId="34" borderId="0" xfId="0" applyNumberFormat="1" applyFont="1" applyFill="1" applyBorder="1" applyAlignment="1"/>
    <xf numFmtId="0" fontId="144" fillId="34" borderId="0" xfId="0" applyNumberFormat="1" applyFont="1" applyFill="1" applyBorder="1" applyAlignment="1">
      <alignment horizontal="center" vertical="center"/>
    </xf>
    <xf numFmtId="4" fontId="49" fillId="0" borderId="46" xfId="104" quotePrefix="1" applyNumberFormat="1" applyFont="1" applyFill="1" applyBorder="1" applyAlignment="1">
      <alignment horizontal="left" vertical="center"/>
    </xf>
    <xf numFmtId="0" fontId="33" fillId="0" borderId="0" xfId="57"/>
    <xf numFmtId="0" fontId="147" fillId="5" borderId="189" xfId="57" applyFont="1" applyFill="1" applyBorder="1"/>
    <xf numFmtId="0" fontId="33" fillId="5" borderId="190" xfId="57" applyFill="1" applyBorder="1"/>
    <xf numFmtId="0" fontId="147" fillId="5" borderId="191" xfId="57" applyFont="1" applyFill="1" applyBorder="1" applyAlignment="1">
      <alignment horizontal="center"/>
    </xf>
    <xf numFmtId="9" fontId="0" fillId="5" borderId="192" xfId="216" applyFont="1" applyFill="1" applyBorder="1" applyAlignment="1">
      <alignment horizontal="center" vertical="center"/>
    </xf>
    <xf numFmtId="0" fontId="147" fillId="5" borderId="193" xfId="57" applyFont="1" applyFill="1" applyBorder="1" applyAlignment="1">
      <alignment horizontal="center"/>
    </xf>
    <xf numFmtId="0" fontId="33" fillId="5" borderId="194" xfId="57" applyFill="1" applyBorder="1" applyAlignment="1">
      <alignment horizontal="center" vertical="center"/>
    </xf>
    <xf numFmtId="0" fontId="33" fillId="5" borderId="195" xfId="57" applyFill="1" applyBorder="1" applyAlignment="1">
      <alignment horizontal="center"/>
    </xf>
    <xf numFmtId="0" fontId="33" fillId="5" borderId="196" xfId="57" applyFill="1" applyBorder="1" applyAlignment="1">
      <alignment horizontal="center" vertical="center"/>
    </xf>
    <xf numFmtId="0" fontId="147" fillId="5" borderId="195" xfId="57" applyFont="1" applyFill="1" applyBorder="1" applyAlignment="1">
      <alignment horizontal="center"/>
    </xf>
    <xf numFmtId="0" fontId="147" fillId="5" borderId="196" xfId="57" applyFont="1" applyFill="1" applyBorder="1" applyAlignment="1">
      <alignment horizontal="center" vertical="center"/>
    </xf>
    <xf numFmtId="0" fontId="147" fillId="5" borderId="197" xfId="57" applyFont="1" applyFill="1" applyBorder="1" applyAlignment="1">
      <alignment horizontal="center"/>
    </xf>
    <xf numFmtId="0" fontId="147" fillId="5" borderId="198" xfId="57" applyFont="1" applyFill="1" applyBorder="1" applyAlignment="1">
      <alignment horizontal="center" vertical="center"/>
    </xf>
    <xf numFmtId="0" fontId="33" fillId="0" borderId="199" xfId="57" applyBorder="1"/>
    <xf numFmtId="0" fontId="33" fillId="36" borderId="202" xfId="57" applyFill="1" applyBorder="1" applyAlignment="1">
      <alignment horizontal="left" vertical="center"/>
    </xf>
    <xf numFmtId="0" fontId="33" fillId="36" borderId="202" xfId="57" applyFill="1" applyBorder="1" applyAlignment="1">
      <alignment horizontal="left" vertical="center" wrapText="1"/>
    </xf>
    <xf numFmtId="1" fontId="33" fillId="36" borderId="202" xfId="57" applyNumberFormat="1" applyFill="1" applyBorder="1" applyAlignment="1">
      <alignment horizontal="center" vertical="center"/>
    </xf>
    <xf numFmtId="2" fontId="33" fillId="36" borderId="202" xfId="57" applyNumberFormat="1" applyFill="1" applyBorder="1" applyAlignment="1">
      <alignment horizontal="center" vertical="center"/>
    </xf>
    <xf numFmtId="0" fontId="33" fillId="37" borderId="203" xfId="57" applyFill="1" applyBorder="1" applyAlignment="1">
      <alignment horizontal="left" vertical="center"/>
    </xf>
    <xf numFmtId="0" fontId="33" fillId="37" borderId="203" xfId="57" applyFill="1" applyBorder="1" applyAlignment="1">
      <alignment horizontal="left" vertical="center" wrapText="1"/>
    </xf>
    <xf numFmtId="1" fontId="33" fillId="37" borderId="203" xfId="57" applyNumberFormat="1" applyFill="1" applyBorder="1" applyAlignment="1">
      <alignment horizontal="center" vertical="center"/>
    </xf>
    <xf numFmtId="2" fontId="33" fillId="37" borderId="203" xfId="57" applyNumberFormat="1" applyFill="1" applyBorder="1" applyAlignment="1">
      <alignment horizontal="center" vertical="center"/>
    </xf>
    <xf numFmtId="0" fontId="33" fillId="38" borderId="203" xfId="57" applyFill="1" applyBorder="1" applyAlignment="1">
      <alignment horizontal="left" vertical="center"/>
    </xf>
    <xf numFmtId="0" fontId="33" fillId="38" borderId="203" xfId="57" applyFill="1" applyBorder="1" applyAlignment="1">
      <alignment horizontal="left" vertical="center" wrapText="1"/>
    </xf>
    <xf numFmtId="1" fontId="33" fillId="38" borderId="203" xfId="57" applyNumberFormat="1" applyFill="1" applyBorder="1" applyAlignment="1">
      <alignment horizontal="center" vertical="center"/>
    </xf>
    <xf numFmtId="2" fontId="33" fillId="38" borderId="203" xfId="57" applyNumberFormat="1" applyFill="1" applyBorder="1" applyAlignment="1">
      <alignment horizontal="center" vertical="center"/>
    </xf>
    <xf numFmtId="0" fontId="33" fillId="5" borderId="203" xfId="57" applyFill="1" applyBorder="1" applyAlignment="1">
      <alignment horizontal="left" vertical="center"/>
    </xf>
    <xf numFmtId="0" fontId="33" fillId="5" borderId="203" xfId="57" applyFill="1" applyBorder="1" applyAlignment="1">
      <alignment horizontal="left" vertical="center" wrapText="1"/>
    </xf>
    <xf numFmtId="1" fontId="33" fillId="5" borderId="203" xfId="57" applyNumberFormat="1" applyFill="1" applyBorder="1" applyAlignment="1">
      <alignment horizontal="center" vertical="center"/>
    </xf>
    <xf numFmtId="2" fontId="33" fillId="5" borderId="203" xfId="57" applyNumberFormat="1" applyFill="1" applyBorder="1" applyAlignment="1">
      <alignment horizontal="center" vertical="center"/>
    </xf>
    <xf numFmtId="0" fontId="33" fillId="39" borderId="203" xfId="57" applyFill="1" applyBorder="1" applyAlignment="1">
      <alignment horizontal="left" vertical="center"/>
    </xf>
    <xf numFmtId="0" fontId="33" fillId="39" borderId="203" xfId="57" applyFill="1" applyBorder="1" applyAlignment="1">
      <alignment horizontal="left" vertical="center" wrapText="1"/>
    </xf>
    <xf numFmtId="1" fontId="33" fillId="39" borderId="203" xfId="57" applyNumberFormat="1" applyFill="1" applyBorder="1" applyAlignment="1">
      <alignment horizontal="center" vertical="center"/>
    </xf>
    <xf numFmtId="2" fontId="33" fillId="39" borderId="203" xfId="57" applyNumberFormat="1" applyFill="1" applyBorder="1" applyAlignment="1">
      <alignment horizontal="center" vertical="center"/>
    </xf>
    <xf numFmtId="0" fontId="33" fillId="0" borderId="0" xfId="57" applyAlignment="1">
      <alignment horizontal="center"/>
    </xf>
    <xf numFmtId="0" fontId="33" fillId="0" borderId="0" xfId="57" applyAlignment="1">
      <alignment horizontal="center" vertical="center"/>
    </xf>
    <xf numFmtId="0" fontId="33" fillId="40" borderId="203" xfId="57" applyFill="1" applyBorder="1" applyAlignment="1">
      <alignment horizontal="left" vertical="center"/>
    </xf>
    <xf numFmtId="0" fontId="33" fillId="40" borderId="203" xfId="57" applyFill="1" applyBorder="1" applyAlignment="1">
      <alignment horizontal="left" vertical="center" wrapText="1"/>
    </xf>
    <xf numFmtId="1" fontId="33" fillId="40" borderId="203" xfId="57" applyNumberFormat="1" applyFill="1" applyBorder="1" applyAlignment="1">
      <alignment horizontal="center" vertical="center"/>
    </xf>
    <xf numFmtId="2" fontId="33" fillId="40" borderId="203" xfId="57" applyNumberFormat="1" applyFill="1" applyBorder="1" applyAlignment="1">
      <alignment horizontal="center" vertical="center"/>
    </xf>
    <xf numFmtId="0" fontId="144" fillId="41" borderId="0" xfId="0" applyNumberFormat="1" applyFont="1" applyFill="1" applyBorder="1" applyAlignment="1"/>
    <xf numFmtId="0" fontId="144" fillId="41" borderId="0" xfId="0" applyNumberFormat="1" applyFont="1" applyFill="1" applyBorder="1" applyAlignment="1">
      <alignment horizontal="center" vertical="center"/>
    </xf>
    <xf numFmtId="43" fontId="144" fillId="41" borderId="0" xfId="0" applyNumberFormat="1" applyFont="1" applyFill="1" applyBorder="1" applyAlignment="1">
      <alignment horizontal="center" vertical="center"/>
    </xf>
    <xf numFmtId="0" fontId="144" fillId="41" borderId="9" xfId="0" applyNumberFormat="1" applyFont="1" applyFill="1" applyBorder="1" applyAlignment="1"/>
    <xf numFmtId="0" fontId="144" fillId="41" borderId="9" xfId="0" applyNumberFormat="1" applyFont="1" applyFill="1" applyBorder="1" applyAlignment="1">
      <alignment horizontal="center" vertical="center"/>
    </xf>
    <xf numFmtId="0" fontId="33" fillId="41" borderId="203" xfId="57" applyFill="1" applyBorder="1" applyAlignment="1">
      <alignment horizontal="left" vertical="center"/>
    </xf>
    <xf numFmtId="0" fontId="33" fillId="41" borderId="203" xfId="57" applyFill="1" applyBorder="1" applyAlignment="1">
      <alignment horizontal="left" vertical="center" wrapText="1"/>
    </xf>
    <xf numFmtId="1" fontId="33" fillId="41" borderId="203" xfId="57" applyNumberFormat="1" applyFill="1" applyBorder="1" applyAlignment="1">
      <alignment horizontal="center" vertical="center"/>
    </xf>
    <xf numFmtId="2" fontId="33" fillId="41" borderId="203" xfId="57" applyNumberFormat="1" applyFill="1" applyBorder="1" applyAlignment="1">
      <alignment horizontal="center" vertical="center"/>
    </xf>
    <xf numFmtId="0" fontId="33" fillId="42" borderId="203" xfId="57" applyFill="1" applyBorder="1" applyAlignment="1">
      <alignment horizontal="left" vertical="center"/>
    </xf>
    <xf numFmtId="0" fontId="33" fillId="42" borderId="203" xfId="57" applyFill="1" applyBorder="1" applyAlignment="1">
      <alignment horizontal="left" vertical="center" wrapText="1"/>
    </xf>
    <xf numFmtId="1" fontId="33" fillId="42" borderId="203" xfId="57" applyNumberFormat="1" applyFill="1" applyBorder="1" applyAlignment="1">
      <alignment horizontal="center" vertical="center"/>
    </xf>
    <xf numFmtId="2" fontId="33" fillId="42" borderId="203" xfId="57" applyNumberFormat="1" applyFill="1" applyBorder="1" applyAlignment="1">
      <alignment horizontal="center" vertical="center"/>
    </xf>
    <xf numFmtId="0" fontId="33" fillId="43" borderId="203" xfId="57" applyFill="1" applyBorder="1" applyAlignment="1">
      <alignment horizontal="left" vertical="center"/>
    </xf>
    <xf numFmtId="0" fontId="33" fillId="43" borderId="203" xfId="57" applyFill="1" applyBorder="1" applyAlignment="1">
      <alignment horizontal="left" vertical="center" wrapText="1"/>
    </xf>
    <xf numFmtId="1" fontId="33" fillId="43" borderId="203" xfId="57" applyNumberFormat="1" applyFill="1" applyBorder="1" applyAlignment="1">
      <alignment horizontal="center" vertical="center"/>
    </xf>
    <xf numFmtId="2" fontId="33" fillId="43" borderId="203" xfId="57" applyNumberFormat="1" applyFill="1" applyBorder="1" applyAlignment="1">
      <alignment horizontal="center" vertical="center"/>
    </xf>
    <xf numFmtId="0" fontId="33" fillId="44" borderId="203" xfId="57" applyFill="1" applyBorder="1" applyAlignment="1">
      <alignment horizontal="left" vertical="center"/>
    </xf>
    <xf numFmtId="0" fontId="33" fillId="44" borderId="203" xfId="57" applyFill="1" applyBorder="1" applyAlignment="1">
      <alignment horizontal="left" vertical="center" wrapText="1"/>
    </xf>
    <xf numFmtId="1" fontId="33" fillId="44" borderId="203" xfId="57" applyNumberFormat="1" applyFill="1" applyBorder="1" applyAlignment="1">
      <alignment horizontal="center" vertical="center"/>
    </xf>
    <xf numFmtId="2" fontId="33" fillId="44" borderId="203" xfId="57" applyNumberFormat="1" applyFill="1" applyBorder="1" applyAlignment="1">
      <alignment horizontal="center" vertical="center"/>
    </xf>
    <xf numFmtId="0" fontId="0" fillId="36" borderId="202" xfId="0" applyFill="1" applyBorder="1" applyAlignment="1">
      <alignment horizontal="left" vertical="center"/>
    </xf>
    <xf numFmtId="0" fontId="0" fillId="36" borderId="202" xfId="0" applyFill="1" applyBorder="1" applyAlignment="1">
      <alignment horizontal="left" vertical="center" wrapText="1"/>
    </xf>
    <xf numFmtId="1" fontId="0" fillId="36" borderId="202" xfId="0" applyNumberFormat="1" applyFill="1" applyBorder="1" applyAlignment="1">
      <alignment horizontal="center" vertical="center"/>
    </xf>
    <xf numFmtId="2" fontId="0" fillId="36" borderId="202" xfId="0" applyNumberFormat="1" applyFill="1" applyBorder="1" applyAlignment="1">
      <alignment horizontal="center" vertical="center"/>
    </xf>
    <xf numFmtId="0" fontId="0" fillId="37" borderId="203" xfId="0" applyFill="1" applyBorder="1" applyAlignment="1">
      <alignment horizontal="left" vertical="center" wrapText="1"/>
    </xf>
    <xf numFmtId="1" fontId="0" fillId="37" borderId="203" xfId="0" applyNumberFormat="1" applyFill="1" applyBorder="1" applyAlignment="1">
      <alignment horizontal="center" vertical="center"/>
    </xf>
    <xf numFmtId="2" fontId="0" fillId="37" borderId="203" xfId="0" applyNumberFormat="1" applyFill="1" applyBorder="1" applyAlignment="1">
      <alignment horizontal="center" vertical="center"/>
    </xf>
    <xf numFmtId="0" fontId="0" fillId="39" borderId="203" xfId="0" applyFill="1" applyBorder="1" applyAlignment="1">
      <alignment horizontal="left" vertical="center" wrapText="1"/>
    </xf>
    <xf numFmtId="1" fontId="0" fillId="39" borderId="203" xfId="0" applyNumberFormat="1" applyFill="1" applyBorder="1" applyAlignment="1">
      <alignment horizontal="center" vertical="center"/>
    </xf>
    <xf numFmtId="0" fontId="0" fillId="38" borderId="203" xfId="0" applyFill="1" applyBorder="1" applyAlignment="1">
      <alignment horizontal="left" vertical="center" wrapText="1"/>
    </xf>
    <xf numFmtId="1" fontId="0" fillId="38" borderId="203" xfId="0" applyNumberFormat="1" applyFill="1" applyBorder="1" applyAlignment="1">
      <alignment horizontal="center" vertical="center"/>
    </xf>
    <xf numFmtId="2" fontId="0" fillId="38" borderId="203" xfId="0" applyNumberFormat="1" applyFill="1" applyBorder="1" applyAlignment="1">
      <alignment horizontal="center" vertical="center"/>
    </xf>
    <xf numFmtId="0" fontId="0" fillId="5" borderId="203" xfId="0" applyFill="1" applyBorder="1" applyAlignment="1">
      <alignment horizontal="left" vertical="center" wrapText="1"/>
    </xf>
    <xf numFmtId="1" fontId="0" fillId="5" borderId="203" xfId="0" applyNumberFormat="1" applyFill="1" applyBorder="1" applyAlignment="1">
      <alignment horizontal="center" vertical="center"/>
    </xf>
    <xf numFmtId="0" fontId="0" fillId="37" borderId="204" xfId="0" applyFill="1" applyBorder="1" applyAlignment="1">
      <alignment horizontal="left" vertical="center"/>
    </xf>
    <xf numFmtId="0" fontId="0" fillId="37" borderId="205" xfId="0" applyFill="1" applyBorder="1" applyAlignment="1">
      <alignment horizontal="left" vertical="center" wrapText="1"/>
    </xf>
    <xf numFmtId="1" fontId="0" fillId="37" borderId="205" xfId="0" applyNumberFormat="1" applyFill="1" applyBorder="1" applyAlignment="1">
      <alignment horizontal="center" vertical="center"/>
    </xf>
    <xf numFmtId="2" fontId="0" fillId="37" borderId="206" xfId="0" applyNumberFormat="1" applyFill="1" applyBorder="1" applyAlignment="1">
      <alignment horizontal="center" vertical="center"/>
    </xf>
    <xf numFmtId="0" fontId="0" fillId="39" borderId="207" xfId="0" applyFill="1" applyBorder="1" applyAlignment="1">
      <alignment horizontal="left" vertical="center"/>
    </xf>
    <xf numFmtId="2" fontId="0" fillId="39" borderId="208" xfId="0" applyNumberFormat="1" applyFill="1" applyBorder="1" applyAlignment="1">
      <alignment horizontal="center" vertical="center"/>
    </xf>
    <xf numFmtId="0" fontId="0" fillId="38" borderId="207" xfId="0" applyFill="1" applyBorder="1" applyAlignment="1">
      <alignment horizontal="left" vertical="center"/>
    </xf>
    <xf numFmtId="2" fontId="0" fillId="38" borderId="208" xfId="0" applyNumberFormat="1" applyFill="1" applyBorder="1" applyAlignment="1">
      <alignment horizontal="center" vertical="center"/>
    </xf>
    <xf numFmtId="0" fontId="0" fillId="5" borderId="207" xfId="0" applyFill="1" applyBorder="1" applyAlignment="1">
      <alignment horizontal="left" vertical="center"/>
    </xf>
    <xf numFmtId="2" fontId="0" fillId="5" borderId="208" xfId="0" applyNumberFormat="1" applyFill="1" applyBorder="1" applyAlignment="1">
      <alignment horizontal="center" vertical="center"/>
    </xf>
    <xf numFmtId="0" fontId="0" fillId="37" borderId="207" xfId="0" applyFill="1" applyBorder="1" applyAlignment="1">
      <alignment horizontal="left" vertical="center"/>
    </xf>
    <xf numFmtId="2" fontId="0" fillId="37" borderId="208" xfId="0" applyNumberFormat="1" applyFill="1" applyBorder="1" applyAlignment="1">
      <alignment horizontal="center" vertical="center"/>
    </xf>
    <xf numFmtId="0" fontId="0" fillId="38" borderId="209" xfId="0" applyFill="1" applyBorder="1" applyAlignment="1">
      <alignment horizontal="left" vertical="center"/>
    </xf>
    <xf numFmtId="0" fontId="0" fillId="38" borderId="210" xfId="0" applyFill="1" applyBorder="1" applyAlignment="1">
      <alignment horizontal="left" vertical="center" wrapText="1"/>
    </xf>
    <xf numFmtId="1" fontId="0" fillId="38" borderId="210" xfId="0" applyNumberFormat="1" applyFill="1" applyBorder="1" applyAlignment="1">
      <alignment horizontal="center" vertical="center"/>
    </xf>
    <xf numFmtId="2" fontId="0" fillId="38" borderId="211" xfId="0" applyNumberFormat="1" applyFill="1" applyBorder="1" applyAlignment="1">
      <alignment horizontal="center" vertical="center"/>
    </xf>
    <xf numFmtId="0" fontId="0" fillId="5" borderId="209" xfId="0" applyFill="1" applyBorder="1" applyAlignment="1">
      <alignment horizontal="left" vertical="center"/>
    </xf>
    <xf numFmtId="0" fontId="0" fillId="5" borderId="210" xfId="0" applyFill="1" applyBorder="1" applyAlignment="1">
      <alignment horizontal="left" vertical="center" wrapText="1"/>
    </xf>
    <xf numFmtId="1" fontId="0" fillId="5" borderId="210" xfId="0" applyNumberFormat="1" applyFill="1" applyBorder="1" applyAlignment="1">
      <alignment horizontal="center" vertical="center"/>
    </xf>
    <xf numFmtId="2" fontId="0" fillId="5" borderId="211" xfId="0" applyNumberFormat="1" applyFill="1" applyBorder="1" applyAlignment="1">
      <alignment horizontal="center" vertical="center"/>
    </xf>
    <xf numFmtId="2" fontId="33" fillId="0" borderId="0" xfId="57" applyNumberFormat="1"/>
    <xf numFmtId="0" fontId="148" fillId="0" borderId="0" xfId="69" applyNumberFormat="1" applyFont="1" applyFill="1" applyBorder="1" applyAlignment="1"/>
    <xf numFmtId="0" fontId="33" fillId="0" borderId="0" xfId="57" applyAlignment="1">
      <alignment horizontal="left" vertical="center" wrapText="1"/>
    </xf>
    <xf numFmtId="1" fontId="33" fillId="0" borderId="0" xfId="57" applyNumberFormat="1" applyAlignment="1">
      <alignment horizontal="center" vertical="center"/>
    </xf>
    <xf numFmtId="2" fontId="33" fillId="0" borderId="0" xfId="57" applyNumberFormat="1" applyAlignment="1">
      <alignment horizontal="center" vertical="center"/>
    </xf>
    <xf numFmtId="0" fontId="144" fillId="0" borderId="0" xfId="0" applyNumberFormat="1" applyFont="1" applyFill="1" applyBorder="1" applyAlignment="1">
      <alignment horizontal="left" vertical="center"/>
    </xf>
    <xf numFmtId="0" fontId="33" fillId="6" borderId="203" xfId="57" applyFill="1" applyBorder="1" applyAlignment="1">
      <alignment horizontal="left" vertical="center"/>
    </xf>
    <xf numFmtId="0" fontId="33" fillId="6" borderId="203" xfId="57" applyFill="1" applyBorder="1" applyAlignment="1">
      <alignment horizontal="left" vertical="center" wrapText="1"/>
    </xf>
    <xf numFmtId="1" fontId="33" fillId="6" borderId="203" xfId="57" applyNumberFormat="1" applyFill="1" applyBorder="1" applyAlignment="1">
      <alignment horizontal="center" vertical="center"/>
    </xf>
    <xf numFmtId="2" fontId="33" fillId="6" borderId="203" xfId="57" applyNumberFormat="1" applyFill="1" applyBorder="1" applyAlignment="1">
      <alignment horizontal="center" vertical="center"/>
    </xf>
    <xf numFmtId="0" fontId="49" fillId="0" borderId="46" xfId="53" quotePrefix="1" applyNumberFormat="1" applyFont="1" applyFill="1" applyBorder="1" applyAlignment="1">
      <alignment vertical="center"/>
    </xf>
    <xf numFmtId="0" fontId="33" fillId="42" borderId="0" xfId="57" applyFill="1"/>
    <xf numFmtId="0" fontId="33" fillId="45" borderId="0" xfId="57" applyFill="1"/>
    <xf numFmtId="2" fontId="33" fillId="45" borderId="203" xfId="57" applyNumberFormat="1" applyFill="1" applyBorder="1" applyAlignment="1">
      <alignment horizontal="center" vertical="center"/>
    </xf>
    <xf numFmtId="2" fontId="33" fillId="46" borderId="203" xfId="57" applyNumberFormat="1" applyFill="1" applyBorder="1" applyAlignment="1">
      <alignment horizontal="center" vertical="center"/>
    </xf>
    <xf numFmtId="0" fontId="33" fillId="47" borderId="0" xfId="57" applyFill="1"/>
    <xf numFmtId="2" fontId="33" fillId="47" borderId="203" xfId="57" applyNumberFormat="1" applyFill="1" applyBorder="1" applyAlignment="1">
      <alignment horizontal="center" vertical="center"/>
    </xf>
    <xf numFmtId="2" fontId="33" fillId="48" borderId="203" xfId="57" applyNumberFormat="1" applyFill="1" applyBorder="1" applyAlignment="1">
      <alignment horizontal="center" vertical="center"/>
    </xf>
    <xf numFmtId="166" fontId="0" fillId="0" borderId="0" xfId="235" applyFont="1" applyFill="1" applyBorder="1" applyAlignment="1"/>
    <xf numFmtId="166" fontId="33" fillId="41" borderId="203" xfId="235" applyFont="1" applyFill="1" applyBorder="1" applyAlignment="1">
      <alignment horizontal="center" vertical="center"/>
    </xf>
    <xf numFmtId="0" fontId="0" fillId="41" borderId="0" xfId="0" applyNumberFormat="1" applyFont="1" applyFill="1" applyBorder="1" applyAlignment="1"/>
    <xf numFmtId="0" fontId="33" fillId="0" borderId="203" xfId="57" applyBorder="1" applyAlignment="1">
      <alignment horizontal="left" vertical="center" wrapText="1"/>
    </xf>
    <xf numFmtId="1" fontId="33" fillId="0" borderId="203" xfId="57" applyNumberFormat="1" applyBorder="1" applyAlignment="1">
      <alignment horizontal="center" vertical="center"/>
    </xf>
    <xf numFmtId="2" fontId="33" fillId="0" borderId="203" xfId="57" applyNumberFormat="1" applyBorder="1" applyAlignment="1">
      <alignment horizontal="center" vertical="center"/>
    </xf>
    <xf numFmtId="166" fontId="33" fillId="0" borderId="203" xfId="235" applyFont="1" applyFill="1" applyBorder="1" applyAlignment="1">
      <alignment horizontal="center" vertical="center"/>
    </xf>
    <xf numFmtId="44" fontId="0" fillId="0" borderId="0" xfId="0" applyNumberFormat="1" applyFont="1" applyFill="1" applyBorder="1" applyAlignment="1"/>
    <xf numFmtId="4" fontId="49" fillId="0" borderId="46" xfId="104" quotePrefix="1" applyNumberFormat="1" applyFont="1" applyFill="1" applyBorder="1" applyAlignment="1">
      <alignment horizontal="center" vertical="center" wrapText="1"/>
    </xf>
    <xf numFmtId="0" fontId="0" fillId="34" borderId="0" xfId="0" applyNumberFormat="1" applyFont="1" applyFill="1" applyBorder="1" applyAlignment="1"/>
    <xf numFmtId="0" fontId="147" fillId="34" borderId="0" xfId="0" applyNumberFormat="1" applyFont="1" applyFill="1" applyBorder="1" applyAlignment="1"/>
    <xf numFmtId="0" fontId="147" fillId="34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33" fillId="0" borderId="0" xfId="0" applyNumberFormat="1" applyFont="1" applyFill="1" applyBorder="1" applyAlignment="1"/>
    <xf numFmtId="166" fontId="0" fillId="0" borderId="0" xfId="235" applyFont="1" applyFill="1" applyBorder="1" applyAlignment="1">
      <alignment horizontal="center"/>
    </xf>
    <xf numFmtId="166" fontId="147" fillId="34" borderId="0" xfId="235" applyFont="1" applyFill="1" applyBorder="1" applyAlignment="1">
      <alignment horizontal="center"/>
    </xf>
    <xf numFmtId="0" fontId="77" fillId="10" borderId="24" xfId="41" applyFont="1" applyFill="1" applyBorder="1" applyAlignment="1">
      <alignment horizontal="center" vertical="center" wrapText="1"/>
    </xf>
    <xf numFmtId="0" fontId="77" fillId="10" borderId="71" xfId="41" applyFont="1" applyFill="1" applyBorder="1" applyAlignment="1">
      <alignment horizontal="center" vertical="center" wrapText="1"/>
    </xf>
    <xf numFmtId="166" fontId="33" fillId="0" borderId="0" xfId="235" applyFont="1" applyFill="1" applyBorder="1" applyAlignment="1"/>
    <xf numFmtId="1" fontId="33" fillId="0" borderId="212" xfId="57" applyNumberFormat="1" applyBorder="1" applyAlignment="1">
      <alignment horizontal="center" vertical="center"/>
    </xf>
    <xf numFmtId="2" fontId="33" fillId="0" borderId="212" xfId="57" applyNumberFormat="1" applyBorder="1" applyAlignment="1">
      <alignment horizontal="center" vertical="center"/>
    </xf>
    <xf numFmtId="166" fontId="33" fillId="0" borderId="212" xfId="235" applyFont="1" applyFill="1" applyBorder="1" applyAlignment="1">
      <alignment horizontal="center" vertical="center"/>
    </xf>
    <xf numFmtId="1" fontId="33" fillId="8" borderId="213" xfId="57" applyNumberFormat="1" applyFill="1" applyBorder="1" applyAlignment="1">
      <alignment horizontal="center" vertical="center"/>
    </xf>
    <xf numFmtId="2" fontId="33" fillId="8" borderId="5" xfId="57" applyNumberFormat="1" applyFill="1" applyBorder="1" applyAlignment="1">
      <alignment horizontal="center" vertical="center"/>
    </xf>
    <xf numFmtId="166" fontId="33" fillId="8" borderId="5" xfId="235" applyFont="1" applyFill="1" applyBorder="1" applyAlignment="1">
      <alignment horizontal="center" vertical="center"/>
    </xf>
    <xf numFmtId="0" fontId="0" fillId="8" borderId="19" xfId="0" applyNumberFormat="1" applyFont="1" applyFill="1" applyBorder="1" applyAlignment="1"/>
    <xf numFmtId="1" fontId="33" fillId="8" borderId="214" xfId="57" applyNumberFormat="1" applyFill="1" applyBorder="1" applyAlignment="1">
      <alignment horizontal="center" vertical="center"/>
    </xf>
    <xf numFmtId="2" fontId="33" fillId="8" borderId="0" xfId="0" applyNumberFormat="1" applyFont="1" applyFill="1" applyBorder="1" applyAlignment="1"/>
    <xf numFmtId="166" fontId="33" fillId="8" borderId="0" xfId="235" applyFont="1" applyFill="1" applyBorder="1" applyAlignment="1"/>
    <xf numFmtId="1" fontId="33" fillId="8" borderId="215" xfId="57" applyNumberFormat="1" applyFill="1" applyBorder="1" applyAlignment="1">
      <alignment horizontal="center" vertical="center"/>
    </xf>
    <xf numFmtId="1" fontId="33" fillId="8" borderId="216" xfId="57" applyNumberFormat="1" applyFill="1" applyBorder="1" applyAlignment="1">
      <alignment horizontal="left" vertical="center"/>
    </xf>
    <xf numFmtId="0" fontId="33" fillId="8" borderId="16" xfId="0" applyNumberFormat="1" applyFont="1" applyFill="1" applyBorder="1" applyAlignment="1"/>
    <xf numFmtId="166" fontId="33" fillId="8" borderId="16" xfId="235" applyFont="1" applyFill="1" applyBorder="1" applyAlignment="1"/>
    <xf numFmtId="0" fontId="0" fillId="8" borderId="26" xfId="0" applyNumberFormat="1" applyFont="1" applyFill="1" applyBorder="1" applyAlignment="1"/>
    <xf numFmtId="9" fontId="0" fillId="0" borderId="0" xfId="0" applyNumberFormat="1" applyFont="1" applyFill="1" applyBorder="1" applyAlignment="1">
      <alignment horizontal="center"/>
    </xf>
    <xf numFmtId="0" fontId="0" fillId="8" borderId="0" xfId="0" applyNumberFormat="1" applyFont="1" applyFill="1" applyBorder="1" applyAlignment="1"/>
    <xf numFmtId="0" fontId="0" fillId="8" borderId="0" xfId="0" applyNumberFormat="1" applyFont="1" applyFill="1" applyBorder="1" applyAlignment="1">
      <alignment horizontal="center"/>
    </xf>
    <xf numFmtId="9" fontId="0" fillId="8" borderId="0" xfId="0" applyNumberFormat="1" applyFont="1" applyFill="1" applyBorder="1" applyAlignment="1">
      <alignment horizontal="center"/>
    </xf>
    <xf numFmtId="166" fontId="0" fillId="8" borderId="0" xfId="235" applyFont="1" applyFill="1" applyBorder="1" applyAlignment="1"/>
    <xf numFmtId="166" fontId="33" fillId="8" borderId="0" xfId="235" applyFont="1" applyFill="1" applyBorder="1" applyAlignment="1">
      <alignment horizontal="center"/>
    </xf>
    <xf numFmtId="0" fontId="0" fillId="42" borderId="0" xfId="0" applyNumberFormat="1" applyFont="1" applyFill="1" applyBorder="1" applyAlignment="1"/>
    <xf numFmtId="4" fontId="0" fillId="0" borderId="0" xfId="0" applyNumberFormat="1" applyFont="1" applyFill="1" applyBorder="1" applyAlignment="1"/>
    <xf numFmtId="166" fontId="33" fillId="42" borderId="0" xfId="235" applyFont="1" applyFill="1" applyBorder="1" applyAlignment="1">
      <alignment horizontal="center"/>
    </xf>
    <xf numFmtId="166" fontId="0" fillId="42" borderId="0" xfId="235" applyFont="1" applyFill="1" applyBorder="1" applyAlignment="1"/>
    <xf numFmtId="0" fontId="0" fillId="34" borderId="0" xfId="0" applyNumberFormat="1" applyFont="1" applyFill="1" applyBorder="1" applyAlignment="1">
      <alignment horizontal="center"/>
    </xf>
    <xf numFmtId="9" fontId="0" fillId="34" borderId="0" xfId="0" applyNumberFormat="1" applyFont="1" applyFill="1" applyBorder="1" applyAlignment="1">
      <alignment horizontal="center"/>
    </xf>
    <xf numFmtId="166" fontId="33" fillId="34" borderId="0" xfId="235" applyFont="1" applyFill="1" applyBorder="1" applyAlignment="1">
      <alignment horizontal="center"/>
    </xf>
    <xf numFmtId="166" fontId="0" fillId="34" borderId="0" xfId="235" applyFont="1" applyFill="1" applyBorder="1" applyAlignment="1"/>
    <xf numFmtId="166" fontId="147" fillId="42" borderId="0" xfId="235" applyFont="1" applyFill="1" applyBorder="1" applyAlignment="1">
      <alignment horizontal="center"/>
    </xf>
    <xf numFmtId="166" fontId="147" fillId="42" borderId="0" xfId="235" applyFont="1" applyFill="1" applyBorder="1" applyAlignment="1"/>
    <xf numFmtId="0" fontId="129" fillId="8" borderId="0" xfId="0" applyFont="1" applyFill="1" applyBorder="1" applyAlignment="1">
      <alignment horizontal="center"/>
    </xf>
    <xf numFmtId="0" fontId="129" fillId="8" borderId="0" xfId="0" applyFont="1" applyFill="1" applyBorder="1" applyAlignment="1">
      <alignment vertical="center"/>
    </xf>
    <xf numFmtId="2" fontId="129" fillId="8" borderId="0" xfId="0" applyNumberFormat="1" applyFont="1" applyFill="1" applyBorder="1" applyAlignment="1">
      <alignment horizont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/>
    <xf numFmtId="2" fontId="0" fillId="0" borderId="0" xfId="0" applyNumberFormat="1" applyFont="1" applyBorder="1" applyAlignment="1">
      <alignment horizontal="center" vertical="center"/>
    </xf>
    <xf numFmtId="9" fontId="0" fillId="0" borderId="0" xfId="0" applyNumberFormat="1" applyFont="1" applyBorder="1" applyAlignment="1">
      <alignment horizontal="center" vertical="center"/>
    </xf>
    <xf numFmtId="166" fontId="129" fillId="8" borderId="0" xfId="235" applyFont="1" applyFill="1" applyBorder="1" applyAlignment="1">
      <alignment horizontal="center"/>
    </xf>
    <xf numFmtId="166" fontId="0" fillId="0" borderId="0" xfId="235" applyFont="1" applyBorder="1" applyAlignment="1">
      <alignment horizontal="center" vertical="center"/>
    </xf>
    <xf numFmtId="166" fontId="129" fillId="0" borderId="0" xfId="235" applyFont="1" applyFill="1" applyBorder="1" applyAlignment="1">
      <alignment horizontal="center"/>
    </xf>
    <xf numFmtId="0" fontId="0" fillId="31" borderId="0" xfId="0" applyFont="1" applyFill="1" applyBorder="1" applyAlignment="1">
      <alignment horizontal="center" vertical="center"/>
    </xf>
    <xf numFmtId="0" fontId="0" fillId="31" borderId="0" xfId="0" applyFont="1" applyFill="1" applyBorder="1"/>
    <xf numFmtId="2" fontId="0" fillId="31" borderId="0" xfId="0" applyNumberFormat="1" applyFont="1" applyFill="1" applyBorder="1" applyAlignment="1">
      <alignment horizontal="center" vertical="center"/>
    </xf>
    <xf numFmtId="9" fontId="0" fillId="31" borderId="0" xfId="0" applyNumberFormat="1" applyFont="1" applyFill="1" applyBorder="1" applyAlignment="1">
      <alignment horizontal="center" vertical="center"/>
    </xf>
    <xf numFmtId="166" fontId="0" fillId="31" borderId="0" xfId="235" applyFont="1" applyFill="1" applyBorder="1" applyAlignment="1">
      <alignment horizontal="center" vertical="center"/>
    </xf>
    <xf numFmtId="166" fontId="33" fillId="31" borderId="0" xfId="235" applyFont="1" applyFill="1" applyBorder="1" applyAlignment="1">
      <alignment horizontal="center" vertical="center"/>
    </xf>
    <xf numFmtId="0" fontId="0" fillId="0" borderId="0" xfId="0" applyFont="1" applyBorder="1" applyAlignment="1">
      <alignment wrapText="1"/>
    </xf>
    <xf numFmtId="0" fontId="33" fillId="0" borderId="0" xfId="0" applyFont="1" applyBorder="1"/>
    <xf numFmtId="0" fontId="0" fillId="0" borderId="0" xfId="0" applyFont="1" applyBorder="1" applyAlignment="1">
      <alignment horizontal="left" vertical="center"/>
    </xf>
    <xf numFmtId="0" fontId="0" fillId="31" borderId="0" xfId="0" applyNumberFormat="1" applyFont="1" applyFill="1" applyBorder="1" applyAlignment="1">
      <alignment horizontal="center"/>
    </xf>
    <xf numFmtId="0" fontId="33" fillId="31" borderId="0" xfId="0" applyNumberFormat="1" applyFont="1" applyFill="1" applyBorder="1" applyAlignment="1"/>
    <xf numFmtId="0" fontId="0" fillId="31" borderId="0" xfId="0" applyNumberFormat="1" applyFont="1" applyFill="1" applyBorder="1" applyAlignment="1"/>
    <xf numFmtId="44" fontId="0" fillId="31" borderId="0" xfId="0" applyNumberFormat="1" applyFont="1" applyFill="1" applyBorder="1" applyAlignment="1"/>
    <xf numFmtId="0" fontId="147" fillId="31" borderId="0" xfId="0" applyNumberFormat="1" applyFont="1" applyFill="1" applyBorder="1" applyAlignment="1"/>
    <xf numFmtId="166" fontId="147" fillId="31" borderId="0" xfId="0" applyNumberFormat="1" applyFont="1" applyFill="1" applyBorder="1" applyAlignment="1"/>
    <xf numFmtId="177" fontId="150" fillId="49" borderId="9" xfId="0" applyNumberFormat="1" applyFont="1" applyFill="1" applyBorder="1" applyAlignment="1">
      <alignment horizontal="center" vertical="center" wrapText="1"/>
    </xf>
    <xf numFmtId="9" fontId="150" fillId="49" borderId="9" xfId="297" applyFont="1" applyFill="1" applyBorder="1" applyAlignment="1">
      <alignment horizontal="center" vertical="center" wrapText="1"/>
    </xf>
    <xf numFmtId="0" fontId="47" fillId="0" borderId="0" xfId="0" applyNumberFormat="1" applyFont="1" applyFill="1" applyBorder="1" applyAlignment="1"/>
    <xf numFmtId="0" fontId="150" fillId="49" borderId="9" xfId="297" applyNumberFormat="1" applyFont="1" applyFill="1" applyBorder="1" applyAlignment="1">
      <alignment horizontal="center" vertical="center" wrapText="1"/>
    </xf>
    <xf numFmtId="177" fontId="47" fillId="0" borderId="9" xfId="0" applyNumberFormat="1" applyFont="1" applyFill="1" applyBorder="1" applyAlignment="1">
      <alignment horizontal="left" vertical="center" wrapText="1"/>
    </xf>
    <xf numFmtId="177" fontId="47" fillId="0" borderId="9" xfId="0" applyNumberFormat="1" applyFont="1" applyFill="1" applyBorder="1" applyAlignment="1">
      <alignment horizontal="center" vertical="center" wrapText="1"/>
    </xf>
    <xf numFmtId="9" fontId="47" fillId="0" borderId="9" xfId="297" applyFont="1" applyFill="1" applyBorder="1" applyAlignment="1">
      <alignment horizontal="center" vertical="center" wrapText="1"/>
    </xf>
    <xf numFmtId="0" fontId="47" fillId="0" borderId="9" xfId="297" applyNumberFormat="1" applyFont="1" applyFill="1" applyBorder="1" applyAlignment="1">
      <alignment horizontal="center" vertical="center" wrapText="1"/>
    </xf>
    <xf numFmtId="177" fontId="151" fillId="0" borderId="9" xfId="0" applyNumberFormat="1" applyFont="1" applyFill="1" applyBorder="1" applyAlignment="1">
      <alignment horizontal="center" vertical="center" wrapText="1"/>
    </xf>
    <xf numFmtId="9" fontId="151" fillId="0" borderId="9" xfId="297" applyFont="1" applyFill="1" applyBorder="1" applyAlignment="1">
      <alignment horizontal="center" vertical="center" wrapText="1"/>
    </xf>
    <xf numFmtId="0" fontId="47" fillId="0" borderId="0" xfId="0" applyNumberFormat="1" applyFont="1" applyFill="1" applyBorder="1" applyAlignment="1">
      <alignment horizontal="center"/>
    </xf>
    <xf numFmtId="9" fontId="47" fillId="0" borderId="0" xfId="297" applyFont="1" applyFill="1" applyBorder="1" applyAlignment="1">
      <alignment horizontal="center"/>
    </xf>
    <xf numFmtId="0" fontId="47" fillId="0" borderId="0" xfId="297" applyNumberFormat="1" applyFont="1" applyFill="1" applyBorder="1" applyAlignment="1">
      <alignment horizontal="center"/>
    </xf>
    <xf numFmtId="0" fontId="47" fillId="50" borderId="0" xfId="297" applyNumberFormat="1" applyFont="1" applyFill="1" applyBorder="1" applyAlignment="1">
      <alignment horizontal="center"/>
    </xf>
    <xf numFmtId="166" fontId="47" fillId="50" borderId="0" xfId="235" applyFont="1" applyFill="1" applyBorder="1" applyAlignment="1">
      <alignment horizontal="center"/>
    </xf>
    <xf numFmtId="0" fontId="47" fillId="30" borderId="0" xfId="297" applyNumberFormat="1" applyFont="1" applyFill="1" applyBorder="1" applyAlignment="1">
      <alignment horizontal="center"/>
    </xf>
    <xf numFmtId="44" fontId="47" fillId="30" borderId="0" xfId="297" applyNumberFormat="1" applyFont="1" applyFill="1" applyBorder="1" applyAlignment="1">
      <alignment horizontal="center"/>
    </xf>
    <xf numFmtId="0" fontId="47" fillId="30" borderId="0" xfId="0" applyNumberFormat="1" applyFont="1" applyFill="1" applyBorder="1" applyAlignment="1"/>
    <xf numFmtId="166" fontId="47" fillId="0" borderId="9" xfId="235" applyFont="1" applyFill="1" applyBorder="1" applyAlignment="1">
      <alignment horizontal="center" vertical="center" wrapText="1"/>
    </xf>
    <xf numFmtId="0" fontId="129" fillId="8" borderId="0" xfId="0" applyFont="1" applyFill="1" applyBorder="1" applyAlignment="1">
      <alignment horizontal="center" vertical="center"/>
    </xf>
    <xf numFmtId="0" fontId="129" fillId="8" borderId="0" xfId="0" applyNumberFormat="1" applyFont="1" applyFill="1" applyBorder="1" applyAlignment="1">
      <alignment horizontal="center"/>
    </xf>
    <xf numFmtId="0" fontId="0" fillId="0" borderId="0" xfId="0" applyNumberFormat="1" applyFont="1" applyBorder="1" applyAlignment="1">
      <alignment horizontal="center" vertical="center"/>
    </xf>
    <xf numFmtId="0" fontId="0" fillId="30" borderId="0" xfId="0" applyFont="1" applyFill="1" applyBorder="1"/>
    <xf numFmtId="0" fontId="0" fillId="30" borderId="0" xfId="0" applyFont="1" applyFill="1" applyBorder="1" applyAlignment="1">
      <alignment horizontal="center" vertical="center"/>
    </xf>
    <xf numFmtId="0" fontId="0" fillId="30" borderId="0" xfId="0" applyNumberFormat="1" applyFont="1" applyFill="1" applyBorder="1" applyAlignment="1">
      <alignment horizontal="center" vertical="center"/>
    </xf>
    <xf numFmtId="166" fontId="0" fillId="30" borderId="0" xfId="235" applyFont="1" applyFill="1" applyBorder="1" applyAlignment="1">
      <alignment horizontal="center" vertical="center"/>
    </xf>
    <xf numFmtId="166" fontId="33" fillId="30" borderId="0" xfId="235" applyFont="1" applyFill="1" applyBorder="1" applyAlignment="1">
      <alignment horizontal="center" vertical="center"/>
    </xf>
    <xf numFmtId="0" fontId="0" fillId="30" borderId="0" xfId="0" applyNumberFormat="1" applyFont="1" applyFill="1" applyBorder="1" applyAlignment="1"/>
    <xf numFmtId="166" fontId="0" fillId="30" borderId="0" xfId="235" applyFont="1" applyFill="1" applyBorder="1" applyAlignment="1"/>
    <xf numFmtId="0" fontId="33" fillId="30" borderId="0" xfId="0" applyNumberFormat="1" applyFont="1" applyFill="1" applyBorder="1" applyAlignment="1"/>
    <xf numFmtId="44" fontId="0" fillId="30" borderId="0" xfId="0" applyNumberFormat="1" applyFont="1" applyFill="1" applyBorder="1" applyAlignment="1"/>
    <xf numFmtId="9" fontId="150" fillId="49" borderId="9" xfId="202" applyFont="1" applyFill="1" applyBorder="1" applyAlignment="1">
      <alignment horizontal="center" vertical="center" wrapText="1"/>
    </xf>
    <xf numFmtId="0" fontId="150" fillId="49" borderId="9" xfId="202" applyNumberFormat="1" applyFont="1" applyFill="1" applyBorder="1" applyAlignment="1">
      <alignment horizontal="center" vertical="center" wrapText="1"/>
    </xf>
    <xf numFmtId="166" fontId="150" fillId="49" borderId="9" xfId="249" applyFont="1" applyFill="1" applyBorder="1" applyAlignment="1">
      <alignment horizontal="center" vertical="center" wrapText="1"/>
    </xf>
    <xf numFmtId="177" fontId="151" fillId="51" borderId="217" xfId="0" applyNumberFormat="1" applyFont="1" applyFill="1" applyBorder="1" applyAlignment="1">
      <alignment horizontal="left" vertical="center" wrapText="1"/>
    </xf>
    <xf numFmtId="177" fontId="151" fillId="51" borderId="217" xfId="0" applyNumberFormat="1" applyFont="1" applyFill="1" applyBorder="1" applyAlignment="1">
      <alignment horizontal="center" vertical="center" wrapText="1"/>
    </xf>
    <xf numFmtId="9" fontId="151" fillId="51" borderId="217" xfId="202" applyFont="1" applyFill="1" applyBorder="1" applyAlignment="1">
      <alignment horizontal="center" vertical="center" wrapText="1"/>
    </xf>
    <xf numFmtId="0" fontId="151" fillId="51" borderId="217" xfId="202" applyNumberFormat="1" applyFont="1" applyFill="1" applyBorder="1" applyAlignment="1">
      <alignment horizontal="center" vertical="center" wrapText="1"/>
    </xf>
    <xf numFmtId="166" fontId="151" fillId="51" borderId="217" xfId="249" applyFont="1" applyFill="1" applyBorder="1" applyAlignment="1">
      <alignment horizontal="center" vertical="center" wrapText="1"/>
    </xf>
    <xf numFmtId="177" fontId="151" fillId="51" borderId="218" xfId="0" applyNumberFormat="1" applyFont="1" applyFill="1" applyBorder="1" applyAlignment="1">
      <alignment horizontal="left" vertical="center" wrapText="1"/>
    </xf>
    <xf numFmtId="177" fontId="151" fillId="51" borderId="218" xfId="0" applyNumberFormat="1" applyFont="1" applyFill="1" applyBorder="1" applyAlignment="1">
      <alignment horizontal="center" vertical="center" wrapText="1"/>
    </xf>
    <xf numFmtId="9" fontId="151" fillId="51" borderId="218" xfId="202" applyFont="1" applyFill="1" applyBorder="1" applyAlignment="1">
      <alignment horizontal="center" vertical="center" wrapText="1"/>
    </xf>
    <xf numFmtId="0" fontId="151" fillId="51" borderId="218" xfId="202" applyNumberFormat="1" applyFont="1" applyFill="1" applyBorder="1" applyAlignment="1">
      <alignment horizontal="center" vertical="center" wrapText="1"/>
    </xf>
    <xf numFmtId="166" fontId="151" fillId="51" borderId="218" xfId="249" applyFont="1" applyFill="1" applyBorder="1" applyAlignment="1">
      <alignment horizontal="center" vertical="center" wrapText="1"/>
    </xf>
    <xf numFmtId="0" fontId="47" fillId="8" borderId="0" xfId="0" applyNumberFormat="1" applyFont="1" applyFill="1" applyBorder="1" applyAlignment="1"/>
    <xf numFmtId="0" fontId="47" fillId="8" borderId="0" xfId="0" applyNumberFormat="1" applyFont="1" applyFill="1" applyBorder="1" applyAlignment="1">
      <alignment horizontal="center"/>
    </xf>
    <xf numFmtId="9" fontId="47" fillId="8" borderId="0" xfId="202" applyFont="1" applyFill="1" applyBorder="1" applyAlignment="1">
      <alignment horizontal="center"/>
    </xf>
    <xf numFmtId="0" fontId="47" fillId="8" borderId="0" xfId="202" applyNumberFormat="1" applyFont="1" applyFill="1" applyBorder="1" applyAlignment="1">
      <alignment horizontal="center"/>
    </xf>
    <xf numFmtId="166" fontId="48" fillId="8" borderId="0" xfId="249" applyFont="1" applyFill="1" applyBorder="1" applyAlignment="1">
      <alignment horizontal="center"/>
    </xf>
    <xf numFmtId="9" fontId="47" fillId="0" borderId="0" xfId="202" applyFont="1" applyFill="1" applyBorder="1" applyAlignment="1">
      <alignment horizontal="center"/>
    </xf>
    <xf numFmtId="0" fontId="47" fillId="0" borderId="0" xfId="202" applyNumberFormat="1" applyFont="1" applyFill="1" applyBorder="1" applyAlignment="1">
      <alignment horizontal="center"/>
    </xf>
    <xf numFmtId="166" fontId="47" fillId="0" borderId="0" xfId="249" applyFont="1" applyFill="1" applyBorder="1" applyAlignment="1">
      <alignment horizontal="center"/>
    </xf>
    <xf numFmtId="166" fontId="47" fillId="0" borderId="0" xfId="235" applyFont="1" applyFill="1" applyBorder="1" applyAlignment="1"/>
    <xf numFmtId="0" fontId="129" fillId="8" borderId="219" xfId="298" applyFont="1" applyFill="1" applyBorder="1" applyAlignment="1">
      <alignment vertical="center"/>
    </xf>
    <xf numFmtId="0" fontId="129" fillId="8" borderId="219" xfId="298" applyFont="1" applyFill="1" applyBorder="1" applyAlignment="1">
      <alignment horizontal="center"/>
    </xf>
    <xf numFmtId="9" fontId="129" fillId="8" borderId="219" xfId="297" applyFont="1" applyFill="1" applyBorder="1" applyAlignment="1">
      <alignment horizontal="center"/>
    </xf>
    <xf numFmtId="0" fontId="129" fillId="8" borderId="219" xfId="297" applyNumberFormat="1" applyFont="1" applyFill="1" applyBorder="1" applyAlignment="1">
      <alignment horizontal="center"/>
    </xf>
    <xf numFmtId="166" fontId="129" fillId="8" borderId="219" xfId="235" applyFont="1" applyFill="1" applyBorder="1" applyAlignment="1">
      <alignment horizontal="center"/>
    </xf>
    <xf numFmtId="0" fontId="5" fillId="0" borderId="219" xfId="298" applyBorder="1"/>
    <xf numFmtId="166" fontId="129" fillId="8" borderId="219" xfId="235" applyFont="1" applyFill="1" applyBorder="1" applyAlignment="1">
      <alignment vertical="center"/>
    </xf>
    <xf numFmtId="0" fontId="129" fillId="0" borderId="219" xfId="298" applyFont="1" applyBorder="1"/>
    <xf numFmtId="0" fontId="5" fillId="0" borderId="219" xfId="298" applyBorder="1" applyAlignment="1">
      <alignment horizontal="center" vertical="center"/>
    </xf>
    <xf numFmtId="0" fontId="5" fillId="0" borderId="219" xfId="298" applyBorder="1" applyAlignment="1">
      <alignment horizontal="center"/>
    </xf>
    <xf numFmtId="1" fontId="5" fillId="0" borderId="219" xfId="298" applyNumberFormat="1" applyBorder="1" applyAlignment="1">
      <alignment horizontal="center"/>
    </xf>
    <xf numFmtId="9" fontId="5" fillId="0" borderId="219" xfId="297" applyFont="1" applyBorder="1" applyAlignment="1">
      <alignment horizontal="center"/>
    </xf>
    <xf numFmtId="0" fontId="5" fillId="0" borderId="219" xfId="297" applyNumberFormat="1" applyFont="1" applyBorder="1" applyAlignment="1">
      <alignment horizontal="center"/>
    </xf>
    <xf numFmtId="166" fontId="5" fillId="0" borderId="219" xfId="235" applyFont="1" applyBorder="1" applyAlignment="1">
      <alignment horizontal="center"/>
    </xf>
    <xf numFmtId="166" fontId="129" fillId="0" borderId="219" xfId="235" applyFont="1" applyBorder="1"/>
    <xf numFmtId="166" fontId="5" fillId="0" borderId="219" xfId="235" applyFont="1" applyBorder="1"/>
    <xf numFmtId="0" fontId="5" fillId="31" borderId="219" xfId="298" applyFill="1" applyBorder="1"/>
    <xf numFmtId="0" fontId="5" fillId="31" borderId="219" xfId="298" applyFill="1" applyBorder="1" applyAlignment="1">
      <alignment horizontal="center" vertical="center"/>
    </xf>
    <xf numFmtId="0" fontId="5" fillId="31" borderId="219" xfId="298" applyFill="1" applyBorder="1" applyAlignment="1">
      <alignment horizontal="center"/>
    </xf>
    <xf numFmtId="1" fontId="5" fillId="31" borderId="219" xfId="298" applyNumberFormat="1" applyFill="1" applyBorder="1" applyAlignment="1">
      <alignment horizontal="center"/>
    </xf>
    <xf numFmtId="9" fontId="5" fillId="31" borderId="219" xfId="297" applyFont="1" applyFill="1" applyBorder="1" applyAlignment="1">
      <alignment horizontal="center"/>
    </xf>
    <xf numFmtId="0" fontId="5" fillId="31" borderId="219" xfId="297" applyNumberFormat="1" applyFont="1" applyFill="1" applyBorder="1" applyAlignment="1">
      <alignment horizontal="center"/>
    </xf>
    <xf numFmtId="166" fontId="5" fillId="31" borderId="219" xfId="235" applyFont="1" applyFill="1" applyBorder="1" applyAlignment="1">
      <alignment horizontal="center"/>
    </xf>
    <xf numFmtId="0" fontId="0" fillId="0" borderId="219" xfId="0" applyNumberFormat="1" applyFont="1" applyFill="1" applyBorder="1" applyAlignment="1"/>
    <xf numFmtId="166" fontId="0" fillId="0" borderId="219" xfId="235" applyFont="1" applyFill="1" applyBorder="1" applyAlignment="1"/>
    <xf numFmtId="0" fontId="47" fillId="0" borderId="6" xfId="45" applyFont="1" applyBorder="1" applyAlignment="1">
      <alignment vertical="center"/>
    </xf>
    <xf numFmtId="0" fontId="71" fillId="0" borderId="1" xfId="45" applyFont="1" applyBorder="1" applyAlignment="1">
      <alignment vertical="center"/>
    </xf>
    <xf numFmtId="0" fontId="71" fillId="0" borderId="25" xfId="45" applyFont="1" applyBorder="1" applyAlignment="1">
      <alignment vertical="center"/>
    </xf>
    <xf numFmtId="166" fontId="98" fillId="8" borderId="39" xfId="249" applyFont="1" applyFill="1" applyBorder="1" applyAlignment="1">
      <alignment vertical="center"/>
    </xf>
    <xf numFmtId="181" fontId="90" fillId="9" borderId="73" xfId="69" applyNumberFormat="1" applyFont="1" applyFill="1" applyBorder="1" applyAlignment="1">
      <alignment horizontal="center"/>
    </xf>
    <xf numFmtId="2" fontId="90" fillId="9" borderId="73" xfId="30" applyNumberFormat="1" applyFont="1" applyFill="1" applyBorder="1"/>
    <xf numFmtId="166" fontId="90" fillId="9" borderId="73" xfId="249" applyFont="1" applyFill="1" applyBorder="1"/>
    <xf numFmtId="166" fontId="67" fillId="3" borderId="33" xfId="249" applyFont="1" applyFill="1" applyBorder="1" applyAlignment="1">
      <alignment vertical="center"/>
    </xf>
    <xf numFmtId="4" fontId="144" fillId="0" borderId="0" xfId="0" applyNumberFormat="1" applyFont="1" applyFill="1" applyBorder="1" applyAlignment="1">
      <alignment horizontal="center" vertical="center"/>
    </xf>
    <xf numFmtId="44" fontId="144" fillId="0" borderId="0" xfId="0" applyNumberFormat="1" applyFont="1" applyFill="1" applyBorder="1" applyAlignment="1">
      <alignment horizontal="center" vertical="center"/>
    </xf>
    <xf numFmtId="0" fontId="0" fillId="37" borderId="203" xfId="0" applyFill="1" applyBorder="1" applyAlignment="1">
      <alignment horizontal="left" vertical="center"/>
    </xf>
    <xf numFmtId="0" fontId="0" fillId="38" borderId="203" xfId="0" applyFill="1" applyBorder="1" applyAlignment="1">
      <alignment horizontal="left" vertical="center"/>
    </xf>
    <xf numFmtId="0" fontId="0" fillId="5" borderId="203" xfId="0" applyFill="1" applyBorder="1" applyAlignment="1">
      <alignment horizontal="left" vertical="center"/>
    </xf>
    <xf numFmtId="2" fontId="0" fillId="5" borderId="203" xfId="0" applyNumberFormat="1" applyFill="1" applyBorder="1" applyAlignment="1">
      <alignment horizontal="center" vertical="center"/>
    </xf>
    <xf numFmtId="0" fontId="3" fillId="31" borderId="219" xfId="298" applyFont="1" applyFill="1" applyBorder="1"/>
    <xf numFmtId="0" fontId="129" fillId="31" borderId="219" xfId="298" applyFont="1" applyFill="1" applyBorder="1"/>
    <xf numFmtId="0" fontId="5" fillId="0" borderId="220" xfId="298" applyBorder="1"/>
    <xf numFmtId="0" fontId="3" fillId="31" borderId="221" xfId="298" applyFont="1" applyFill="1" applyBorder="1"/>
    <xf numFmtId="0" fontId="5" fillId="31" borderId="221" xfId="298" applyFill="1" applyBorder="1"/>
    <xf numFmtId="0" fontId="5" fillId="31" borderId="221" xfId="298" applyFill="1" applyBorder="1" applyAlignment="1">
      <alignment horizontal="center" vertical="center"/>
    </xf>
    <xf numFmtId="0" fontId="5" fillId="31" borderId="221" xfId="298" applyFill="1" applyBorder="1" applyAlignment="1">
      <alignment horizontal="center"/>
    </xf>
    <xf numFmtId="1" fontId="5" fillId="31" borderId="221" xfId="298" applyNumberFormat="1" applyFill="1" applyBorder="1" applyAlignment="1">
      <alignment horizontal="center"/>
    </xf>
    <xf numFmtId="9" fontId="5" fillId="31" borderId="221" xfId="297" applyFont="1" applyFill="1" applyBorder="1" applyAlignment="1">
      <alignment horizontal="center"/>
    </xf>
    <xf numFmtId="0" fontId="3" fillId="31" borderId="221" xfId="297" applyNumberFormat="1" applyFont="1" applyFill="1" applyBorder="1" applyAlignment="1">
      <alignment horizontal="center"/>
    </xf>
    <xf numFmtId="0" fontId="5" fillId="31" borderId="222" xfId="298" applyFill="1" applyBorder="1" applyAlignment="1">
      <alignment horizontal="center"/>
    </xf>
    <xf numFmtId="0" fontId="37" fillId="0" borderId="0" xfId="0" applyNumberFormat="1" applyFont="1" applyFill="1" applyBorder="1" applyAlignment="1"/>
    <xf numFmtId="43" fontId="144" fillId="0" borderId="0" xfId="0" applyNumberFormat="1" applyFont="1" applyFill="1" applyBorder="1" applyAlignment="1"/>
    <xf numFmtId="0" fontId="48" fillId="0" borderId="0" xfId="69" applyNumberFormat="1" applyFont="1" applyFill="1" applyBorder="1" applyAlignment="1">
      <alignment horizontal="right"/>
    </xf>
    <xf numFmtId="8" fontId="48" fillId="0" borderId="0" xfId="69" applyNumberFormat="1" applyFont="1" applyFill="1" applyBorder="1" applyAlignment="1"/>
    <xf numFmtId="0" fontId="115" fillId="53" borderId="78" xfId="300" applyFont="1" applyFill="1" applyBorder="1" applyAlignment="1">
      <alignment vertical="center" wrapText="1"/>
    </xf>
    <xf numFmtId="0" fontId="104" fillId="5" borderId="82" xfId="300" applyFont="1" applyFill="1" applyBorder="1" applyAlignment="1">
      <alignment horizontal="left" vertical="center" wrapText="1"/>
    </xf>
    <xf numFmtId="0" fontId="104" fillId="5" borderId="223" xfId="300" applyFont="1" applyFill="1" applyBorder="1" applyAlignment="1">
      <alignment horizontal="left" vertical="center" wrapText="1"/>
    </xf>
    <xf numFmtId="44" fontId="104" fillId="5" borderId="223" xfId="301" applyFont="1" applyFill="1" applyBorder="1" applyAlignment="1">
      <alignment horizontal="left" vertical="center" wrapText="1"/>
    </xf>
    <xf numFmtId="0" fontId="105" fillId="5" borderId="224" xfId="300" applyFont="1" applyFill="1" applyBorder="1"/>
    <xf numFmtId="0" fontId="2" fillId="0" borderId="0" xfId="300"/>
    <xf numFmtId="0" fontId="115" fillId="53" borderId="10" xfId="300" applyFont="1" applyFill="1" applyBorder="1" applyAlignment="1">
      <alignment vertical="center" wrapText="1"/>
    </xf>
    <xf numFmtId="0" fontId="104" fillId="5" borderId="15" xfId="300" applyFont="1" applyFill="1" applyBorder="1" applyAlignment="1">
      <alignment horizontal="left" vertical="center" wrapText="1"/>
    </xf>
    <xf numFmtId="0" fontId="104" fillId="5" borderId="17" xfId="300" applyFont="1" applyFill="1" applyBorder="1" applyAlignment="1">
      <alignment horizontal="left" vertical="center" wrapText="1"/>
    </xf>
    <xf numFmtId="44" fontId="104" fillId="5" borderId="17" xfId="301" applyFont="1" applyFill="1" applyBorder="1" applyAlignment="1">
      <alignment horizontal="left" vertical="center" wrapText="1"/>
    </xf>
    <xf numFmtId="0" fontId="105" fillId="5" borderId="225" xfId="300" applyFont="1" applyFill="1" applyBorder="1"/>
    <xf numFmtId="0" fontId="153" fillId="5" borderId="110" xfId="300" applyFont="1" applyFill="1" applyBorder="1" applyAlignment="1">
      <alignment vertical="center" wrapText="1"/>
    </xf>
    <xf numFmtId="0" fontId="153" fillId="5" borderId="0" xfId="300" applyFont="1" applyFill="1" applyAlignment="1">
      <alignment horizontal="center" vertical="center" wrapText="1"/>
    </xf>
    <xf numFmtId="0" fontId="153" fillId="5" borderId="0" xfId="300" applyFont="1" applyFill="1" applyAlignment="1">
      <alignment horizontal="left" vertical="center" wrapText="1"/>
    </xf>
    <xf numFmtId="44" fontId="153" fillId="5" borderId="0" xfId="301" applyFont="1" applyFill="1" applyBorder="1" applyAlignment="1">
      <alignment horizontal="left" vertical="center" wrapText="1"/>
    </xf>
    <xf numFmtId="0" fontId="105" fillId="5" borderId="3" xfId="300" applyFont="1" applyFill="1" applyBorder="1"/>
    <xf numFmtId="0" fontId="104" fillId="5" borderId="110" xfId="300" applyFont="1" applyFill="1" applyBorder="1" applyAlignment="1">
      <alignment horizontal="left" vertical="center" wrapText="1"/>
    </xf>
    <xf numFmtId="0" fontId="104" fillId="5" borderId="0" xfId="300" applyFont="1" applyFill="1" applyAlignment="1">
      <alignment horizontal="left" vertical="center" wrapText="1"/>
    </xf>
    <xf numFmtId="44" fontId="104" fillId="5" borderId="0" xfId="301" applyFont="1" applyFill="1" applyBorder="1" applyAlignment="1">
      <alignment horizontal="left" vertical="center" wrapText="1"/>
    </xf>
    <xf numFmtId="0" fontId="116" fillId="5" borderId="3" xfId="300" applyFont="1" applyFill="1" applyBorder="1"/>
    <xf numFmtId="0" fontId="104" fillId="5" borderId="226" xfId="300" applyFont="1" applyFill="1" applyBorder="1" applyAlignment="1">
      <alignment horizontal="left" vertical="center"/>
    </xf>
    <xf numFmtId="0" fontId="104" fillId="5" borderId="16" xfId="300" applyFont="1" applyFill="1" applyBorder="1" applyAlignment="1">
      <alignment horizontal="left" vertical="center" wrapText="1"/>
    </xf>
    <xf numFmtId="44" fontId="104" fillId="5" borderId="16" xfId="301" applyFont="1" applyFill="1" applyBorder="1" applyAlignment="1">
      <alignment horizontal="left" vertical="center" wrapText="1"/>
    </xf>
    <xf numFmtId="2" fontId="116" fillId="5" borderId="227" xfId="300" applyNumberFormat="1" applyFont="1" applyFill="1" applyBorder="1"/>
    <xf numFmtId="0" fontId="116" fillId="5" borderId="110" xfId="300" applyFont="1" applyFill="1" applyBorder="1"/>
    <xf numFmtId="0" fontId="116" fillId="5" borderId="0" xfId="300" applyFont="1" applyFill="1" applyAlignment="1">
      <alignment horizontal="center"/>
    </xf>
    <xf numFmtId="0" fontId="116" fillId="5" borderId="0" xfId="300" applyFont="1" applyFill="1" applyAlignment="1">
      <alignment horizontal="left"/>
    </xf>
    <xf numFmtId="44" fontId="116" fillId="5" borderId="0" xfId="301" applyFont="1" applyFill="1" applyBorder="1" applyAlignment="1">
      <alignment horizontal="left"/>
    </xf>
    <xf numFmtId="0" fontId="106" fillId="56" borderId="78" xfId="300" applyFont="1" applyFill="1" applyBorder="1" applyAlignment="1">
      <alignment horizontal="left" vertical="center" wrapText="1"/>
    </xf>
    <xf numFmtId="0" fontId="106" fillId="56" borderId="79" xfId="300" applyFont="1" applyFill="1" applyBorder="1" applyAlignment="1">
      <alignment horizontal="center" vertical="center" wrapText="1"/>
    </xf>
    <xf numFmtId="43" fontId="106" fillId="56" borderId="80" xfId="302" applyFont="1" applyFill="1" applyBorder="1" applyAlignment="1">
      <alignment horizontal="center" vertical="center" wrapText="1"/>
    </xf>
    <xf numFmtId="44" fontId="106" fillId="56" borderId="80" xfId="301" applyFont="1" applyFill="1" applyBorder="1" applyAlignment="1">
      <alignment horizontal="center" vertical="center" wrapText="1"/>
    </xf>
    <xf numFmtId="49" fontId="109" fillId="5" borderId="84" xfId="302" applyNumberFormat="1" applyFont="1" applyFill="1" applyBorder="1" applyAlignment="1">
      <alignment horizontal="left" vertical="center"/>
    </xf>
    <xf numFmtId="43" fontId="109" fillId="5" borderId="228" xfId="302" applyFont="1" applyFill="1" applyBorder="1" applyAlignment="1">
      <alignment horizontal="left" vertical="center"/>
    </xf>
    <xf numFmtId="43" fontId="109" fillId="5" borderId="229" xfId="302" applyFont="1" applyFill="1" applyBorder="1" applyAlignment="1">
      <alignment horizontal="center" vertical="center" wrapText="1"/>
    </xf>
    <xf numFmtId="44" fontId="109" fillId="5" borderId="230" xfId="301" applyFont="1" applyFill="1" applyBorder="1" applyAlignment="1">
      <alignment horizontal="left" vertical="center"/>
    </xf>
    <xf numFmtId="44" fontId="109" fillId="5" borderId="229" xfId="301" applyFont="1" applyFill="1" applyBorder="1" applyAlignment="1">
      <alignment horizontal="left" vertical="center"/>
    </xf>
    <xf numFmtId="49" fontId="109" fillId="5" borderId="84" xfId="302" applyNumberFormat="1" applyFont="1" applyFill="1" applyBorder="1" applyAlignment="1">
      <alignment horizontal="left" vertical="center" wrapText="1"/>
    </xf>
    <xf numFmtId="43" fontId="109" fillId="5" borderId="84" xfId="302" applyFont="1" applyFill="1" applyBorder="1" applyAlignment="1">
      <alignment horizontal="left" vertical="center" wrapText="1"/>
    </xf>
    <xf numFmtId="43" fontId="117" fillId="6" borderId="231" xfId="302" applyFont="1" applyFill="1" applyBorder="1" applyAlignment="1">
      <alignment horizontal="left" vertical="center"/>
    </xf>
    <xf numFmtId="43" fontId="109" fillId="6" borderId="232" xfId="302" applyFont="1" applyFill="1" applyBorder="1" applyAlignment="1">
      <alignment horizontal="left" vertical="center"/>
    </xf>
    <xf numFmtId="43" fontId="109" fillId="6" borderId="232" xfId="302" applyFont="1" applyFill="1" applyBorder="1" applyAlignment="1">
      <alignment horizontal="center" vertical="center" wrapText="1"/>
    </xf>
    <xf numFmtId="44" fontId="109" fillId="6" borderId="232" xfId="301" applyFont="1" applyFill="1" applyBorder="1" applyAlignment="1">
      <alignment horizontal="left" vertical="center"/>
    </xf>
    <xf numFmtId="44" fontId="109" fillId="6" borderId="233" xfId="301" applyFont="1" applyFill="1" applyBorder="1" applyAlignment="1">
      <alignment horizontal="left" vertical="center"/>
    </xf>
    <xf numFmtId="0" fontId="2" fillId="0" borderId="111" xfId="300" applyBorder="1"/>
    <xf numFmtId="0" fontId="2" fillId="0" borderId="4" xfId="300" applyBorder="1"/>
    <xf numFmtId="44" fontId="0" fillId="0" borderId="4" xfId="301" applyFont="1" applyBorder="1"/>
    <xf numFmtId="0" fontId="2" fillId="0" borderId="8" xfId="300" applyBorder="1"/>
    <xf numFmtId="44" fontId="0" fillId="0" borderId="0" xfId="301" applyFont="1"/>
    <xf numFmtId="0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horizontal="center" vertical="top"/>
    </xf>
    <xf numFmtId="181" fontId="154" fillId="17" borderId="10" xfId="0" applyNumberFormat="1" applyFont="1" applyFill="1" applyBorder="1" applyAlignment="1">
      <alignment horizontal="center" vertical="center"/>
    </xf>
    <xf numFmtId="0" fontId="154" fillId="17" borderId="13" xfId="0" applyFont="1" applyFill="1" applyBorder="1" applyAlignment="1">
      <alignment horizontal="center" vertical="center"/>
    </xf>
    <xf numFmtId="44" fontId="156" fillId="57" borderId="138" xfId="301" applyFont="1" applyFill="1" applyBorder="1" applyAlignment="1">
      <alignment horizontal="center" vertical="center"/>
    </xf>
    <xf numFmtId="44" fontId="156" fillId="57" borderId="139" xfId="301" applyFont="1" applyFill="1" applyBorder="1" applyAlignment="1">
      <alignment horizontal="center" vertical="center"/>
    </xf>
    <xf numFmtId="44" fontId="156" fillId="15" borderId="138" xfId="301" applyFont="1" applyFill="1" applyBorder="1" applyAlignment="1">
      <alignment horizontal="center" vertical="center"/>
    </xf>
    <xf numFmtId="44" fontId="156" fillId="15" borderId="139" xfId="301" applyFont="1" applyFill="1" applyBorder="1" applyAlignment="1">
      <alignment horizontal="center" vertical="center"/>
    </xf>
    <xf numFmtId="44" fontId="154" fillId="17" borderId="234" xfId="0" applyNumberFormat="1" applyFont="1" applyFill="1" applyBorder="1" applyAlignment="1">
      <alignment horizontal="right" vertical="center"/>
    </xf>
    <xf numFmtId="0" fontId="105" fillId="57" borderId="237" xfId="0" applyFont="1" applyFill="1" applyBorder="1" applyAlignment="1">
      <alignment horizontal="left" vertical="center" indent="1"/>
    </xf>
    <xf numFmtId="0" fontId="105" fillId="15" borderId="237" xfId="0" applyFont="1" applyFill="1" applyBorder="1" applyAlignment="1">
      <alignment horizontal="left" vertical="center" indent="1"/>
    </xf>
    <xf numFmtId="0" fontId="156" fillId="15" borderId="237" xfId="0" applyFont="1" applyFill="1" applyBorder="1" applyAlignment="1">
      <alignment horizontal="left" vertical="center" indent="1"/>
    </xf>
    <xf numFmtId="0" fontId="154" fillId="17" borderId="238" xfId="0" applyFont="1" applyFill="1" applyBorder="1" applyAlignment="1">
      <alignment horizontal="right" vertical="center"/>
    </xf>
    <xf numFmtId="44" fontId="156" fillId="57" borderId="239" xfId="301" applyFont="1" applyFill="1" applyBorder="1" applyAlignment="1">
      <alignment horizontal="left" vertical="center"/>
    </xf>
    <xf numFmtId="44" fontId="156" fillId="15" borderId="139" xfId="301" applyFont="1" applyFill="1" applyBorder="1" applyAlignment="1">
      <alignment horizontal="left" vertical="center"/>
    </xf>
    <xf numFmtId="44" fontId="154" fillId="17" borderId="11" xfId="0" applyNumberFormat="1" applyFont="1" applyFill="1" applyBorder="1" applyAlignment="1">
      <alignment horizontal="right" vertical="center"/>
    </xf>
    <xf numFmtId="0" fontId="154" fillId="17" borderId="10" xfId="0" applyFont="1" applyFill="1" applyBorder="1" applyAlignment="1">
      <alignment horizontal="center" vertical="center"/>
    </xf>
    <xf numFmtId="44" fontId="156" fillId="57" borderId="240" xfId="301" applyFont="1" applyFill="1" applyBorder="1" applyAlignment="1">
      <alignment horizontal="left" vertical="center"/>
    </xf>
    <xf numFmtId="44" fontId="156" fillId="15" borderId="138" xfId="301" applyFont="1" applyFill="1" applyBorder="1" applyAlignment="1">
      <alignment horizontal="left" vertical="center"/>
    </xf>
    <xf numFmtId="49" fontId="49" fillId="58" borderId="45" xfId="53" applyNumberFormat="1" applyFont="1" applyFill="1" applyBorder="1" applyAlignment="1">
      <alignment horizontal="left" vertical="center" wrapText="1"/>
    </xf>
    <xf numFmtId="49" fontId="49" fillId="58" borderId="46" xfId="53" applyNumberFormat="1" applyFont="1" applyFill="1" applyBorder="1" applyAlignment="1">
      <alignment horizontal="left" vertical="center"/>
    </xf>
    <xf numFmtId="49" fontId="49" fillId="58" borderId="46" xfId="53" quotePrefix="1" applyNumberFormat="1" applyFont="1" applyFill="1" applyBorder="1" applyAlignment="1">
      <alignment horizontal="left" vertical="center" wrapText="1"/>
    </xf>
    <xf numFmtId="0" fontId="49" fillId="58" borderId="46" xfId="53" applyNumberFormat="1" applyFont="1" applyFill="1" applyBorder="1" applyAlignment="1">
      <alignment vertical="center"/>
    </xf>
    <xf numFmtId="0" fontId="49" fillId="58" borderId="46" xfId="53" applyNumberFormat="1" applyFont="1" applyFill="1" applyBorder="1" applyAlignment="1">
      <alignment horizontal="center" vertical="center" wrapText="1"/>
    </xf>
    <xf numFmtId="4" fontId="49" fillId="58" borderId="46" xfId="30" applyNumberFormat="1" applyFont="1" applyFill="1" applyBorder="1" applyAlignment="1">
      <alignment horizontal="center" vertical="center" wrapText="1"/>
    </xf>
    <xf numFmtId="4" fontId="49" fillId="58" borderId="46" xfId="104" applyNumberFormat="1" applyFont="1" applyFill="1" applyBorder="1" applyAlignment="1">
      <alignment horizontal="right" vertical="center" wrapText="1"/>
    </xf>
    <xf numFmtId="4" fontId="49" fillId="58" borderId="46" xfId="30" applyNumberFormat="1" applyFont="1" applyFill="1" applyBorder="1" applyAlignment="1">
      <alignment horizontal="left" vertical="center"/>
    </xf>
    <xf numFmtId="0" fontId="49" fillId="58" borderId="0" xfId="53" applyNumberFormat="1" applyFont="1" applyFill="1" applyBorder="1" applyAlignment="1">
      <alignment vertical="center"/>
    </xf>
    <xf numFmtId="4" fontId="49" fillId="58" borderId="46" xfId="104" applyNumberFormat="1" applyFont="1" applyFill="1" applyBorder="1" applyAlignment="1">
      <alignment horizontal="center" vertical="center" wrapText="1"/>
    </xf>
    <xf numFmtId="4" fontId="49" fillId="58" borderId="46" xfId="104" applyNumberFormat="1" applyFont="1" applyFill="1" applyBorder="1" applyAlignment="1">
      <alignment horizontal="left" vertical="center"/>
    </xf>
    <xf numFmtId="2" fontId="104" fillId="5" borderId="16" xfId="301" applyNumberFormat="1" applyFont="1" applyFill="1" applyBorder="1" applyAlignment="1">
      <alignment horizontal="left" vertical="center" wrapText="1"/>
    </xf>
    <xf numFmtId="0" fontId="1" fillId="0" borderId="0" xfId="303"/>
    <xf numFmtId="0" fontId="157" fillId="0" borderId="0" xfId="303" applyFont="1"/>
    <xf numFmtId="0" fontId="75" fillId="5" borderId="62" xfId="45" applyFont="1" applyFill="1" applyBorder="1" applyAlignment="1">
      <alignment vertical="center"/>
    </xf>
    <xf numFmtId="0" fontId="48" fillId="5" borderId="241" xfId="45" applyFont="1" applyFill="1" applyBorder="1" applyAlignment="1">
      <alignment vertical="center"/>
    </xf>
    <xf numFmtId="0" fontId="47" fillId="5" borderId="64" xfId="45" applyFont="1" applyFill="1" applyBorder="1" applyAlignment="1">
      <alignment vertical="center"/>
    </xf>
    <xf numFmtId="0" fontId="48" fillId="5" borderId="242" xfId="45" applyFont="1" applyFill="1" applyBorder="1" applyAlignment="1">
      <alignment vertical="center"/>
    </xf>
    <xf numFmtId="17" fontId="47" fillId="5" borderId="64" xfId="45" applyNumberFormat="1" applyFont="1" applyFill="1" applyBorder="1" applyAlignment="1">
      <alignment horizontal="left" vertical="center"/>
    </xf>
    <xf numFmtId="0" fontId="48" fillId="5" borderId="243" xfId="45" applyFont="1" applyFill="1" applyBorder="1" applyAlignment="1">
      <alignment vertical="center"/>
    </xf>
    <xf numFmtId="181" fontId="159" fillId="59" borderId="244" xfId="303" applyNumberFormat="1" applyFont="1" applyFill="1" applyBorder="1" applyAlignment="1">
      <alignment horizontal="left" vertical="center"/>
    </xf>
    <xf numFmtId="181" fontId="159" fillId="59" borderId="52" xfId="303" applyNumberFormat="1" applyFont="1" applyFill="1" applyBorder="1" applyAlignment="1">
      <alignment horizontal="center" vertical="center"/>
    </xf>
    <xf numFmtId="181" fontId="127" fillId="60" borderId="245" xfId="303" applyNumberFormat="1" applyFont="1" applyFill="1" applyBorder="1" applyAlignment="1">
      <alignment vertical="center"/>
    </xf>
    <xf numFmtId="181" fontId="127" fillId="60" borderId="246" xfId="303" applyNumberFormat="1" applyFont="1" applyFill="1" applyBorder="1" applyAlignment="1">
      <alignment vertical="center"/>
    </xf>
    <xf numFmtId="181" fontId="128" fillId="0" borderId="247" xfId="303" applyNumberFormat="1" applyFont="1" applyBorder="1" applyAlignment="1">
      <alignment horizontal="left" vertical="center"/>
    </xf>
    <xf numFmtId="0" fontId="114" fillId="0" borderId="39" xfId="303" applyFont="1" applyBorder="1" applyAlignment="1">
      <alignment horizontal="center" vertical="center"/>
    </xf>
    <xf numFmtId="181" fontId="114" fillId="0" borderId="39" xfId="303" applyNumberFormat="1" applyFont="1" applyBorder="1" applyAlignment="1">
      <alignment horizontal="center" vertical="center"/>
    </xf>
    <xf numFmtId="166" fontId="114" fillId="0" borderId="39" xfId="249" applyFont="1" applyBorder="1" applyAlignment="1">
      <alignment horizontal="center" vertical="center"/>
    </xf>
    <xf numFmtId="181" fontId="160" fillId="0" borderId="39" xfId="303" applyNumberFormat="1" applyFont="1" applyBorder="1" applyAlignment="1">
      <alignment horizontal="center" vertical="center"/>
    </xf>
    <xf numFmtId="43" fontId="1" fillId="0" borderId="0" xfId="303" applyNumberFormat="1"/>
    <xf numFmtId="181" fontId="161" fillId="0" borderId="0" xfId="303" applyNumberFormat="1" applyFont="1" applyAlignment="1">
      <alignment vertical="center"/>
    </xf>
    <xf numFmtId="0" fontId="161" fillId="0" borderId="0" xfId="303" applyFont="1" applyAlignment="1">
      <alignment vertical="center"/>
    </xf>
    <xf numFmtId="0" fontId="162" fillId="0" borderId="0" xfId="303" applyFont="1" applyAlignment="1">
      <alignment vertical="center"/>
    </xf>
    <xf numFmtId="0" fontId="47" fillId="5" borderId="15" xfId="45" applyFont="1" applyFill="1" applyBorder="1" applyAlignment="1">
      <alignment vertical="center"/>
    </xf>
    <xf numFmtId="0" fontId="47" fillId="5" borderId="17" xfId="45" applyFont="1" applyFill="1" applyBorder="1" applyAlignment="1">
      <alignment vertical="center"/>
    </xf>
    <xf numFmtId="0" fontId="47" fillId="5" borderId="18" xfId="45" applyFont="1" applyFill="1" applyBorder="1" applyAlignment="1">
      <alignment vertical="center"/>
    </xf>
    <xf numFmtId="181" fontId="163" fillId="0" borderId="247" xfId="303" applyNumberFormat="1" applyFont="1" applyBorder="1" applyAlignment="1">
      <alignment horizontal="right" vertical="center"/>
    </xf>
    <xf numFmtId="0" fontId="164" fillId="0" borderId="39" xfId="303" applyFont="1" applyBorder="1" applyAlignment="1">
      <alignment horizontal="center" vertical="center"/>
    </xf>
    <xf numFmtId="181" fontId="164" fillId="0" borderId="39" xfId="303" applyNumberFormat="1" applyFont="1" applyBorder="1" applyAlignment="1">
      <alignment horizontal="center" vertical="center"/>
    </xf>
    <xf numFmtId="166" fontId="164" fillId="0" borderId="39" xfId="249" applyFont="1" applyBorder="1" applyAlignment="1">
      <alignment horizontal="center" vertical="center"/>
    </xf>
    <xf numFmtId="44" fontId="1" fillId="0" borderId="0" xfId="303" applyNumberFormat="1"/>
    <xf numFmtId="0" fontId="110" fillId="15" borderId="94" xfId="69" applyFont="1" applyFill="1" applyBorder="1" applyAlignment="1">
      <alignment horizontal="center" vertical="center" wrapText="1"/>
    </xf>
    <xf numFmtId="0" fontId="110" fillId="15" borderId="95" xfId="69" applyFont="1" applyFill="1" applyBorder="1" applyAlignment="1">
      <alignment horizontal="center" vertical="center" wrapText="1"/>
    </xf>
    <xf numFmtId="0" fontId="75" fillId="0" borderId="64" xfId="45" applyFont="1" applyBorder="1" applyAlignment="1">
      <alignment horizontal="center" vertical="center"/>
    </xf>
    <xf numFmtId="0" fontId="75" fillId="0" borderId="65" xfId="45" applyFont="1" applyBorder="1" applyAlignment="1">
      <alignment horizontal="center" vertical="center"/>
    </xf>
    <xf numFmtId="0" fontId="75" fillId="0" borderId="66" xfId="45" applyFont="1" applyBorder="1" applyAlignment="1">
      <alignment horizontal="center" vertical="center"/>
    </xf>
    <xf numFmtId="0" fontId="75" fillId="0" borderId="67" xfId="45" applyFont="1" applyBorder="1" applyAlignment="1">
      <alignment horizontal="center" vertical="center"/>
    </xf>
    <xf numFmtId="17" fontId="96" fillId="13" borderId="61" xfId="45" applyNumberFormat="1" applyFont="1" applyFill="1" applyBorder="1" applyAlignment="1">
      <alignment horizontal="center" vertical="center"/>
    </xf>
    <xf numFmtId="0" fontId="69" fillId="17" borderId="82" xfId="69" applyFont="1" applyFill="1" applyBorder="1" applyAlignment="1">
      <alignment horizontal="center" vertical="center" wrapText="1"/>
    </xf>
    <xf numFmtId="0" fontId="69" fillId="17" borderId="89" xfId="69" applyFont="1" applyFill="1" applyBorder="1" applyAlignment="1">
      <alignment horizontal="center" vertical="center" wrapText="1"/>
    </xf>
    <xf numFmtId="0" fontId="69" fillId="17" borderId="81" xfId="69" applyFont="1" applyFill="1" applyBorder="1" applyAlignment="1">
      <alignment horizontal="center" vertical="center"/>
    </xf>
    <xf numFmtId="0" fontId="69" fillId="17" borderId="2" xfId="69" applyFont="1" applyFill="1" applyBorder="1" applyAlignment="1">
      <alignment horizontal="center" vertical="center"/>
    </xf>
    <xf numFmtId="0" fontId="69" fillId="17" borderId="83" xfId="69" applyFont="1" applyFill="1" applyBorder="1" applyAlignment="1">
      <alignment horizontal="center" vertical="center"/>
    </xf>
    <xf numFmtId="0" fontId="110" fillId="15" borderId="92" xfId="69" applyFont="1" applyFill="1" applyBorder="1" applyAlignment="1">
      <alignment horizontal="center" vertical="center" wrapText="1"/>
    </xf>
    <xf numFmtId="0" fontId="110" fillId="15" borderId="93" xfId="69" applyFont="1" applyFill="1" applyBorder="1" applyAlignment="1">
      <alignment horizontal="center" vertical="center" wrapText="1"/>
    </xf>
    <xf numFmtId="181" fontId="110" fillId="15" borderId="98" xfId="69" applyNumberFormat="1" applyFont="1" applyFill="1" applyBorder="1" applyAlignment="1">
      <alignment horizontal="center" vertical="center" wrapText="1"/>
    </xf>
    <xf numFmtId="181" fontId="110" fillId="15" borderId="95" xfId="69" applyNumberFormat="1" applyFont="1" applyFill="1" applyBorder="1" applyAlignment="1">
      <alignment horizontal="center" vertical="center" wrapText="1"/>
    </xf>
    <xf numFmtId="0" fontId="111" fillId="15" borderId="94" xfId="69" applyFont="1" applyFill="1" applyBorder="1" applyAlignment="1">
      <alignment horizontal="center" vertical="center" wrapText="1"/>
    </xf>
    <xf numFmtId="0" fontId="111" fillId="15" borderId="95" xfId="69" applyFont="1" applyFill="1" applyBorder="1" applyAlignment="1">
      <alignment horizontal="center" vertical="center" wrapText="1"/>
    </xf>
    <xf numFmtId="181" fontId="110" fillId="15" borderId="100" xfId="69" applyNumberFormat="1" applyFont="1" applyFill="1" applyBorder="1" applyAlignment="1">
      <alignment horizontal="center" vertical="center" wrapText="1"/>
    </xf>
    <xf numFmtId="181" fontId="110" fillId="15" borderId="101" xfId="69" applyNumberFormat="1" applyFont="1" applyFill="1" applyBorder="1" applyAlignment="1">
      <alignment horizontal="center" vertical="center" wrapText="1"/>
    </xf>
    <xf numFmtId="0" fontId="154" fillId="17" borderId="235" xfId="0" applyFont="1" applyFill="1" applyBorder="1" applyAlignment="1">
      <alignment horizontal="center" vertical="center"/>
    </xf>
    <xf numFmtId="0" fontId="128" fillId="0" borderId="236" xfId="0" applyFont="1" applyBorder="1"/>
    <xf numFmtId="0" fontId="155" fillId="17" borderId="78" xfId="0" applyFont="1" applyFill="1" applyBorder="1" applyAlignment="1">
      <alignment horizontal="center" vertical="top"/>
    </xf>
    <xf numFmtId="0" fontId="128" fillId="0" borderId="80" xfId="0" applyFont="1" applyBorder="1" applyAlignment="1">
      <alignment horizontal="center" vertical="top"/>
    </xf>
    <xf numFmtId="49" fontId="74" fillId="13" borderId="9" xfId="53" applyNumberFormat="1" applyFont="1" applyFill="1" applyBorder="1" applyAlignment="1">
      <alignment horizontal="center" vertical="center" wrapText="1"/>
    </xf>
    <xf numFmtId="0" fontId="145" fillId="33" borderId="0" xfId="0" applyNumberFormat="1" applyFont="1" applyFill="1" applyBorder="1" applyAlignment="1">
      <alignment horizontal="center"/>
    </xf>
    <xf numFmtId="0" fontId="145" fillId="0" borderId="0" xfId="0" applyNumberFormat="1" applyFont="1" applyFill="1" applyBorder="1" applyAlignment="1">
      <alignment horizontal="center"/>
    </xf>
    <xf numFmtId="0" fontId="106" fillId="17" borderId="145" xfId="275" applyFont="1" applyFill="1" applyBorder="1" applyAlignment="1">
      <alignment horizontal="center" vertical="center"/>
    </xf>
    <xf numFmtId="0" fontId="106" fillId="17" borderId="3" xfId="275" applyFont="1" applyFill="1" applyBorder="1" applyAlignment="1">
      <alignment horizontal="center" vertical="center"/>
    </xf>
    <xf numFmtId="0" fontId="132" fillId="0" borderId="9" xfId="275" applyBorder="1" applyAlignment="1">
      <alignment horizontal="center" vertical="center"/>
    </xf>
    <xf numFmtId="0" fontId="133" fillId="17" borderId="148" xfId="275" applyFont="1" applyFill="1" applyBorder="1" applyAlignment="1">
      <alignment horizontal="center" vertical="center"/>
    </xf>
    <xf numFmtId="0" fontId="133" fillId="17" borderId="149" xfId="275" applyFont="1" applyFill="1" applyBorder="1" applyAlignment="1">
      <alignment horizontal="center" vertical="center"/>
    </xf>
    <xf numFmtId="0" fontId="133" fillId="17" borderId="150" xfId="275" applyFont="1" applyFill="1" applyBorder="1" applyAlignment="1">
      <alignment horizontal="center" vertical="center"/>
    </xf>
    <xf numFmtId="0" fontId="106" fillId="23" borderId="177" xfId="275" applyFont="1" applyFill="1" applyBorder="1" applyAlignment="1">
      <alignment horizontal="center" vertical="center" wrapText="1"/>
    </xf>
    <xf numFmtId="0" fontId="106" fillId="23" borderId="178" xfId="275" applyFont="1" applyFill="1" applyBorder="1" applyAlignment="1">
      <alignment horizontal="center" vertical="center" wrapText="1"/>
    </xf>
    <xf numFmtId="0" fontId="106" fillId="23" borderId="179" xfId="275" applyFont="1" applyFill="1" applyBorder="1" applyAlignment="1">
      <alignment horizontal="center" vertical="center" wrapText="1"/>
    </xf>
    <xf numFmtId="0" fontId="114" fillId="0" borderId="0" xfId="275" applyFont="1" applyAlignment="1">
      <alignment horizontal="center"/>
    </xf>
    <xf numFmtId="0" fontId="132" fillId="0" borderId="0" xfId="275"/>
    <xf numFmtId="0" fontId="106" fillId="23" borderId="168" xfId="275" applyFont="1" applyFill="1" applyBorder="1" applyAlignment="1">
      <alignment horizontal="center" vertical="center" wrapText="1"/>
    </xf>
    <xf numFmtId="0" fontId="128" fillId="0" borderId="169" xfId="275" applyFont="1" applyBorder="1"/>
    <xf numFmtId="0" fontId="128" fillId="0" borderId="170" xfId="275" applyFont="1" applyBorder="1"/>
    <xf numFmtId="0" fontId="75" fillId="5" borderId="22" xfId="45" applyFont="1" applyFill="1" applyBorder="1" applyAlignment="1">
      <alignment horizontal="center" vertical="center"/>
    </xf>
    <xf numFmtId="0" fontId="75" fillId="5" borderId="183" xfId="45" applyFont="1" applyFill="1" applyBorder="1" applyAlignment="1">
      <alignment horizontal="center" vertical="center"/>
    </xf>
    <xf numFmtId="0" fontId="75" fillId="5" borderId="7" xfId="45" applyFont="1" applyFill="1" applyBorder="1" applyAlignment="1">
      <alignment horizontal="center" vertical="center"/>
    </xf>
    <xf numFmtId="0" fontId="75" fillId="5" borderId="65" xfId="45" applyFont="1" applyFill="1" applyBorder="1" applyAlignment="1">
      <alignment horizontal="center" vertical="center"/>
    </xf>
    <xf numFmtId="0" fontId="75" fillId="5" borderId="186" xfId="45" applyFont="1" applyFill="1" applyBorder="1" applyAlignment="1">
      <alignment horizontal="center" vertical="center"/>
    </xf>
    <xf numFmtId="0" fontId="75" fillId="5" borderId="67" xfId="45" applyFont="1" applyFill="1" applyBorder="1" applyAlignment="1">
      <alignment horizontal="center" vertical="center"/>
    </xf>
    <xf numFmtId="17" fontId="96" fillId="13" borderId="187" xfId="45" applyNumberFormat="1" applyFont="1" applyFill="1" applyBorder="1" applyAlignment="1">
      <alignment horizontal="center" vertical="center"/>
    </xf>
    <xf numFmtId="4" fontId="67" fillId="3" borderId="53" xfId="47" applyNumberFormat="1" applyFont="1" applyFill="1" applyBorder="1" applyAlignment="1">
      <alignment horizontal="center" vertical="center"/>
    </xf>
    <xf numFmtId="4" fontId="67" fillId="3" borderId="55" xfId="47" applyNumberFormat="1" applyFont="1" applyFill="1" applyBorder="1" applyAlignment="1">
      <alignment horizontal="center" vertical="center"/>
    </xf>
    <xf numFmtId="0" fontId="99" fillId="13" borderId="15" xfId="41" applyFont="1" applyFill="1" applyBorder="1" applyAlignment="1">
      <alignment horizontal="center" vertical="center"/>
    </xf>
    <xf numFmtId="0" fontId="99" fillId="13" borderId="17" xfId="41" applyFont="1" applyFill="1" applyBorder="1" applyAlignment="1">
      <alignment horizontal="center" vertical="center"/>
    </xf>
    <xf numFmtId="0" fontId="99" fillId="13" borderId="18" xfId="41" applyFont="1" applyFill="1" applyBorder="1" applyAlignment="1">
      <alignment horizontal="center" vertical="center"/>
    </xf>
    <xf numFmtId="17" fontId="96" fillId="13" borderId="0" xfId="45" applyNumberFormat="1" applyFont="1" applyFill="1" applyAlignment="1">
      <alignment horizontal="center" vertical="center"/>
    </xf>
    <xf numFmtId="0" fontId="77" fillId="10" borderId="7" xfId="41" applyFont="1" applyFill="1" applyBorder="1" applyAlignment="1">
      <alignment horizontal="center" vertical="center" wrapText="1"/>
    </xf>
    <xf numFmtId="0" fontId="77" fillId="10" borderId="23" xfId="41" applyFont="1" applyFill="1" applyBorder="1" applyAlignment="1">
      <alignment horizontal="center" vertical="center" wrapText="1"/>
    </xf>
    <xf numFmtId="0" fontId="77" fillId="10" borderId="24" xfId="41" applyFont="1" applyFill="1" applyBorder="1" applyAlignment="1">
      <alignment horizontal="center" vertical="center" wrapText="1"/>
    </xf>
    <xf numFmtId="0" fontId="77" fillId="10" borderId="26" xfId="41" applyFont="1" applyFill="1" applyBorder="1" applyAlignment="1">
      <alignment horizontal="center" vertical="center" wrapText="1"/>
    </xf>
    <xf numFmtId="0" fontId="77" fillId="10" borderId="1" xfId="41" applyFont="1" applyFill="1" applyBorder="1" applyAlignment="1">
      <alignment horizontal="center" vertical="center" wrapText="1"/>
    </xf>
    <xf numFmtId="0" fontId="77" fillId="10" borderId="24" xfId="41" applyFont="1" applyFill="1" applyBorder="1" applyAlignment="1">
      <alignment horizontal="center" vertical="center"/>
    </xf>
    <xf numFmtId="0" fontId="77" fillId="10" borderId="16" xfId="41" applyFont="1" applyFill="1" applyBorder="1" applyAlignment="1">
      <alignment horizontal="center" vertical="center"/>
    </xf>
    <xf numFmtId="0" fontId="77" fillId="10" borderId="26" xfId="41" applyFont="1" applyFill="1" applyBorder="1" applyAlignment="1">
      <alignment horizontal="center" vertical="center"/>
    </xf>
    <xf numFmtId="0" fontId="77" fillId="10" borderId="1" xfId="41" applyFont="1" applyFill="1" applyBorder="1" applyAlignment="1">
      <alignment horizontal="center" vertical="center"/>
    </xf>
    <xf numFmtId="0" fontId="77" fillId="10" borderId="25" xfId="41" applyFont="1" applyFill="1" applyBorder="1" applyAlignment="1">
      <alignment horizontal="center" vertical="center"/>
    </xf>
    <xf numFmtId="0" fontId="77" fillId="10" borderId="25" xfId="41" applyFont="1" applyFill="1" applyBorder="1" applyAlignment="1">
      <alignment horizontal="center" vertical="center" wrapText="1"/>
    </xf>
    <xf numFmtId="4" fontId="71" fillId="0" borderId="77" xfId="50" applyNumberFormat="1" applyFont="1" applyFill="1" applyBorder="1" applyAlignment="1">
      <alignment horizontal="center" vertical="center" wrapText="1"/>
    </xf>
    <xf numFmtId="4" fontId="71" fillId="0" borderId="34" xfId="50" applyNumberFormat="1" applyFont="1" applyFill="1" applyBorder="1" applyAlignment="1">
      <alignment horizontal="center" vertical="center" wrapText="1"/>
    </xf>
    <xf numFmtId="4" fontId="71" fillId="0" borderId="188" xfId="50" applyNumberFormat="1" applyFont="1" applyFill="1" applyBorder="1" applyAlignment="1">
      <alignment horizontal="center" vertical="center" wrapText="1"/>
    </xf>
    <xf numFmtId="4" fontId="71" fillId="3" borderId="77" xfId="50" applyNumberFormat="1" applyFont="1" applyFill="1" applyBorder="1" applyAlignment="1">
      <alignment horizontal="center" vertical="center" wrapText="1"/>
    </xf>
    <xf numFmtId="4" fontId="71" fillId="3" borderId="34" xfId="50" applyNumberFormat="1" applyFont="1" applyFill="1" applyBorder="1" applyAlignment="1">
      <alignment horizontal="center" vertical="center" wrapText="1"/>
    </xf>
    <xf numFmtId="4" fontId="71" fillId="3" borderId="188" xfId="50" applyNumberFormat="1" applyFont="1" applyFill="1" applyBorder="1" applyAlignment="1">
      <alignment horizontal="center" vertical="center" wrapText="1"/>
    </xf>
    <xf numFmtId="17" fontId="96" fillId="13" borderId="0" xfId="45" applyNumberFormat="1" applyFont="1" applyFill="1" applyAlignment="1">
      <alignment horizontal="left" vertical="center"/>
    </xf>
    <xf numFmtId="0" fontId="78" fillId="10" borderId="6" xfId="41" applyFont="1" applyFill="1" applyBorder="1" applyAlignment="1">
      <alignment horizontal="center" vertical="center"/>
    </xf>
    <xf numFmtId="0" fontId="78" fillId="10" borderId="104" xfId="41" applyFont="1" applyFill="1" applyBorder="1" applyAlignment="1">
      <alignment horizontal="center" vertical="center"/>
    </xf>
    <xf numFmtId="0" fontId="140" fillId="10" borderId="24" xfId="274" applyFont="1" applyFill="1" applyBorder="1" applyAlignment="1">
      <alignment horizontal="center"/>
    </xf>
    <xf numFmtId="0" fontId="140" fillId="10" borderId="16" xfId="274" applyFont="1" applyFill="1" applyBorder="1" applyAlignment="1">
      <alignment horizontal="center"/>
    </xf>
    <xf numFmtId="0" fontId="140" fillId="10" borderId="26" xfId="274" applyFont="1" applyFill="1" applyBorder="1" applyAlignment="1">
      <alignment horizontal="center"/>
    </xf>
    <xf numFmtId="17" fontId="96" fillId="13" borderId="69" xfId="45" applyNumberFormat="1" applyFont="1" applyFill="1" applyBorder="1" applyAlignment="1">
      <alignment horizontal="left" vertical="center"/>
    </xf>
    <xf numFmtId="0" fontId="77" fillId="10" borderId="19" xfId="41" applyFont="1" applyFill="1" applyBorder="1" applyAlignment="1">
      <alignment horizontal="center" vertical="center"/>
    </xf>
    <xf numFmtId="0" fontId="77" fillId="10" borderId="23" xfId="41" applyFont="1" applyFill="1" applyBorder="1" applyAlignment="1">
      <alignment horizontal="center" vertical="center"/>
    </xf>
    <xf numFmtId="0" fontId="140" fillId="10" borderId="22" xfId="41" applyFont="1" applyFill="1" applyBorder="1" applyAlignment="1">
      <alignment horizontal="center" vertical="center"/>
    </xf>
    <xf numFmtId="0" fontId="140" fillId="10" borderId="19" xfId="41" applyFont="1" applyFill="1" applyBorder="1" applyAlignment="1">
      <alignment horizontal="center" vertical="center"/>
    </xf>
    <xf numFmtId="0" fontId="78" fillId="10" borderId="25" xfId="41" applyFont="1" applyFill="1" applyBorder="1" applyAlignment="1">
      <alignment horizontal="center" vertical="center"/>
    </xf>
    <xf numFmtId="0" fontId="78" fillId="10" borderId="6" xfId="41" applyFont="1" applyFill="1" applyBorder="1" applyAlignment="1">
      <alignment horizontal="center" vertical="center" wrapText="1"/>
    </xf>
    <xf numFmtId="0" fontId="78" fillId="10" borderId="25" xfId="41" applyFont="1" applyFill="1" applyBorder="1" applyAlignment="1">
      <alignment horizontal="center" vertical="center" wrapText="1"/>
    </xf>
    <xf numFmtId="0" fontId="141" fillId="10" borderId="6" xfId="41" applyFont="1" applyFill="1" applyBorder="1" applyAlignment="1">
      <alignment horizontal="center" vertical="center"/>
    </xf>
    <xf numFmtId="0" fontId="141" fillId="10" borderId="25" xfId="41" applyFont="1" applyFill="1" applyBorder="1" applyAlignment="1">
      <alignment horizontal="center" vertical="center"/>
    </xf>
    <xf numFmtId="0" fontId="78" fillId="10" borderId="22" xfId="41" applyFont="1" applyFill="1" applyBorder="1" applyAlignment="1">
      <alignment horizontal="center" vertical="center" wrapText="1"/>
    </xf>
    <xf numFmtId="0" fontId="78" fillId="10" borderId="24" xfId="41" applyFont="1" applyFill="1" applyBorder="1" applyAlignment="1">
      <alignment horizontal="center" vertical="center" wrapText="1"/>
    </xf>
    <xf numFmtId="0" fontId="140" fillId="10" borderId="24" xfId="274" applyFont="1" applyFill="1" applyBorder="1" applyAlignment="1">
      <alignment horizontal="center" vertical="center"/>
    </xf>
    <xf numFmtId="0" fontId="140" fillId="10" borderId="16" xfId="274" applyFont="1" applyFill="1" applyBorder="1" applyAlignment="1">
      <alignment horizontal="center" vertical="center"/>
    </xf>
    <xf numFmtId="0" fontId="140" fillId="10" borderId="26" xfId="274" applyFont="1" applyFill="1" applyBorder="1" applyAlignment="1">
      <alignment horizontal="center" vertical="center"/>
    </xf>
    <xf numFmtId="17" fontId="96" fillId="13" borderId="16" xfId="45" applyNumberFormat="1" applyFont="1" applyFill="1" applyBorder="1" applyAlignment="1">
      <alignment horizontal="left" vertical="center"/>
    </xf>
    <xf numFmtId="0" fontId="78" fillId="10" borderId="19" xfId="41" applyFont="1" applyFill="1" applyBorder="1" applyAlignment="1">
      <alignment horizontal="center" vertical="center"/>
    </xf>
    <xf numFmtId="0" fontId="78" fillId="10" borderId="23" xfId="41" applyFont="1" applyFill="1" applyBorder="1" applyAlignment="1">
      <alignment horizontal="center" vertical="center"/>
    </xf>
    <xf numFmtId="0" fontId="78" fillId="10" borderId="181" xfId="41" applyFont="1" applyFill="1" applyBorder="1" applyAlignment="1">
      <alignment horizontal="center" vertical="center"/>
    </xf>
    <xf numFmtId="0" fontId="78" fillId="10" borderId="1" xfId="41" applyFont="1" applyFill="1" applyBorder="1" applyAlignment="1">
      <alignment horizontal="center" vertical="center"/>
    </xf>
    <xf numFmtId="0" fontId="140" fillId="10" borderId="6" xfId="274" applyFont="1" applyFill="1" applyBorder="1" applyAlignment="1">
      <alignment horizontal="center" vertical="center" wrapText="1"/>
    </xf>
    <xf numFmtId="0" fontId="140" fillId="10" borderId="1" xfId="274" applyFont="1" applyFill="1" applyBorder="1" applyAlignment="1">
      <alignment horizontal="center" vertical="center" wrapText="1"/>
    </xf>
    <xf numFmtId="0" fontId="140" fillId="10" borderId="25" xfId="274" applyFont="1" applyFill="1" applyBorder="1" applyAlignment="1">
      <alignment horizontal="center" vertical="center" wrapText="1"/>
    </xf>
    <xf numFmtId="0" fontId="74" fillId="10" borderId="6" xfId="274" applyFont="1" applyFill="1" applyBorder="1" applyAlignment="1">
      <alignment horizontal="center" vertical="center" wrapText="1"/>
    </xf>
    <xf numFmtId="0" fontId="74" fillId="10" borderId="1" xfId="274" applyFont="1" applyFill="1" applyBorder="1" applyAlignment="1">
      <alignment horizontal="center" vertical="center" wrapText="1"/>
    </xf>
    <xf numFmtId="0" fontId="74" fillId="10" borderId="25" xfId="274" applyFont="1" applyFill="1" applyBorder="1" applyAlignment="1">
      <alignment horizontal="center" vertical="center" wrapText="1"/>
    </xf>
    <xf numFmtId="0" fontId="74" fillId="10" borderId="22" xfId="41" applyFont="1" applyFill="1" applyBorder="1" applyAlignment="1">
      <alignment horizontal="center" vertical="center"/>
    </xf>
    <xf numFmtId="0" fontId="74" fillId="10" borderId="19" xfId="41" applyFont="1" applyFill="1" applyBorder="1" applyAlignment="1">
      <alignment horizontal="center" vertical="center"/>
    </xf>
    <xf numFmtId="17" fontId="96" fillId="13" borderId="24" xfId="45" applyNumberFormat="1" applyFont="1" applyFill="1" applyBorder="1" applyAlignment="1">
      <alignment horizontal="left" vertical="center"/>
    </xf>
    <xf numFmtId="17" fontId="102" fillId="13" borderId="105" xfId="45" applyNumberFormat="1" applyFont="1" applyFill="1" applyBorder="1" applyAlignment="1">
      <alignment horizontal="center" vertical="center"/>
    </xf>
    <xf numFmtId="17" fontId="102" fillId="13" borderId="26" xfId="45" applyNumberFormat="1" applyFont="1" applyFill="1" applyBorder="1" applyAlignment="1">
      <alignment horizontal="center" vertical="center"/>
    </xf>
    <xf numFmtId="0" fontId="77" fillId="10" borderId="72" xfId="41" applyFont="1" applyFill="1" applyBorder="1" applyAlignment="1">
      <alignment horizontal="center" vertical="center" wrapText="1"/>
    </xf>
    <xf numFmtId="17" fontId="102" fillId="13" borderId="62" xfId="45" applyNumberFormat="1" applyFont="1" applyFill="1" applyBorder="1" applyAlignment="1">
      <alignment horizontal="left" vertical="center"/>
    </xf>
    <xf numFmtId="17" fontId="102" fillId="13" borderId="61" xfId="45" applyNumberFormat="1" applyFont="1" applyFill="1" applyBorder="1" applyAlignment="1">
      <alignment horizontal="left" vertical="center"/>
    </xf>
    <xf numFmtId="17" fontId="102" fillId="13" borderId="63" xfId="45" applyNumberFormat="1" applyFont="1" applyFill="1" applyBorder="1" applyAlignment="1">
      <alignment horizontal="left" vertical="center"/>
    </xf>
    <xf numFmtId="0" fontId="140" fillId="10" borderId="15" xfId="274" applyFont="1" applyFill="1" applyBorder="1" applyAlignment="1">
      <alignment horizontal="center" vertical="center"/>
    </xf>
    <xf numFmtId="0" fontId="140" fillId="10" borderId="17" xfId="274" applyFont="1" applyFill="1" applyBorder="1" applyAlignment="1">
      <alignment horizontal="center" vertical="center"/>
    </xf>
    <xf numFmtId="0" fontId="140" fillId="10" borderId="18" xfId="274" applyFont="1" applyFill="1" applyBorder="1" applyAlignment="1">
      <alignment horizontal="center" vertical="center"/>
    </xf>
    <xf numFmtId="0" fontId="102" fillId="13" borderId="15" xfId="41" applyFont="1" applyFill="1" applyBorder="1" applyAlignment="1">
      <alignment horizontal="left" vertical="center"/>
    </xf>
    <xf numFmtId="0" fontId="102" fillId="13" borderId="17" xfId="41" applyFont="1" applyFill="1" applyBorder="1" applyAlignment="1">
      <alignment horizontal="left" vertical="center"/>
    </xf>
    <xf numFmtId="0" fontId="102" fillId="13" borderId="18" xfId="41" applyFont="1" applyFill="1" applyBorder="1" applyAlignment="1">
      <alignment horizontal="left" vertical="center"/>
    </xf>
    <xf numFmtId="0" fontId="140" fillId="10" borderId="182" xfId="41" applyFont="1" applyFill="1" applyBorder="1" applyAlignment="1">
      <alignment horizontal="center" vertical="center"/>
    </xf>
    <xf numFmtId="0" fontId="72" fillId="10" borderId="5" xfId="58" applyFont="1" applyFill="1" applyBorder="1" applyAlignment="1">
      <alignment horizontal="center" vertical="center"/>
    </xf>
    <xf numFmtId="0" fontId="72" fillId="10" borderId="19" xfId="58" applyFont="1" applyFill="1" applyBorder="1" applyAlignment="1">
      <alignment horizontal="center" vertical="center"/>
    </xf>
    <xf numFmtId="0" fontId="72" fillId="10" borderId="0" xfId="58" applyFont="1" applyFill="1" applyAlignment="1">
      <alignment horizontal="center" vertical="center"/>
    </xf>
    <xf numFmtId="0" fontId="72" fillId="10" borderId="23" xfId="58" applyFont="1" applyFill="1" applyBorder="1" applyAlignment="1">
      <alignment horizontal="center" vertical="center"/>
    </xf>
    <xf numFmtId="177" fontId="72" fillId="10" borderId="6" xfId="58" applyNumberFormat="1" applyFont="1" applyFill="1" applyBorder="1" applyAlignment="1">
      <alignment horizontal="center" vertical="center"/>
    </xf>
    <xf numFmtId="177" fontId="72" fillId="10" borderId="1" xfId="58" applyNumberFormat="1" applyFont="1" applyFill="1" applyBorder="1" applyAlignment="1">
      <alignment horizontal="center" vertical="center"/>
    </xf>
    <xf numFmtId="17" fontId="96" fillId="13" borderId="69" xfId="45" applyNumberFormat="1" applyFont="1" applyFill="1" applyBorder="1" applyAlignment="1">
      <alignment horizontal="center" vertical="center"/>
    </xf>
    <xf numFmtId="4" fontId="72" fillId="10" borderId="6" xfId="58" applyNumberFormat="1" applyFont="1" applyFill="1" applyBorder="1" applyAlignment="1">
      <alignment horizontal="center" vertical="center"/>
    </xf>
    <xf numFmtId="4" fontId="72" fillId="10" borderId="25" xfId="58" applyNumberFormat="1" applyFont="1" applyFill="1" applyBorder="1" applyAlignment="1">
      <alignment horizontal="center" vertical="center"/>
    </xf>
    <xf numFmtId="0" fontId="102" fillId="13" borderId="15" xfId="41" applyFont="1" applyFill="1" applyBorder="1" applyAlignment="1">
      <alignment horizontal="center" vertical="center"/>
    </xf>
    <xf numFmtId="0" fontId="102" fillId="13" borderId="17" xfId="41" applyFont="1" applyFill="1" applyBorder="1" applyAlignment="1">
      <alignment horizontal="center" vertical="center"/>
    </xf>
    <xf numFmtId="0" fontId="102" fillId="13" borderId="18" xfId="41" applyFont="1" applyFill="1" applyBorder="1" applyAlignment="1">
      <alignment horizontal="center" vertical="center"/>
    </xf>
    <xf numFmtId="0" fontId="77" fillId="10" borderId="71" xfId="41" applyFont="1" applyFill="1" applyBorder="1" applyAlignment="1">
      <alignment horizontal="center" vertical="center" wrapText="1"/>
    </xf>
    <xf numFmtId="0" fontId="77" fillId="10" borderId="104" xfId="41" applyFont="1" applyFill="1" applyBorder="1" applyAlignment="1">
      <alignment horizontal="center" vertical="center" wrapText="1"/>
    </xf>
    <xf numFmtId="0" fontId="77" fillId="10" borderId="15" xfId="41" applyFont="1" applyFill="1" applyBorder="1" applyAlignment="1">
      <alignment horizontal="center" vertical="center"/>
    </xf>
    <xf numFmtId="0" fontId="77" fillId="10" borderId="18" xfId="41" applyFont="1" applyFill="1" applyBorder="1" applyAlignment="1">
      <alignment horizontal="center" vertical="center"/>
    </xf>
    <xf numFmtId="0" fontId="144" fillId="34" borderId="16" xfId="0" applyNumberFormat="1" applyFont="1" applyFill="1" applyBorder="1" applyAlignment="1">
      <alignment horizontal="center"/>
    </xf>
    <xf numFmtId="0" fontId="146" fillId="35" borderId="7" xfId="57" applyFont="1" applyFill="1" applyBorder="1" applyAlignment="1">
      <alignment horizontal="center" vertical="center"/>
    </xf>
    <xf numFmtId="0" fontId="146" fillId="35" borderId="0" xfId="57" applyFont="1" applyFill="1" applyAlignment="1">
      <alignment horizontal="center" vertical="center"/>
    </xf>
    <xf numFmtId="0" fontId="147" fillId="5" borderId="200" xfId="57" applyFont="1" applyFill="1" applyBorder="1" applyAlignment="1">
      <alignment horizontal="center"/>
    </xf>
    <xf numFmtId="0" fontId="147" fillId="5" borderId="0" xfId="57" applyFont="1" applyFill="1" applyAlignment="1">
      <alignment horizontal="center"/>
    </xf>
    <xf numFmtId="0" fontId="147" fillId="5" borderId="201" xfId="57" applyFont="1" applyFill="1" applyBorder="1" applyAlignment="1">
      <alignment horizontal="center"/>
    </xf>
    <xf numFmtId="0" fontId="146" fillId="35" borderId="24" xfId="57" applyFont="1" applyFill="1" applyBorder="1" applyAlignment="1">
      <alignment horizontal="center" vertical="center"/>
    </xf>
    <xf numFmtId="0" fontId="146" fillId="35" borderId="16" xfId="57" applyFont="1" applyFill="1" applyBorder="1" applyAlignment="1">
      <alignment horizontal="center" vertical="center"/>
    </xf>
    <xf numFmtId="0" fontId="147" fillId="5" borderId="9" xfId="57" applyFont="1" applyFill="1" applyBorder="1" applyAlignment="1">
      <alignment horizontal="center" vertical="center"/>
    </xf>
    <xf numFmtId="0" fontId="144" fillId="31" borderId="22" xfId="0" applyNumberFormat="1" applyFont="1" applyFill="1" applyBorder="1" applyAlignment="1">
      <alignment horizontal="center"/>
    </xf>
    <xf numFmtId="0" fontId="144" fillId="31" borderId="5" xfId="0" applyNumberFormat="1" applyFont="1" applyFill="1" applyBorder="1" applyAlignment="1">
      <alignment horizontal="center"/>
    </xf>
    <xf numFmtId="0" fontId="144" fillId="31" borderId="19" xfId="0" applyNumberFormat="1" applyFont="1" applyFill="1" applyBorder="1" applyAlignment="1">
      <alignment horizontal="center"/>
    </xf>
    <xf numFmtId="0" fontId="37" fillId="52" borderId="0" xfId="41" applyFont="1" applyFill="1" applyAlignment="1">
      <alignment horizontal="center" vertical="center"/>
    </xf>
    <xf numFmtId="168" fontId="88" fillId="0" borderId="68" xfId="52" quotePrefix="1" applyNumberFormat="1" applyFont="1" applyFill="1" applyBorder="1" applyAlignment="1">
      <alignment horizontal="left" vertical="center" wrapText="1"/>
    </xf>
    <xf numFmtId="17" fontId="102" fillId="13" borderId="57" xfId="45" applyNumberFormat="1" applyFont="1" applyFill="1" applyBorder="1" applyAlignment="1">
      <alignment horizontal="center" vertical="center"/>
    </xf>
    <xf numFmtId="17" fontId="102" fillId="13" borderId="65" xfId="45" applyNumberFormat="1" applyFont="1" applyFill="1" applyBorder="1" applyAlignment="1">
      <alignment horizontal="center" vertical="center"/>
    </xf>
    <xf numFmtId="0" fontId="144" fillId="31" borderId="15" xfId="0" applyNumberFormat="1" applyFont="1" applyFill="1" applyBorder="1" applyAlignment="1">
      <alignment horizontal="center"/>
    </xf>
    <xf numFmtId="0" fontId="144" fillId="31" borderId="17" xfId="0" applyNumberFormat="1" applyFont="1" applyFill="1" applyBorder="1" applyAlignment="1">
      <alignment horizontal="center"/>
    </xf>
    <xf numFmtId="0" fontId="144" fillId="31" borderId="24" xfId="0" applyNumberFormat="1" applyFont="1" applyFill="1" applyBorder="1" applyAlignment="1">
      <alignment horizontal="center"/>
    </xf>
    <xf numFmtId="0" fontId="144" fillId="31" borderId="16" xfId="0" applyNumberFormat="1" applyFont="1" applyFill="1" applyBorder="1" applyAlignment="1">
      <alignment horizontal="center"/>
    </xf>
    <xf numFmtId="0" fontId="33" fillId="31" borderId="0" xfId="0" applyNumberFormat="1" applyFont="1" applyFill="1" applyBorder="1" applyAlignment="1">
      <alignment horizontal="center"/>
    </xf>
    <xf numFmtId="0" fontId="0" fillId="31" borderId="0" xfId="0" applyNumberFormat="1" applyFont="1" applyFill="1" applyBorder="1" applyAlignment="1">
      <alignment horizontal="center"/>
    </xf>
    <xf numFmtId="0" fontId="33" fillId="30" borderId="0" xfId="0" applyNumberFormat="1" applyFont="1" applyFill="1" applyBorder="1" applyAlignment="1">
      <alignment horizontal="center"/>
    </xf>
    <xf numFmtId="0" fontId="0" fillId="30" borderId="0" xfId="0" applyNumberFormat="1" applyFont="1" applyFill="1" applyBorder="1" applyAlignment="1">
      <alignment horizontal="center"/>
    </xf>
    <xf numFmtId="181" fontId="158" fillId="13" borderId="22" xfId="303" applyNumberFormat="1" applyFont="1" applyFill="1" applyBorder="1" applyAlignment="1">
      <alignment horizontal="center" vertical="center"/>
    </xf>
    <xf numFmtId="181" fontId="158" fillId="13" borderId="5" xfId="303" applyNumberFormat="1" applyFont="1" applyFill="1" applyBorder="1" applyAlignment="1">
      <alignment horizontal="center" vertical="center"/>
    </xf>
    <xf numFmtId="0" fontId="48" fillId="8" borderId="16" xfId="0" applyNumberFormat="1" applyFont="1" applyFill="1" applyBorder="1" applyAlignment="1">
      <alignment horizontal="center"/>
    </xf>
    <xf numFmtId="0" fontId="152" fillId="54" borderId="10" xfId="300" applyFont="1" applyFill="1" applyBorder="1" applyAlignment="1">
      <alignment horizontal="center" vertical="center" wrapText="1"/>
    </xf>
    <xf numFmtId="0" fontId="152" fillId="54" borderId="9" xfId="300" applyFont="1" applyFill="1" applyBorder="1" applyAlignment="1">
      <alignment horizontal="center" vertical="center" wrapText="1"/>
    </xf>
    <xf numFmtId="0" fontId="152" fillId="54" borderId="13" xfId="300" applyFont="1" applyFill="1" applyBorder="1" applyAlignment="1">
      <alignment horizontal="center" vertical="center" wrapText="1"/>
    </xf>
    <xf numFmtId="0" fontId="152" fillId="55" borderId="10" xfId="300" applyFont="1" applyFill="1" applyBorder="1" applyAlignment="1">
      <alignment horizontal="center" vertical="center" wrapText="1"/>
    </xf>
    <xf numFmtId="0" fontId="152" fillId="55" borderId="9" xfId="300" applyFont="1" applyFill="1" applyBorder="1" applyAlignment="1">
      <alignment horizontal="center" vertical="center" wrapText="1"/>
    </xf>
    <xf numFmtId="0" fontId="152" fillId="55" borderId="13" xfId="300" applyFont="1" applyFill="1" applyBorder="1" applyAlignment="1">
      <alignment horizontal="center" vertical="center" wrapText="1"/>
    </xf>
  </cellXfs>
  <cellStyles count="304">
    <cellStyle name="ARIAL" xfId="37" xr:uid="{00000000-0005-0000-0000-000000000000}"/>
    <cellStyle name="Comma" xfId="1" xr:uid="{00000000-0005-0000-0000-000001000000}"/>
    <cellStyle name="Comma [0]" xfId="87" xr:uid="{00000000-0005-0000-0000-000002000000}"/>
    <cellStyle name="Comma [0] 2" xfId="137" xr:uid="{00000000-0005-0000-0000-000003000000}"/>
    <cellStyle name="Comma [0] 2 2" xfId="197" xr:uid="{00000000-0005-0000-0000-000004000000}"/>
    <cellStyle name="Comma [0] 3" xfId="154" xr:uid="{00000000-0005-0000-0000-000005000000}"/>
    <cellStyle name="Comma 2" xfId="86" xr:uid="{00000000-0005-0000-0000-000006000000}"/>
    <cellStyle name="Comma 2 2" xfId="136" xr:uid="{00000000-0005-0000-0000-000007000000}"/>
    <cellStyle name="Comma 2 2 2" xfId="196" xr:uid="{00000000-0005-0000-0000-000008000000}"/>
    <cellStyle name="Comma 2 3" xfId="153" xr:uid="{00000000-0005-0000-0000-000009000000}"/>
    <cellStyle name="Comma0" xfId="2" xr:uid="{00000000-0005-0000-0000-00000A000000}"/>
    <cellStyle name="Currency" xfId="3" xr:uid="{00000000-0005-0000-0000-00000B000000}"/>
    <cellStyle name="Currency [0]" xfId="85" xr:uid="{00000000-0005-0000-0000-00000C000000}"/>
    <cellStyle name="Currency [0] 2" xfId="135" xr:uid="{00000000-0005-0000-0000-00000D000000}"/>
    <cellStyle name="Currency [0] 2 2" xfId="195" xr:uid="{00000000-0005-0000-0000-00000E000000}"/>
    <cellStyle name="Currency [0] 3" xfId="152" xr:uid="{00000000-0005-0000-0000-00000F000000}"/>
    <cellStyle name="Currency 2" xfId="84" xr:uid="{00000000-0005-0000-0000-000010000000}"/>
    <cellStyle name="Currency 2 2" xfId="134" xr:uid="{00000000-0005-0000-0000-000011000000}"/>
    <cellStyle name="Currency 2 2 2" xfId="194" xr:uid="{00000000-0005-0000-0000-000012000000}"/>
    <cellStyle name="Currency 2 3" xfId="151" xr:uid="{00000000-0005-0000-0000-000013000000}"/>
    <cellStyle name="Currency0" xfId="4" xr:uid="{00000000-0005-0000-0000-000014000000}"/>
    <cellStyle name="Date" xfId="5" xr:uid="{00000000-0005-0000-0000-000015000000}"/>
    <cellStyle name="Euro" xfId="6" xr:uid="{00000000-0005-0000-0000-000016000000}"/>
    <cellStyle name="Euro 2" xfId="88" xr:uid="{00000000-0005-0000-0000-000017000000}"/>
    <cellStyle name="Fixed" xfId="7" xr:uid="{00000000-0005-0000-0000-000018000000}"/>
    <cellStyle name="Heading 1" xfId="8" xr:uid="{00000000-0005-0000-0000-000019000000}"/>
    <cellStyle name="Heading 2" xfId="9" xr:uid="{00000000-0005-0000-0000-00001A000000}"/>
    <cellStyle name="Hiperlink 2" xfId="211" xr:uid="{C152CADE-20DD-4C2D-8051-0547FB2C3BC0}"/>
    <cellStyle name="Hiperlink 3" xfId="287" xr:uid="{2D758D95-B376-46A6-AE62-18DF72F23AC8}"/>
    <cellStyle name="M S SANS SERIF" xfId="38" xr:uid="{00000000-0005-0000-0000-00001B000000}"/>
    <cellStyle name="M S SANS SERIF 2" xfId="106" xr:uid="{00000000-0005-0000-0000-00001C000000}"/>
    <cellStyle name="Moeda" xfId="235" builtinId="4"/>
    <cellStyle name="Moeda 10" xfId="273" xr:uid="{D54513A5-E11B-471E-98CB-AAA3A5339AD2}"/>
    <cellStyle name="Moeda 11" xfId="252" xr:uid="{D42045F7-949F-46EC-B9D1-E11A039CBB60}"/>
    <cellStyle name="Moeda 12" xfId="253" xr:uid="{67ABC7CE-F962-4F60-9CD5-434CFE3EEAFD}"/>
    <cellStyle name="Moeda 12 2" xfId="301" xr:uid="{82AE177D-F45B-4145-9DEA-D57140FBEAE4}"/>
    <cellStyle name="Moeda 13" xfId="280" xr:uid="{90D798B4-0E15-41D0-88DB-E76302A54EAA}"/>
    <cellStyle name="Moeda 13 2" xfId="291" xr:uid="{6A2E7309-8FD6-4F39-9BAA-CF3A8DF692CC}"/>
    <cellStyle name="Moeda 14" xfId="257" xr:uid="{331E3390-87E1-4D7B-8EB6-E2FCDA6BF7EB}"/>
    <cellStyle name="Moeda 16" xfId="296" xr:uid="{40A74C28-04D4-4EA2-9196-AF05D53F52EB}"/>
    <cellStyle name="Moeda 2" xfId="213" xr:uid="{2626DF34-C827-4C8C-9515-80B373DC897C}"/>
    <cellStyle name="Moeda 2 2" xfId="246" xr:uid="{EF31BA72-F7D1-4AA3-9655-7D85F04E8C62}"/>
    <cellStyle name="Moeda 3" xfId="220" xr:uid="{49A2E78B-91D7-4D2D-9DB7-C630B1B3005E}"/>
    <cellStyle name="Moeda 3 2" xfId="285" xr:uid="{17EF6594-9958-486B-9C23-BF7981BDAD2B}"/>
    <cellStyle name="Moeda 4" xfId="224" xr:uid="{531DA28B-37FC-44BB-A5E1-E9E1EC6BA9CD}"/>
    <cellStyle name="Moeda 5" xfId="228" xr:uid="{2130FB7E-9460-4C99-8BAC-3BA8BF2FC5E4}"/>
    <cellStyle name="Moeda 6" xfId="232" xr:uid="{9E49DB48-2AE0-4E4A-B103-7B9BDA09B764}"/>
    <cellStyle name="Moeda 7" xfId="240" xr:uid="{C4838BDE-4580-46E9-A75E-89EAFB1A2043}"/>
    <cellStyle name="Moeda 8" xfId="247" xr:uid="{F7C1EDFB-B834-4D5A-A835-AEB50D6BDD6D}"/>
    <cellStyle name="Moeda 8 2" xfId="268" xr:uid="{DEE75667-616E-4680-A64D-BB0D3E41321B}"/>
    <cellStyle name="Moeda 9" xfId="249" xr:uid="{81FBA369-9975-466E-AC29-BEA2E339D31D}"/>
    <cellStyle name="Normal" xfId="0" builtinId="0"/>
    <cellStyle name="Normal 10" xfId="45" xr:uid="{00000000-0005-0000-0000-000020000000}"/>
    <cellStyle name="Normal 10 2" xfId="199" xr:uid="{DF76C64F-DBE0-4F2F-B01D-B946C836C541}"/>
    <cellStyle name="Normal 11" xfId="48" xr:uid="{00000000-0005-0000-0000-000021000000}"/>
    <cellStyle name="Normal 11 2" xfId="57" xr:uid="{00000000-0005-0000-0000-000022000000}"/>
    <cellStyle name="Normal 12" xfId="60" xr:uid="{00000000-0005-0000-0000-000023000000}"/>
    <cellStyle name="Normal 12 2" xfId="116" xr:uid="{00000000-0005-0000-0000-000024000000}"/>
    <cellStyle name="Normal 13" xfId="66" xr:uid="{00000000-0005-0000-0000-000025000000}"/>
    <cellStyle name="Normal 13 2" xfId="120" xr:uid="{00000000-0005-0000-0000-000026000000}"/>
    <cellStyle name="Normal 14" xfId="72" xr:uid="{00000000-0005-0000-0000-000027000000}"/>
    <cellStyle name="Normal 14 2" xfId="125" xr:uid="{00000000-0005-0000-0000-000028000000}"/>
    <cellStyle name="Normal 14 2 2" xfId="70" xr:uid="{00000000-0005-0000-0000-000029000000}"/>
    <cellStyle name="Normal 14 2 2 2" xfId="73" xr:uid="{00000000-0005-0000-0000-00002A000000}"/>
    <cellStyle name="Normal 14 2 2 2 2" xfId="77" xr:uid="{00000000-0005-0000-0000-00002B000000}"/>
    <cellStyle name="Normal 14 2 2 2 2 2" xfId="130" xr:uid="{00000000-0005-0000-0000-00002C000000}"/>
    <cellStyle name="Normal 14 2 2 2 2 2 2" xfId="190" xr:uid="{00000000-0005-0000-0000-00002D000000}"/>
    <cellStyle name="Normal 14 2 2 2 2 3" xfId="148" xr:uid="{00000000-0005-0000-0000-00002E000000}"/>
    <cellStyle name="Normal 14 2 2 2 3" xfId="126" xr:uid="{00000000-0005-0000-0000-00002F000000}"/>
    <cellStyle name="Normal 14 2 2 2 3 2" xfId="186" xr:uid="{00000000-0005-0000-0000-000030000000}"/>
    <cellStyle name="Normal 14 2 2 2 4" xfId="144" xr:uid="{00000000-0005-0000-0000-000031000000}"/>
    <cellStyle name="Normal 14 2 2 3" xfId="75" xr:uid="{00000000-0005-0000-0000-000032000000}"/>
    <cellStyle name="Normal 14 2 2 3 2" xfId="128" xr:uid="{00000000-0005-0000-0000-000033000000}"/>
    <cellStyle name="Normal 14 2 2 3 2 2" xfId="188" xr:uid="{00000000-0005-0000-0000-000034000000}"/>
    <cellStyle name="Normal 14 2 2 3 3" xfId="146" xr:uid="{00000000-0005-0000-0000-000035000000}"/>
    <cellStyle name="Normal 14 2 2 4" xfId="123" xr:uid="{00000000-0005-0000-0000-000036000000}"/>
    <cellStyle name="Normal 14 2 2 4 2" xfId="183" xr:uid="{00000000-0005-0000-0000-000037000000}"/>
    <cellStyle name="Normal 14 2 2 5" xfId="141" xr:uid="{00000000-0005-0000-0000-000038000000}"/>
    <cellStyle name="Normal 14 2 3" xfId="185" xr:uid="{00000000-0005-0000-0000-000039000000}"/>
    <cellStyle name="Normal 14 3" xfId="143" xr:uid="{00000000-0005-0000-0000-00003A000000}"/>
    <cellStyle name="Normal 14 4" xfId="281" xr:uid="{CBB10466-A3A9-40AB-9695-2075817E0A69}"/>
    <cellStyle name="Normal 14 5" xfId="289" xr:uid="{234C274E-84F2-4BE4-B2CE-10D31A4263DB}"/>
    <cellStyle name="Normal 15" xfId="208" xr:uid="{6B11A424-3E97-45A5-9CB6-19325C68A13E}"/>
    <cellStyle name="Normal 16" xfId="78" xr:uid="{00000000-0005-0000-0000-00003B000000}"/>
    <cellStyle name="Normal 16 2" xfId="131" xr:uid="{00000000-0005-0000-0000-00003C000000}"/>
    <cellStyle name="Normal 16 2 2" xfId="191" xr:uid="{00000000-0005-0000-0000-00003D000000}"/>
    <cellStyle name="Normal 16 3" xfId="149" xr:uid="{00000000-0005-0000-0000-00003E000000}"/>
    <cellStyle name="Normal 16 4" xfId="282" xr:uid="{6187CC41-A124-4772-93E4-24AA94375C7E}"/>
    <cellStyle name="Normal 17" xfId="214" xr:uid="{66DA09ED-17E3-47DE-9028-526EEC478F05}"/>
    <cellStyle name="Normal 17 2" xfId="266" xr:uid="{9280E30A-210C-42E0-87F1-17B2FFB23487}"/>
    <cellStyle name="Normal 17 2 3" xfId="293" xr:uid="{62A9D64B-9862-41C5-B4A9-CA712DC1CECF}"/>
    <cellStyle name="Normal 18" xfId="217" xr:uid="{0E7BFFCE-F1B0-4B40-BC02-30408BF456D8}"/>
    <cellStyle name="Normal 19" xfId="218" xr:uid="{EBE6931E-55F9-4A8A-91D7-69D20ED99964}"/>
    <cellStyle name="Normal 2" xfId="10" xr:uid="{00000000-0005-0000-0000-00003F000000}"/>
    <cellStyle name="Normal 2 2" xfId="11" xr:uid="{00000000-0005-0000-0000-000040000000}"/>
    <cellStyle name="Normal 2 2 2" xfId="51" xr:uid="{00000000-0005-0000-0000-000041000000}"/>
    <cellStyle name="Normal 2 2 2 2" xfId="207" xr:uid="{966D92B3-B124-43D1-9851-7256E35C976B}"/>
    <cellStyle name="Normal 2 2 3" xfId="81" xr:uid="{00000000-0005-0000-0000-000042000000}"/>
    <cellStyle name="Normal 2 2 4" xfId="234" xr:uid="{2707109F-577C-4030-8E72-7E6D9BEDCDE4}"/>
    <cellStyle name="Normal 2 2 6" xfId="258" xr:uid="{418A11B8-B4EF-4828-AA73-DF92DE56DD04}"/>
    <cellStyle name="Normal 2 3" xfId="12" xr:uid="{00000000-0005-0000-0000-000043000000}"/>
    <cellStyle name="Normal 2 4" xfId="69" xr:uid="{00000000-0005-0000-0000-000044000000}"/>
    <cellStyle name="Normal 2 4 3" xfId="204" xr:uid="{014AE214-F5F1-4A2C-AEEA-C6E8EDE19A3F}"/>
    <cellStyle name="Normal 2 5" xfId="236" xr:uid="{B82FF700-53D0-46AA-8D5C-DCC45D66A894}"/>
    <cellStyle name="Normal 20" xfId="221" xr:uid="{03E83E6F-8725-4B29-B23C-18702E1D0E50}"/>
    <cellStyle name="Normal 21" xfId="226" xr:uid="{B3EA1DFE-463D-4D99-8ED1-12861D73D4A9}"/>
    <cellStyle name="Normal 22" xfId="231" xr:uid="{E5538568-DA69-4648-9E46-D08381458FFE}"/>
    <cellStyle name="Normal 23" xfId="238" xr:uid="{78D9F5B8-0B8B-4CCD-B02E-C9BE846BA4E3}"/>
    <cellStyle name="Normal 24" xfId="239" xr:uid="{D8385557-A3BE-44A5-9D73-9FF3909E7F2A}"/>
    <cellStyle name="Normal 25" xfId="261" xr:uid="{0BA3AAEF-2E6E-4B85-9F21-84027F37CE0B}"/>
    <cellStyle name="Normal 26" xfId="271" xr:uid="{F09DF720-55D7-43BA-9159-5FC633B575DE}"/>
    <cellStyle name="Normal 27" xfId="263" xr:uid="{6926E863-DF2D-4568-9C1A-CD6C7C78090D}"/>
    <cellStyle name="Normal 27 2" xfId="278" xr:uid="{B3ECD4B7-3E68-47BD-A4E3-43D7033FFE5A}"/>
    <cellStyle name="Normal 28" xfId="275" xr:uid="{AE4AC348-98D0-444B-BF12-C5B56DC8BF6A}"/>
    <cellStyle name="Normal 28 2" xfId="277" xr:uid="{8E0A9929-39A2-49A9-AB64-604A54187067}"/>
    <cellStyle name="Normal 28 2 2" xfId="292" xr:uid="{A34C180E-0E12-4EFB-A5E2-CFCAAA9E29A3}"/>
    <cellStyle name="Normal 29" xfId="250" xr:uid="{CB9D3E87-1053-4F55-A279-4A1C27234D02}"/>
    <cellStyle name="Normal 3" xfId="13" xr:uid="{00000000-0005-0000-0000-000045000000}"/>
    <cellStyle name="Normal 3 2" xfId="14" xr:uid="{00000000-0005-0000-0000-000046000000}"/>
    <cellStyle name="Normal 3 3" xfId="67" xr:uid="{00000000-0005-0000-0000-000047000000}"/>
    <cellStyle name="Normal 3 3 2" xfId="121" xr:uid="{00000000-0005-0000-0000-000048000000}"/>
    <cellStyle name="Normal 3 3 2 2" xfId="182" xr:uid="{00000000-0005-0000-0000-000049000000}"/>
    <cellStyle name="Normal 3 3 3" xfId="140" xr:uid="{00000000-0005-0000-0000-00004A000000}"/>
    <cellStyle name="Normal 3 4" xfId="80" xr:uid="{00000000-0005-0000-0000-00004B000000}"/>
    <cellStyle name="Normal 3 5" xfId="89" xr:uid="{00000000-0005-0000-0000-00004C000000}"/>
    <cellStyle name="Normal 30" xfId="295" xr:uid="{40C0C4D8-6D3E-4902-94E0-7D8A367A692E}"/>
    <cellStyle name="Normal 30 2" xfId="299" xr:uid="{D0A136B9-DC43-4DA7-8ABA-34D2C00ACECA}"/>
    <cellStyle name="Normal 31" xfId="298" xr:uid="{76D67701-A6C1-4CF6-8FB7-98B9E42271B0}"/>
    <cellStyle name="Normal 32" xfId="251" xr:uid="{878BEC6A-E2CD-4DEA-993D-D770A2EB9039}"/>
    <cellStyle name="Normal 32 2" xfId="300" xr:uid="{78B227DB-F752-4A9B-9CAA-77D2ECFA0871}"/>
    <cellStyle name="Normal 33" xfId="255" xr:uid="{A7002F52-5BB9-4AF5-805C-B568EEF6F35B}"/>
    <cellStyle name="Normal 4" xfId="15" xr:uid="{00000000-0005-0000-0000-00004D000000}"/>
    <cellStyle name="Normal 4 2" xfId="53" xr:uid="{00000000-0005-0000-0000-00004E000000}"/>
    <cellStyle name="Normal 4 3" xfId="212" xr:uid="{128A6384-C6AF-4864-BC9B-32CA45155972}"/>
    <cellStyle name="Normal 4 3 2" xfId="244" xr:uid="{696A2F0D-7C0A-4930-949B-0D2882EBB75D}"/>
    <cellStyle name="Normal 5" xfId="16" xr:uid="{00000000-0005-0000-0000-00004F000000}"/>
    <cellStyle name="Normal 5 2" xfId="17" xr:uid="{00000000-0005-0000-0000-000050000000}"/>
    <cellStyle name="Normal 5 2 2" xfId="65" xr:uid="{00000000-0005-0000-0000-000051000000}"/>
    <cellStyle name="Normal 5 3" xfId="55" xr:uid="{00000000-0005-0000-0000-000052000000}"/>
    <cellStyle name="Normal 6" xfId="18" xr:uid="{00000000-0005-0000-0000-000053000000}"/>
    <cellStyle name="Normal 6 2" xfId="40" xr:uid="{00000000-0005-0000-0000-000054000000}"/>
    <cellStyle name="Normal 6 2 2" xfId="107" xr:uid="{00000000-0005-0000-0000-000055000000}"/>
    <cellStyle name="Normal 6 2 2 2" xfId="170" xr:uid="{00000000-0005-0000-0000-000056000000}"/>
    <cellStyle name="Normal 6 2 3" xfId="139" xr:uid="{00000000-0005-0000-0000-000057000000}"/>
    <cellStyle name="Normal 6 3" xfId="68" xr:uid="{00000000-0005-0000-0000-000058000000}"/>
    <cellStyle name="Normal 6 4" xfId="90" xr:uid="{00000000-0005-0000-0000-000059000000}"/>
    <cellStyle name="Normal 6 4 2" xfId="155" xr:uid="{00000000-0005-0000-0000-00005A000000}"/>
    <cellStyle name="Normal 6 5" xfId="138" xr:uid="{00000000-0005-0000-0000-00005B000000}"/>
    <cellStyle name="Normal 7" xfId="36" xr:uid="{00000000-0005-0000-0000-00005C000000}"/>
    <cellStyle name="Normal 7 2" xfId="229" xr:uid="{E97CCB13-9E83-4026-B9CB-7C05E06ABBCA}"/>
    <cellStyle name="Normal 7 3" xfId="270" xr:uid="{918CD3A2-75F9-4451-8251-43D82784D48B}"/>
    <cellStyle name="Normal 7 3 2" xfId="303" xr:uid="{A0EA0AE5-6466-4E37-9E16-1D2FECBF2DCF}"/>
    <cellStyle name="Normal 8" xfId="41" xr:uid="{00000000-0005-0000-0000-00005D000000}"/>
    <cellStyle name="Normal 8 4" xfId="205" xr:uid="{249D2AA0-4DAA-4BCA-BCBA-CDADF64B847F}"/>
    <cellStyle name="Normal 9" xfId="43" xr:uid="{00000000-0005-0000-0000-00005E000000}"/>
    <cellStyle name="Normal 9 2" xfId="64" xr:uid="{00000000-0005-0000-0000-00005F000000}"/>
    <cellStyle name="Normal 9 2 2" xfId="283" xr:uid="{18F25928-818C-4B94-ADCB-AD3C9B9333E1}"/>
    <cellStyle name="Normal 9 3" xfId="222" xr:uid="{006C36D3-8362-4B53-A813-2A67F57A9A6C}"/>
    <cellStyle name="Normal 9 4" xfId="241" xr:uid="{32ED79ED-2E6B-48FB-81F7-590E833BB2A3}"/>
    <cellStyle name="Normal 9 5" xfId="259" xr:uid="{CCC5E3BA-44B7-49B7-B353-829A875BCCB5}"/>
    <cellStyle name="Normal_00_Classes" xfId="47" xr:uid="{00000000-0005-0000-0000-000060000000}"/>
    <cellStyle name="Normal_LD_01_estruturas" xfId="274" xr:uid="{D2CB940C-570C-4340-9579-515D05681BC8}"/>
    <cellStyle name="Normal_LD_estrutura_arm_escadas" xfId="58" xr:uid="{00000000-0005-0000-0000-000064000000}"/>
    <cellStyle name="Percent" xfId="19" xr:uid="{00000000-0005-0000-0000-000066000000}"/>
    <cellStyle name="Percent 2" xfId="83" xr:uid="{00000000-0005-0000-0000-000067000000}"/>
    <cellStyle name="planilhas" xfId="39" xr:uid="{00000000-0005-0000-0000-000068000000}"/>
    <cellStyle name="Porcentagem" xfId="297" builtinId="5"/>
    <cellStyle name="Porcentagem 2" xfId="20" xr:uid="{00000000-0005-0000-0000-00006A000000}"/>
    <cellStyle name="Porcentagem 2 2" xfId="91" xr:uid="{00000000-0005-0000-0000-00006B000000}"/>
    <cellStyle name="Porcentagem 2 3" xfId="202" xr:uid="{C2E974F5-5B88-4F34-A7F2-E95644B423E1}"/>
    <cellStyle name="Porcentagem 3" xfId="59" xr:uid="{00000000-0005-0000-0000-00006C000000}"/>
    <cellStyle name="Porcentagem 4" xfId="122" xr:uid="{00000000-0005-0000-0000-00006D000000}"/>
    <cellStyle name="Porcentagem 5" xfId="209" xr:uid="{AC67FB52-169F-4F70-AFBC-1869A6613FEA}"/>
    <cellStyle name="Porcentagem 6" xfId="216" xr:uid="{F3A50E94-BDC4-4335-996F-71738F7FA114}"/>
    <cellStyle name="Porcentagem 7" xfId="230" xr:uid="{5030DC1B-DA52-4AA8-A965-D3E61EAF6695}"/>
    <cellStyle name="Separador de m" xfId="21" xr:uid="{00000000-0005-0000-0000-00006E000000}"/>
    <cellStyle name="Separador de milhares 2" xfId="22" xr:uid="{00000000-0005-0000-0000-00006F000000}"/>
    <cellStyle name="Separador de milhares 2 2" xfId="23" xr:uid="{00000000-0005-0000-0000-000070000000}"/>
    <cellStyle name="Separador de milhares 2 2 2" xfId="61" xr:uid="{00000000-0005-0000-0000-000071000000}"/>
    <cellStyle name="Separador de milhares 2 2 2 2" xfId="117" xr:uid="{00000000-0005-0000-0000-000072000000}"/>
    <cellStyle name="Separador de milhares 2 2 2 2 2" xfId="179" xr:uid="{00000000-0005-0000-0000-000073000000}"/>
    <cellStyle name="Separador de milhares 2 2 3" xfId="93" xr:uid="{00000000-0005-0000-0000-000074000000}"/>
    <cellStyle name="Separador de milhares 2 2 3 2" xfId="157" xr:uid="{00000000-0005-0000-0000-000075000000}"/>
    <cellStyle name="Separador de milhares 2 3" xfId="92" xr:uid="{00000000-0005-0000-0000-000076000000}"/>
    <cellStyle name="Separador de milhares 2 3 2" xfId="156" xr:uid="{00000000-0005-0000-0000-000077000000}"/>
    <cellStyle name="Separador de milhares 3" xfId="24" xr:uid="{00000000-0005-0000-0000-000078000000}"/>
    <cellStyle name="Separador de milhares 3 2" xfId="25" xr:uid="{00000000-0005-0000-0000-000079000000}"/>
    <cellStyle name="Separador de milhares 3 2 2" xfId="26" xr:uid="{00000000-0005-0000-0000-00007A000000}"/>
    <cellStyle name="Separador de milhares 3 2 2 2" xfId="27" xr:uid="{00000000-0005-0000-0000-00007B000000}"/>
    <cellStyle name="Separador de milhares 3 2 2 2 2" xfId="28" xr:uid="{00000000-0005-0000-0000-00007C000000}"/>
    <cellStyle name="Separador de milhares 3 2 2 2 2 2" xfId="29" xr:uid="{00000000-0005-0000-0000-00007D000000}"/>
    <cellStyle name="Separador de milhares 3 2 2 2 2 2 2" xfId="99" xr:uid="{00000000-0005-0000-0000-00007E000000}"/>
    <cellStyle name="Separador de milhares 3 2 2 2 2 2 2 2" xfId="163" xr:uid="{00000000-0005-0000-0000-00007F000000}"/>
    <cellStyle name="Separador de milhares 3 2 2 2 2 3" xfId="98" xr:uid="{00000000-0005-0000-0000-000080000000}"/>
    <cellStyle name="Separador de milhares 3 2 2 2 2 3 2" xfId="162" xr:uid="{00000000-0005-0000-0000-000081000000}"/>
    <cellStyle name="Separador de milhares 3 2 2 2 3" xfId="97" xr:uid="{00000000-0005-0000-0000-000082000000}"/>
    <cellStyle name="Separador de milhares 3 2 2 2 3 2" xfId="161" xr:uid="{00000000-0005-0000-0000-000083000000}"/>
    <cellStyle name="Separador de milhares 3 2 2 3" xfId="96" xr:uid="{00000000-0005-0000-0000-000084000000}"/>
    <cellStyle name="Separador de milhares 3 2 2 3 2" xfId="160" xr:uid="{00000000-0005-0000-0000-000085000000}"/>
    <cellStyle name="Separador de milhares 3 2 3" xfId="95" xr:uid="{00000000-0005-0000-0000-000086000000}"/>
    <cellStyle name="Separador de milhares 3 2 3 2" xfId="159" xr:uid="{00000000-0005-0000-0000-000087000000}"/>
    <cellStyle name="Separador de milhares 3 3" xfId="94" xr:uid="{00000000-0005-0000-0000-000088000000}"/>
    <cellStyle name="Separador de milhares 3 3 2" xfId="158" xr:uid="{00000000-0005-0000-0000-000089000000}"/>
    <cellStyle name="Separador de milhares 4" xfId="42" xr:uid="{00000000-0005-0000-0000-00008A000000}"/>
    <cellStyle name="Separador de milhares 4 2" xfId="108" xr:uid="{00000000-0005-0000-0000-00008B000000}"/>
    <cellStyle name="Separador de milhares 4 2 2" xfId="171" xr:uid="{00000000-0005-0000-0000-00008C000000}"/>
    <cellStyle name="Separador de milhares 5" xfId="44" xr:uid="{00000000-0005-0000-0000-00008D000000}"/>
    <cellStyle name="Separador de milhares 5 2" xfId="62" xr:uid="{00000000-0005-0000-0000-00008E000000}"/>
    <cellStyle name="Separador de milhares 5 2 2" xfId="118" xr:uid="{00000000-0005-0000-0000-00008F000000}"/>
    <cellStyle name="Separador de milhares 5 2 2 2" xfId="180" xr:uid="{00000000-0005-0000-0000-000090000000}"/>
    <cellStyle name="Separador de milhares 5 3" xfId="109" xr:uid="{00000000-0005-0000-0000-000091000000}"/>
    <cellStyle name="Separador de milhares 5 3 2" xfId="172" xr:uid="{00000000-0005-0000-0000-000092000000}"/>
    <cellStyle name="Separador de milhares 6" xfId="46" xr:uid="{00000000-0005-0000-0000-000093000000}"/>
    <cellStyle name="Separador de milhares 6 2" xfId="110" xr:uid="{00000000-0005-0000-0000-000094000000}"/>
    <cellStyle name="Separador de milhares 6 2 2" xfId="173" xr:uid="{00000000-0005-0000-0000-000095000000}"/>
    <cellStyle name="Vírgula" xfId="30" builtinId="3"/>
    <cellStyle name="Vírgula 10" xfId="100" xr:uid="{00000000-0005-0000-0000-000098000000}"/>
    <cellStyle name="Vírgula 10 2" xfId="164" xr:uid="{00000000-0005-0000-0000-000099000000}"/>
    <cellStyle name="Vírgula 10 2 2" xfId="71" xr:uid="{00000000-0005-0000-0000-00009A000000}"/>
    <cellStyle name="Vírgula 10 2 2 2" xfId="74" xr:uid="{00000000-0005-0000-0000-00009B000000}"/>
    <cellStyle name="Vírgula 10 2 2 2 2" xfId="127" xr:uid="{00000000-0005-0000-0000-00009C000000}"/>
    <cellStyle name="Vírgula 10 2 2 2 2 2" xfId="187" xr:uid="{00000000-0005-0000-0000-00009D000000}"/>
    <cellStyle name="Vírgula 10 2 2 2 3" xfId="145" xr:uid="{00000000-0005-0000-0000-00009E000000}"/>
    <cellStyle name="Vírgula 10 2 2 3" xfId="76" xr:uid="{00000000-0005-0000-0000-00009F000000}"/>
    <cellStyle name="Vírgula 10 2 2 3 2" xfId="129" xr:uid="{00000000-0005-0000-0000-0000A0000000}"/>
    <cellStyle name="Vírgula 10 2 2 3 2 2" xfId="189" xr:uid="{00000000-0005-0000-0000-0000A1000000}"/>
    <cellStyle name="Vírgula 10 2 2 3 3" xfId="147" xr:uid="{00000000-0005-0000-0000-0000A2000000}"/>
    <cellStyle name="Vírgula 10 2 2 4" xfId="124" xr:uid="{00000000-0005-0000-0000-0000A3000000}"/>
    <cellStyle name="Vírgula 10 2 2 4 2" xfId="184" xr:uid="{00000000-0005-0000-0000-0000A4000000}"/>
    <cellStyle name="Vírgula 10 2 2 5" xfId="142" xr:uid="{00000000-0005-0000-0000-0000A5000000}"/>
    <cellStyle name="Vírgula 10 3" xfId="284" xr:uid="{9C744172-2C35-4E61-9C2D-74498BF68456}"/>
    <cellStyle name="Vírgula 11" xfId="210" xr:uid="{4AC29524-2F7C-40FD-9022-4608867968DC}"/>
    <cellStyle name="Vírgula 12" xfId="215" xr:uid="{ADBFA212-780D-47C7-B929-0392A31D7756}"/>
    <cellStyle name="Vírgula 12 2" xfId="267" xr:uid="{C9697049-E8DF-4FB5-8B90-660E20F5DDC5}"/>
    <cellStyle name="Vírgula 12 2 2" xfId="269" xr:uid="{9C1C3C4E-8630-4C3D-8175-D57565B1AAF4}"/>
    <cellStyle name="Vírgula 12 2 2 2" xfId="294" xr:uid="{5B22828D-E77C-4DEE-B20A-F39FC68E3F5A}"/>
    <cellStyle name="Vírgula 13" xfId="219" xr:uid="{DD7D4107-AFF0-4394-B01D-924FF0E420C3}"/>
    <cellStyle name="Vírgula 14" xfId="223" xr:uid="{A6ED6EB3-8155-43A9-84AC-DB5E007CD794}"/>
    <cellStyle name="Vírgula 15" xfId="227" xr:uid="{C4EA0C74-D207-47D9-9019-7480FD94EC6C}"/>
    <cellStyle name="Vírgula 16" xfId="201" xr:uid="{AE95FBF3-6CC7-400B-A670-ECA389BFB5DF}"/>
    <cellStyle name="Vírgula 17" xfId="233" xr:uid="{899C35AE-9D7B-4DCA-96EB-4A411FF37FA1}"/>
    <cellStyle name="Vírgula 18" xfId="237" xr:uid="{2E0B0D27-E9F4-46CE-A217-63F0AF8BB7C1}"/>
    <cellStyle name="Vírgula 19" xfId="243" xr:uid="{976079D1-6BF9-49A0-82FB-F09EB5115B63}"/>
    <cellStyle name="Vírgula 2" xfId="31" xr:uid="{00000000-0005-0000-0000-0000A6000000}"/>
    <cellStyle name="Vírgula 2 2" xfId="82" xr:uid="{00000000-0005-0000-0000-0000A7000000}"/>
    <cellStyle name="Vírgula 2 2 2" xfId="133" xr:uid="{00000000-0005-0000-0000-0000A8000000}"/>
    <cellStyle name="Vírgula 2 2 2 2" xfId="193" xr:uid="{00000000-0005-0000-0000-0000A9000000}"/>
    <cellStyle name="Vírgula 2 2 8" xfId="203" xr:uid="{3AFB02C5-493B-4DB2-AA56-1AEC53FFABFD}"/>
    <cellStyle name="Vírgula 2 3" xfId="101" xr:uid="{00000000-0005-0000-0000-0000AA000000}"/>
    <cellStyle name="Vírgula 2 3 2" xfId="165" xr:uid="{00000000-0005-0000-0000-0000AB000000}"/>
    <cellStyle name="Vírgula 20" xfId="225" xr:uid="{E1235771-F45D-4210-AB53-BF02DA9CBE41}"/>
    <cellStyle name="Vírgula 20 2" xfId="242" xr:uid="{7861CF31-732B-4A12-A78B-387FEBD9E84A}"/>
    <cellStyle name="Vírgula 20 3" xfId="260" xr:uid="{09621DCE-A5E0-42AA-8048-0183A971C9B6}"/>
    <cellStyle name="Vírgula 20 4" xfId="286" xr:uid="{7151E379-45AA-4B26-B9B6-05475E2FE47C}"/>
    <cellStyle name="Vírgula 21" xfId="262" xr:uid="{78449DFE-0C3B-489A-81C3-55D18DF5325A}"/>
    <cellStyle name="Vírgula 22" xfId="272" xr:uid="{48D5C973-CB58-42E5-8155-A04DF7B90015}"/>
    <cellStyle name="Vírgula 23" xfId="264" xr:uid="{4EC4D55E-5F04-469B-8146-3D955F66424A}"/>
    <cellStyle name="Vírgula 23 2" xfId="279" xr:uid="{1951F2F6-E69C-487C-8E6A-16C306377FED}"/>
    <cellStyle name="Vírgula 23 2 2" xfId="290" xr:uid="{0ADEA474-D53E-48D7-93F9-2E157D7D514C}"/>
    <cellStyle name="Vírgula 24" xfId="276" xr:uid="{E347F694-13A3-4107-A5AA-4F47B2AFA8B4}"/>
    <cellStyle name="Vírgula 27" xfId="254" xr:uid="{72D94563-9DD2-41F2-AB87-9FACE1529AD0}"/>
    <cellStyle name="Vírgula 27 2" xfId="302" xr:uid="{3D861B82-E2E0-43D1-A2BE-91609B185F4F}"/>
    <cellStyle name="Vírgula 28" xfId="256" xr:uid="{9F6B3FA6-B267-4B00-9D8C-C87440B96B8A}"/>
    <cellStyle name="Vírgula 3" xfId="32" xr:uid="{00000000-0005-0000-0000-0000AC000000}"/>
    <cellStyle name="Vírgula 3 2" xfId="52" xr:uid="{00000000-0005-0000-0000-0000AD000000}"/>
    <cellStyle name="Vírgula 3 2 2" xfId="113" xr:uid="{00000000-0005-0000-0000-0000AE000000}"/>
    <cellStyle name="Vírgula 3 2 2 2" xfId="176" xr:uid="{00000000-0005-0000-0000-0000AF000000}"/>
    <cellStyle name="Vírgula 3 2 9" xfId="200" xr:uid="{F745D35F-2B44-4F95-A8C9-8421873C18E8}"/>
    <cellStyle name="Vírgula 3 3" xfId="102" xr:uid="{00000000-0005-0000-0000-0000B0000000}"/>
    <cellStyle name="Vírgula 3 3 2" xfId="166" xr:uid="{00000000-0005-0000-0000-0000B1000000}"/>
    <cellStyle name="Vírgula 3 4" xfId="265" xr:uid="{7CFA0B70-7404-4CE9-9BDA-CAA82CF7847A}"/>
    <cellStyle name="Vírgula 39" xfId="245" xr:uid="{877BCF98-0365-4212-AB9F-307CC4DE5E17}"/>
    <cellStyle name="Vírgula 4" xfId="33" xr:uid="{00000000-0005-0000-0000-0000B2000000}"/>
    <cellStyle name="Vírgula 4 2" xfId="54" xr:uid="{00000000-0005-0000-0000-0000B3000000}"/>
    <cellStyle name="Vírgula 4 2 2" xfId="114" xr:uid="{00000000-0005-0000-0000-0000B4000000}"/>
    <cellStyle name="Vírgula 4 2 2 2" xfId="177" xr:uid="{00000000-0005-0000-0000-0000B5000000}"/>
    <cellStyle name="Vírgula 4 3" xfId="103" xr:uid="{00000000-0005-0000-0000-0000B6000000}"/>
    <cellStyle name="Vírgula 4 3 2" xfId="167" xr:uid="{00000000-0005-0000-0000-0000B7000000}"/>
    <cellStyle name="Vírgula 4 4" xfId="248" xr:uid="{7A1C43BD-EF33-4C7E-8A34-E524C4199778}"/>
    <cellStyle name="Vírgula 5" xfId="34" xr:uid="{00000000-0005-0000-0000-0000B8000000}"/>
    <cellStyle name="Vírgula 5 2" xfId="104" xr:uid="{00000000-0005-0000-0000-0000B9000000}"/>
    <cellStyle name="Vírgula 5 2 2" xfId="168" xr:uid="{00000000-0005-0000-0000-0000BA000000}"/>
    <cellStyle name="Vírgula 6" xfId="35" xr:uid="{00000000-0005-0000-0000-0000BB000000}"/>
    <cellStyle name="Vírgula 6 2" xfId="56" xr:uid="{00000000-0005-0000-0000-0000BC000000}"/>
    <cellStyle name="Vírgula 6 2 2" xfId="115" xr:uid="{00000000-0005-0000-0000-0000BD000000}"/>
    <cellStyle name="Vírgula 6 2 2 2" xfId="178" xr:uid="{00000000-0005-0000-0000-0000BE000000}"/>
    <cellStyle name="Vírgula 6 3" xfId="105" xr:uid="{00000000-0005-0000-0000-0000BF000000}"/>
    <cellStyle name="Vírgula 6 3 2" xfId="169" xr:uid="{00000000-0005-0000-0000-0000C0000000}"/>
    <cellStyle name="Vírgula 7" xfId="49" xr:uid="{00000000-0005-0000-0000-0000C1000000}"/>
    <cellStyle name="Vírgula 7 2" xfId="63" xr:uid="{00000000-0005-0000-0000-0000C2000000}"/>
    <cellStyle name="Vírgula 7 2 2" xfId="119" xr:uid="{00000000-0005-0000-0000-0000C3000000}"/>
    <cellStyle name="Vírgula 7 2 2 2" xfId="181" xr:uid="{00000000-0005-0000-0000-0000C4000000}"/>
    <cellStyle name="Vírgula 7 2 4" xfId="198" xr:uid="{F6DEF2A0-BF23-4F57-A9EA-A551A5648FFF}"/>
    <cellStyle name="Vírgula 7 3" xfId="111" xr:uid="{00000000-0005-0000-0000-0000C5000000}"/>
    <cellStyle name="Vírgula 7 3 2" xfId="174" xr:uid="{00000000-0005-0000-0000-0000C6000000}"/>
    <cellStyle name="Vírgula 7 4" xfId="288" xr:uid="{7DEE66CC-D440-43CD-89BA-1DD629EBAE21}"/>
    <cellStyle name="Vírgula 8" xfId="50" xr:uid="{00000000-0005-0000-0000-0000C7000000}"/>
    <cellStyle name="Vírgula 8 2" xfId="112" xr:uid="{00000000-0005-0000-0000-0000C8000000}"/>
    <cellStyle name="Vírgula 8 2 2" xfId="175" xr:uid="{00000000-0005-0000-0000-0000C9000000}"/>
    <cellStyle name="Vírgula 8 5" xfId="206" xr:uid="{3F97D957-D722-45E8-85F9-0C6FEEFE2B6D}"/>
    <cellStyle name="Vírgula 9" xfId="79" xr:uid="{00000000-0005-0000-0000-0000CA000000}"/>
    <cellStyle name="Vírgula 9 2" xfId="132" xr:uid="{00000000-0005-0000-0000-0000CB000000}"/>
    <cellStyle name="Vírgula 9 2 2" xfId="192" xr:uid="{00000000-0005-0000-0000-0000CC000000}"/>
    <cellStyle name="Vírgula 9 3" xfId="150" xr:uid="{00000000-0005-0000-0000-0000CD000000}"/>
  </cellStyles>
  <dxfs count="15304"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rgb="FFF43800"/>
      </font>
      <fill>
        <patternFill patternType="none">
          <bgColor auto="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rgb="FFF43800"/>
      </font>
      <fill>
        <patternFill patternType="none">
          <bgColor auto="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textRotation="0" wrapText="0" indent="0" justifyLastLine="0" shrinkToFit="0" readingOrder="0"/>
      <border diagonalUp="0" diagonalDown="0">
        <left style="dotted">
          <color indexed="64"/>
        </left>
        <right/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/>
        <bottom/>
        <vertical style="dotted">
          <color indexed="64"/>
        </vertical>
        <horizontal style="dotted">
          <color indexed="64"/>
        </horizontal>
      </border>
    </dxf>
    <dxf>
      <font>
        <condense val="0"/>
        <extend val="0"/>
        <color rgb="FF006100"/>
      </font>
      <fill>
        <patternFill>
          <bgColor rgb="FFC6EFCE"/>
        </patternFill>
      </fill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color theme="1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1" defaultTableStyle="TableStyleMedium2" defaultPivotStyle="PivotStyleLight16">
    <tableStyle name="TableStyleLight11 2" pivot="0" count="9" xr9:uid="{DE53316C-6D47-40A4-9F99-032C2E830408}">
      <tableStyleElement type="wholeTable" dxfId="15303"/>
      <tableStyleElement type="headerRow" dxfId="15302"/>
      <tableStyleElement type="totalRow" dxfId="15301"/>
      <tableStyleElement type="firstColumn" dxfId="15300"/>
      <tableStyleElement type="lastColumn" dxfId="15299"/>
      <tableStyleElement type="firstRowStripe" dxfId="15298"/>
      <tableStyleElement type="secondRowStripe" dxfId="15297"/>
      <tableStyleElement type="firstColumnStripe" dxfId="15296"/>
      <tableStyleElement type="secondColumnStripe" dxfId="1529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1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8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CC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BFBFBF"/>
    </indexedColors>
    <mruColors>
      <color rgb="FF1851D6"/>
      <color rgb="FFB4B4B4"/>
      <color rgb="FF83A5F1"/>
      <color rgb="FFF43800"/>
      <color rgb="FFD23200"/>
      <color rgb="FF29292F"/>
      <color rgb="FF0065B0"/>
      <color rgb="FF1B1B1F"/>
      <color rgb="FF111113"/>
      <color rgb="FF8DB2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#Resumo!A1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#Resumo!A1"/></Relationships>
</file>

<file path=xl/drawings/_rels/drawing7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#Resumo!A1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12.jp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9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#Resumo!A1"/></Relationships>
</file>

<file path=xl/drawings/_rels/drawing10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#Ger_Executivo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#Ger_Executivo!A1"/></Relationships>
</file>

<file path=xl/drawings/_rels/drawing14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297466</xdr:colOff>
      <xdr:row>0</xdr:row>
      <xdr:rowOff>141977</xdr:rowOff>
    </xdr:from>
    <xdr:to>
      <xdr:col>9</xdr:col>
      <xdr:colOff>429588</xdr:colOff>
      <xdr:row>1</xdr:row>
      <xdr:rowOff>174126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55CD1-9943-4E10-A7EF-4331FED2547B}"/>
            </a:ext>
          </a:extLst>
        </xdr:cNvPr>
        <xdr:cNvSpPr/>
      </xdr:nvSpPr>
      <xdr:spPr>
        <a:xfrm>
          <a:off x="12879991" y="141977"/>
          <a:ext cx="932222" cy="222649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254342</xdr:colOff>
      <xdr:row>0</xdr:row>
      <xdr:rowOff>56842</xdr:rowOff>
    </xdr:from>
    <xdr:to>
      <xdr:col>1</xdr:col>
      <xdr:colOff>1876785</xdr:colOff>
      <xdr:row>1</xdr:row>
      <xdr:rowOff>186171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20A80501-EAFB-4093-8051-F4F1832C0E3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54342" y="56842"/>
          <a:ext cx="1889143" cy="319829"/>
        </a:xfrm>
        <a:prstGeom prst="rect">
          <a:avLst/>
        </a:prstGeom>
        <a:ln/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2410547</xdr:colOff>
      <xdr:row>29</xdr:row>
      <xdr:rowOff>139171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26B78F9-422D-EB20-2A87-02F841DD2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69667" y="1312333"/>
          <a:ext cx="5172797" cy="3801005"/>
        </a:xfrm>
        <a:prstGeom prst="rect">
          <a:avLst/>
        </a:prstGeom>
      </xdr:spPr>
    </xdr:pic>
    <xdr:clientData/>
  </xdr:twoCellAnchor>
  <xdr:twoCellAnchor editAs="oneCell">
    <xdr:from>
      <xdr:col>6</xdr:col>
      <xdr:colOff>188172</xdr:colOff>
      <xdr:row>29</xdr:row>
      <xdr:rowOff>171003</xdr:rowOff>
    </xdr:from>
    <xdr:to>
      <xdr:col>9</xdr:col>
      <xdr:colOff>203953</xdr:colOff>
      <xdr:row>31</xdr:row>
      <xdr:rowOff>42584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D257E55-1FC1-8889-ABD8-CAC58501A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57839" y="5208670"/>
          <a:ext cx="6357314" cy="210247"/>
        </a:xfrm>
        <a:prstGeom prst="rect">
          <a:avLst/>
        </a:prstGeom>
      </xdr:spPr>
    </xdr:pic>
    <xdr:clientData/>
  </xdr:twoCellAnchor>
  <xdr:twoCellAnchor editAs="oneCell">
    <xdr:from>
      <xdr:col>6</xdr:col>
      <xdr:colOff>70062</xdr:colOff>
      <xdr:row>32</xdr:row>
      <xdr:rowOff>103294</xdr:rowOff>
    </xdr:from>
    <xdr:to>
      <xdr:col>9</xdr:col>
      <xdr:colOff>551815</xdr:colOff>
      <xdr:row>36</xdr:row>
      <xdr:rowOff>131802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D233262-59D8-5778-47E3-DE40E7A18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39729" y="5564294"/>
          <a:ext cx="6810586" cy="6635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83820</xdr:colOff>
      <xdr:row>1</xdr:row>
      <xdr:rowOff>32385</xdr:rowOff>
    </xdr:from>
    <xdr:to>
      <xdr:col>15</xdr:col>
      <xdr:colOff>868680</xdr:colOff>
      <xdr:row>2</xdr:row>
      <xdr:rowOff>99060</xdr:rowOff>
    </xdr:to>
    <xdr:sp macro="" textlink="">
      <xdr:nvSpPr>
        <xdr:cNvPr id="2" name="Rectangle 13">
          <a:extLst>
            <a:ext uri="{FF2B5EF4-FFF2-40B4-BE49-F238E27FC236}">
              <a16:creationId xmlns:a16="http://schemas.microsoft.com/office/drawing/2014/main" id="{AF0D54D4-C87B-45E0-BA06-DFE79585D908}"/>
            </a:ext>
          </a:extLst>
        </xdr:cNvPr>
        <xdr:cNvSpPr>
          <a:spLocks noChangeArrowheads="1"/>
        </xdr:cNvSpPr>
      </xdr:nvSpPr>
      <xdr:spPr bwMode="auto">
        <a:xfrm>
          <a:off x="293370" y="118110"/>
          <a:ext cx="12348210" cy="28575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pt-BR" sz="1800" b="1" i="0" u="none" strike="noStrike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Tahoma"/>
              <a:cs typeface="Tahoma"/>
            </a:rPr>
            <a:t>PLANILHA DE ORÇAMENTO</a:t>
          </a:r>
        </a:p>
      </xdr:txBody>
    </xdr:sp>
    <xdr:clientData/>
  </xdr:twoCellAnchor>
  <xdr:oneCellAnchor>
    <xdr:from>
      <xdr:col>6</xdr:col>
      <xdr:colOff>45720</xdr:colOff>
      <xdr:row>1</xdr:row>
      <xdr:rowOff>91440</xdr:rowOff>
    </xdr:from>
    <xdr:ext cx="1579880" cy="276225"/>
    <xdr:pic>
      <xdr:nvPicPr>
        <xdr:cNvPr id="3" name="image3.png">
          <a:extLst>
            <a:ext uri="{FF2B5EF4-FFF2-40B4-BE49-F238E27FC236}">
              <a16:creationId xmlns:a16="http://schemas.microsoft.com/office/drawing/2014/main" id="{18D2EE8D-6A99-4EA9-AA7A-8B8EDC1A0E9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55270" y="177165"/>
          <a:ext cx="1579880" cy="276225"/>
        </a:xfrm>
        <a:prstGeom prst="rect">
          <a:avLst/>
        </a:prstGeom>
        <a:ln/>
      </xdr:spPr>
    </xdr:pic>
    <xdr:clientData/>
  </xdr:oneCellAnchor>
  <xdr:twoCellAnchor>
    <xdr:from>
      <xdr:col>9</xdr:col>
      <xdr:colOff>419100</xdr:colOff>
      <xdr:row>1</xdr:row>
      <xdr:rowOff>0</xdr:rowOff>
    </xdr:from>
    <xdr:to>
      <xdr:col>9</xdr:col>
      <xdr:colOff>419100</xdr:colOff>
      <xdr:row>2</xdr:row>
      <xdr:rowOff>228600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46FB1752-F7F7-4A06-8FB5-F7C014C61AA4}"/>
            </a:ext>
          </a:extLst>
        </xdr:cNvPr>
        <xdr:cNvCxnSpPr/>
      </xdr:nvCxnSpPr>
      <xdr:spPr>
        <a:xfrm>
          <a:off x="2505075" y="85725"/>
          <a:ext cx="0" cy="4476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83820</xdr:colOff>
      <xdr:row>1</xdr:row>
      <xdr:rowOff>32385</xdr:rowOff>
    </xdr:from>
    <xdr:to>
      <xdr:col>15</xdr:col>
      <xdr:colOff>868680</xdr:colOff>
      <xdr:row>2</xdr:row>
      <xdr:rowOff>99060</xdr:rowOff>
    </xdr:to>
    <xdr:sp macro="" textlink="">
      <xdr:nvSpPr>
        <xdr:cNvPr id="2" name="Rectangle 13">
          <a:extLst>
            <a:ext uri="{FF2B5EF4-FFF2-40B4-BE49-F238E27FC236}">
              <a16:creationId xmlns:a16="http://schemas.microsoft.com/office/drawing/2014/main" id="{55E7E7F7-EB82-4025-B832-18BFFF16D970}"/>
            </a:ext>
          </a:extLst>
        </xdr:cNvPr>
        <xdr:cNvSpPr>
          <a:spLocks noChangeArrowheads="1"/>
        </xdr:cNvSpPr>
      </xdr:nvSpPr>
      <xdr:spPr bwMode="auto">
        <a:xfrm>
          <a:off x="293370" y="118110"/>
          <a:ext cx="11052810" cy="28575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pt-BR" sz="1800" b="1" i="0" u="none" strike="noStrike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Tahoma"/>
              <a:cs typeface="Tahoma"/>
            </a:rPr>
            <a:t>PLANILHA DE ORÇAMENTO</a:t>
          </a:r>
        </a:p>
      </xdr:txBody>
    </xdr:sp>
    <xdr:clientData/>
  </xdr:twoCellAnchor>
  <xdr:twoCellAnchor editAs="oneCell">
    <xdr:from>
      <xdr:col>6</xdr:col>
      <xdr:colOff>45720</xdr:colOff>
      <xdr:row>1</xdr:row>
      <xdr:rowOff>91440</xdr:rowOff>
    </xdr:from>
    <xdr:to>
      <xdr:col>8</xdr:col>
      <xdr:colOff>572991</xdr:colOff>
      <xdr:row>2</xdr:row>
      <xdr:rowOff>148590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3A06246B-2A76-437A-8B91-8195ACE66AC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55270" y="177165"/>
          <a:ext cx="1579880" cy="276225"/>
        </a:xfrm>
        <a:prstGeom prst="rect">
          <a:avLst/>
        </a:prstGeom>
        <a:ln/>
      </xdr:spPr>
    </xdr:pic>
    <xdr:clientData/>
  </xdr:twoCellAnchor>
  <xdr:twoCellAnchor>
    <xdr:from>
      <xdr:col>9</xdr:col>
      <xdr:colOff>419100</xdr:colOff>
      <xdr:row>1</xdr:row>
      <xdr:rowOff>0</xdr:rowOff>
    </xdr:from>
    <xdr:to>
      <xdr:col>9</xdr:col>
      <xdr:colOff>419100</xdr:colOff>
      <xdr:row>2</xdr:row>
      <xdr:rowOff>228600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B1A1067-5AE8-4CBE-836C-D5868A965340}"/>
            </a:ext>
          </a:extLst>
        </xdr:cNvPr>
        <xdr:cNvCxnSpPr/>
      </xdr:nvCxnSpPr>
      <xdr:spPr>
        <a:xfrm>
          <a:off x="2505075" y="85725"/>
          <a:ext cx="0" cy="4476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219074</xdr:colOff>
      <xdr:row>0</xdr:row>
      <xdr:rowOff>133350</xdr:rowOff>
    </xdr:from>
    <xdr:ext cx="1933575" cy="361950"/>
    <xdr:pic>
      <xdr:nvPicPr>
        <xdr:cNvPr id="2" name="image4.png">
          <a:extLst>
            <a:ext uri="{FF2B5EF4-FFF2-40B4-BE49-F238E27FC236}">
              <a16:creationId xmlns:a16="http://schemas.microsoft.com/office/drawing/2014/main" id="{DA8604B7-AB01-42F1-AE7D-F9105A3527C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05874" y="133350"/>
          <a:ext cx="1933575" cy="3619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5</xdr:col>
      <xdr:colOff>49760</xdr:colOff>
      <xdr:row>16</xdr:row>
      <xdr:rowOff>16821</xdr:rowOff>
    </xdr:from>
    <xdr:to>
      <xdr:col>6</xdr:col>
      <xdr:colOff>481853</xdr:colOff>
      <xdr:row>18</xdr:row>
      <xdr:rowOff>257734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B931DC7-DCDE-5ED1-08F3-CD55F580F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8179968" y="4257908"/>
          <a:ext cx="801207" cy="1171681"/>
        </a:xfrm>
        <a:prstGeom prst="rect">
          <a:avLst/>
        </a:prstGeom>
      </xdr:spPr>
    </xdr:pic>
    <xdr:clientData/>
  </xdr:twoCellAnchor>
  <xdr:twoCellAnchor editAs="oneCell">
    <xdr:from>
      <xdr:col>6</xdr:col>
      <xdr:colOff>123265</xdr:colOff>
      <xdr:row>7</xdr:row>
      <xdr:rowOff>33617</xdr:rowOff>
    </xdr:from>
    <xdr:to>
      <xdr:col>6</xdr:col>
      <xdr:colOff>1023874</xdr:colOff>
      <xdr:row>12</xdr:row>
      <xdr:rowOff>201548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87AD8235-690E-845A-7356-B899199FB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07824" y="1938617"/>
          <a:ext cx="900609" cy="156866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333375</xdr:colOff>
      <xdr:row>4</xdr:row>
      <xdr:rowOff>95250</xdr:rowOff>
    </xdr:from>
    <xdr:ext cx="3648075" cy="2905125"/>
    <xdr:pic>
      <xdr:nvPicPr>
        <xdr:cNvPr id="2" name="image3.png">
          <a:extLst>
            <a:ext uri="{FF2B5EF4-FFF2-40B4-BE49-F238E27FC236}">
              <a16:creationId xmlns:a16="http://schemas.microsoft.com/office/drawing/2014/main" id="{15DFB48E-19CB-4942-92B6-27E6B5324EB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372725" y="1323975"/>
          <a:ext cx="3648075" cy="2905125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38100</xdr:colOff>
      <xdr:row>4</xdr:row>
      <xdr:rowOff>219075</xdr:rowOff>
    </xdr:from>
    <xdr:ext cx="7972425" cy="1800225"/>
    <xdr:pic>
      <xdr:nvPicPr>
        <xdr:cNvPr id="3" name="image2.png">
          <a:extLst>
            <a:ext uri="{FF2B5EF4-FFF2-40B4-BE49-F238E27FC236}">
              <a16:creationId xmlns:a16="http://schemas.microsoft.com/office/drawing/2014/main" id="{34853006-A17B-426D-BC8F-F18EA1A04D1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821650" y="1447800"/>
          <a:ext cx="7972425" cy="18002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238125</xdr:colOff>
      <xdr:row>0</xdr:row>
      <xdr:rowOff>85725</xdr:rowOff>
    </xdr:from>
    <xdr:ext cx="1952625" cy="333375"/>
    <xdr:pic>
      <xdr:nvPicPr>
        <xdr:cNvPr id="4" name="image1.png">
          <a:extLst>
            <a:ext uri="{FF2B5EF4-FFF2-40B4-BE49-F238E27FC236}">
              <a16:creationId xmlns:a16="http://schemas.microsoft.com/office/drawing/2014/main" id="{1CE38342-9775-4AEF-9346-FFBA517212EA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877175" y="85725"/>
          <a:ext cx="1952625" cy="3333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958210</xdr:colOff>
      <xdr:row>0</xdr:row>
      <xdr:rowOff>156211</xdr:rowOff>
    </xdr:from>
    <xdr:to>
      <xdr:col>6</xdr:col>
      <xdr:colOff>2666999</xdr:colOff>
      <xdr:row>2</xdr:row>
      <xdr:rowOff>34290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3E5696-AD6D-4FA2-B522-AB9FB78355D7}"/>
            </a:ext>
          </a:extLst>
        </xdr:cNvPr>
        <xdr:cNvSpPr/>
      </xdr:nvSpPr>
      <xdr:spPr>
        <a:xfrm>
          <a:off x="8500105" y="156211"/>
          <a:ext cx="1710694" cy="350519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oneCellAnchor>
    <xdr:from>
      <xdr:col>1</xdr:col>
      <xdr:colOff>387238</xdr:colOff>
      <xdr:row>0</xdr:row>
      <xdr:rowOff>128644</xdr:rowOff>
    </xdr:from>
    <xdr:ext cx="1719580" cy="369570"/>
    <xdr:pic>
      <xdr:nvPicPr>
        <xdr:cNvPr id="3" name="image3.png">
          <a:extLst>
            <a:ext uri="{FF2B5EF4-FFF2-40B4-BE49-F238E27FC236}">
              <a16:creationId xmlns:a16="http://schemas.microsoft.com/office/drawing/2014/main" id="{C0A2AF78-BDEB-46F4-85DD-E86657301E6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758713" y="132454"/>
          <a:ext cx="1719580" cy="369570"/>
        </a:xfrm>
        <a:prstGeom prst="rect">
          <a:avLst/>
        </a:prstGeom>
        <a:ln/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297656</xdr:colOff>
      <xdr:row>0</xdr:row>
      <xdr:rowOff>170975</xdr:rowOff>
    </xdr:from>
    <xdr:to>
      <xdr:col>15</xdr:col>
      <xdr:colOff>720090</xdr:colOff>
      <xdr:row>2</xdr:row>
      <xdr:rowOff>23813</xdr:rowOff>
    </xdr:to>
    <xdr:sp macro="" textlink="">
      <xdr:nvSpPr>
        <xdr:cNvPr id="10" name="Retângulo: Cantos Arredondado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EC4FA5-C526-444B-8C67-D7D84CD46750}"/>
            </a:ext>
          </a:extLst>
        </xdr:cNvPr>
        <xdr:cNvSpPr/>
      </xdr:nvSpPr>
      <xdr:spPr>
        <a:xfrm>
          <a:off x="11394281" y="170975"/>
          <a:ext cx="1232059" cy="233838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60960</xdr:colOff>
      <xdr:row>0</xdr:row>
      <xdr:rowOff>114300</xdr:rowOff>
    </xdr:from>
    <xdr:to>
      <xdr:col>0</xdr:col>
      <xdr:colOff>1936115</xdr:colOff>
      <xdr:row>2</xdr:row>
      <xdr:rowOff>41275</xdr:rowOff>
    </xdr:to>
    <xdr:pic>
      <xdr:nvPicPr>
        <xdr:cNvPr id="12" name="image3.png">
          <a:extLst>
            <a:ext uri="{FF2B5EF4-FFF2-40B4-BE49-F238E27FC236}">
              <a16:creationId xmlns:a16="http://schemas.microsoft.com/office/drawing/2014/main" id="{1F026AB0-A936-4201-A08E-14AF56527EC5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60960" y="114300"/>
          <a:ext cx="1866900" cy="32004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0</xdr:colOff>
      <xdr:row>183</xdr:row>
      <xdr:rowOff>60960</xdr:rowOff>
    </xdr:from>
    <xdr:to>
      <xdr:col>16</xdr:col>
      <xdr:colOff>816277</xdr:colOff>
      <xdr:row>238</xdr:row>
      <xdr:rowOff>72114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CA7766D7-424B-D8A4-E16D-B3075511B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2860000"/>
          <a:ext cx="15813707" cy="7125694"/>
        </a:xfrm>
        <a:prstGeom prst="rect">
          <a:avLst/>
        </a:prstGeom>
      </xdr:spPr>
    </xdr:pic>
    <xdr:clientData/>
  </xdr:twoCellAnchor>
  <xdr:twoCellAnchor editAs="oneCell">
    <xdr:from>
      <xdr:col>0</xdr:col>
      <xdr:colOff>333376</xdr:colOff>
      <xdr:row>14</xdr:row>
      <xdr:rowOff>11905</xdr:rowOff>
    </xdr:from>
    <xdr:to>
      <xdr:col>3</xdr:col>
      <xdr:colOff>194763</xdr:colOff>
      <xdr:row>32</xdr:row>
      <xdr:rowOff>10130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02478DD-CDA1-0313-1C67-DF9DF06C5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3376" y="3131343"/>
          <a:ext cx="3504700" cy="287953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56029</xdr:colOff>
      <xdr:row>37</xdr:row>
      <xdr:rowOff>275167</xdr:rowOff>
    </xdr:from>
    <xdr:ext cx="1998650" cy="1833940"/>
    <xdr:pic>
      <xdr:nvPicPr>
        <xdr:cNvPr id="2" name="image1.jpg" descr="Bloco Estrutural de 3 estacas, como orçar? - Engenheiro de Custos">
          <a:extLst>
            <a:ext uri="{FF2B5EF4-FFF2-40B4-BE49-F238E27FC236}">
              <a16:creationId xmlns:a16="http://schemas.microsoft.com/office/drawing/2014/main" id="{0C0D3718-D255-4FB2-9961-960BBEE1FE9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524879" y="10943167"/>
          <a:ext cx="1998650" cy="1833940"/>
        </a:xfrm>
        <a:prstGeom prst="rect">
          <a:avLst/>
        </a:prstGeom>
        <a:noFill/>
        <a:ln w="3175">
          <a:solidFill>
            <a:schemeClr val="tx1"/>
          </a:solidFill>
        </a:ln>
      </xdr:spPr>
    </xdr:pic>
    <xdr:clientData fLocksWithSheet="0"/>
  </xdr:oneCellAnchor>
  <xdr:twoCellAnchor editAs="oneCell">
    <xdr:from>
      <xdr:col>0</xdr:col>
      <xdr:colOff>60960</xdr:colOff>
      <xdr:row>0</xdr:row>
      <xdr:rowOff>114300</xdr:rowOff>
    </xdr:from>
    <xdr:to>
      <xdr:col>2</xdr:col>
      <xdr:colOff>453813</xdr:colOff>
      <xdr:row>2</xdr:row>
      <xdr:rowOff>72813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972F16C5-3953-4D25-9640-06B5D6A1453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60960" y="114300"/>
          <a:ext cx="1840653" cy="339513"/>
        </a:xfrm>
        <a:prstGeom prst="rect">
          <a:avLst/>
        </a:prstGeom>
        <a:ln/>
      </xdr:spPr>
    </xdr:pic>
    <xdr:clientData/>
  </xdr:twoCellAnchor>
  <xdr:twoCellAnchor editAs="oneCell">
    <xdr:from>
      <xdr:col>23</xdr:col>
      <xdr:colOff>33617</xdr:colOff>
      <xdr:row>11</xdr:row>
      <xdr:rowOff>108055</xdr:rowOff>
    </xdr:from>
    <xdr:to>
      <xdr:col>27</xdr:col>
      <xdr:colOff>258975</xdr:colOff>
      <xdr:row>17</xdr:row>
      <xdr:rowOff>122465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B186984-ED67-4729-810A-6A8DD5CD2B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4785" t="23255" b="10078"/>
        <a:stretch/>
      </xdr:blipFill>
      <xdr:spPr>
        <a:xfrm>
          <a:off x="17502467" y="2698855"/>
          <a:ext cx="2663757" cy="1109785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 editAs="oneCell">
    <xdr:from>
      <xdr:col>23</xdr:col>
      <xdr:colOff>22413</xdr:colOff>
      <xdr:row>53</xdr:row>
      <xdr:rowOff>17609</xdr:rowOff>
    </xdr:from>
    <xdr:to>
      <xdr:col>27</xdr:col>
      <xdr:colOff>560064</xdr:colOff>
      <xdr:row>78</xdr:row>
      <xdr:rowOff>15934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BEBA9F9-A812-49BA-9A4C-C9E59ED9D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491263" y="14047934"/>
          <a:ext cx="2976050" cy="1361200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 editAs="oneCell">
    <xdr:from>
      <xdr:col>23</xdr:col>
      <xdr:colOff>20012</xdr:colOff>
      <xdr:row>60</xdr:row>
      <xdr:rowOff>172891</xdr:rowOff>
    </xdr:from>
    <xdr:to>
      <xdr:col>27</xdr:col>
      <xdr:colOff>543871</xdr:colOff>
      <xdr:row>76</xdr:row>
      <xdr:rowOff>130467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5805AD68-EDA0-48F7-BAA8-1AB71C41F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488862" y="15470041"/>
          <a:ext cx="2962258" cy="1161969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474345</xdr:colOff>
      <xdr:row>0</xdr:row>
      <xdr:rowOff>160019</xdr:rowOff>
    </xdr:from>
    <xdr:to>
      <xdr:col>13</xdr:col>
      <xdr:colOff>175260</xdr:colOff>
      <xdr:row>1</xdr:row>
      <xdr:rowOff>184785</xdr:rowOff>
    </xdr:to>
    <xdr:sp macro="" textlink="">
      <xdr:nvSpPr>
        <xdr:cNvPr id="13" name="Retângulo: Cantos Arredondado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789128-8C0E-4C20-9D4B-B81F1EAB3157}"/>
            </a:ext>
          </a:extLst>
        </xdr:cNvPr>
        <xdr:cNvSpPr/>
      </xdr:nvSpPr>
      <xdr:spPr>
        <a:xfrm>
          <a:off x="9018270" y="160019"/>
          <a:ext cx="853440" cy="215266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3810</xdr:colOff>
      <xdr:row>1</xdr:row>
      <xdr:rowOff>19050</xdr:rowOff>
    </xdr:from>
    <xdr:to>
      <xdr:col>0</xdr:col>
      <xdr:colOff>1870710</xdr:colOff>
      <xdr:row>2</xdr:row>
      <xdr:rowOff>148590</xdr:rowOff>
    </xdr:to>
    <xdr:pic>
      <xdr:nvPicPr>
        <xdr:cNvPr id="14" name="image3.png">
          <a:extLst>
            <a:ext uri="{FF2B5EF4-FFF2-40B4-BE49-F238E27FC236}">
              <a16:creationId xmlns:a16="http://schemas.microsoft.com/office/drawing/2014/main" id="{45E7C1F1-EDA8-41C7-B6DC-8BA1D1AC9EB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3810" y="209550"/>
          <a:ext cx="1866900" cy="320040"/>
        </a:xfrm>
        <a:prstGeom prst="rect">
          <a:avLst/>
        </a:prstGeom>
        <a:ln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465079</xdr:colOff>
      <xdr:row>0</xdr:row>
      <xdr:rowOff>128183</xdr:rowOff>
    </xdr:from>
    <xdr:to>
      <xdr:col>20</xdr:col>
      <xdr:colOff>668321</xdr:colOff>
      <xdr:row>1</xdr:row>
      <xdr:rowOff>160232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2D7BC0-9A1A-46C2-8647-19BFA5A2E784}"/>
            </a:ext>
          </a:extLst>
        </xdr:cNvPr>
        <xdr:cNvSpPr/>
      </xdr:nvSpPr>
      <xdr:spPr>
        <a:xfrm>
          <a:off x="11475979" y="128183"/>
          <a:ext cx="1460542" cy="222549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351641</xdr:colOff>
      <xdr:row>0</xdr:row>
      <xdr:rowOff>180862</xdr:rowOff>
    </xdr:from>
    <xdr:to>
      <xdr:col>2</xdr:col>
      <xdr:colOff>1207</xdr:colOff>
      <xdr:row>2</xdr:row>
      <xdr:rowOff>152710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44750F6D-ABBF-4AB5-BD02-620E9524942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351641" y="180862"/>
          <a:ext cx="1823171" cy="350943"/>
        </a:xfrm>
        <a:prstGeom prst="rect">
          <a:avLst/>
        </a:prstGeom>
        <a:ln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31750</xdr:rowOff>
    </xdr:from>
    <xdr:to>
      <xdr:col>1</xdr:col>
      <xdr:colOff>366481</xdr:colOff>
      <xdr:row>34</xdr:row>
      <xdr:rowOff>89068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FA70277-DDA8-A231-6902-D572632B7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51750"/>
          <a:ext cx="2133898" cy="1200318"/>
        </a:xfrm>
        <a:prstGeom prst="rect">
          <a:avLst/>
        </a:prstGeom>
      </xdr:spPr>
    </xdr:pic>
    <xdr:clientData/>
  </xdr:twoCellAnchor>
  <xdr:twoCellAnchor editAs="oneCell">
    <xdr:from>
      <xdr:col>5</xdr:col>
      <xdr:colOff>425824</xdr:colOff>
      <xdr:row>16</xdr:row>
      <xdr:rowOff>190499</xdr:rowOff>
    </xdr:from>
    <xdr:to>
      <xdr:col>6</xdr:col>
      <xdr:colOff>834073</xdr:colOff>
      <xdr:row>36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2179C0C-B3CB-30AD-7C81-3FD5E4FCB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12324" y="3238499"/>
          <a:ext cx="1540043" cy="3619501"/>
        </a:xfrm>
        <a:prstGeom prst="rect">
          <a:avLst/>
        </a:prstGeom>
      </xdr:spPr>
    </xdr:pic>
    <xdr:clientData/>
  </xdr:twoCellAnchor>
  <xdr:twoCellAnchor editAs="oneCell">
    <xdr:from>
      <xdr:col>12</xdr:col>
      <xdr:colOff>201707</xdr:colOff>
      <xdr:row>15</xdr:row>
      <xdr:rowOff>56029</xdr:rowOff>
    </xdr:from>
    <xdr:to>
      <xdr:col>22</xdr:col>
      <xdr:colOff>152119</xdr:colOff>
      <xdr:row>35</xdr:row>
      <xdr:rowOff>8929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31819E3-68E9-72F2-6EFF-7FAA33929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57413" y="2913529"/>
          <a:ext cx="6001588" cy="37629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331695</xdr:colOff>
      <xdr:row>1</xdr:row>
      <xdr:rowOff>134472</xdr:rowOff>
    </xdr:from>
    <xdr:to>
      <xdr:col>3</xdr:col>
      <xdr:colOff>495300</xdr:colOff>
      <xdr:row>6</xdr:row>
      <xdr:rowOff>118110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1B1900C-DFE0-4F2F-8463-BCD7E5180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6720" y="363072"/>
          <a:ext cx="706530" cy="79897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70185</xdr:colOff>
      <xdr:row>1</xdr:row>
      <xdr:rowOff>31931</xdr:rowOff>
    </xdr:from>
    <xdr:to>
      <xdr:col>5</xdr:col>
      <xdr:colOff>1012659</xdr:colOff>
      <xdr:row>2</xdr:row>
      <xdr:rowOff>80211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83DEAA-87AE-4CDC-B541-0FC8B71917E5}"/>
            </a:ext>
          </a:extLst>
        </xdr:cNvPr>
        <xdr:cNvSpPr/>
      </xdr:nvSpPr>
      <xdr:spPr>
        <a:xfrm>
          <a:off x="6394785" y="222431"/>
          <a:ext cx="942474" cy="238780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661737</xdr:colOff>
      <xdr:row>0</xdr:row>
      <xdr:rowOff>150784</xdr:rowOff>
    </xdr:from>
    <xdr:to>
      <xdr:col>1</xdr:col>
      <xdr:colOff>1565431</xdr:colOff>
      <xdr:row>2</xdr:row>
      <xdr:rowOff>118822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C2A626CD-81F6-4E57-A53F-C671794D718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661737" y="150784"/>
          <a:ext cx="1818094" cy="349038"/>
        </a:xfrm>
        <a:prstGeom prst="rect">
          <a:avLst/>
        </a:prstGeom>
        <a:ln/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668655</xdr:colOff>
      <xdr:row>12</xdr:row>
      <xdr:rowOff>117596</xdr:rowOff>
    </xdr:from>
    <xdr:to>
      <xdr:col>0</xdr:col>
      <xdr:colOff>2423160</xdr:colOff>
      <xdr:row>14</xdr:row>
      <xdr:rowOff>45720</xdr:rowOff>
    </xdr:to>
    <xdr:pic>
      <xdr:nvPicPr>
        <xdr:cNvPr id="2" name="image3.png">
          <a:extLst>
            <a:ext uri="{FF2B5EF4-FFF2-40B4-BE49-F238E27FC236}">
              <a16:creationId xmlns:a16="http://schemas.microsoft.com/office/drawing/2014/main" id="{99BB6815-E5E2-4794-AF34-F55E69754CD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668655" y="117596"/>
          <a:ext cx="1754505" cy="309124"/>
        </a:xfrm>
        <a:prstGeom prst="rect">
          <a:avLst/>
        </a:prstGeom>
        <a:ln/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229215</xdr:colOff>
      <xdr:row>0</xdr:row>
      <xdr:rowOff>75840</xdr:rowOff>
    </xdr:from>
    <xdr:ext cx="1558310" cy="453302"/>
    <xdr:pic>
      <xdr:nvPicPr>
        <xdr:cNvPr id="2" name="Imagem 1">
          <a:extLst>
            <a:ext uri="{FF2B5EF4-FFF2-40B4-BE49-F238E27FC236}">
              <a16:creationId xmlns:a16="http://schemas.microsoft.com/office/drawing/2014/main" id="{7B824125-78A0-4DBC-9FFA-A73A0B691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21955" y="75840"/>
          <a:ext cx="1558310" cy="45330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C32C91-1872-4627-98EB-999B818ABCD1}" name="ListaMaterial" displayName="ListaMaterial" ref="A1:I763" totalsRowShown="0" headerRowDxfId="15293" headerRowBorderDxfId="15292" tableBorderDxfId="15291">
  <sortState xmlns:xlrd2="http://schemas.microsoft.com/office/spreadsheetml/2017/richdata2" ref="A2:I760">
    <sortCondition ref="A1:A760"/>
  </sortState>
  <tableColumns count="9">
    <tableColumn id="1" xr3:uid="{041CC49C-77C9-422F-96BB-21CA600AAAF6}" name="PAVIMENTO" dataDxfId="15290"/>
    <tableColumn id="2" xr3:uid="{9A0645A8-5D33-49A8-BF18-619FFA7D111E}" name="LINHA" dataDxfId="15289"/>
    <tableColumn id="3" xr3:uid="{03E900A0-7FDC-48B9-B3D1-EB954D7781ED}" name="ITEM" dataDxfId="15288"/>
    <tableColumn id="5" xr3:uid="{4D9041A6-4377-4334-A979-79E09DEE7110}" name="QUANTIDADE" dataDxfId="15287"/>
    <tableColumn id="6" xr3:uid="{862BD707-2741-4896-82ED-533FF700522D}" name="REPETIÇÃO" dataDxfId="15286"/>
    <tableColumn id="7" xr3:uid="{0E7631B7-112A-4A24-B432-FC0E0ABBE0F3}" name="TOTAL" dataDxfId="15285">
      <calculatedColumnFormula>ListaMaterial[[#This Row],[REPETIÇÃO]]*ListaMaterial[[#This Row],[QUANTIDADE]]</calculatedColumnFormula>
    </tableColumn>
    <tableColumn id="10" xr3:uid="{411D9196-69DA-49E2-AF4A-DFCBC98FD76E}" name="PERDA" dataDxfId="15284" dataCellStyle="Porcentagem"/>
    <tableColumn id="11" xr3:uid="{D656EBF2-1FDE-4E5E-9716-37EAC5AA4305}" name="TOTAL C/PERDA" dataDxfId="15283" dataCellStyle="Porcentagem">
      <calculatedColumnFormula>ListaMaterial[[#This Row],[TOTAL]]*(1+ListaMaterial[[#This Row],[PERDA]])</calculatedColumnFormula>
    </tableColumn>
    <tableColumn id="8" xr3:uid="{FAC5BEFE-E2EB-4F8B-9CB7-0CD165831450}" name="UNIDADE" dataDxfId="15282"/>
  </tableColumns>
  <tableStyleInfo name="TableStyleLight11 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7B349-95B6-400C-B137-3AB070959EAA}">
  <sheetPr>
    <tabColor theme="0" tint="-0.34998626667073579"/>
  </sheetPr>
  <dimension ref="A1:M54"/>
  <sheetViews>
    <sheetView showGridLines="0" tabSelected="1" zoomScale="90" zoomScaleNormal="90" workbookViewId="0">
      <pane ySplit="4" topLeftCell="A5" activePane="bottomLeft" state="frozen"/>
      <selection activeCell="C121" sqref="C121"/>
      <selection pane="bottomLeft" activeCell="A4" sqref="A4:J4"/>
    </sheetView>
  </sheetViews>
  <sheetFormatPr defaultColWidth="9.140625" defaultRowHeight="12.75" x14ac:dyDescent="0.2"/>
  <cols>
    <col min="1" max="1" width="4" style="217" customWidth="1"/>
    <col min="2" max="2" width="50.140625" style="217" bestFit="1" customWidth="1"/>
    <col min="3" max="3" width="18.28515625" style="217" bestFit="1" customWidth="1"/>
    <col min="4" max="4" width="10.7109375" style="217" customWidth="1"/>
    <col min="5" max="5" width="20.5703125" style="217" customWidth="1"/>
    <col min="6" max="6" width="2.140625" style="217" customWidth="1"/>
    <col min="7" max="8" width="41.42578125" style="217" customWidth="1"/>
    <col min="9" max="9" width="12" style="217" bestFit="1" customWidth="1"/>
    <col min="10" max="10" width="9.140625" style="217"/>
    <col min="11" max="11" width="4" style="217" customWidth="1"/>
    <col min="12" max="16384" width="9.140625" style="217"/>
  </cols>
  <sheetData>
    <row r="1" spans="1:13" s="16" customFormat="1" ht="15" customHeight="1" x14ac:dyDescent="0.2">
      <c r="A1" s="1043"/>
      <c r="B1" s="1044"/>
      <c r="C1" s="135" t="s">
        <v>124</v>
      </c>
      <c r="D1" s="117" t="s">
        <v>631</v>
      </c>
      <c r="E1" s="117"/>
      <c r="F1" s="117"/>
      <c r="G1" s="117"/>
      <c r="H1" s="117"/>
      <c r="I1" s="122"/>
      <c r="J1" s="123"/>
      <c r="K1" s="20"/>
      <c r="L1" s="20"/>
      <c r="M1" s="20"/>
    </row>
    <row r="2" spans="1:13" s="67" customFormat="1" ht="15" customHeight="1" x14ac:dyDescent="0.2">
      <c r="A2" s="1043"/>
      <c r="B2" s="1044"/>
      <c r="C2" s="135" t="s">
        <v>100</v>
      </c>
      <c r="D2" s="117" t="s">
        <v>5003</v>
      </c>
      <c r="E2" s="136"/>
      <c r="F2" s="136"/>
      <c r="G2" s="136"/>
      <c r="H2" s="136"/>
      <c r="I2" s="124"/>
      <c r="J2" s="125"/>
    </row>
    <row r="3" spans="1:13" s="67" customFormat="1" ht="15" customHeight="1" x14ac:dyDescent="0.2">
      <c r="A3" s="1045"/>
      <c r="B3" s="1046"/>
      <c r="C3" s="135" t="s">
        <v>101</v>
      </c>
      <c r="D3" s="117" t="s">
        <v>5114</v>
      </c>
      <c r="E3" s="216"/>
      <c r="F3" s="216"/>
      <c r="G3" s="216"/>
      <c r="H3" s="216"/>
      <c r="I3" s="126"/>
      <c r="J3" s="127"/>
    </row>
    <row r="4" spans="1:13" s="19" customFormat="1" ht="20.45" customHeight="1" x14ac:dyDescent="0.2">
      <c r="A4" s="1047" t="s">
        <v>221</v>
      </c>
      <c r="B4" s="1047"/>
      <c r="C4" s="1047"/>
      <c r="D4" s="1047"/>
      <c r="E4" s="1047"/>
      <c r="F4" s="1047"/>
      <c r="G4" s="1047"/>
      <c r="H4" s="1047"/>
      <c r="I4" s="1047"/>
      <c r="J4" s="1047"/>
    </row>
    <row r="5" spans="1:13" ht="18.75" customHeight="1" thickBot="1" x14ac:dyDescent="0.25"/>
    <row r="6" spans="1:13" ht="18.75" customHeight="1" x14ac:dyDescent="0.2">
      <c r="B6" s="218" t="s">
        <v>0</v>
      </c>
      <c r="C6" s="1048" t="s">
        <v>46</v>
      </c>
      <c r="D6" s="1049"/>
      <c r="E6" s="219" t="s">
        <v>49</v>
      </c>
      <c r="G6" s="1050" t="s">
        <v>464</v>
      </c>
      <c r="H6" s="1051"/>
      <c r="I6" s="1051"/>
      <c r="J6" s="1052"/>
    </row>
    <row r="7" spans="1:13" x14ac:dyDescent="0.2">
      <c r="B7" s="220" t="s">
        <v>222</v>
      </c>
      <c r="C7" s="1053" t="s">
        <v>223</v>
      </c>
      <c r="D7" s="1054"/>
      <c r="E7" s="221">
        <v>36</v>
      </c>
      <c r="G7" s="289"/>
      <c r="I7" s="733" t="s">
        <v>4165</v>
      </c>
      <c r="J7" s="290"/>
    </row>
    <row r="8" spans="1:13" x14ac:dyDescent="0.2">
      <c r="B8" s="220" t="s">
        <v>224</v>
      </c>
      <c r="C8" s="1041" t="s">
        <v>465</v>
      </c>
      <c r="D8" s="1042"/>
      <c r="E8" s="221">
        <v>894.13</v>
      </c>
      <c r="G8" s="289"/>
      <c r="J8" s="290"/>
    </row>
    <row r="9" spans="1:13" x14ac:dyDescent="0.2">
      <c r="B9" s="222" t="s">
        <v>225</v>
      </c>
      <c r="C9" s="1041" t="s">
        <v>465</v>
      </c>
      <c r="D9" s="1042"/>
      <c r="E9" s="221">
        <v>13188.75</v>
      </c>
      <c r="G9" s="289"/>
      <c r="J9" s="290"/>
      <c r="K9" s="291"/>
    </row>
    <row r="10" spans="1:13" x14ac:dyDescent="0.2">
      <c r="B10" s="222" t="s">
        <v>226</v>
      </c>
      <c r="C10" s="1055" t="s">
        <v>227</v>
      </c>
      <c r="D10" s="1056"/>
      <c r="E10" s="221">
        <v>86</v>
      </c>
      <c r="G10" s="289"/>
      <c r="J10" s="290"/>
    </row>
    <row r="11" spans="1:13" x14ac:dyDescent="0.2">
      <c r="B11" s="222" t="s">
        <v>466</v>
      </c>
      <c r="C11" s="1055" t="s">
        <v>227</v>
      </c>
      <c r="D11" s="1056"/>
      <c r="E11" s="221">
        <v>0</v>
      </c>
      <c r="G11" s="289"/>
      <c r="J11" s="290"/>
    </row>
    <row r="12" spans="1:13" x14ac:dyDescent="0.2">
      <c r="B12" s="222" t="s">
        <v>228</v>
      </c>
      <c r="C12" s="1041" t="s">
        <v>465</v>
      </c>
      <c r="D12" s="1042"/>
      <c r="E12" s="224">
        <f>SUM(E21:E23)</f>
        <v>8125.79</v>
      </c>
      <c r="G12" s="289"/>
      <c r="J12" s="290"/>
    </row>
    <row r="13" spans="1:13" x14ac:dyDescent="0.2">
      <c r="B13" s="292" t="s">
        <v>229</v>
      </c>
      <c r="C13" s="1041" t="s">
        <v>227</v>
      </c>
      <c r="D13" s="1042"/>
      <c r="E13" s="221">
        <v>21</v>
      </c>
      <c r="G13" s="289"/>
      <c r="J13" s="290"/>
    </row>
    <row r="14" spans="1:13" x14ac:dyDescent="0.2">
      <c r="B14" s="223"/>
      <c r="C14" s="1057"/>
      <c r="D14" s="1058"/>
      <c r="E14" s="221"/>
      <c r="G14" s="289"/>
      <c r="J14" s="290"/>
    </row>
    <row r="15" spans="1:13" x14ac:dyDescent="0.2">
      <c r="B15" s="579" t="s">
        <v>632</v>
      </c>
      <c r="C15" s="1041" t="s">
        <v>465</v>
      </c>
      <c r="D15" s="1042"/>
      <c r="E15" s="221">
        <v>799.52</v>
      </c>
      <c r="G15" s="289"/>
      <c r="J15" s="290"/>
    </row>
    <row r="16" spans="1:13" x14ac:dyDescent="0.2">
      <c r="B16" s="579" t="s">
        <v>633</v>
      </c>
      <c r="C16" s="1041" t="s">
        <v>465</v>
      </c>
      <c r="D16" s="1042"/>
      <c r="E16" s="221">
        <v>803.5</v>
      </c>
      <c r="G16" s="289"/>
      <c r="J16" s="290"/>
    </row>
    <row r="17" spans="2:10" x14ac:dyDescent="0.2">
      <c r="B17" s="579" t="s">
        <v>634</v>
      </c>
      <c r="C17" s="1041" t="s">
        <v>465</v>
      </c>
      <c r="D17" s="1042"/>
      <c r="E17" s="221">
        <v>803.5</v>
      </c>
      <c r="G17" s="289"/>
      <c r="J17" s="290"/>
    </row>
    <row r="18" spans="2:10" x14ac:dyDescent="0.2">
      <c r="B18" s="579" t="s">
        <v>635</v>
      </c>
      <c r="C18" s="1041" t="s">
        <v>465</v>
      </c>
      <c r="D18" s="1042"/>
      <c r="E18" s="221">
        <v>803.5</v>
      </c>
      <c r="G18" s="289"/>
      <c r="J18" s="290"/>
    </row>
    <row r="19" spans="2:10" x14ac:dyDescent="0.2">
      <c r="B19" s="579" t="s">
        <v>636</v>
      </c>
      <c r="C19" s="1041" t="s">
        <v>465</v>
      </c>
      <c r="D19" s="1042"/>
      <c r="E19" s="221">
        <v>748.28</v>
      </c>
      <c r="G19" s="289"/>
      <c r="J19" s="290"/>
    </row>
    <row r="20" spans="2:10" x14ac:dyDescent="0.2">
      <c r="B20" s="579" t="s">
        <v>637</v>
      </c>
      <c r="C20" s="1041" t="s">
        <v>465</v>
      </c>
      <c r="D20" s="1042"/>
      <c r="E20" s="221">
        <v>796.98</v>
      </c>
      <c r="G20" s="289"/>
      <c r="J20" s="290"/>
    </row>
    <row r="21" spans="2:10" x14ac:dyDescent="0.2">
      <c r="B21" s="579" t="s">
        <v>638</v>
      </c>
      <c r="C21" s="1041" t="s">
        <v>465</v>
      </c>
      <c r="D21" s="1042"/>
      <c r="E21" s="221">
        <v>7112.56</v>
      </c>
      <c r="G21" s="289"/>
      <c r="J21" s="290"/>
    </row>
    <row r="22" spans="2:10" x14ac:dyDescent="0.2">
      <c r="B22" s="579" t="s">
        <v>639</v>
      </c>
      <c r="C22" s="1041" t="s">
        <v>465</v>
      </c>
      <c r="D22" s="1042"/>
      <c r="E22" s="221">
        <v>547.12</v>
      </c>
      <c r="G22" s="289"/>
      <c r="J22" s="290"/>
    </row>
    <row r="23" spans="2:10" x14ac:dyDescent="0.2">
      <c r="B23" s="579" t="s">
        <v>640</v>
      </c>
      <c r="C23" s="1041" t="s">
        <v>465</v>
      </c>
      <c r="D23" s="1042"/>
      <c r="E23" s="221">
        <v>466.11</v>
      </c>
      <c r="G23" s="289"/>
      <c r="J23" s="290"/>
    </row>
    <row r="24" spans="2:10" x14ac:dyDescent="0.2">
      <c r="B24" s="579" t="s">
        <v>641</v>
      </c>
      <c r="C24" s="1041" t="s">
        <v>465</v>
      </c>
      <c r="D24" s="1042"/>
      <c r="E24" s="221">
        <v>250.06</v>
      </c>
      <c r="G24" s="289"/>
      <c r="J24" s="290"/>
    </row>
    <row r="25" spans="2:10" x14ac:dyDescent="0.2">
      <c r="B25" s="579" t="s">
        <v>642</v>
      </c>
      <c r="C25" s="1041" t="s">
        <v>465</v>
      </c>
      <c r="D25" s="1042"/>
      <c r="E25" s="221">
        <v>57.62</v>
      </c>
      <c r="G25" s="289"/>
      <c r="J25" s="290"/>
    </row>
    <row r="26" spans="2:10" x14ac:dyDescent="0.2">
      <c r="B26" s="579"/>
      <c r="C26" s="1041"/>
      <c r="D26" s="1042"/>
      <c r="E26" s="221"/>
      <c r="G26" s="289"/>
      <c r="J26" s="290"/>
    </row>
    <row r="27" spans="2:10" x14ac:dyDescent="0.2">
      <c r="B27" s="223"/>
      <c r="C27" s="1057"/>
      <c r="D27" s="1058"/>
      <c r="E27" s="221"/>
      <c r="G27" s="289"/>
      <c r="J27" s="290"/>
    </row>
    <row r="28" spans="2:10" x14ac:dyDescent="0.2">
      <c r="B28" s="223"/>
      <c r="C28" s="1057"/>
      <c r="D28" s="1058"/>
      <c r="E28" s="221"/>
      <c r="G28" s="289"/>
      <c r="J28" s="290"/>
    </row>
    <row r="29" spans="2:10" ht="13.5" thickBot="1" x14ac:dyDescent="0.25">
      <c r="B29" s="293"/>
      <c r="C29" s="1059"/>
      <c r="D29" s="1060"/>
      <c r="E29" s="225"/>
      <c r="G29" s="289"/>
      <c r="J29" s="290"/>
    </row>
    <row r="30" spans="2:10" ht="13.5" thickBot="1" x14ac:dyDescent="0.25">
      <c r="G30" s="289"/>
      <c r="J30" s="290"/>
    </row>
    <row r="31" spans="2:10" x14ac:dyDescent="0.2">
      <c r="B31" s="294" t="s">
        <v>210</v>
      </c>
      <c r="C31" s="295" t="s">
        <v>230</v>
      </c>
      <c r="D31" s="295" t="s">
        <v>231</v>
      </c>
      <c r="E31" s="296" t="s">
        <v>232</v>
      </c>
      <c r="G31" s="289"/>
      <c r="J31" s="290"/>
    </row>
    <row r="32" spans="2:10" x14ac:dyDescent="0.2">
      <c r="B32" s="297" t="s">
        <v>233</v>
      </c>
      <c r="C32" s="226">
        <f ca="1">'Ger_Tec e Adm'!N123</f>
        <v>4533686.5323830638</v>
      </c>
      <c r="D32" s="227">
        <f t="shared" ref="D32:D50" ca="1" si="0">C32/C$51</f>
        <v>0.12280121430996789</v>
      </c>
      <c r="E32" s="298">
        <f t="shared" ref="E32:E49" ca="1" si="1">C32/$E$9</f>
        <v>343.75407315955368</v>
      </c>
      <c r="G32" s="289"/>
      <c r="J32" s="290"/>
    </row>
    <row r="33" spans="2:10" x14ac:dyDescent="0.2">
      <c r="B33" s="299" t="s">
        <v>106</v>
      </c>
      <c r="C33" s="229">
        <f ca="1">Ger_Executivo!N8</f>
        <v>201548.68941957256</v>
      </c>
      <c r="D33" s="228">
        <f t="shared" ca="1" si="0"/>
        <v>5.4592269726897952E-3</v>
      </c>
      <c r="E33" s="300">
        <f t="shared" ca="1" si="1"/>
        <v>15.281864423813671</v>
      </c>
      <c r="G33" s="289"/>
      <c r="J33" s="290"/>
    </row>
    <row r="34" spans="2:10" x14ac:dyDescent="0.2">
      <c r="B34" s="297" t="s">
        <v>110</v>
      </c>
      <c r="C34" s="226">
        <f ca="1">Ger_Executivo!N21</f>
        <v>1971424.1845751936</v>
      </c>
      <c r="D34" s="227">
        <f t="shared" ca="1" si="0"/>
        <v>5.3398769865683537E-2</v>
      </c>
      <c r="E34" s="298">
        <f t="shared" ca="1" si="1"/>
        <v>149.47771279121929</v>
      </c>
      <c r="G34" s="289"/>
      <c r="J34" s="290"/>
    </row>
    <row r="35" spans="2:10" x14ac:dyDescent="0.2">
      <c r="B35" s="299" t="s">
        <v>127</v>
      </c>
      <c r="C35" s="229">
        <f ca="1">Ger_Executivo!N53</f>
        <v>6810042.5485115321</v>
      </c>
      <c r="D35" s="228">
        <f t="shared" ca="1" si="0"/>
        <v>0.18445948754648148</v>
      </c>
      <c r="E35" s="300">
        <f t="shared" ca="1" si="1"/>
        <v>516.3523873385675</v>
      </c>
      <c r="G35" s="289"/>
      <c r="J35" s="290"/>
    </row>
    <row r="36" spans="2:10" x14ac:dyDescent="0.2">
      <c r="B36" s="297" t="s">
        <v>1254</v>
      </c>
      <c r="C36" s="226">
        <f ca="1">Ger_Executivo!N220</f>
        <v>1867619.9405596801</v>
      </c>
      <c r="D36" s="227">
        <f t="shared" ca="1" si="0"/>
        <v>5.0587087336557986E-2</v>
      </c>
      <c r="E36" s="298">
        <f t="shared" ca="1" si="1"/>
        <v>141.60704695742055</v>
      </c>
      <c r="G36" s="289"/>
      <c r="J36" s="290"/>
    </row>
    <row r="37" spans="2:10" x14ac:dyDescent="0.2">
      <c r="B37" s="299" t="s">
        <v>234</v>
      </c>
      <c r="C37" s="229">
        <f ca="1">Ger_Executivo!N275</f>
        <v>743245.34266589128</v>
      </c>
      <c r="D37" s="228">
        <f t="shared" ca="1" si="0"/>
        <v>2.0131835308345458E-2</v>
      </c>
      <c r="E37" s="300">
        <f t="shared" ca="1" si="1"/>
        <v>56.354494752413331</v>
      </c>
      <c r="G37" s="289"/>
      <c r="H37" s="581"/>
      <c r="J37" s="290"/>
    </row>
    <row r="38" spans="2:10" x14ac:dyDescent="0.2">
      <c r="B38" s="297" t="s">
        <v>215</v>
      </c>
      <c r="C38" s="226">
        <f ca="1">Ger_Executivo!N329</f>
        <v>570028.95319700032</v>
      </c>
      <c r="D38" s="227">
        <f t="shared" ca="1" si="0"/>
        <v>1.5440028141433264E-2</v>
      </c>
      <c r="E38" s="298">
        <f ca="1">C38/$E$9</f>
        <v>43.220847555454483</v>
      </c>
      <c r="G38" s="289"/>
      <c r="H38" s="581"/>
      <c r="J38" s="290"/>
    </row>
    <row r="39" spans="2:10" x14ac:dyDescent="0.2">
      <c r="B39" s="299" t="s">
        <v>235</v>
      </c>
      <c r="C39" s="229">
        <f ca="1">Ger_Executivo!N431+Ger_Executivo!N470+Ger_Executivo!N609</f>
        <v>3848756.954361524</v>
      </c>
      <c r="D39" s="228">
        <f t="shared" ca="1" si="0"/>
        <v>0.10424894271000623</v>
      </c>
      <c r="E39" s="300">
        <f t="shared" ca="1" si="1"/>
        <v>291.82120779918671</v>
      </c>
      <c r="G39" s="289"/>
      <c r="H39" s="581"/>
      <c r="J39" s="290"/>
    </row>
    <row r="40" spans="2:10" x14ac:dyDescent="0.2">
      <c r="B40" s="297" t="s">
        <v>182</v>
      </c>
      <c r="C40" s="226">
        <f ca="1">Ger_Executivo!N708+Ger_Executivo!N718</f>
        <v>1709214.4834398062</v>
      </c>
      <c r="D40" s="227">
        <f t="shared" ca="1" si="0"/>
        <v>4.6296454901187292E-2</v>
      </c>
      <c r="E40" s="298">
        <f t="shared" ca="1" si="1"/>
        <v>129.59639719001467</v>
      </c>
      <c r="G40" s="289"/>
      <c r="J40" s="290"/>
    </row>
    <row r="41" spans="2:10" x14ac:dyDescent="0.2">
      <c r="B41" s="299" t="s">
        <v>552</v>
      </c>
      <c r="C41" s="229">
        <f ca="1">Ger_Executivo!N747</f>
        <v>1655202.6570589996</v>
      </c>
      <c r="D41" s="228">
        <f t="shared" ca="1" si="0"/>
        <v>4.4833469355255465E-2</v>
      </c>
      <c r="E41" s="300">
        <f t="shared" ca="1" si="1"/>
        <v>125.50110185263954</v>
      </c>
      <c r="G41" s="289"/>
      <c r="J41" s="290"/>
    </row>
    <row r="42" spans="2:10" x14ac:dyDescent="0.2">
      <c r="B42" s="297" t="s">
        <v>1242</v>
      </c>
      <c r="C42" s="226">
        <f ca="1">Ger_Executivo!N865</f>
        <v>680621.57199999993</v>
      </c>
      <c r="D42" s="227">
        <f t="shared" ca="1" si="0"/>
        <v>1.8435583256618773E-2</v>
      </c>
      <c r="E42" s="298">
        <f ca="1">C42/$E$9</f>
        <v>51.606222879347925</v>
      </c>
      <c r="G42" s="289"/>
      <c r="J42" s="290"/>
    </row>
    <row r="43" spans="2:10" x14ac:dyDescent="0.2">
      <c r="B43" s="299" t="s">
        <v>558</v>
      </c>
      <c r="C43" s="229">
        <f ca="1">Ger_Executivo!N912</f>
        <v>1992159.7465939999</v>
      </c>
      <c r="D43" s="228">
        <f t="shared" ca="1" si="0"/>
        <v>5.3960421443736209E-2</v>
      </c>
      <c r="E43" s="300">
        <f t="shared" ca="1" si="1"/>
        <v>151.04992865843994</v>
      </c>
      <c r="G43" s="289"/>
      <c r="J43" s="290"/>
    </row>
    <row r="44" spans="2:10" x14ac:dyDescent="0.2">
      <c r="B44" s="297" t="s">
        <v>136</v>
      </c>
      <c r="C44" s="226">
        <f ca="1">Ger_Executivo!N1055</f>
        <v>2004993.9693777179</v>
      </c>
      <c r="D44" s="227">
        <f t="shared" ca="1" si="0"/>
        <v>5.4308054243513565E-2</v>
      </c>
      <c r="E44" s="298">
        <f t="shared" ca="1" si="1"/>
        <v>152.02304762602353</v>
      </c>
      <c r="G44" s="289"/>
      <c r="J44" s="290"/>
    </row>
    <row r="45" spans="2:10" x14ac:dyDescent="0.2">
      <c r="B45" s="299" t="s">
        <v>140</v>
      </c>
      <c r="C45" s="229">
        <f ca="1">Ger_Executivo!N1185</f>
        <v>4314922.2708150372</v>
      </c>
      <c r="D45" s="228">
        <f t="shared" ca="1" si="0"/>
        <v>0.11687567958755378</v>
      </c>
      <c r="E45" s="300">
        <f t="shared" ca="1" si="1"/>
        <v>327.16688623372477</v>
      </c>
      <c r="G45" s="289"/>
      <c r="J45" s="290"/>
    </row>
    <row r="46" spans="2:10" x14ac:dyDescent="0.2">
      <c r="B46" s="297" t="s">
        <v>149</v>
      </c>
      <c r="C46" s="226">
        <f ca="1">Ger_Executivo!N1308</f>
        <v>390783.28</v>
      </c>
      <c r="D46" s="227">
        <f t="shared" ca="1" si="0"/>
        <v>1.0584909427076706E-2</v>
      </c>
      <c r="E46" s="298">
        <f ca="1">C46/$E$9</f>
        <v>29.630046820206619</v>
      </c>
      <c r="G46" s="289"/>
      <c r="J46" s="290"/>
    </row>
    <row r="47" spans="2:10" x14ac:dyDescent="0.2">
      <c r="B47" s="299" t="s">
        <v>44</v>
      </c>
      <c r="C47" s="229">
        <f ca="1">Ger_Executivo!N1342</f>
        <v>163256.76154899999</v>
      </c>
      <c r="D47" s="228">
        <f t="shared" ca="1" si="0"/>
        <v>4.4220367727964812E-3</v>
      </c>
      <c r="E47" s="300">
        <f t="shared" ca="1" si="1"/>
        <v>12.378486327286513</v>
      </c>
      <c r="G47" s="289"/>
      <c r="J47" s="290"/>
    </row>
    <row r="48" spans="2:10" x14ac:dyDescent="0.2">
      <c r="B48" s="297" t="s">
        <v>158</v>
      </c>
      <c r="C48" s="226">
        <f ca="1">Ger_Executivo!N1353</f>
        <v>1305274.0690964113</v>
      </c>
      <c r="D48" s="227">
        <f t="shared" ca="1" si="0"/>
        <v>3.5355166164983763E-2</v>
      </c>
      <c r="E48" s="298">
        <f t="shared" ca="1" si="1"/>
        <v>98.968747538349831</v>
      </c>
      <c r="G48" s="289"/>
      <c r="J48" s="290"/>
    </row>
    <row r="49" spans="2:10" x14ac:dyDescent="0.2">
      <c r="B49" s="299" t="s">
        <v>236</v>
      </c>
      <c r="C49" s="229">
        <f ca="1">Ger_Executivo!N1367</f>
        <v>1521120.0970764481</v>
      </c>
      <c r="D49" s="228">
        <f t="shared" ca="1" si="0"/>
        <v>4.1201656466111673E-2</v>
      </c>
      <c r="E49" s="300">
        <f t="shared" ca="1" si="1"/>
        <v>115.3346675823295</v>
      </c>
      <c r="G49" s="289"/>
      <c r="J49" s="290"/>
    </row>
    <row r="50" spans="2:10" x14ac:dyDescent="0.2">
      <c r="B50" s="297" t="s">
        <v>174</v>
      </c>
      <c r="C50" s="226">
        <f ca="1">Ger_Executivo!N1385</f>
        <v>635004.310405956</v>
      </c>
      <c r="D50" s="227">
        <f t="shared" ca="1" si="0"/>
        <v>1.7199976190000622E-2</v>
      </c>
      <c r="E50" s="298">
        <f ca="1">C50/$E$9</f>
        <v>48.147421886528747</v>
      </c>
      <c r="G50" s="289"/>
      <c r="J50" s="290"/>
    </row>
    <row r="51" spans="2:10" x14ac:dyDescent="0.2">
      <c r="B51" s="301" t="s">
        <v>8</v>
      </c>
      <c r="C51" s="230">
        <f ca="1">SUM(C32:C50)</f>
        <v>36918906.363086835</v>
      </c>
      <c r="D51" s="231">
        <f ca="1">SUM(D32:D50)</f>
        <v>0.99999999999999989</v>
      </c>
      <c r="E51" s="302">
        <f ca="1">SUM(E32:E50)</f>
        <v>2799.2725893725205</v>
      </c>
      <c r="F51" s="303"/>
      <c r="G51" s="304"/>
      <c r="J51" s="290"/>
    </row>
    <row r="52" spans="2:10" ht="13.5" thickBot="1" x14ac:dyDescent="0.25">
      <c r="B52" s="305" t="s">
        <v>237</v>
      </c>
      <c r="C52" s="306">
        <v>2965.54</v>
      </c>
      <c r="D52" s="307">
        <v>45839</v>
      </c>
      <c r="E52" s="308" t="str">
        <f ca="1">ROUNDUP(+E51/C52,2)&amp;" CUB"</f>
        <v>0,95 CUB</v>
      </c>
      <c r="G52" s="309"/>
      <c r="H52" s="310"/>
      <c r="I52" s="310"/>
      <c r="J52" s="311"/>
    </row>
    <row r="54" spans="2:10" x14ac:dyDescent="0.2">
      <c r="B54" s="930"/>
      <c r="C54" s="931"/>
    </row>
  </sheetData>
  <mergeCells count="27">
    <mergeCell ref="C27:D27"/>
    <mergeCell ref="C28:D28"/>
    <mergeCell ref="C29:D29"/>
    <mergeCell ref="C21:D21"/>
    <mergeCell ref="C22:D22"/>
    <mergeCell ref="C23:D23"/>
    <mergeCell ref="C24:D24"/>
    <mergeCell ref="C25:D25"/>
    <mergeCell ref="C26:D26"/>
    <mergeCell ref="C20:D20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8:D8"/>
    <mergeCell ref="A1:B3"/>
    <mergeCell ref="A4:J4"/>
    <mergeCell ref="C6:D6"/>
    <mergeCell ref="G6:J6"/>
    <mergeCell ref="C7:D7"/>
  </mergeCells>
  <phoneticPr fontId="37" type="noConversion"/>
  <pageMargins left="0.511811024" right="0.511811024" top="0.78740157499999996" bottom="0.78740157499999996" header="0.31496062000000002" footer="0.31496062000000002"/>
  <pageSetup paperSize="9" scale="42" orientation="portrait" r:id="rId1"/>
  <colBreaks count="1" manualBreakCount="1">
    <brk id="11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93BC0-C39E-4DE2-A5BC-2840FD800D84}">
  <dimension ref="B1:L23"/>
  <sheetViews>
    <sheetView showGridLines="0" workbookViewId="0">
      <selection activeCell="L18" sqref="L18"/>
    </sheetView>
  </sheetViews>
  <sheetFormatPr defaultRowHeight="12.75" x14ac:dyDescent="0.2"/>
  <cols>
    <col min="2" max="2" width="60.42578125" customWidth="1"/>
    <col min="3" max="3" width="0.85546875" customWidth="1"/>
    <col min="4" max="4" width="22.85546875" bestFit="1" customWidth="1"/>
    <col min="5" max="5" width="16.140625" bestFit="1" customWidth="1"/>
    <col min="6" max="6" width="0.85546875" customWidth="1"/>
    <col min="7" max="7" width="22.140625" bestFit="1" customWidth="1"/>
    <col min="8" max="8" width="16.42578125" bestFit="1" customWidth="1"/>
    <col min="9" max="9" width="0.85546875" customWidth="1"/>
    <col min="10" max="10" width="22.42578125" bestFit="1" customWidth="1"/>
    <col min="11" max="11" width="19.140625" customWidth="1"/>
  </cols>
  <sheetData>
    <row r="1" spans="2:12" ht="13.5" thickBot="1" x14ac:dyDescent="0.25"/>
    <row r="2" spans="2:12" s="982" customFormat="1" ht="19.149999999999999" customHeight="1" x14ac:dyDescent="0.2">
      <c r="B2" s="1061" t="s">
        <v>210</v>
      </c>
      <c r="C2"/>
      <c r="D2" s="1063" t="s">
        <v>5044</v>
      </c>
      <c r="E2" s="1064"/>
      <c r="F2"/>
      <c r="G2" s="1063" t="s">
        <v>5045</v>
      </c>
      <c r="H2" s="1064"/>
      <c r="I2"/>
      <c r="J2" s="1063" t="s">
        <v>5033</v>
      </c>
      <c r="K2" s="1064"/>
    </row>
    <row r="3" spans="2:12" ht="15" customHeight="1" x14ac:dyDescent="0.2">
      <c r="B3" s="1062"/>
      <c r="D3" s="983" t="s">
        <v>5034</v>
      </c>
      <c r="E3" s="984" t="s">
        <v>232</v>
      </c>
      <c r="G3" s="983" t="s">
        <v>5034</v>
      </c>
      <c r="H3" s="984" t="s">
        <v>232</v>
      </c>
      <c r="J3" s="997" t="s">
        <v>5034</v>
      </c>
      <c r="K3" s="984" t="s">
        <v>232</v>
      </c>
    </row>
    <row r="4" spans="2:12" ht="15" customHeight="1" x14ac:dyDescent="0.2">
      <c r="B4" s="990" t="s">
        <v>233</v>
      </c>
      <c r="D4" s="985">
        <f ca="1">'Obra '!C32</f>
        <v>4533686.5323830638</v>
      </c>
      <c r="E4" s="986">
        <f ca="1">'Obra '!E32</f>
        <v>343.75407315955368</v>
      </c>
      <c r="G4" s="985">
        <v>4060804.3344042655</v>
      </c>
      <c r="H4" s="994">
        <v>307.89910601112808</v>
      </c>
      <c r="J4" s="998">
        <v>3316841.2696968243</v>
      </c>
      <c r="K4" s="994">
        <v>251.49019199672631</v>
      </c>
      <c r="L4" t="s">
        <v>5052</v>
      </c>
    </row>
    <row r="5" spans="2:12" ht="15" customHeight="1" x14ac:dyDescent="0.2">
      <c r="B5" s="991" t="s">
        <v>106</v>
      </c>
      <c r="D5" s="987">
        <f ca="1">'Obra '!C33</f>
        <v>201548.68941957256</v>
      </c>
      <c r="E5" s="988">
        <f ca="1">'Obra '!E33</f>
        <v>15.281864423813671</v>
      </c>
      <c r="G5" s="987">
        <v>201548.68941957256</v>
      </c>
      <c r="H5" s="995">
        <v>15.281864423813671</v>
      </c>
      <c r="J5" s="999">
        <v>202605.16489721258</v>
      </c>
      <c r="K5" s="995">
        <v>15.361968715550191</v>
      </c>
    </row>
    <row r="6" spans="2:12" ht="15" customHeight="1" x14ac:dyDescent="0.2">
      <c r="B6" s="990" t="s">
        <v>110</v>
      </c>
      <c r="D6" s="985">
        <f ca="1">'Obra '!C34</f>
        <v>1971424.1845751936</v>
      </c>
      <c r="E6" s="986">
        <f ca="1">'Obra '!E34</f>
        <v>149.47771279121929</v>
      </c>
      <c r="G6" s="985">
        <v>1992929.773521872</v>
      </c>
      <c r="H6" s="994">
        <v>151.10831379182045</v>
      </c>
      <c r="J6" s="998">
        <v>1836089.2379155722</v>
      </c>
      <c r="K6" s="994">
        <v>139.21631981162523</v>
      </c>
      <c r="L6" t="s">
        <v>5053</v>
      </c>
    </row>
    <row r="7" spans="2:12" ht="15" customHeight="1" x14ac:dyDescent="0.2">
      <c r="B7" s="992" t="s">
        <v>5035</v>
      </c>
      <c r="D7" s="987">
        <f ca="1">'Obra '!C35</f>
        <v>6810042.5485115321</v>
      </c>
      <c r="E7" s="988">
        <f ca="1">'Obra '!E35</f>
        <v>516.3523873385675</v>
      </c>
      <c r="G7" s="987">
        <v>6950469.5388725083</v>
      </c>
      <c r="H7" s="995">
        <v>526.99987025855432</v>
      </c>
      <c r="J7" s="999">
        <v>6497994.4716475327</v>
      </c>
      <c r="K7" s="995">
        <v>492.69221659729186</v>
      </c>
    </row>
    <row r="8" spans="2:12" ht="15" customHeight="1" x14ac:dyDescent="0.2">
      <c r="B8" s="990" t="s">
        <v>5036</v>
      </c>
      <c r="D8" s="985">
        <f ca="1">'Obra '!C36</f>
        <v>1867619.9405596801</v>
      </c>
      <c r="E8" s="986">
        <f ca="1">'Obra '!E36</f>
        <v>141.60704695742055</v>
      </c>
      <c r="G8" s="985">
        <v>2556087.2832979597</v>
      </c>
      <c r="H8" s="994">
        <v>193.80815341089638</v>
      </c>
      <c r="J8" s="998">
        <v>2378567.8592410544</v>
      </c>
      <c r="K8" s="994">
        <v>180.34824067793039</v>
      </c>
    </row>
    <row r="9" spans="2:12" ht="15" customHeight="1" x14ac:dyDescent="0.2">
      <c r="B9" s="992" t="s">
        <v>234</v>
      </c>
      <c r="D9" s="987">
        <f ca="1">'Obra '!C37</f>
        <v>743245.34266589128</v>
      </c>
      <c r="E9" s="988">
        <f ca="1">'Obra '!E37</f>
        <v>56.354494752413331</v>
      </c>
      <c r="G9" s="987"/>
      <c r="H9" s="995"/>
      <c r="J9" s="999"/>
      <c r="K9" s="995"/>
    </row>
    <row r="10" spans="2:12" ht="15" customHeight="1" x14ac:dyDescent="0.2">
      <c r="B10" s="990" t="s">
        <v>5037</v>
      </c>
      <c r="D10" s="985">
        <f ca="1">'Obra '!C39</f>
        <v>3848756.954361524</v>
      </c>
      <c r="E10" s="986">
        <f ca="1">'Obra '!E39</f>
        <v>291.82120779918671</v>
      </c>
      <c r="G10" s="985">
        <v>3848756.954361524</v>
      </c>
      <c r="H10" s="994">
        <v>291.82120779918671</v>
      </c>
      <c r="J10" s="998">
        <v>4956478.3949126061</v>
      </c>
      <c r="K10" s="994">
        <v>375.81108102834656</v>
      </c>
    </row>
    <row r="11" spans="2:12" ht="15" customHeight="1" x14ac:dyDescent="0.2">
      <c r="B11" s="992" t="s">
        <v>182</v>
      </c>
      <c r="D11" s="987">
        <f ca="1">'Obra '!C40</f>
        <v>1709214.4834398062</v>
      </c>
      <c r="E11" s="988">
        <f ca="1">'Obra '!E40</f>
        <v>129.59639719001467</v>
      </c>
      <c r="G11" s="987">
        <v>1528822.9788123998</v>
      </c>
      <c r="H11" s="995">
        <v>115.91871699838119</v>
      </c>
      <c r="J11" s="999">
        <v>1765339.48</v>
      </c>
      <c r="K11" s="995">
        <v>133.85191773291632</v>
      </c>
      <c r="L11" s="763" t="s">
        <v>5112</v>
      </c>
    </row>
    <row r="12" spans="2:12" ht="15" customHeight="1" x14ac:dyDescent="0.2">
      <c r="B12" s="990" t="s">
        <v>5038</v>
      </c>
      <c r="D12" s="985">
        <f ca="1">'Obra '!C38</f>
        <v>570028.95319700032</v>
      </c>
      <c r="E12" s="986">
        <f ca="1">'Obra '!E38</f>
        <v>43.220847555454483</v>
      </c>
      <c r="G12" s="985">
        <v>701038.53485050006</v>
      </c>
      <c r="H12" s="994">
        <v>53.154281857681738</v>
      </c>
      <c r="J12" s="998">
        <v>594137.80335967848</v>
      </c>
      <c r="K12" s="994">
        <v>45.048833540682665</v>
      </c>
      <c r="L12" t="s">
        <v>5059</v>
      </c>
    </row>
    <row r="13" spans="2:12" ht="15" customHeight="1" x14ac:dyDescent="0.2">
      <c r="B13" s="992" t="s">
        <v>5039</v>
      </c>
      <c r="D13" s="987">
        <f ca="1">'Obra '!C41</f>
        <v>1655202.6570589996</v>
      </c>
      <c r="E13" s="988">
        <f ca="1">'Obra '!E41</f>
        <v>125.50110185263954</v>
      </c>
      <c r="G13" s="987">
        <v>1484604.2544699991</v>
      </c>
      <c r="H13" s="995">
        <v>112.56595617249543</v>
      </c>
      <c r="J13" s="999">
        <v>2016787.3451754346</v>
      </c>
      <c r="K13" s="995">
        <v>152.91724728844164</v>
      </c>
      <c r="L13" s="763" t="s">
        <v>5110</v>
      </c>
    </row>
    <row r="14" spans="2:12" ht="15" customHeight="1" x14ac:dyDescent="0.2">
      <c r="B14" s="990" t="s">
        <v>5040</v>
      </c>
      <c r="D14" s="985">
        <f ca="1">'Obra '!C42</f>
        <v>680621.57199999993</v>
      </c>
      <c r="E14" s="986">
        <f ca="1">'Obra '!E42</f>
        <v>51.606222879347925</v>
      </c>
      <c r="G14" s="985">
        <v>680621.57199999993</v>
      </c>
      <c r="H14" s="994">
        <v>51.606222879347925</v>
      </c>
      <c r="J14" s="998">
        <v>862538.20493329887</v>
      </c>
      <c r="K14" s="994">
        <v>65.399541649762028</v>
      </c>
    </row>
    <row r="15" spans="2:12" ht="15" customHeight="1" x14ac:dyDescent="0.2">
      <c r="B15" s="992" t="s">
        <v>558</v>
      </c>
      <c r="D15" s="987">
        <f ca="1">'Obra '!C43</f>
        <v>1992159.7465939999</v>
      </c>
      <c r="E15" s="988">
        <f ca="1">'Obra '!E43</f>
        <v>151.04992865843994</v>
      </c>
      <c r="G15" s="987">
        <v>1983338.7427353333</v>
      </c>
      <c r="H15" s="995">
        <v>150.38110076658768</v>
      </c>
      <c r="J15" s="999">
        <v>2353078.9114803728</v>
      </c>
      <c r="K15" s="995">
        <v>178.41561266081871</v>
      </c>
      <c r="L15" s="763" t="s">
        <v>5109</v>
      </c>
    </row>
    <row r="16" spans="2:12" ht="15" customHeight="1" x14ac:dyDescent="0.2">
      <c r="B16" s="990" t="s">
        <v>5041</v>
      </c>
      <c r="D16" s="985">
        <f ca="1">'Obra '!C44</f>
        <v>2004993.9693777179</v>
      </c>
      <c r="E16" s="986">
        <f ca="1">'Obra '!E44</f>
        <v>152.02304762602353</v>
      </c>
      <c r="G16" s="985">
        <v>2133154.0800999994</v>
      </c>
      <c r="H16" s="994">
        <v>161.74042878210591</v>
      </c>
      <c r="J16" s="998">
        <v>2117102.7055543899</v>
      </c>
      <c r="K16" s="994">
        <v>160.52337830002008</v>
      </c>
      <c r="L16" s="763" t="s">
        <v>5111</v>
      </c>
    </row>
    <row r="17" spans="2:12" ht="15" customHeight="1" x14ac:dyDescent="0.2">
      <c r="B17" s="992" t="s">
        <v>140</v>
      </c>
      <c r="D17" s="987">
        <f ca="1">'Obra '!C45</f>
        <v>4314922.2708150372</v>
      </c>
      <c r="E17" s="988">
        <f ca="1">'Obra '!E45</f>
        <v>327.16688623372477</v>
      </c>
      <c r="G17" s="987">
        <v>4204046.2708150381</v>
      </c>
      <c r="H17" s="995">
        <v>318.760024324901</v>
      </c>
      <c r="J17" s="999">
        <v>3224818.9703255985</v>
      </c>
      <c r="K17" s="995">
        <v>244.51285909017901</v>
      </c>
      <c r="L17" s="763" t="s">
        <v>5113</v>
      </c>
    </row>
    <row r="18" spans="2:12" ht="15" customHeight="1" x14ac:dyDescent="0.2">
      <c r="B18" s="990" t="s">
        <v>44</v>
      </c>
      <c r="D18" s="985">
        <f ca="1">'Obra '!C47</f>
        <v>163256.76154899999</v>
      </c>
      <c r="E18" s="986">
        <f ca="1">'Obra '!E47</f>
        <v>12.378486327286513</v>
      </c>
      <c r="G18" s="985">
        <v>1798.7264</v>
      </c>
      <c r="H18" s="994">
        <v>0.13638338735664865</v>
      </c>
      <c r="J18" s="998">
        <v>31796.940799999997</v>
      </c>
      <c r="K18" s="994">
        <v>2.4109139076864752</v>
      </c>
      <c r="L18" t="s">
        <v>5059</v>
      </c>
    </row>
    <row r="19" spans="2:12" ht="15" customHeight="1" x14ac:dyDescent="0.2">
      <c r="B19" s="992" t="s">
        <v>149</v>
      </c>
      <c r="D19" s="987">
        <f ca="1">'Obra '!C46</f>
        <v>390783.28</v>
      </c>
      <c r="E19" s="988">
        <f ca="1">'Obra '!E46</f>
        <v>29.630046820206619</v>
      </c>
      <c r="G19" s="987">
        <v>390783.28</v>
      </c>
      <c r="H19" s="995">
        <v>29.630046820206619</v>
      </c>
      <c r="J19" s="999">
        <v>538815.72455373313</v>
      </c>
      <c r="K19" s="995">
        <v>40.854191985876838</v>
      </c>
    </row>
    <row r="20" spans="2:12" ht="15" customHeight="1" x14ac:dyDescent="0.2">
      <c r="B20" s="990" t="s">
        <v>5042</v>
      </c>
      <c r="D20" s="985">
        <f ca="1">'Obra '!C48</f>
        <v>1305274.0690964113</v>
      </c>
      <c r="E20" s="986">
        <f ca="1">'Obra '!E48</f>
        <v>98.968747538349831</v>
      </c>
      <c r="G20" s="985">
        <v>1305247.0007145528</v>
      </c>
      <c r="H20" s="994">
        <v>98.966695154169486</v>
      </c>
      <c r="J20" s="998">
        <v>2253614.1780022574</v>
      </c>
      <c r="K20" s="994">
        <v>170.87397804964513</v>
      </c>
    </row>
    <row r="21" spans="2:12" ht="15" customHeight="1" x14ac:dyDescent="0.2">
      <c r="B21" s="992" t="s">
        <v>236</v>
      </c>
      <c r="D21" s="987">
        <f ca="1">'Obra '!C49</f>
        <v>1521120.0970764481</v>
      </c>
      <c r="E21" s="988">
        <f ca="1">'Obra '!E49</f>
        <v>115.3346675823295</v>
      </c>
      <c r="G21" s="987">
        <v>1521120.0970764481</v>
      </c>
      <c r="H21" s="995">
        <v>115.3346675823295</v>
      </c>
      <c r="J21" s="999">
        <v>1016211.9241883985</v>
      </c>
      <c r="K21" s="995">
        <v>77.051420656877909</v>
      </c>
    </row>
    <row r="22" spans="2:12" ht="15" customHeight="1" x14ac:dyDescent="0.2">
      <c r="B22" s="990" t="s">
        <v>5043</v>
      </c>
      <c r="D22" s="985">
        <f ca="1">'Obra '!C50</f>
        <v>635004.310405956</v>
      </c>
      <c r="E22" s="986">
        <f ca="1">'Obra '!E50</f>
        <v>48.147421886528747</v>
      </c>
      <c r="G22" s="985">
        <v>629687.35554895422</v>
      </c>
      <c r="H22" s="994">
        <v>47.744278688196701</v>
      </c>
      <c r="J22" s="998"/>
      <c r="K22" s="994">
        <v>0</v>
      </c>
    </row>
    <row r="23" spans="2:12" s="981" customFormat="1" ht="15" customHeight="1" thickBot="1" x14ac:dyDescent="0.25">
      <c r="B23" s="993" t="s">
        <v>8</v>
      </c>
      <c r="C23"/>
      <c r="D23" s="996">
        <f ca="1">SUM(D4:D22)</f>
        <v>36918906.363086827</v>
      </c>
      <c r="E23" s="989">
        <f ca="1">SUM(E4:E22)</f>
        <v>2799.2725893725205</v>
      </c>
      <c r="F23"/>
      <c r="G23" s="996">
        <v>36174859.467400931</v>
      </c>
      <c r="H23" s="989">
        <v>2742.8573191091587</v>
      </c>
      <c r="I23"/>
      <c r="J23" s="996">
        <v>35962818.586683966</v>
      </c>
      <c r="K23" s="989">
        <v>2726.7799136903768</v>
      </c>
    </row>
  </sheetData>
  <mergeCells count="4">
    <mergeCell ref="B2:B3"/>
    <mergeCell ref="G2:H2"/>
    <mergeCell ref="J2:K2"/>
    <mergeCell ref="D2:E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6BEF2-83F7-493D-8F7F-805A4A45B1C5}">
  <sheetPr>
    <tabColor rgb="FF1851D6"/>
    <outlinePr summaryBelow="0"/>
    <pageSetUpPr fitToPage="1"/>
  </sheetPr>
  <dimension ref="A1:R760"/>
  <sheetViews>
    <sheetView showGridLines="0" topLeftCell="F1" zoomScaleNormal="100" zoomScaleSheetLayoutView="100" workbookViewId="0">
      <pane ySplit="7" topLeftCell="A8" activePane="bottomLeft" state="frozen"/>
      <selection activeCell="J19" sqref="J19"/>
      <selection pane="bottomLeft" activeCell="R47" sqref="R47"/>
    </sheetView>
  </sheetViews>
  <sheetFormatPr defaultColWidth="9.140625" defaultRowHeight="14.1" customHeight="1" outlineLevelRow="1" outlineLevelCol="1" x14ac:dyDescent="0.2"/>
  <cols>
    <col min="1" max="5" width="4" style="15" hidden="1" customWidth="1" outlineLevel="1"/>
    <col min="6" max="6" width="3.140625" style="15" customWidth="1" collapsed="1"/>
    <col min="7" max="7" width="7.28515625" style="23" customWidth="1"/>
    <col min="8" max="8" width="8.5703125" style="23" hidden="1" customWidth="1" outlineLevel="1"/>
    <col min="9" max="9" width="12.28515625" style="23" customWidth="1" collapsed="1"/>
    <col min="10" max="10" width="41.7109375" style="15" customWidth="1"/>
    <col min="11" max="11" width="6.85546875" style="21" customWidth="1"/>
    <col min="12" max="12" width="11.140625" style="103" customWidth="1"/>
    <col min="13" max="13" width="13.5703125" style="103" bestFit="1" customWidth="1"/>
    <col min="14" max="14" width="11.140625" style="196" customWidth="1"/>
    <col min="15" max="15" width="36.140625" style="139" customWidth="1" outlineLevel="1"/>
    <col min="16" max="16" width="17.5703125" style="22" customWidth="1"/>
    <col min="17" max="17" width="10.140625" style="15" bestFit="1" customWidth="1"/>
    <col min="18" max="18" width="16.5703125" style="15" customWidth="1"/>
    <col min="19" max="16384" width="9.140625" style="15"/>
  </cols>
  <sheetData>
    <row r="1" spans="1:18" s="8" customFormat="1" ht="6.75" customHeight="1" x14ac:dyDescent="0.2">
      <c r="G1" s="6"/>
      <c r="H1" s="6"/>
      <c r="I1" s="6"/>
      <c r="J1" s="7"/>
      <c r="K1" s="28"/>
      <c r="L1" s="7"/>
      <c r="M1" s="7"/>
      <c r="N1" s="191"/>
      <c r="O1" s="7"/>
      <c r="P1" s="26"/>
    </row>
    <row r="2" spans="1:18" s="9" customFormat="1" ht="17.45" customHeight="1" x14ac:dyDescent="0.2">
      <c r="G2" s="29"/>
      <c r="H2" s="102"/>
      <c r="I2" s="102"/>
      <c r="J2" s="102"/>
      <c r="K2" s="36"/>
      <c r="L2" s="36"/>
      <c r="M2" s="36"/>
      <c r="N2" s="192"/>
      <c r="O2" s="137"/>
      <c r="P2" s="25"/>
    </row>
    <row r="3" spans="1:18" s="9" customFormat="1" ht="18" customHeight="1" x14ac:dyDescent="0.2">
      <c r="G3" s="30"/>
      <c r="H3" s="31"/>
      <c r="I3" s="31"/>
      <c r="J3" s="31"/>
      <c r="K3" s="37"/>
      <c r="L3" s="37"/>
      <c r="M3" s="37"/>
      <c r="N3" s="193"/>
      <c r="O3" s="138"/>
      <c r="P3" s="24"/>
    </row>
    <row r="4" spans="1:18" s="68" customFormat="1" ht="15" customHeight="1" x14ac:dyDescent="0.2">
      <c r="G4" s="155" t="s">
        <v>56</v>
      </c>
      <c r="H4" s="66"/>
      <c r="I4" s="67" t="s">
        <v>631</v>
      </c>
      <c r="J4" s="140"/>
      <c r="N4" s="194"/>
      <c r="O4" s="66" t="s">
        <v>13</v>
      </c>
      <c r="P4" s="156" t="s">
        <v>54</v>
      </c>
      <c r="Q4" s="17"/>
    </row>
    <row r="5" spans="1:18" s="70" customFormat="1" ht="15" customHeight="1" x14ac:dyDescent="0.2">
      <c r="G5" s="197" t="s">
        <v>125</v>
      </c>
      <c r="H5" s="202"/>
      <c r="I5" s="18" t="s">
        <v>5004</v>
      </c>
      <c r="J5" s="198"/>
      <c r="N5" s="195"/>
      <c r="O5" s="199" t="str">
        <f>'Obra '!D3</f>
        <v>R01 - 03/09/2025</v>
      </c>
      <c r="P5" s="200">
        <v>45860</v>
      </c>
    </row>
    <row r="6" spans="1:18" s="34" customFormat="1" ht="18" customHeight="1" x14ac:dyDescent="0.2">
      <c r="A6" s="265" t="s">
        <v>203</v>
      </c>
      <c r="B6" s="265" t="s">
        <v>204</v>
      </c>
      <c r="C6" s="265" t="s">
        <v>205</v>
      </c>
      <c r="D6" s="265" t="s">
        <v>206</v>
      </c>
      <c r="E6" s="265" t="s">
        <v>207</v>
      </c>
      <c r="F6" s="70"/>
      <c r="G6" s="1065" t="s">
        <v>121</v>
      </c>
      <c r="H6" s="1065"/>
      <c r="I6" s="1065"/>
      <c r="J6" s="1065"/>
      <c r="K6" s="1065"/>
      <c r="L6" s="1065"/>
      <c r="M6" s="1065"/>
      <c r="N6" s="1065"/>
      <c r="O6" s="1065"/>
      <c r="P6" s="1065"/>
    </row>
    <row r="7" spans="1:18" s="32" customFormat="1" ht="24" customHeight="1" x14ac:dyDescent="0.2">
      <c r="A7" s="203">
        <v>0</v>
      </c>
      <c r="B7" s="203">
        <v>0</v>
      </c>
      <c r="C7" s="203">
        <v>0</v>
      </c>
      <c r="D7" s="204">
        <v>0</v>
      </c>
      <c r="E7" s="204">
        <v>0</v>
      </c>
      <c r="G7" s="99" t="s">
        <v>57</v>
      </c>
      <c r="H7" s="205" t="s">
        <v>208</v>
      </c>
      <c r="I7" s="100" t="s">
        <v>15</v>
      </c>
      <c r="J7" s="187" t="s">
        <v>0</v>
      </c>
      <c r="K7" s="141" t="s">
        <v>46</v>
      </c>
      <c r="L7" s="142" t="s">
        <v>83</v>
      </c>
      <c r="M7" s="142" t="s">
        <v>194</v>
      </c>
      <c r="N7" s="142" t="s">
        <v>12</v>
      </c>
      <c r="O7" s="190" t="s">
        <v>119</v>
      </c>
      <c r="P7" s="101" t="s">
        <v>61</v>
      </c>
    </row>
    <row r="8" spans="1:18" s="34" customFormat="1" ht="13.9" customHeight="1" x14ac:dyDescent="0.2">
      <c r="A8" s="203">
        <f ca="1">IF($H8="UNIDADE CONSTRUTIVA",OFFSET(A8,-1,0)+1,LARGE(A$3:A7,1))</f>
        <v>0</v>
      </c>
      <c r="B8" s="203">
        <f t="shared" ref="B8:B73" ca="1" si="0">IF(H8="UNIDADE CONSTRUTIVA",0,IF(H8="CÉLULA CONSTRUTIVA",OFFSET(B8,-1,0)+1,OFFSET(B8,-1,0)))</f>
        <v>1</v>
      </c>
      <c r="C8" s="203">
        <f t="shared" ref="C8:C73" ca="1" si="1">IF(H8="CÉLULA CONSTRUTIVA",0,IF(H8="ETAPA",OFFSET(C8,-1,0)+1,OFFSET(C8,-1,0)))</f>
        <v>0</v>
      </c>
      <c r="D8" s="204">
        <f t="shared" ref="D8:D73" ca="1" si="2">IF(H8="ETAPA",0,IF(H8="SUBETAPA",OFFSET(D8,-1,0)+1,OFFSET(D8,-1,0)))</f>
        <v>0</v>
      </c>
      <c r="E8" s="204">
        <f t="shared" ref="E8:E73" ca="1" si="3">IF(H8="Subetapa",0,IF(H8="serviço",OFFSET(E8,-1,0)+1,OFFSET(E8,-1,0)))</f>
        <v>0</v>
      </c>
      <c r="G8" s="206"/>
      <c r="H8" s="207" t="s">
        <v>209</v>
      </c>
      <c r="I8" s="208" t="str">
        <f t="shared" ref="I8:I73" ca="1" si="4">IF(H8="Unidade Construtiva",TEXT(A8,"00"),IF(H8="Célula Construtiva",TEXT(B8,"00"),IF(H8="Etapa",CONCATENATE(TEXT(B8,"00"),".",TEXT(C8,"000")),IF(H8="Subetapa",CONCATENATE(TEXT(B8,"00"),".",TEXT(C8,"000"),".",TEXT(D8,"000")),IF(H8="Serviço",CONCATENATE(TEXT(B8,"00"),".",TEXT(C8,"000"),".",TEXT(D8,"000"),".",TEXT(E8,"000")),"")))))</f>
        <v>01</v>
      </c>
      <c r="J8" s="209" t="s">
        <v>332</v>
      </c>
      <c r="K8" s="210"/>
      <c r="L8" s="211"/>
      <c r="M8" s="211"/>
      <c r="N8" s="285">
        <f t="shared" ref="N8:N39" ca="1" si="5">IF(H8="Serviço",M8*L8,IF(H8="CÉLULA CONSTRUTIVA",SUMIFS($N$8:$N$420,$B$8:$B$420,B8,$H$8:$H$420,"Serviço"),IF(H8="ETAPA",SUMIFS($N$8:$N$420,$B$8:$B$420,B8,$C$8:$C$420,C8,$H$8:$H$420,"Serviço"),IF(H8="SUBETAPA",SUMIFS($N$8:$N$420,$B$8:$B$420,B8,$C$8:$C$420,C8,$D$8:$D$420,D8,$H$8:$H$420,"Serviço"),0))))</f>
        <v>1970733.7977988878</v>
      </c>
      <c r="O8" s="212"/>
      <c r="P8" s="213" t="s">
        <v>50</v>
      </c>
      <c r="R8" s="1008" t="s">
        <v>5051</v>
      </c>
    </row>
    <row r="9" spans="1:18" s="34" customFormat="1" ht="13.9" customHeight="1" x14ac:dyDescent="0.2">
      <c r="A9" s="203">
        <f ca="1">IF($H9="UNIDADE CONSTRUTIVA",OFFSET(A9,-1,0)+1,LARGE(A$3:A8,1))</f>
        <v>0</v>
      </c>
      <c r="B9" s="203">
        <f t="shared" ca="1" si="0"/>
        <v>1</v>
      </c>
      <c r="C9" s="203">
        <f t="shared" ca="1" si="1"/>
        <v>1</v>
      </c>
      <c r="D9" s="204">
        <f t="shared" ca="1" si="2"/>
        <v>0</v>
      </c>
      <c r="E9" s="204">
        <f t="shared" ca="1" si="3"/>
        <v>0</v>
      </c>
      <c r="G9" s="206"/>
      <c r="H9" s="207" t="s">
        <v>210</v>
      </c>
      <c r="I9" s="208" t="str">
        <f t="shared" ca="1" si="4"/>
        <v>01.001</v>
      </c>
      <c r="J9" s="209" t="s">
        <v>333</v>
      </c>
      <c r="K9" s="210"/>
      <c r="L9" s="211"/>
      <c r="M9" s="211"/>
      <c r="N9" s="285">
        <f t="shared" ca="1" si="5"/>
        <v>921014.53014976473</v>
      </c>
      <c r="O9" s="212"/>
      <c r="P9" s="213" t="s">
        <v>50</v>
      </c>
    </row>
    <row r="10" spans="1:18" s="34" customFormat="1" ht="13.9" customHeight="1" collapsed="1" x14ac:dyDescent="0.2">
      <c r="A10" s="203">
        <f ca="1">IF($H10="UNIDADE CONSTRUTIVA",OFFSET(A10,-1,0)+1,LARGE(A$3:A9,1))</f>
        <v>0</v>
      </c>
      <c r="B10" s="203">
        <f t="shared" ca="1" si="0"/>
        <v>1</v>
      </c>
      <c r="C10" s="203">
        <f t="shared" ca="1" si="1"/>
        <v>1</v>
      </c>
      <c r="D10" s="204">
        <f t="shared" ca="1" si="2"/>
        <v>1</v>
      </c>
      <c r="E10" s="204">
        <f t="shared" ca="1" si="3"/>
        <v>0</v>
      </c>
      <c r="G10" s="206"/>
      <c r="H10" s="207" t="s">
        <v>211</v>
      </c>
      <c r="I10" s="208" t="str">
        <f t="shared" ca="1" si="4"/>
        <v>01.001.001</v>
      </c>
      <c r="J10" s="209" t="s">
        <v>334</v>
      </c>
      <c r="K10" s="210"/>
      <c r="L10" s="211"/>
      <c r="M10" s="211"/>
      <c r="N10" s="285">
        <f t="shared" ca="1" si="5"/>
        <v>109972.88085032607</v>
      </c>
      <c r="O10" s="212"/>
      <c r="P10" s="213"/>
    </row>
    <row r="11" spans="1:18" s="34" customFormat="1" ht="13.9" hidden="1" customHeight="1" outlineLevel="1" x14ac:dyDescent="0.2">
      <c r="A11" s="203">
        <f ca="1">IF($H11="UNIDADE CONSTRUTIVA",OFFSET(A11,-1,0)+1,LARGE(A$3:A10,1))</f>
        <v>0</v>
      </c>
      <c r="B11" s="203">
        <f t="shared" ca="1" si="0"/>
        <v>1</v>
      </c>
      <c r="C11" s="203">
        <f t="shared" ca="1" si="1"/>
        <v>1</v>
      </c>
      <c r="D11" s="204">
        <f t="shared" ca="1" si="2"/>
        <v>1</v>
      </c>
      <c r="E11" s="204">
        <f t="shared" ca="1" si="3"/>
        <v>1</v>
      </c>
      <c r="G11" s="206"/>
      <c r="H11" s="207" t="s">
        <v>212</v>
      </c>
      <c r="I11" s="208" t="str">
        <f t="shared" ca="1" si="4"/>
        <v>01.001.001.001</v>
      </c>
      <c r="J11" s="209" t="s">
        <v>335</v>
      </c>
      <c r="K11" s="210" t="s">
        <v>151</v>
      </c>
      <c r="L11" s="211">
        <v>1</v>
      </c>
      <c r="M11" s="211">
        <v>6512.1875404008251</v>
      </c>
      <c r="N11" s="285">
        <f t="shared" si="5"/>
        <v>6512.1875404008251</v>
      </c>
      <c r="O11" s="212" t="s">
        <v>393</v>
      </c>
      <c r="P11" s="213" t="s">
        <v>196</v>
      </c>
    </row>
    <row r="12" spans="1:18" s="34" customFormat="1" ht="13.9" hidden="1" customHeight="1" outlineLevel="1" x14ac:dyDescent="0.2">
      <c r="A12" s="203">
        <f ca="1">IF($H12="UNIDADE CONSTRUTIVA",OFFSET(A12,-1,0)+1,LARGE(A$3:A11,1))</f>
        <v>0</v>
      </c>
      <c r="B12" s="203">
        <f t="shared" ca="1" si="0"/>
        <v>1</v>
      </c>
      <c r="C12" s="203">
        <f t="shared" ca="1" si="1"/>
        <v>1</v>
      </c>
      <c r="D12" s="204">
        <f t="shared" ca="1" si="2"/>
        <v>1</v>
      </c>
      <c r="E12" s="204">
        <f t="shared" ca="1" si="3"/>
        <v>2</v>
      </c>
      <c r="G12" s="206"/>
      <c r="H12" s="207" t="s">
        <v>212</v>
      </c>
      <c r="I12" s="208" t="str">
        <f t="shared" ca="1" si="4"/>
        <v>01.001.001.002</v>
      </c>
      <c r="J12" s="209" t="s">
        <v>325</v>
      </c>
      <c r="K12" s="210" t="s">
        <v>151</v>
      </c>
      <c r="L12" s="211">
        <v>1</v>
      </c>
      <c r="M12" s="211">
        <v>9550.2178439930976</v>
      </c>
      <c r="N12" s="285">
        <f t="shared" si="5"/>
        <v>9550.2178439930976</v>
      </c>
      <c r="O12" s="212" t="s">
        <v>393</v>
      </c>
      <c r="P12" s="213" t="s">
        <v>196</v>
      </c>
    </row>
    <row r="13" spans="1:18" s="34" customFormat="1" ht="13.9" hidden="1" customHeight="1" outlineLevel="1" x14ac:dyDescent="0.2">
      <c r="A13" s="203">
        <f ca="1">IF($H13="UNIDADE CONSTRUTIVA",OFFSET(A13,-1,0)+1,LARGE(A$3:A12,1))</f>
        <v>0</v>
      </c>
      <c r="B13" s="203">
        <f t="shared" ca="1" si="0"/>
        <v>1</v>
      </c>
      <c r="C13" s="203">
        <f t="shared" ca="1" si="1"/>
        <v>1</v>
      </c>
      <c r="D13" s="204">
        <f t="shared" ca="1" si="2"/>
        <v>1</v>
      </c>
      <c r="E13" s="204">
        <f t="shared" ca="1" si="3"/>
        <v>3</v>
      </c>
      <c r="G13" s="206"/>
      <c r="H13" s="207" t="s">
        <v>212</v>
      </c>
      <c r="I13" s="208" t="str">
        <f t="shared" ca="1" si="4"/>
        <v>01.001.001.003</v>
      </c>
      <c r="J13" s="209" t="s">
        <v>336</v>
      </c>
      <c r="K13" s="210" t="s">
        <v>151</v>
      </c>
      <c r="L13" s="211">
        <v>1</v>
      </c>
      <c r="M13" s="211">
        <v>70034.930855949395</v>
      </c>
      <c r="N13" s="285">
        <f t="shared" si="5"/>
        <v>70034.930855949395</v>
      </c>
      <c r="O13" s="212" t="s">
        <v>393</v>
      </c>
      <c r="P13" s="213" t="s">
        <v>196</v>
      </c>
    </row>
    <row r="14" spans="1:18" s="34" customFormat="1" ht="13.9" hidden="1" customHeight="1" outlineLevel="1" x14ac:dyDescent="0.2">
      <c r="A14" s="203">
        <f ca="1">IF($H14="UNIDADE CONSTRUTIVA",OFFSET(A14,-1,0)+1,LARGE(A$3:A13,1))</f>
        <v>0</v>
      </c>
      <c r="B14" s="203">
        <f t="shared" ca="1" si="0"/>
        <v>1</v>
      </c>
      <c r="C14" s="203">
        <f t="shared" ca="1" si="1"/>
        <v>1</v>
      </c>
      <c r="D14" s="204">
        <f t="shared" ca="1" si="2"/>
        <v>1</v>
      </c>
      <c r="E14" s="204">
        <f t="shared" ca="1" si="3"/>
        <v>4</v>
      </c>
      <c r="G14" s="206"/>
      <c r="H14" s="207" t="s">
        <v>212</v>
      </c>
      <c r="I14" s="208" t="str">
        <f t="shared" ca="1" si="4"/>
        <v>01.001.001.004</v>
      </c>
      <c r="J14" s="209" t="s">
        <v>337</v>
      </c>
      <c r="K14" s="210" t="s">
        <v>151</v>
      </c>
      <c r="L14" s="211">
        <v>1</v>
      </c>
      <c r="M14" s="211">
        <v>23875.544609982746</v>
      </c>
      <c r="N14" s="285">
        <f t="shared" si="5"/>
        <v>23875.544609982746</v>
      </c>
      <c r="O14" s="212" t="s">
        <v>393</v>
      </c>
      <c r="P14" s="213" t="s">
        <v>196</v>
      </c>
    </row>
    <row r="15" spans="1:18" s="34" customFormat="1" ht="13.9" customHeight="1" collapsed="1" x14ac:dyDescent="0.2">
      <c r="A15" s="203">
        <f ca="1">IF($H15="UNIDADE CONSTRUTIVA",OFFSET(A15,-1,0)+1,LARGE(A$3:A14,1))</f>
        <v>0</v>
      </c>
      <c r="B15" s="203">
        <f t="shared" ca="1" si="0"/>
        <v>1</v>
      </c>
      <c r="C15" s="203">
        <f t="shared" ca="1" si="1"/>
        <v>1</v>
      </c>
      <c r="D15" s="204">
        <f t="shared" ca="1" si="2"/>
        <v>2</v>
      </c>
      <c r="E15" s="204">
        <f t="shared" ca="1" si="3"/>
        <v>0</v>
      </c>
      <c r="G15" s="206"/>
      <c r="H15" s="207" t="s">
        <v>211</v>
      </c>
      <c r="I15" s="208" t="str">
        <f t="shared" ca="1" si="4"/>
        <v>01.001.002</v>
      </c>
      <c r="J15" s="209" t="s">
        <v>338</v>
      </c>
      <c r="K15" s="210"/>
      <c r="L15" s="211"/>
      <c r="M15" s="211"/>
      <c r="N15" s="285">
        <f t="shared" ca="1" si="5"/>
        <v>556996.27367443882</v>
      </c>
      <c r="O15" s="212"/>
      <c r="P15" s="213"/>
    </row>
    <row r="16" spans="1:18" s="34" customFormat="1" ht="13.9" hidden="1" customHeight="1" outlineLevel="1" x14ac:dyDescent="0.2">
      <c r="A16" s="203">
        <f ca="1">IF($H16="UNIDADE CONSTRUTIVA",OFFSET(A16,-1,0)+1,LARGE(A$3:A15,1))</f>
        <v>0</v>
      </c>
      <c r="B16" s="203">
        <f t="shared" ca="1" si="0"/>
        <v>1</v>
      </c>
      <c r="C16" s="203">
        <f t="shared" ca="1" si="1"/>
        <v>1</v>
      </c>
      <c r="D16" s="204">
        <f t="shared" ca="1" si="2"/>
        <v>2</v>
      </c>
      <c r="E16" s="204">
        <f t="shared" ca="1" si="3"/>
        <v>1</v>
      </c>
      <c r="G16" s="206"/>
      <c r="H16" s="207" t="s">
        <v>212</v>
      </c>
      <c r="I16" s="208" t="str">
        <f t="shared" ca="1" si="4"/>
        <v>01.001.002.001</v>
      </c>
      <c r="J16" s="209" t="s">
        <v>339</v>
      </c>
      <c r="K16" s="210" t="s">
        <v>151</v>
      </c>
      <c r="L16" s="211">
        <v>1</v>
      </c>
      <c r="M16" s="211">
        <v>19100.435687986195</v>
      </c>
      <c r="N16" s="285">
        <f t="shared" si="5"/>
        <v>19100.435687986195</v>
      </c>
      <c r="O16" s="212" t="s">
        <v>393</v>
      </c>
      <c r="P16" s="213" t="s">
        <v>518</v>
      </c>
    </row>
    <row r="17" spans="1:16" s="34" customFormat="1" ht="13.9" hidden="1" customHeight="1" outlineLevel="1" x14ac:dyDescent="0.2">
      <c r="A17" s="203">
        <f ca="1">IF($H17="UNIDADE CONSTRUTIVA",OFFSET(A17,-1,0)+1,LARGE(A$3:A16,1))</f>
        <v>0</v>
      </c>
      <c r="B17" s="203">
        <f t="shared" ca="1" si="0"/>
        <v>1</v>
      </c>
      <c r="C17" s="203">
        <f t="shared" ca="1" si="1"/>
        <v>1</v>
      </c>
      <c r="D17" s="204">
        <f t="shared" ca="1" si="2"/>
        <v>2</v>
      </c>
      <c r="E17" s="204">
        <f t="shared" ca="1" si="3"/>
        <v>2</v>
      </c>
      <c r="G17" s="206"/>
      <c r="H17" s="207" t="s">
        <v>212</v>
      </c>
      <c r="I17" s="208" t="str">
        <f t="shared" ca="1" si="4"/>
        <v>01.001.002.002</v>
      </c>
      <c r="J17" s="209" t="s">
        <v>1214</v>
      </c>
      <c r="K17" s="210" t="s">
        <v>151</v>
      </c>
      <c r="L17" s="211">
        <v>1</v>
      </c>
      <c r="M17" s="211">
        <v>85156.109108938457</v>
      </c>
      <c r="N17" s="285">
        <f t="shared" si="5"/>
        <v>85156.109108938457</v>
      </c>
      <c r="O17" s="212" t="s">
        <v>393</v>
      </c>
      <c r="P17" s="213" t="s">
        <v>518</v>
      </c>
    </row>
    <row r="18" spans="1:16" s="34" customFormat="1" ht="13.9" hidden="1" customHeight="1" outlineLevel="1" x14ac:dyDescent="0.2">
      <c r="A18" s="203">
        <f ca="1">IF($H18="UNIDADE CONSTRUTIVA",OFFSET(A18,-1,0)+1,LARGE(A$3:A17,1))</f>
        <v>0</v>
      </c>
      <c r="B18" s="203">
        <f t="shared" ca="1" si="0"/>
        <v>1</v>
      </c>
      <c r="C18" s="203">
        <f t="shared" ca="1" si="1"/>
        <v>1</v>
      </c>
      <c r="D18" s="204">
        <f t="shared" ca="1" si="2"/>
        <v>2</v>
      </c>
      <c r="E18" s="204">
        <f t="shared" ca="1" si="3"/>
        <v>3</v>
      </c>
      <c r="G18" s="206"/>
      <c r="H18" s="207" t="s">
        <v>212</v>
      </c>
      <c r="I18" s="208" t="str">
        <f t="shared" ca="1" si="4"/>
        <v>01.001.002.003</v>
      </c>
      <c r="J18" s="209" t="s">
        <v>437</v>
      </c>
      <c r="K18" s="210" t="s">
        <v>151</v>
      </c>
      <c r="L18" s="211">
        <v>1</v>
      </c>
      <c r="M18" s="211">
        <v>85156.109108938457</v>
      </c>
      <c r="N18" s="285">
        <f t="shared" si="5"/>
        <v>85156.109108938457</v>
      </c>
      <c r="O18" s="212" t="s">
        <v>393</v>
      </c>
      <c r="P18" s="213" t="s">
        <v>518</v>
      </c>
    </row>
    <row r="19" spans="1:16" s="34" customFormat="1" ht="13.9" hidden="1" customHeight="1" outlineLevel="1" x14ac:dyDescent="0.2">
      <c r="A19" s="203">
        <f ca="1">IF($H19="UNIDADE CONSTRUTIVA",OFFSET(A19,-1,0)+1,LARGE(A$3:A18,1))</f>
        <v>0</v>
      </c>
      <c r="B19" s="203">
        <f t="shared" ca="1" si="0"/>
        <v>1</v>
      </c>
      <c r="C19" s="203">
        <f t="shared" ca="1" si="1"/>
        <v>1</v>
      </c>
      <c r="D19" s="204">
        <f t="shared" ca="1" si="2"/>
        <v>2</v>
      </c>
      <c r="E19" s="204">
        <f t="shared" ca="1" si="3"/>
        <v>4</v>
      </c>
      <c r="G19" s="206"/>
      <c r="H19" s="207" t="s">
        <v>212</v>
      </c>
      <c r="I19" s="208" t="str">
        <f t="shared" ca="1" si="4"/>
        <v>01.001.002.004</v>
      </c>
      <c r="J19" s="209" t="s">
        <v>438</v>
      </c>
      <c r="K19" s="210" t="s">
        <v>151</v>
      </c>
      <c r="L19" s="211">
        <v>1</v>
      </c>
      <c r="M19" s="211">
        <v>27058.950557980443</v>
      </c>
      <c r="N19" s="285">
        <f t="shared" si="5"/>
        <v>27058.950557980443</v>
      </c>
      <c r="O19" s="212" t="s">
        <v>393</v>
      </c>
      <c r="P19" s="213" t="s">
        <v>518</v>
      </c>
    </row>
    <row r="20" spans="1:16" s="34" customFormat="1" ht="13.9" hidden="1" customHeight="1" outlineLevel="1" x14ac:dyDescent="0.2">
      <c r="A20" s="203">
        <f ca="1">IF($H20="UNIDADE CONSTRUTIVA",OFFSET(A20,-1,0)+1,LARGE(A$3:A19,1))</f>
        <v>0</v>
      </c>
      <c r="B20" s="203">
        <f t="shared" ca="1" si="0"/>
        <v>1</v>
      </c>
      <c r="C20" s="203">
        <f t="shared" ca="1" si="1"/>
        <v>1</v>
      </c>
      <c r="D20" s="204">
        <f t="shared" ca="1" si="2"/>
        <v>2</v>
      </c>
      <c r="E20" s="204">
        <f t="shared" ca="1" si="3"/>
        <v>5</v>
      </c>
      <c r="G20" s="206"/>
      <c r="H20" s="207" t="s">
        <v>212</v>
      </c>
      <c r="I20" s="208" t="str">
        <f t="shared" ca="1" si="4"/>
        <v>01.001.002.005</v>
      </c>
      <c r="J20" s="209" t="s">
        <v>340</v>
      </c>
      <c r="K20" s="210" t="s">
        <v>151</v>
      </c>
      <c r="L20" s="211">
        <v>1</v>
      </c>
      <c r="M20" s="211">
        <v>119696.0636447135</v>
      </c>
      <c r="N20" s="285">
        <f t="shared" si="5"/>
        <v>119696.0636447135</v>
      </c>
      <c r="O20" s="212" t="s">
        <v>393</v>
      </c>
      <c r="P20" s="213" t="s">
        <v>518</v>
      </c>
    </row>
    <row r="21" spans="1:16" s="34" customFormat="1" ht="13.9" hidden="1" customHeight="1" outlineLevel="1" x14ac:dyDescent="0.2">
      <c r="A21" s="203">
        <f ca="1">IF($H21="UNIDADE CONSTRUTIVA",OFFSET(A21,-1,0)+1,LARGE(A$3:A20,1))</f>
        <v>0</v>
      </c>
      <c r="B21" s="203">
        <f t="shared" ca="1" si="0"/>
        <v>1</v>
      </c>
      <c r="C21" s="203">
        <f t="shared" ca="1" si="1"/>
        <v>1</v>
      </c>
      <c r="D21" s="204">
        <f t="shared" ca="1" si="2"/>
        <v>2</v>
      </c>
      <c r="E21" s="204">
        <f t="shared" ca="1" si="3"/>
        <v>6</v>
      </c>
      <c r="G21" s="206"/>
      <c r="H21" s="207" t="s">
        <v>212</v>
      </c>
      <c r="I21" s="208" t="str">
        <f t="shared" ca="1" si="4"/>
        <v>01.001.002.006</v>
      </c>
      <c r="J21" s="209" t="s">
        <v>439</v>
      </c>
      <c r="K21" s="210" t="s">
        <v>151</v>
      </c>
      <c r="L21" s="211">
        <v>1</v>
      </c>
      <c r="M21" s="211">
        <v>78311.786320743413</v>
      </c>
      <c r="N21" s="285">
        <f t="shared" si="5"/>
        <v>78311.786320743413</v>
      </c>
      <c r="O21" s="212" t="s">
        <v>393</v>
      </c>
      <c r="P21" s="213" t="s">
        <v>518</v>
      </c>
    </row>
    <row r="22" spans="1:16" s="34" customFormat="1" ht="13.9" hidden="1" customHeight="1" outlineLevel="1" x14ac:dyDescent="0.2">
      <c r="A22" s="203">
        <f ca="1">IF($H22="UNIDADE CONSTRUTIVA",OFFSET(A22,-1,0)+1,LARGE(A$3:A21,1))</f>
        <v>0</v>
      </c>
      <c r="B22" s="203">
        <f t="shared" ca="1" si="0"/>
        <v>1</v>
      </c>
      <c r="C22" s="203">
        <f t="shared" ca="1" si="1"/>
        <v>1</v>
      </c>
      <c r="D22" s="204">
        <f t="shared" ca="1" si="2"/>
        <v>2</v>
      </c>
      <c r="E22" s="204">
        <f t="shared" ca="1" si="3"/>
        <v>7</v>
      </c>
      <c r="G22" s="206"/>
      <c r="H22" s="207" t="s">
        <v>212</v>
      </c>
      <c r="I22" s="208" t="str">
        <f t="shared" ca="1" si="4"/>
        <v>01.001.002.007</v>
      </c>
      <c r="J22" s="209" t="s">
        <v>440</v>
      </c>
      <c r="K22" s="210" t="s">
        <v>151</v>
      </c>
      <c r="L22" s="211">
        <v>1</v>
      </c>
      <c r="M22" s="211">
        <v>50329.648037843632</v>
      </c>
      <c r="N22" s="285">
        <f t="shared" si="5"/>
        <v>50329.648037843632</v>
      </c>
      <c r="O22" s="212" t="s">
        <v>393</v>
      </c>
      <c r="P22" s="213" t="s">
        <v>518</v>
      </c>
    </row>
    <row r="23" spans="1:16" s="34" customFormat="1" ht="13.9" hidden="1" customHeight="1" outlineLevel="1" x14ac:dyDescent="0.2">
      <c r="A23" s="203">
        <f ca="1">IF($H23="UNIDADE CONSTRUTIVA",OFFSET(A23,-1,0)+1,LARGE(A$3:A22,1))</f>
        <v>0</v>
      </c>
      <c r="B23" s="203">
        <f t="shared" ca="1" si="0"/>
        <v>1</v>
      </c>
      <c r="C23" s="203">
        <f t="shared" ca="1" si="1"/>
        <v>1</v>
      </c>
      <c r="D23" s="204">
        <f t="shared" ca="1" si="2"/>
        <v>2</v>
      </c>
      <c r="E23" s="204">
        <f t="shared" ca="1" si="3"/>
        <v>8</v>
      </c>
      <c r="G23" s="206"/>
      <c r="H23" s="207" t="s">
        <v>212</v>
      </c>
      <c r="I23" s="208" t="str">
        <f t="shared" ca="1" si="4"/>
        <v>01.001.002.008</v>
      </c>
      <c r="J23" s="209" t="s">
        <v>341</v>
      </c>
      <c r="K23" s="210" t="s">
        <v>151</v>
      </c>
      <c r="L23" s="211">
        <v>1</v>
      </c>
      <c r="M23" s="211">
        <v>46859.735554526138</v>
      </c>
      <c r="N23" s="285">
        <f t="shared" si="5"/>
        <v>46859.735554526138</v>
      </c>
      <c r="O23" s="212" t="s">
        <v>393</v>
      </c>
      <c r="P23" s="213" t="s">
        <v>518</v>
      </c>
    </row>
    <row r="24" spans="1:16" s="34" customFormat="1" ht="13.9" hidden="1" customHeight="1" outlineLevel="1" x14ac:dyDescent="0.2">
      <c r="A24" s="203">
        <f ca="1">IF($H24="UNIDADE CONSTRUTIVA",OFFSET(A24,-1,0)+1,LARGE(A$3:A23,1))</f>
        <v>0</v>
      </c>
      <c r="B24" s="203">
        <f t="shared" ca="1" si="0"/>
        <v>1</v>
      </c>
      <c r="C24" s="203">
        <f t="shared" ca="1" si="1"/>
        <v>1</v>
      </c>
      <c r="D24" s="204">
        <f t="shared" ca="1" si="2"/>
        <v>2</v>
      </c>
      <c r="E24" s="204">
        <f t="shared" ca="1" si="3"/>
        <v>9</v>
      </c>
      <c r="G24" s="206"/>
      <c r="H24" s="207" t="s">
        <v>212</v>
      </c>
      <c r="I24" s="208" t="str">
        <f t="shared" ca="1" si="4"/>
        <v>01.001.002.009</v>
      </c>
      <c r="J24" s="209" t="s">
        <v>441</v>
      </c>
      <c r="K24" s="210" t="s">
        <v>151</v>
      </c>
      <c r="L24" s="211">
        <v>1</v>
      </c>
      <c r="M24" s="211">
        <v>15092.527599457093</v>
      </c>
      <c r="N24" s="285">
        <f t="shared" si="5"/>
        <v>15092.527599457093</v>
      </c>
      <c r="O24" s="212" t="s">
        <v>393</v>
      </c>
      <c r="P24" s="213" t="s">
        <v>518</v>
      </c>
    </row>
    <row r="25" spans="1:16" s="34" customFormat="1" ht="13.9" hidden="1" customHeight="1" outlineLevel="1" x14ac:dyDescent="0.2">
      <c r="A25" s="203">
        <f ca="1">IF($H25="UNIDADE CONSTRUTIVA",OFFSET(A25,-1,0)+1,LARGE(A$3:A24,1))</f>
        <v>0</v>
      </c>
      <c r="B25" s="203">
        <f t="shared" ca="1" si="0"/>
        <v>1</v>
      </c>
      <c r="C25" s="203">
        <f t="shared" ca="1" si="1"/>
        <v>1</v>
      </c>
      <c r="D25" s="204">
        <f t="shared" ca="1" si="2"/>
        <v>2</v>
      </c>
      <c r="E25" s="204">
        <f t="shared" ca="1" si="3"/>
        <v>10</v>
      </c>
      <c r="G25" s="206"/>
      <c r="H25" s="207" t="s">
        <v>212</v>
      </c>
      <c r="I25" s="208" t="str">
        <f t="shared" ca="1" si="4"/>
        <v>01.001.002.010</v>
      </c>
      <c r="J25" s="209" t="s">
        <v>1215</v>
      </c>
      <c r="K25" s="210" t="s">
        <v>151</v>
      </c>
      <c r="L25" s="211">
        <v>1</v>
      </c>
      <c r="M25" s="211">
        <v>15092.527599457093</v>
      </c>
      <c r="N25" s="285">
        <f t="shared" si="5"/>
        <v>15092.527599457093</v>
      </c>
      <c r="O25" s="212" t="s">
        <v>393</v>
      </c>
      <c r="P25" s="213" t="s">
        <v>518</v>
      </c>
    </row>
    <row r="26" spans="1:16" s="34" customFormat="1" ht="13.9" hidden="1" customHeight="1" outlineLevel="1" x14ac:dyDescent="0.2">
      <c r="A26" s="203">
        <f ca="1">IF($H26="UNIDADE CONSTRUTIVA",OFFSET(A26,-1,0)+1,LARGE(A$3:A25,1))</f>
        <v>0</v>
      </c>
      <c r="B26" s="203">
        <f t="shared" ca="1" si="0"/>
        <v>1</v>
      </c>
      <c r="C26" s="203">
        <f t="shared" ca="1" si="1"/>
        <v>1</v>
      </c>
      <c r="D26" s="204">
        <f t="shared" ca="1" si="2"/>
        <v>2</v>
      </c>
      <c r="E26" s="204">
        <f t="shared" ca="1" si="3"/>
        <v>11</v>
      </c>
      <c r="G26" s="206"/>
      <c r="H26" s="207" t="s">
        <v>212</v>
      </c>
      <c r="I26" s="208" t="str">
        <f t="shared" ca="1" si="4"/>
        <v>01.001.002.011</v>
      </c>
      <c r="J26" s="209" t="s">
        <v>1216</v>
      </c>
      <c r="K26" s="210" t="s">
        <v>151</v>
      </c>
      <c r="L26" s="211">
        <v>1</v>
      </c>
      <c r="M26" s="211">
        <v>15142.380453854352</v>
      </c>
      <c r="N26" s="285">
        <f t="shared" si="5"/>
        <v>15142.380453854352</v>
      </c>
      <c r="O26" s="212" t="s">
        <v>393</v>
      </c>
      <c r="P26" s="213" t="s">
        <v>518</v>
      </c>
    </row>
    <row r="27" spans="1:16" s="34" customFormat="1" ht="13.9" customHeight="1" collapsed="1" x14ac:dyDescent="0.2">
      <c r="A27" s="203">
        <f ca="1">IF($H27="UNIDADE CONSTRUTIVA",OFFSET(A27,-1,0)+1,LARGE(A$3:A26,1))</f>
        <v>0</v>
      </c>
      <c r="B27" s="203">
        <f t="shared" ca="1" si="0"/>
        <v>1</v>
      </c>
      <c r="C27" s="203">
        <f t="shared" ca="1" si="1"/>
        <v>1</v>
      </c>
      <c r="D27" s="204">
        <f t="shared" ca="1" si="2"/>
        <v>3</v>
      </c>
      <c r="E27" s="204">
        <f t="shared" ca="1" si="3"/>
        <v>0</v>
      </c>
      <c r="G27" s="206"/>
      <c r="H27" s="207" t="s">
        <v>211</v>
      </c>
      <c r="I27" s="208" t="str">
        <f t="shared" ca="1" si="4"/>
        <v>01.001.003</v>
      </c>
      <c r="J27" s="209" t="s">
        <v>342</v>
      </c>
      <c r="K27" s="210"/>
      <c r="L27" s="211"/>
      <c r="M27" s="211"/>
      <c r="N27" s="285">
        <f t="shared" ca="1" si="5"/>
        <v>76500</v>
      </c>
      <c r="O27" s="212"/>
      <c r="P27" s="213"/>
    </row>
    <row r="28" spans="1:16" s="34" customFormat="1" ht="13.9" hidden="1" customHeight="1" outlineLevel="1" x14ac:dyDescent="0.2">
      <c r="A28" s="203">
        <f ca="1">IF($H28="UNIDADE CONSTRUTIVA",OFFSET(A28,-1,0)+1,LARGE(A$3:A27,1))</f>
        <v>0</v>
      </c>
      <c r="B28" s="203">
        <f t="shared" ca="1" si="0"/>
        <v>1</v>
      </c>
      <c r="C28" s="203">
        <f t="shared" ca="1" si="1"/>
        <v>1</v>
      </c>
      <c r="D28" s="204">
        <f t="shared" ca="1" si="2"/>
        <v>3</v>
      </c>
      <c r="E28" s="204">
        <f t="shared" ca="1" si="3"/>
        <v>1</v>
      </c>
      <c r="G28" s="206"/>
      <c r="H28" s="207" t="s">
        <v>212</v>
      </c>
      <c r="I28" s="208" t="str">
        <f t="shared" ca="1" si="4"/>
        <v>01.001.003.001</v>
      </c>
      <c r="J28" s="209" t="s">
        <v>343</v>
      </c>
      <c r="K28" s="210" t="s">
        <v>151</v>
      </c>
      <c r="L28" s="211">
        <v>1</v>
      </c>
      <c r="M28" s="211">
        <v>22500</v>
      </c>
      <c r="N28" s="285">
        <f t="shared" si="5"/>
        <v>22500</v>
      </c>
      <c r="O28" s="212" t="s">
        <v>394</v>
      </c>
      <c r="P28" s="213" t="s">
        <v>518</v>
      </c>
    </row>
    <row r="29" spans="1:16" s="34" customFormat="1" ht="13.9" hidden="1" customHeight="1" outlineLevel="1" x14ac:dyDescent="0.2">
      <c r="A29" s="203">
        <f ca="1">IF($H29="UNIDADE CONSTRUTIVA",OFFSET(A29,-1,0)+1,LARGE(A$3:A28,1))</f>
        <v>0</v>
      </c>
      <c r="B29" s="203">
        <f ca="1">IF(H29="UNIDADE CONSTRUTIVA",0,IF(H29="CÉLULA CONSTRUTIVA",OFFSET(B29,-1,0)+1,OFFSET(B29,-1,0)))</f>
        <v>1</v>
      </c>
      <c r="C29" s="203">
        <f ca="1">IF(H29="CÉLULA CONSTRUTIVA",0,IF(H29="ETAPA",OFFSET(C29,-1,0)+1,OFFSET(C29,-1,0)))</f>
        <v>1</v>
      </c>
      <c r="D29" s="204">
        <f ca="1">IF(H29="ETAPA",0,IF(H29="SUBETAPA",OFFSET(D29,-1,0)+1,OFFSET(D29,-1,0)))</f>
        <v>3</v>
      </c>
      <c r="E29" s="204">
        <f ca="1">IF(H29="Subetapa",0,IF(H29="serviço",OFFSET(E29,-1,0)+1,OFFSET(E29,-1,0)))</f>
        <v>2</v>
      </c>
      <c r="G29" s="1000"/>
      <c r="H29" s="1001" t="s">
        <v>212</v>
      </c>
      <c r="I29" s="1002" t="str">
        <f ca="1">IF(H29="Unidade Construtiva",TEXT(A29,"00"),IF(H29="Célula Construtiva",TEXT(B29,"00"),IF(H29="Etapa",CONCATENATE(TEXT(B29,"00"),".",TEXT(C29,"000")),IF(H29="Subetapa",CONCATENATE(TEXT(B29,"00"),".",TEXT(C29,"000"),".",TEXT(D29,"000")),IF(H29="Serviço",CONCATENATE(TEXT(B29,"00"),".",TEXT(C29,"000"),".",TEXT(D29,"000"),".",TEXT(E29,"000")),"")))))</f>
        <v>01.001.003.002</v>
      </c>
      <c r="J29" s="1003" t="s">
        <v>5007</v>
      </c>
      <c r="K29" s="1004" t="s">
        <v>5008</v>
      </c>
      <c r="L29" s="1005">
        <v>36</v>
      </c>
      <c r="M29" s="1005">
        <v>1500</v>
      </c>
      <c r="N29" s="1006">
        <f t="shared" si="5"/>
        <v>54000</v>
      </c>
      <c r="O29" s="1007" t="s">
        <v>5009</v>
      </c>
      <c r="P29" s="213" t="s">
        <v>518</v>
      </c>
    </row>
    <row r="30" spans="1:16" s="34" customFormat="1" ht="13.9" customHeight="1" collapsed="1" x14ac:dyDescent="0.2">
      <c r="A30" s="203">
        <f ca="1">IF($H30="UNIDADE CONSTRUTIVA",OFFSET(A30,-1,0)+1,LARGE(A$3:A28,1))</f>
        <v>0</v>
      </c>
      <c r="B30" s="203">
        <f t="shared" ca="1" si="0"/>
        <v>1</v>
      </c>
      <c r="C30" s="203">
        <f t="shared" ca="1" si="1"/>
        <v>1</v>
      </c>
      <c r="D30" s="204">
        <f t="shared" ca="1" si="2"/>
        <v>4</v>
      </c>
      <c r="E30" s="204">
        <f t="shared" ca="1" si="3"/>
        <v>0</v>
      </c>
      <c r="G30" s="206"/>
      <c r="H30" s="207" t="s">
        <v>211</v>
      </c>
      <c r="I30" s="208" t="str">
        <f t="shared" ca="1" si="4"/>
        <v>01.001.004</v>
      </c>
      <c r="J30" s="209" t="s">
        <v>344</v>
      </c>
      <c r="K30" s="210"/>
      <c r="L30" s="211"/>
      <c r="M30" s="211"/>
      <c r="N30" s="285">
        <f t="shared" ca="1" si="5"/>
        <v>177545.37562499999</v>
      </c>
      <c r="O30" s="212"/>
      <c r="P30" s="213"/>
    </row>
    <row r="31" spans="1:16" s="34" customFormat="1" ht="13.9" hidden="1" customHeight="1" outlineLevel="1" x14ac:dyDescent="0.2">
      <c r="A31" s="203">
        <f ca="1">IF($H31="UNIDADE CONSTRUTIVA",OFFSET(A31,-1,0)+1,LARGE(A$3:A30,1))</f>
        <v>0</v>
      </c>
      <c r="B31" s="203">
        <f t="shared" ca="1" si="0"/>
        <v>1</v>
      </c>
      <c r="C31" s="203">
        <f t="shared" ca="1" si="1"/>
        <v>1</v>
      </c>
      <c r="D31" s="204">
        <f t="shared" ca="1" si="2"/>
        <v>4</v>
      </c>
      <c r="E31" s="204">
        <f t="shared" ca="1" si="3"/>
        <v>1</v>
      </c>
      <c r="G31" s="206"/>
      <c r="H31" s="207" t="s">
        <v>212</v>
      </c>
      <c r="I31" s="208" t="str">
        <f t="shared" ca="1" si="4"/>
        <v>01.001.004.001</v>
      </c>
      <c r="J31" s="209" t="s">
        <v>345</v>
      </c>
      <c r="K31" s="210" t="s">
        <v>151</v>
      </c>
      <c r="L31" s="211">
        <v>1</v>
      </c>
      <c r="M31" s="211">
        <v>38456.655624999999</v>
      </c>
      <c r="N31" s="285">
        <f t="shared" si="5"/>
        <v>38456.655624999999</v>
      </c>
      <c r="O31" s="212" t="s">
        <v>393</v>
      </c>
      <c r="P31" s="213" t="s">
        <v>518</v>
      </c>
    </row>
    <row r="32" spans="1:16" s="34" customFormat="1" ht="13.9" hidden="1" customHeight="1" outlineLevel="1" x14ac:dyDescent="0.2">
      <c r="A32" s="203">
        <f ca="1">IF($H32="UNIDADE CONSTRUTIVA",OFFSET(A32,-1,0)+1,LARGE(A$3:A31,1))</f>
        <v>0</v>
      </c>
      <c r="B32" s="203">
        <f t="shared" ca="1" si="0"/>
        <v>1</v>
      </c>
      <c r="C32" s="203">
        <f t="shared" ca="1" si="1"/>
        <v>1</v>
      </c>
      <c r="D32" s="204">
        <f t="shared" ca="1" si="2"/>
        <v>4</v>
      </c>
      <c r="E32" s="204">
        <f t="shared" ca="1" si="3"/>
        <v>2</v>
      </c>
      <c r="G32" s="1000"/>
      <c r="H32" s="1001" t="s">
        <v>212</v>
      </c>
      <c r="I32" s="1002" t="str">
        <f t="shared" ca="1" si="4"/>
        <v>01.001.004.002</v>
      </c>
      <c r="J32" s="1003" t="s">
        <v>442</v>
      </c>
      <c r="K32" s="1004" t="s">
        <v>151</v>
      </c>
      <c r="L32" s="1005">
        <v>1</v>
      </c>
      <c r="M32" s="1005">
        <f>13000+126088.72</f>
        <v>139088.72</v>
      </c>
      <c r="N32" s="1006">
        <f t="shared" si="5"/>
        <v>139088.72</v>
      </c>
      <c r="O32" s="1007" t="s">
        <v>5009</v>
      </c>
      <c r="P32" s="213" t="s">
        <v>518</v>
      </c>
    </row>
    <row r="33" spans="1:16" s="34" customFormat="1" ht="13.9" customHeight="1" x14ac:dyDescent="0.2">
      <c r="A33" s="203">
        <f ca="1">IF($H33="UNIDADE CONSTRUTIVA",OFFSET(A33,-1,0)+1,LARGE(A$3:A32,1))</f>
        <v>0</v>
      </c>
      <c r="B33" s="203">
        <f t="shared" ca="1" si="0"/>
        <v>1</v>
      </c>
      <c r="C33" s="203">
        <f t="shared" ca="1" si="1"/>
        <v>2</v>
      </c>
      <c r="D33" s="204">
        <f t="shared" ca="1" si="2"/>
        <v>0</v>
      </c>
      <c r="E33" s="204">
        <f t="shared" ca="1" si="3"/>
        <v>2</v>
      </c>
      <c r="G33" s="206"/>
      <c r="H33" s="207" t="s">
        <v>210</v>
      </c>
      <c r="I33" s="208" t="str">
        <f t="shared" ca="1" si="4"/>
        <v>01.002</v>
      </c>
      <c r="J33" s="209" t="s">
        <v>346</v>
      </c>
      <c r="K33" s="210"/>
      <c r="L33" s="211"/>
      <c r="M33" s="211"/>
      <c r="N33" s="285">
        <f t="shared" ca="1" si="5"/>
        <v>1049719.2676491234</v>
      </c>
      <c r="O33" s="212"/>
      <c r="P33" s="213" t="s">
        <v>50</v>
      </c>
    </row>
    <row r="34" spans="1:16" s="34" customFormat="1" ht="13.9" customHeight="1" collapsed="1" x14ac:dyDescent="0.2">
      <c r="A34" s="203">
        <f ca="1">IF($H34="UNIDADE CONSTRUTIVA",OFFSET(A34,-1,0)+1,LARGE(A$3:A33,1))</f>
        <v>0</v>
      </c>
      <c r="B34" s="203">
        <f t="shared" ca="1" si="0"/>
        <v>1</v>
      </c>
      <c r="C34" s="203">
        <f t="shared" ca="1" si="1"/>
        <v>2</v>
      </c>
      <c r="D34" s="204">
        <f t="shared" ca="1" si="2"/>
        <v>1</v>
      </c>
      <c r="E34" s="204">
        <f t="shared" ca="1" si="3"/>
        <v>0</v>
      </c>
      <c r="G34" s="206"/>
      <c r="H34" s="207" t="s">
        <v>211</v>
      </c>
      <c r="I34" s="208" t="str">
        <f t="shared" ca="1" si="4"/>
        <v>01.002.001</v>
      </c>
      <c r="J34" s="209" t="s">
        <v>347</v>
      </c>
      <c r="K34" s="210"/>
      <c r="L34" s="211"/>
      <c r="M34" s="211"/>
      <c r="N34" s="285">
        <f t="shared" ca="1" si="5"/>
        <v>516230.93918700819</v>
      </c>
      <c r="O34" s="212"/>
      <c r="P34" s="213"/>
    </row>
    <row r="35" spans="1:16" s="34" customFormat="1" ht="13.9" hidden="1" customHeight="1" outlineLevel="1" x14ac:dyDescent="0.2">
      <c r="A35" s="203">
        <f ca="1">IF($H35="UNIDADE CONSTRUTIVA",OFFSET(A35,-1,0)+1,LARGE(A$3:A34,1))</f>
        <v>0</v>
      </c>
      <c r="B35" s="203">
        <f t="shared" ca="1" si="0"/>
        <v>1</v>
      </c>
      <c r="C35" s="203">
        <f t="shared" ca="1" si="1"/>
        <v>2</v>
      </c>
      <c r="D35" s="204">
        <f t="shared" ca="1" si="2"/>
        <v>1</v>
      </c>
      <c r="E35" s="204">
        <f t="shared" ca="1" si="3"/>
        <v>1</v>
      </c>
      <c r="G35" s="206"/>
      <c r="H35" s="207" t="s">
        <v>212</v>
      </c>
      <c r="I35" s="208" t="str">
        <f t="shared" ca="1" si="4"/>
        <v>01.002.001.001</v>
      </c>
      <c r="J35" s="209" t="s">
        <v>348</v>
      </c>
      <c r="K35" s="210" t="s">
        <v>151</v>
      </c>
      <c r="L35" s="211">
        <v>1</v>
      </c>
      <c r="M35" s="211">
        <v>29287.334721578834</v>
      </c>
      <c r="N35" s="285">
        <f t="shared" si="5"/>
        <v>29287.334721578834</v>
      </c>
      <c r="O35" s="212" t="s">
        <v>393</v>
      </c>
      <c r="P35" s="213" t="s">
        <v>196</v>
      </c>
    </row>
    <row r="36" spans="1:16" s="34" customFormat="1" ht="13.9" hidden="1" customHeight="1" outlineLevel="1" x14ac:dyDescent="0.2">
      <c r="A36" s="203">
        <f ca="1">IF($H36="UNIDADE CONSTRUTIVA",OFFSET(A36,-1,0)+1,LARGE(A$3:A35,1))</f>
        <v>0</v>
      </c>
      <c r="B36" s="203">
        <f t="shared" ca="1" si="0"/>
        <v>1</v>
      </c>
      <c r="C36" s="203">
        <f t="shared" ca="1" si="1"/>
        <v>2</v>
      </c>
      <c r="D36" s="204">
        <f t="shared" ca="1" si="2"/>
        <v>1</v>
      </c>
      <c r="E36" s="204">
        <f t="shared" ca="1" si="3"/>
        <v>2</v>
      </c>
      <c r="G36" s="206"/>
      <c r="H36" s="207" t="s">
        <v>212</v>
      </c>
      <c r="I36" s="208" t="str">
        <f t="shared" ca="1" si="4"/>
        <v>01.002.001.002</v>
      </c>
      <c r="J36" s="209" t="s">
        <v>349</v>
      </c>
      <c r="K36" s="210" t="s">
        <v>151</v>
      </c>
      <c r="L36" s="211">
        <v>1</v>
      </c>
      <c r="M36" s="211">
        <v>8368.8558966911532</v>
      </c>
      <c r="N36" s="285">
        <f t="shared" si="5"/>
        <v>8368.8558966911532</v>
      </c>
      <c r="O36" s="212" t="s">
        <v>393</v>
      </c>
      <c r="P36" s="213" t="s">
        <v>196</v>
      </c>
    </row>
    <row r="37" spans="1:16" s="34" customFormat="1" ht="13.9" hidden="1" customHeight="1" outlineLevel="1" x14ac:dyDescent="0.2">
      <c r="A37" s="203">
        <f ca="1">IF($H37="UNIDADE CONSTRUTIVA",OFFSET(A37,-1,0)+1,LARGE(A$3:A36,1))</f>
        <v>0</v>
      </c>
      <c r="B37" s="203">
        <f t="shared" ca="1" si="0"/>
        <v>1</v>
      </c>
      <c r="C37" s="203">
        <f t="shared" ca="1" si="1"/>
        <v>2</v>
      </c>
      <c r="D37" s="204">
        <f t="shared" ca="1" si="2"/>
        <v>1</v>
      </c>
      <c r="E37" s="204">
        <f t="shared" ca="1" si="3"/>
        <v>3</v>
      </c>
      <c r="G37" s="206"/>
      <c r="H37" s="207" t="s">
        <v>212</v>
      </c>
      <c r="I37" s="208" t="str">
        <f t="shared" ca="1" si="4"/>
        <v>01.002.001.003</v>
      </c>
      <c r="J37" s="209" t="s">
        <v>350</v>
      </c>
      <c r="K37" s="210" t="s">
        <v>151</v>
      </c>
      <c r="L37" s="211">
        <v>1</v>
      </c>
      <c r="M37" s="211">
        <v>32923.364524424578</v>
      </c>
      <c r="N37" s="285">
        <f t="shared" si="5"/>
        <v>32923.364524424578</v>
      </c>
      <c r="O37" s="212" t="s">
        <v>393</v>
      </c>
      <c r="P37" s="213" t="s">
        <v>196</v>
      </c>
    </row>
    <row r="38" spans="1:16" s="34" customFormat="1" ht="13.9" hidden="1" customHeight="1" outlineLevel="1" x14ac:dyDescent="0.2">
      <c r="A38" s="203">
        <f ca="1">IF($H38="UNIDADE CONSTRUTIVA",OFFSET(A38,-1,0)+1,LARGE(A$3:A37,1))</f>
        <v>0</v>
      </c>
      <c r="B38" s="203">
        <f t="shared" ca="1" si="0"/>
        <v>1</v>
      </c>
      <c r="C38" s="203">
        <f t="shared" ca="1" si="1"/>
        <v>2</v>
      </c>
      <c r="D38" s="204">
        <f t="shared" ca="1" si="2"/>
        <v>1</v>
      </c>
      <c r="E38" s="204">
        <f t="shared" ca="1" si="3"/>
        <v>4</v>
      </c>
      <c r="G38" s="206"/>
      <c r="H38" s="207" t="s">
        <v>212</v>
      </c>
      <c r="I38" s="208" t="str">
        <f t="shared" ca="1" si="4"/>
        <v>01.002.001.004</v>
      </c>
      <c r="J38" s="209" t="s">
        <v>351</v>
      </c>
      <c r="K38" s="210" t="s">
        <v>151</v>
      </c>
      <c r="L38" s="211">
        <v>1</v>
      </c>
      <c r="M38" s="211">
        <v>2619.0835755961475</v>
      </c>
      <c r="N38" s="285">
        <f t="shared" si="5"/>
        <v>2619.0835755961475</v>
      </c>
      <c r="O38" s="212" t="s">
        <v>393</v>
      </c>
      <c r="P38" s="213" t="s">
        <v>196</v>
      </c>
    </row>
    <row r="39" spans="1:16" s="34" customFormat="1" ht="13.9" hidden="1" customHeight="1" outlineLevel="1" x14ac:dyDescent="0.2">
      <c r="A39" s="203">
        <f ca="1">IF($H39="UNIDADE CONSTRUTIVA",OFFSET(A39,-1,0)+1,LARGE(A$3:A38,1))</f>
        <v>0</v>
      </c>
      <c r="B39" s="203">
        <f t="shared" ca="1" si="0"/>
        <v>1</v>
      </c>
      <c r="C39" s="203">
        <f t="shared" ca="1" si="1"/>
        <v>2</v>
      </c>
      <c r="D39" s="204">
        <f t="shared" ca="1" si="2"/>
        <v>1</v>
      </c>
      <c r="E39" s="204">
        <f t="shared" ca="1" si="3"/>
        <v>5</v>
      </c>
      <c r="G39" s="206"/>
      <c r="H39" s="207" t="s">
        <v>212</v>
      </c>
      <c r="I39" s="208" t="str">
        <f t="shared" ca="1" si="4"/>
        <v>01.002.001.005</v>
      </c>
      <c r="J39" s="209" t="s">
        <v>352</v>
      </c>
      <c r="K39" s="210" t="s">
        <v>151</v>
      </c>
      <c r="L39" s="211">
        <v>1</v>
      </c>
      <c r="M39" s="211">
        <v>18403.977959444783</v>
      </c>
      <c r="N39" s="285">
        <f t="shared" si="5"/>
        <v>18403.977959444783</v>
      </c>
      <c r="O39" s="212" t="s">
        <v>393</v>
      </c>
      <c r="P39" s="213" t="s">
        <v>196</v>
      </c>
    </row>
    <row r="40" spans="1:16" s="34" customFormat="1" ht="13.9" hidden="1" customHeight="1" outlineLevel="1" x14ac:dyDescent="0.2">
      <c r="A40" s="203">
        <f ca="1">IF($H40="UNIDADE CONSTRUTIVA",OFFSET(A40,-1,0)+1,LARGE(A$3:A39,1))</f>
        <v>0</v>
      </c>
      <c r="B40" s="203">
        <f t="shared" ca="1" si="0"/>
        <v>1</v>
      </c>
      <c r="C40" s="203">
        <f t="shared" ca="1" si="1"/>
        <v>2</v>
      </c>
      <c r="D40" s="204">
        <f t="shared" ca="1" si="2"/>
        <v>1</v>
      </c>
      <c r="E40" s="204">
        <f t="shared" ca="1" si="3"/>
        <v>6</v>
      </c>
      <c r="G40" s="206"/>
      <c r="H40" s="207" t="s">
        <v>212</v>
      </c>
      <c r="I40" s="208" t="str">
        <f t="shared" ca="1" si="4"/>
        <v>01.002.001.006</v>
      </c>
      <c r="J40" s="209" t="s">
        <v>353</v>
      </c>
      <c r="K40" s="210" t="s">
        <v>151</v>
      </c>
      <c r="L40" s="211">
        <v>1</v>
      </c>
      <c r="M40" s="211">
        <v>11485.69682631622</v>
      </c>
      <c r="N40" s="285">
        <f t="shared" ref="N40:N71" si="6">IF(H40="Serviço",M40*L40,IF(H40="CÉLULA CONSTRUTIVA",SUMIFS($N$8:$N$420,$B$8:$B$420,B40,$H$8:$H$420,"Serviço"),IF(H40="ETAPA",SUMIFS($N$8:$N$420,$B$8:$B$420,B40,$C$8:$C$420,C40,$H$8:$H$420,"Serviço"),IF(H40="SUBETAPA",SUMIFS($N$8:$N$420,$B$8:$B$420,B40,$C$8:$C$420,C40,$D$8:$D$420,D40,$H$8:$H$420,"Serviço"),0))))</f>
        <v>11485.69682631622</v>
      </c>
      <c r="O40" s="212" t="s">
        <v>393</v>
      </c>
      <c r="P40" s="213" t="s">
        <v>196</v>
      </c>
    </row>
    <row r="41" spans="1:16" s="34" customFormat="1" ht="13.9" hidden="1" customHeight="1" outlineLevel="1" x14ac:dyDescent="0.2">
      <c r="A41" s="203">
        <f ca="1">IF($H41="UNIDADE CONSTRUTIVA",OFFSET(A41,-1,0)+1,LARGE(A$3:A40,1))</f>
        <v>0</v>
      </c>
      <c r="B41" s="203">
        <f t="shared" ca="1" si="0"/>
        <v>1</v>
      </c>
      <c r="C41" s="203">
        <f t="shared" ca="1" si="1"/>
        <v>2</v>
      </c>
      <c r="D41" s="204">
        <f t="shared" ca="1" si="2"/>
        <v>1</v>
      </c>
      <c r="E41" s="204">
        <f t="shared" ca="1" si="3"/>
        <v>7</v>
      </c>
      <c r="G41" s="206"/>
      <c r="H41" s="207" t="s">
        <v>212</v>
      </c>
      <c r="I41" s="208" t="str">
        <f t="shared" ca="1" si="4"/>
        <v>01.002.001.007</v>
      </c>
      <c r="J41" s="209" t="s">
        <v>354</v>
      </c>
      <c r="K41" s="210" t="s">
        <v>151</v>
      </c>
      <c r="L41" s="211">
        <v>1</v>
      </c>
      <c r="M41" s="211">
        <v>4775.1089219965488</v>
      </c>
      <c r="N41" s="285">
        <f t="shared" si="6"/>
        <v>4775.1089219965488</v>
      </c>
      <c r="O41" s="212" t="s">
        <v>393</v>
      </c>
      <c r="P41" s="213" t="s">
        <v>196</v>
      </c>
    </row>
    <row r="42" spans="1:16" s="34" customFormat="1" ht="13.9" hidden="1" customHeight="1" outlineLevel="1" x14ac:dyDescent="0.2">
      <c r="A42" s="203">
        <f ca="1">IF($H42="UNIDADE CONSTRUTIVA",OFFSET(A42,-1,0)+1,LARGE(A$3:A41,1))</f>
        <v>0</v>
      </c>
      <c r="B42" s="203">
        <f t="shared" ca="1" si="0"/>
        <v>1</v>
      </c>
      <c r="C42" s="203">
        <f t="shared" ca="1" si="1"/>
        <v>2</v>
      </c>
      <c r="D42" s="204">
        <f t="shared" ca="1" si="2"/>
        <v>1</v>
      </c>
      <c r="E42" s="204">
        <f t="shared" ca="1" si="3"/>
        <v>8</v>
      </c>
      <c r="G42" s="206"/>
      <c r="H42" s="207" t="s">
        <v>212</v>
      </c>
      <c r="I42" s="208" t="str">
        <f t="shared" ca="1" si="4"/>
        <v>01.002.001.008</v>
      </c>
      <c r="J42" s="209" t="s">
        <v>355</v>
      </c>
      <c r="K42" s="210" t="s">
        <v>151</v>
      </c>
      <c r="L42" s="211">
        <v>1</v>
      </c>
      <c r="M42" s="211">
        <v>51010.066930858942</v>
      </c>
      <c r="N42" s="285">
        <f t="shared" si="6"/>
        <v>51010.066930858942</v>
      </c>
      <c r="O42" s="212" t="s">
        <v>393</v>
      </c>
      <c r="P42" s="213" t="s">
        <v>196</v>
      </c>
    </row>
    <row r="43" spans="1:16" s="34" customFormat="1" ht="13.9" hidden="1" customHeight="1" outlineLevel="1" x14ac:dyDescent="0.2">
      <c r="A43" s="203">
        <f ca="1">IF($H43="UNIDADE CONSTRUTIVA",OFFSET(A43,-1,0)+1,LARGE(A$3:A42,1))</f>
        <v>0</v>
      </c>
      <c r="B43" s="203">
        <f t="shared" ca="1" si="0"/>
        <v>1</v>
      </c>
      <c r="C43" s="203">
        <f t="shared" ca="1" si="1"/>
        <v>2</v>
      </c>
      <c r="D43" s="204">
        <f t="shared" ca="1" si="2"/>
        <v>1</v>
      </c>
      <c r="E43" s="204">
        <f t="shared" ca="1" si="3"/>
        <v>9</v>
      </c>
      <c r="G43" s="206"/>
      <c r="H43" s="207" t="s">
        <v>212</v>
      </c>
      <c r="I43" s="208" t="str">
        <f t="shared" ca="1" si="4"/>
        <v>01.002.001.009</v>
      </c>
      <c r="J43" s="209" t="s">
        <v>356</v>
      </c>
      <c r="K43" s="210" t="s">
        <v>151</v>
      </c>
      <c r="L43" s="211">
        <v>1</v>
      </c>
      <c r="M43" s="211">
        <v>54830.619723063493</v>
      </c>
      <c r="N43" s="285">
        <f t="shared" si="6"/>
        <v>54830.619723063493</v>
      </c>
      <c r="O43" s="212" t="s">
        <v>393</v>
      </c>
      <c r="P43" s="213" t="s">
        <v>196</v>
      </c>
    </row>
    <row r="44" spans="1:16" s="34" customFormat="1" ht="13.9" hidden="1" customHeight="1" outlineLevel="1" x14ac:dyDescent="0.2">
      <c r="A44" s="203">
        <f ca="1">IF($H44="UNIDADE CONSTRUTIVA",OFFSET(A44,-1,0)+1,LARGE(A$3:A43,1))</f>
        <v>0</v>
      </c>
      <c r="B44" s="203">
        <f t="shared" ca="1" si="0"/>
        <v>1</v>
      </c>
      <c r="C44" s="203">
        <f t="shared" ca="1" si="1"/>
        <v>2</v>
      </c>
      <c r="D44" s="204">
        <f t="shared" ca="1" si="2"/>
        <v>1</v>
      </c>
      <c r="E44" s="204">
        <f t="shared" ca="1" si="3"/>
        <v>10</v>
      </c>
      <c r="G44" s="206"/>
      <c r="H44" s="207" t="s">
        <v>212</v>
      </c>
      <c r="I44" s="208" t="str">
        <f t="shared" ca="1" si="4"/>
        <v>01.002.001.010</v>
      </c>
      <c r="J44" s="209" t="s">
        <v>357</v>
      </c>
      <c r="K44" s="210" t="s">
        <v>151</v>
      </c>
      <c r="L44" s="211">
        <v>1</v>
      </c>
      <c r="M44" s="211">
        <v>70034.930855949395</v>
      </c>
      <c r="N44" s="285">
        <f t="shared" si="6"/>
        <v>70034.930855949395</v>
      </c>
      <c r="O44" s="212" t="s">
        <v>393</v>
      </c>
      <c r="P44" s="213" t="s">
        <v>196</v>
      </c>
    </row>
    <row r="45" spans="1:16" s="34" customFormat="1" ht="13.9" hidden="1" customHeight="1" outlineLevel="1" x14ac:dyDescent="0.2">
      <c r="A45" s="203">
        <f ca="1">IF($H45="UNIDADE CONSTRUTIVA",OFFSET(A45,-1,0)+1,LARGE(A$3:A44,1))</f>
        <v>0</v>
      </c>
      <c r="B45" s="203">
        <f t="shared" ca="1" si="0"/>
        <v>1</v>
      </c>
      <c r="C45" s="203">
        <f t="shared" ca="1" si="1"/>
        <v>2</v>
      </c>
      <c r="D45" s="204">
        <f t="shared" ca="1" si="2"/>
        <v>1</v>
      </c>
      <c r="E45" s="204">
        <f t="shared" ca="1" si="3"/>
        <v>11</v>
      </c>
      <c r="G45" s="206"/>
      <c r="H45" s="207" t="s">
        <v>212</v>
      </c>
      <c r="I45" s="208" t="str">
        <f t="shared" ca="1" si="4"/>
        <v>01.002.001.011</v>
      </c>
      <c r="J45" s="209" t="s">
        <v>358</v>
      </c>
      <c r="K45" s="210" t="s">
        <v>151</v>
      </c>
      <c r="L45" s="211">
        <v>1</v>
      </c>
      <c r="M45" s="211">
        <v>34795.119251088116</v>
      </c>
      <c r="N45" s="285">
        <f t="shared" si="6"/>
        <v>34795.119251088116</v>
      </c>
      <c r="O45" s="212" t="s">
        <v>393</v>
      </c>
      <c r="P45" s="213" t="s">
        <v>196</v>
      </c>
    </row>
    <row r="46" spans="1:16" s="34" customFormat="1" ht="13.9" hidden="1" customHeight="1" outlineLevel="1" x14ac:dyDescent="0.2">
      <c r="A46" s="203">
        <f ca="1">IF($H46="UNIDADE CONSTRUTIVA",OFFSET(A46,-1,0)+1,LARGE(A$3:A45,1))</f>
        <v>0</v>
      </c>
      <c r="B46" s="203">
        <f ca="1">IF(H46="UNIDADE CONSTRUTIVA",0,IF(H46="CÉLULA CONSTRUTIVA",OFFSET(B46,-1,0)+1,OFFSET(B46,-1,0)))</f>
        <v>1</v>
      </c>
      <c r="C46" s="203">
        <f ca="1">IF(H46="CÉLULA CONSTRUTIVA",0,IF(H46="ETAPA",OFFSET(C46,-1,0)+1,OFFSET(C46,-1,0)))</f>
        <v>2</v>
      </c>
      <c r="D46" s="204">
        <f ca="1">IF(H46="ETAPA",0,IF(H46="SUBETAPA",OFFSET(D46,-1,0)+1,OFFSET(D46,-1,0)))</f>
        <v>1</v>
      </c>
      <c r="E46" s="204">
        <f ca="1">IF(H46="Subetapa",0,IF(H46="serviço",OFFSET(E46,-1,0)+1,OFFSET(E46,-1,0)))</f>
        <v>12</v>
      </c>
      <c r="G46" s="1000"/>
      <c r="H46" s="1001" t="s">
        <v>212</v>
      </c>
      <c r="I46" s="1002" t="str">
        <f ca="1">IF(H46="Unidade Construtiva",TEXT(A46,"00"),IF(H46="Célula Construtiva",TEXT(B46,"00"),IF(H46="Etapa",CONCATENATE(TEXT(B46,"00"),".",TEXT(C46,"000")),IF(H46="Subetapa",CONCATENATE(TEXT(B46,"00"),".",TEXT(C46,"000"),".",TEXT(D46,"000")),IF(H46="Serviço",CONCATENATE(TEXT(B46,"00"),".",TEXT(C46,"000"),".",TEXT(D46,"000"),".",TEXT(E46,"000")),"")))))</f>
        <v>01.002.001.012</v>
      </c>
      <c r="J46" s="1003" t="s">
        <v>5011</v>
      </c>
      <c r="K46" s="1004" t="s">
        <v>151</v>
      </c>
      <c r="L46" s="1005">
        <v>1</v>
      </c>
      <c r="M46" s="1005">
        <v>197696.78</v>
      </c>
      <c r="N46" s="1006">
        <f t="shared" si="6"/>
        <v>197696.78</v>
      </c>
      <c r="O46" s="1007" t="s">
        <v>5009</v>
      </c>
      <c r="P46" s="213" t="s">
        <v>196</v>
      </c>
    </row>
    <row r="47" spans="1:16" s="34" customFormat="1" ht="13.9" customHeight="1" collapsed="1" x14ac:dyDescent="0.2">
      <c r="A47" s="203">
        <f ca="1">IF($H47="UNIDADE CONSTRUTIVA",OFFSET(A47,-1,0)+1,LARGE(A$3:A45,1))</f>
        <v>0</v>
      </c>
      <c r="B47" s="203">
        <f t="shared" ca="1" si="0"/>
        <v>1</v>
      </c>
      <c r="C47" s="203">
        <f t="shared" ca="1" si="1"/>
        <v>2</v>
      </c>
      <c r="D47" s="204">
        <f t="shared" ca="1" si="2"/>
        <v>2</v>
      </c>
      <c r="E47" s="204">
        <f t="shared" ca="1" si="3"/>
        <v>0</v>
      </c>
      <c r="G47" s="206"/>
      <c r="H47" s="207" t="s">
        <v>211</v>
      </c>
      <c r="I47" s="208" t="str">
        <f t="shared" ca="1" si="4"/>
        <v>01.002.002</v>
      </c>
      <c r="J47" s="209" t="s">
        <v>359</v>
      </c>
      <c r="K47" s="210"/>
      <c r="L47" s="211"/>
      <c r="M47" s="211"/>
      <c r="N47" s="285">
        <f t="shared" ca="1" si="6"/>
        <v>533488.32846211514</v>
      </c>
      <c r="O47" s="212"/>
      <c r="P47" s="213"/>
    </row>
    <row r="48" spans="1:16" s="34" customFormat="1" ht="13.9" hidden="1" customHeight="1" outlineLevel="1" x14ac:dyDescent="0.2">
      <c r="A48" s="203">
        <f ca="1">IF($H48="UNIDADE CONSTRUTIVA",OFFSET(A48,-1,0)+1,LARGE(A$3:A47,1))</f>
        <v>0</v>
      </c>
      <c r="B48" s="203">
        <f t="shared" ca="1" si="0"/>
        <v>1</v>
      </c>
      <c r="C48" s="203">
        <f t="shared" ca="1" si="1"/>
        <v>2</v>
      </c>
      <c r="D48" s="204">
        <f t="shared" ca="1" si="2"/>
        <v>2</v>
      </c>
      <c r="E48" s="204">
        <f t="shared" ca="1" si="3"/>
        <v>1</v>
      </c>
      <c r="G48" s="206"/>
      <c r="H48" s="207" t="s">
        <v>212</v>
      </c>
      <c r="I48" s="208" t="str">
        <f t="shared" ca="1" si="4"/>
        <v>01.002.002.001</v>
      </c>
      <c r="J48" s="209" t="s">
        <v>360</v>
      </c>
      <c r="K48" s="210" t="s">
        <v>151</v>
      </c>
      <c r="L48" s="211">
        <v>1</v>
      </c>
      <c r="M48" s="211">
        <v>43366.197187986312</v>
      </c>
      <c r="N48" s="285">
        <f t="shared" si="6"/>
        <v>43366.197187986312</v>
      </c>
      <c r="O48" s="212" t="s">
        <v>393</v>
      </c>
      <c r="P48" s="213" t="s">
        <v>196</v>
      </c>
    </row>
    <row r="49" spans="1:16" s="34" customFormat="1" ht="13.9" hidden="1" customHeight="1" outlineLevel="1" x14ac:dyDescent="0.2">
      <c r="A49" s="203">
        <f ca="1">IF($H49="UNIDADE CONSTRUTIVA",OFFSET(A49,-1,0)+1,LARGE(A$3:A48,1))</f>
        <v>0</v>
      </c>
      <c r="B49" s="203">
        <f t="shared" ca="1" si="0"/>
        <v>1</v>
      </c>
      <c r="C49" s="203">
        <f t="shared" ca="1" si="1"/>
        <v>2</v>
      </c>
      <c r="D49" s="204">
        <f t="shared" ca="1" si="2"/>
        <v>2</v>
      </c>
      <c r="E49" s="204">
        <f t="shared" ca="1" si="3"/>
        <v>2</v>
      </c>
      <c r="G49" s="206"/>
      <c r="H49" s="207" t="s">
        <v>212</v>
      </c>
      <c r="I49" s="208" t="str">
        <f t="shared" ca="1" si="4"/>
        <v>01.002.002.002</v>
      </c>
      <c r="J49" s="209" t="s">
        <v>361</v>
      </c>
      <c r="K49" s="210" t="s">
        <v>151</v>
      </c>
      <c r="L49" s="211">
        <v>1</v>
      </c>
      <c r="M49" s="211">
        <v>14914.771274128867</v>
      </c>
      <c r="N49" s="285">
        <f t="shared" si="6"/>
        <v>14914.771274128867</v>
      </c>
      <c r="O49" s="212" t="s">
        <v>393</v>
      </c>
      <c r="P49" s="213" t="s">
        <v>196</v>
      </c>
    </row>
    <row r="50" spans="1:16" s="34" customFormat="1" ht="13.9" hidden="1" customHeight="1" outlineLevel="1" x14ac:dyDescent="0.2">
      <c r="A50" s="203">
        <f ca="1">IF($H50="UNIDADE CONSTRUTIVA",OFFSET(A50,-1,0)+1,LARGE(A$3:A49,1))</f>
        <v>0</v>
      </c>
      <c r="B50" s="203">
        <f ca="1">IF(H50="UNIDADE CONSTRUTIVA",0,IF(H50="CÉLULA CONSTRUTIVA",OFFSET(B50,-1,0)+1,OFFSET(B50,-1,0)))</f>
        <v>1</v>
      </c>
      <c r="C50" s="203">
        <f ca="1">IF(H50="CÉLULA CONSTRUTIVA",0,IF(H50="ETAPA",OFFSET(C50,-1,0)+1,OFFSET(C50,-1,0)))</f>
        <v>2</v>
      </c>
      <c r="D50" s="204">
        <f ca="1">IF(H50="ETAPA",0,IF(H50="SUBETAPA",OFFSET(D50,-1,0)+1,OFFSET(D50,-1,0)))</f>
        <v>2</v>
      </c>
      <c r="E50" s="204">
        <f ca="1">IF(H50="Subetapa",0,IF(H50="serviço",OFFSET(E50,-1,0)+1,OFFSET(E50,-1,0)))</f>
        <v>3</v>
      </c>
      <c r="G50" s="1000"/>
      <c r="H50" s="1001" t="s">
        <v>212</v>
      </c>
      <c r="I50" s="1002" t="str">
        <f ca="1">IF(H50="Unidade Construtiva",TEXT(A50,"00"),IF(H50="Célula Construtiva",TEXT(B50,"00"),IF(H50="Etapa",CONCATENATE(TEXT(B50,"00"),".",TEXT(C50,"000")),IF(H50="Subetapa",CONCATENATE(TEXT(B50,"00"),".",TEXT(C50,"000"),".",TEXT(D50,"000")),IF(H50="Serviço",CONCATENATE(TEXT(B50,"00"),".",TEXT(C50,"000"),".",TEXT(D50,"000"),".",TEXT(E50,"000")),"")))))</f>
        <v>01.002.002.003</v>
      </c>
      <c r="J50" s="1003" t="s">
        <v>5010</v>
      </c>
      <c r="K50" s="1004" t="s">
        <v>2</v>
      </c>
      <c r="L50" s="1005">
        <v>90</v>
      </c>
      <c r="M50" s="1005">
        <v>1600</v>
      </c>
      <c r="N50" s="1006">
        <f t="shared" si="6"/>
        <v>144000</v>
      </c>
      <c r="O50" s="1007" t="s">
        <v>5009</v>
      </c>
      <c r="P50" s="213" t="s">
        <v>196</v>
      </c>
    </row>
    <row r="51" spans="1:16" s="34" customFormat="1" ht="13.9" hidden="1" customHeight="1" outlineLevel="1" x14ac:dyDescent="0.2">
      <c r="A51" s="203">
        <f ca="1">IF($H51="UNIDADE CONSTRUTIVA",OFFSET(A51,-1,0)+1,LARGE(A$3:A47,1))</f>
        <v>0</v>
      </c>
      <c r="B51" s="203">
        <f ca="1">IF(H51="UNIDADE CONSTRUTIVA",0,IF(H51="CÉLULA CONSTRUTIVA",OFFSET(B51,-1,0)+1,OFFSET(B51,-1,0)))</f>
        <v>1</v>
      </c>
      <c r="C51" s="203">
        <f ca="1">IF(H51="CÉLULA CONSTRUTIVA",0,IF(H51="ETAPA",OFFSET(C51,-1,0)+1,OFFSET(C51,-1,0)))</f>
        <v>2</v>
      </c>
      <c r="D51" s="204">
        <f ca="1">IF(H51="ETAPA",0,IF(H51="SUBETAPA",OFFSET(D51,-1,0)+1,OFFSET(D51,-1,0)))</f>
        <v>2</v>
      </c>
      <c r="E51" s="204">
        <f ca="1">IF(H51="Subetapa",0,IF(H51="serviço",OFFSET(E51,-1,0)+1,OFFSET(E51,-1,0)))</f>
        <v>4</v>
      </c>
      <c r="G51" s="1000"/>
      <c r="H51" s="1001" t="s">
        <v>212</v>
      </c>
      <c r="I51" s="1002" t="str">
        <f ca="1">IF(H51="Unidade Construtiva",TEXT(A51,"00"),IF(H51="Célula Construtiva",TEXT(B51,"00"),IF(H51="Etapa",CONCATENATE(TEXT(B51,"00"),".",TEXT(C51,"000")),IF(H51="Subetapa",CONCATENATE(TEXT(B51,"00"),".",TEXT(C51,"000"),".",TEXT(D51,"000")),IF(H51="Serviço",CONCATENATE(TEXT(B51,"00"),".",TEXT(C51,"000"),".",TEXT(D51,"000"),".",TEXT(E51,"000")),"")))))</f>
        <v>01.002.002.004</v>
      </c>
      <c r="J51" s="1003" t="s">
        <v>5046</v>
      </c>
      <c r="K51" s="1004" t="s">
        <v>151</v>
      </c>
      <c r="L51" s="1005">
        <v>1</v>
      </c>
      <c r="M51" s="1005">
        <v>304741.36</v>
      </c>
      <c r="N51" s="1006">
        <f t="shared" si="6"/>
        <v>304741.36</v>
      </c>
      <c r="O51" s="1007" t="s">
        <v>5009</v>
      </c>
      <c r="P51" s="213" t="s">
        <v>196</v>
      </c>
    </row>
    <row r="52" spans="1:16" s="34" customFormat="1" ht="13.9" hidden="1" customHeight="1" outlineLevel="1" x14ac:dyDescent="0.2">
      <c r="A52" s="203">
        <f ca="1">IF($H52="UNIDADE CONSTRUTIVA",OFFSET(A52,-1,0)+1,LARGE(A$3:A48,1))</f>
        <v>0</v>
      </c>
      <c r="B52" s="203">
        <f ca="1">IF(H52="UNIDADE CONSTRUTIVA",0,IF(H52="CÉLULA CONSTRUTIVA",OFFSET(B52,-1,0)+1,OFFSET(B52,-1,0)))</f>
        <v>1</v>
      </c>
      <c r="C52" s="203">
        <f ca="1">IF(H52="CÉLULA CONSTRUTIVA",0,IF(H52="ETAPA",OFFSET(C52,-1,0)+1,OFFSET(C52,-1,0)))</f>
        <v>2</v>
      </c>
      <c r="D52" s="204">
        <f ca="1">IF(H52="ETAPA",0,IF(H52="SUBETAPA",OFFSET(D52,-1,0)+1,OFFSET(D52,-1,0)))</f>
        <v>2</v>
      </c>
      <c r="E52" s="204">
        <f ca="1">IF(H52="Subetapa",0,IF(H52="serviço",OFFSET(E52,-1,0)+1,OFFSET(E52,-1,0)))</f>
        <v>5</v>
      </c>
      <c r="G52" s="1000"/>
      <c r="H52" s="1001" t="s">
        <v>212</v>
      </c>
      <c r="I52" s="1002" t="str">
        <f ca="1">IF(H52="Unidade Construtiva",TEXT(A52,"00"),IF(H52="Célula Construtiva",TEXT(B52,"00"),IF(H52="Etapa",CONCATENATE(TEXT(B52,"00"),".",TEXT(C52,"000")),IF(H52="Subetapa",CONCATENATE(TEXT(B52,"00"),".",TEXT(C52,"000"),".",TEXT(D52,"000")),IF(H52="Serviço",CONCATENATE(TEXT(B52,"00"),".",TEXT(C52,"000"),".",TEXT(D52,"000"),".",TEXT(E52,"000")),"")))))</f>
        <v>01.002.002.005</v>
      </c>
      <c r="J52" s="1003" t="s">
        <v>5012</v>
      </c>
      <c r="K52" s="1004" t="s">
        <v>151</v>
      </c>
      <c r="L52" s="1005">
        <v>1</v>
      </c>
      <c r="M52" s="1005">
        <v>26466</v>
      </c>
      <c r="N52" s="1006">
        <f t="shared" si="6"/>
        <v>26466</v>
      </c>
      <c r="O52" s="1007" t="s">
        <v>5009</v>
      </c>
      <c r="P52" s="213" t="s">
        <v>196</v>
      </c>
    </row>
    <row r="53" spans="1:16" s="34" customFormat="1" ht="13.9" customHeight="1" x14ac:dyDescent="0.2">
      <c r="A53" s="203">
        <f ca="1">IF($H53="UNIDADE CONSTRUTIVA",OFFSET(A53,-1,0)+1,LARGE(A$3:A49,1))</f>
        <v>0</v>
      </c>
      <c r="B53" s="203">
        <f t="shared" ca="1" si="0"/>
        <v>2</v>
      </c>
      <c r="C53" s="203">
        <f t="shared" ca="1" si="1"/>
        <v>0</v>
      </c>
      <c r="D53" s="204">
        <f t="shared" ca="1" si="2"/>
        <v>2</v>
      </c>
      <c r="E53" s="204">
        <f t="shared" ca="1" si="3"/>
        <v>5</v>
      </c>
      <c r="G53" s="206"/>
      <c r="H53" s="207" t="s">
        <v>209</v>
      </c>
      <c r="I53" s="547" t="str">
        <f t="shared" ca="1" si="4"/>
        <v>02</v>
      </c>
      <c r="J53" s="209" t="s">
        <v>326</v>
      </c>
      <c r="K53" s="210"/>
      <c r="L53" s="211"/>
      <c r="M53" s="211"/>
      <c r="N53" s="285">
        <f t="shared" ca="1" si="6"/>
        <v>1628436.7345841757</v>
      </c>
      <c r="O53" s="212"/>
      <c r="P53" s="213"/>
    </row>
    <row r="54" spans="1:16" s="34" customFormat="1" ht="13.9" customHeight="1" x14ac:dyDescent="0.2">
      <c r="A54" s="203">
        <f ca="1">IF($H54="UNIDADE CONSTRUTIVA",OFFSET(A54,-1,0)+1,LARGE(A$3:A53,1))</f>
        <v>0</v>
      </c>
      <c r="B54" s="203">
        <f t="shared" ca="1" si="0"/>
        <v>2</v>
      </c>
      <c r="C54" s="203">
        <f t="shared" ca="1" si="1"/>
        <v>1</v>
      </c>
      <c r="D54" s="204">
        <f t="shared" ca="1" si="2"/>
        <v>0</v>
      </c>
      <c r="E54" s="204">
        <f t="shared" ca="1" si="3"/>
        <v>5</v>
      </c>
      <c r="G54" s="206"/>
      <c r="H54" s="207" t="s">
        <v>210</v>
      </c>
      <c r="I54" s="208" t="str">
        <f t="shared" ca="1" si="4"/>
        <v>02.001</v>
      </c>
      <c r="J54" s="209" t="s">
        <v>362</v>
      </c>
      <c r="K54" s="210"/>
      <c r="L54" s="211"/>
      <c r="M54" s="211"/>
      <c r="N54" s="285">
        <f t="shared" ca="1" si="6"/>
        <v>471877.49070610397</v>
      </c>
      <c r="O54" s="212"/>
      <c r="P54" s="213"/>
    </row>
    <row r="55" spans="1:16" s="34" customFormat="1" ht="13.9" customHeight="1" collapsed="1" x14ac:dyDescent="0.2">
      <c r="A55" s="203">
        <f ca="1">IF($H55="UNIDADE CONSTRUTIVA",OFFSET(A55,-1,0)+1,LARGE(A$3:A54,1))</f>
        <v>0</v>
      </c>
      <c r="B55" s="203">
        <f t="shared" ca="1" si="0"/>
        <v>2</v>
      </c>
      <c r="C55" s="203">
        <f t="shared" ca="1" si="1"/>
        <v>1</v>
      </c>
      <c r="D55" s="204">
        <f t="shared" ca="1" si="2"/>
        <v>1</v>
      </c>
      <c r="E55" s="204">
        <f t="shared" ca="1" si="3"/>
        <v>0</v>
      </c>
      <c r="G55" s="206"/>
      <c r="H55" s="207" t="s">
        <v>211</v>
      </c>
      <c r="I55" s="208" t="str">
        <f t="shared" ca="1" si="4"/>
        <v>02.001.001</v>
      </c>
      <c r="J55" s="209" t="s">
        <v>363</v>
      </c>
      <c r="K55" s="210"/>
      <c r="L55" s="211"/>
      <c r="M55" s="211"/>
      <c r="N55" s="285">
        <f t="shared" ca="1" si="6"/>
        <v>96344.64315396524</v>
      </c>
      <c r="O55" s="212"/>
      <c r="P55" s="213"/>
    </row>
    <row r="56" spans="1:16" s="34" customFormat="1" ht="13.9" hidden="1" customHeight="1" outlineLevel="1" x14ac:dyDescent="0.2">
      <c r="A56" s="203">
        <f ca="1">IF($H56="UNIDADE CONSTRUTIVA",OFFSET(A56,-1,0)+1,LARGE(A$3:A55,1))</f>
        <v>0</v>
      </c>
      <c r="B56" s="203">
        <f t="shared" ca="1" si="0"/>
        <v>2</v>
      </c>
      <c r="C56" s="203">
        <f t="shared" ca="1" si="1"/>
        <v>1</v>
      </c>
      <c r="D56" s="204">
        <f t="shared" ca="1" si="2"/>
        <v>1</v>
      </c>
      <c r="E56" s="204">
        <f t="shared" ca="1" si="3"/>
        <v>1</v>
      </c>
      <c r="G56" s="206"/>
      <c r="H56" s="207" t="s">
        <v>212</v>
      </c>
      <c r="I56" s="208" t="str">
        <f t="shared" ca="1" si="4"/>
        <v>02.001.001.001</v>
      </c>
      <c r="J56" s="209" t="s">
        <v>364</v>
      </c>
      <c r="K56" s="210" t="s">
        <v>365</v>
      </c>
      <c r="L56" s="211">
        <f>'Obra '!E7</f>
        <v>36</v>
      </c>
      <c r="M56" s="211">
        <v>1329.0178653879236</v>
      </c>
      <c r="N56" s="285">
        <f t="shared" si="6"/>
        <v>47844.643153965248</v>
      </c>
      <c r="O56" s="212" t="s">
        <v>393</v>
      </c>
      <c r="P56" s="213" t="s">
        <v>518</v>
      </c>
    </row>
    <row r="57" spans="1:16" s="34" customFormat="1" ht="13.9" hidden="1" customHeight="1" outlineLevel="1" x14ac:dyDescent="0.2">
      <c r="A57" s="203">
        <f ca="1">IF($H57="UNIDADE CONSTRUTIVA",OFFSET(A57,-1,0)+1,LARGE(A$3:A56,1))</f>
        <v>0</v>
      </c>
      <c r="B57" s="203">
        <f t="shared" ca="1" si="0"/>
        <v>2</v>
      </c>
      <c r="C57" s="203">
        <f t="shared" ca="1" si="1"/>
        <v>1</v>
      </c>
      <c r="D57" s="204">
        <f t="shared" ca="1" si="2"/>
        <v>1</v>
      </c>
      <c r="E57" s="204">
        <f t="shared" ca="1" si="3"/>
        <v>2</v>
      </c>
      <c r="G57" s="206"/>
      <c r="H57" s="207" t="s">
        <v>212</v>
      </c>
      <c r="I57" s="208" t="str">
        <f t="shared" ca="1" si="4"/>
        <v>02.001.001.002</v>
      </c>
      <c r="J57" s="209" t="s">
        <v>366</v>
      </c>
      <c r="K57" s="210" t="s">
        <v>151</v>
      </c>
      <c r="L57" s="211">
        <v>1</v>
      </c>
      <c r="M57" s="211">
        <v>48500</v>
      </c>
      <c r="N57" s="285">
        <f t="shared" si="6"/>
        <v>48500</v>
      </c>
      <c r="O57" s="212" t="s">
        <v>1217</v>
      </c>
      <c r="P57" s="213" t="s">
        <v>518</v>
      </c>
    </row>
    <row r="58" spans="1:16" s="34" customFormat="1" ht="13.9" customHeight="1" collapsed="1" x14ac:dyDescent="0.2">
      <c r="A58" s="203">
        <f ca="1">IF($H58="UNIDADE CONSTRUTIVA",OFFSET(A58,-1,0)+1,LARGE(A$3:A57,1))</f>
        <v>0</v>
      </c>
      <c r="B58" s="203">
        <f t="shared" ca="1" si="0"/>
        <v>2</v>
      </c>
      <c r="C58" s="203">
        <f t="shared" ca="1" si="1"/>
        <v>1</v>
      </c>
      <c r="D58" s="204">
        <f t="shared" ca="1" si="2"/>
        <v>2</v>
      </c>
      <c r="E58" s="204">
        <f t="shared" ca="1" si="3"/>
        <v>0</v>
      </c>
      <c r="G58" s="206"/>
      <c r="H58" s="207" t="s">
        <v>211</v>
      </c>
      <c r="I58" s="208" t="str">
        <f t="shared" ca="1" si="4"/>
        <v>02.001.002</v>
      </c>
      <c r="J58" s="209" t="s">
        <v>367</v>
      </c>
      <c r="K58" s="210"/>
      <c r="L58" s="211"/>
      <c r="M58" s="234"/>
      <c r="N58" s="285">
        <f t="shared" ca="1" si="6"/>
        <v>290250.0273778534</v>
      </c>
      <c r="O58" s="212"/>
      <c r="P58" s="213"/>
    </row>
    <row r="59" spans="1:16" s="34" customFormat="1" ht="13.9" hidden="1" customHeight="1" outlineLevel="1" x14ac:dyDescent="0.2">
      <c r="A59" s="203">
        <f ca="1">IF($H59="UNIDADE CONSTRUTIVA",OFFSET(A59,-1,0)+1,LARGE(A$3:A58,1))</f>
        <v>0</v>
      </c>
      <c r="B59" s="203">
        <f t="shared" ca="1" si="0"/>
        <v>2</v>
      </c>
      <c r="C59" s="203">
        <f t="shared" ca="1" si="1"/>
        <v>1</v>
      </c>
      <c r="D59" s="204">
        <f t="shared" ca="1" si="2"/>
        <v>2</v>
      </c>
      <c r="E59" s="204">
        <f t="shared" ca="1" si="3"/>
        <v>1</v>
      </c>
      <c r="G59" s="206"/>
      <c r="H59" s="207" t="s">
        <v>212</v>
      </c>
      <c r="I59" s="208" t="str">
        <f t="shared" ca="1" si="4"/>
        <v>02.001.002.001</v>
      </c>
      <c r="J59" s="209" t="s">
        <v>1218</v>
      </c>
      <c r="K59" s="210" t="s">
        <v>3</v>
      </c>
      <c r="L59" s="211">
        <f>EPCs!D11</f>
        <v>237.16345222694514</v>
      </c>
      <c r="M59" s="211">
        <v>293.11959999999999</v>
      </c>
      <c r="N59" s="285">
        <f t="shared" si="6"/>
        <v>69517.256251381274</v>
      </c>
      <c r="O59" s="212" t="s">
        <v>393</v>
      </c>
      <c r="P59" s="213" t="s">
        <v>518</v>
      </c>
    </row>
    <row r="60" spans="1:16" s="34" customFormat="1" ht="13.9" hidden="1" customHeight="1" outlineLevel="1" x14ac:dyDescent="0.2">
      <c r="A60" s="203">
        <f ca="1">IF($H60="UNIDADE CONSTRUTIVA",OFFSET(A60,-1,0)+1,LARGE(A$3:A59,1))</f>
        <v>0</v>
      </c>
      <c r="B60" s="203">
        <f t="shared" ca="1" si="0"/>
        <v>2</v>
      </c>
      <c r="C60" s="203">
        <f t="shared" ca="1" si="1"/>
        <v>1</v>
      </c>
      <c r="D60" s="204">
        <f t="shared" ca="1" si="2"/>
        <v>2</v>
      </c>
      <c r="E60" s="204">
        <f t="shared" ca="1" si="3"/>
        <v>2</v>
      </c>
      <c r="G60" s="206"/>
      <c r="H60" s="207" t="s">
        <v>212</v>
      </c>
      <c r="I60" s="208" t="str">
        <f t="shared" ca="1" si="4"/>
        <v>02.001.002.002</v>
      </c>
      <c r="J60" s="209" t="s">
        <v>1219</v>
      </c>
      <c r="K60" s="210" t="s">
        <v>3</v>
      </c>
      <c r="L60" s="211">
        <f>EPCs!D12</f>
        <v>205.84025199685001</v>
      </c>
      <c r="M60" s="211">
        <v>288.1284</v>
      </c>
      <c r="N60" s="285">
        <f t="shared" si="6"/>
        <v>59308.422463449198</v>
      </c>
      <c r="O60" s="212" t="s">
        <v>393</v>
      </c>
      <c r="P60" s="213" t="s">
        <v>518</v>
      </c>
    </row>
    <row r="61" spans="1:16" s="34" customFormat="1" ht="13.9" hidden="1" customHeight="1" outlineLevel="1" x14ac:dyDescent="0.2">
      <c r="A61" s="203">
        <f ca="1">IF($H61="UNIDADE CONSTRUTIVA",OFFSET(A61,-1,0)+1,LARGE(A$3:A60,1))</f>
        <v>0</v>
      </c>
      <c r="B61" s="203">
        <f t="shared" ca="1" si="0"/>
        <v>2</v>
      </c>
      <c r="C61" s="203">
        <f t="shared" ca="1" si="1"/>
        <v>1</v>
      </c>
      <c r="D61" s="204">
        <f t="shared" ca="1" si="2"/>
        <v>2</v>
      </c>
      <c r="E61" s="204">
        <f t="shared" ca="1" si="3"/>
        <v>3</v>
      </c>
      <c r="G61" s="206"/>
      <c r="H61" s="207" t="s">
        <v>212</v>
      </c>
      <c r="I61" s="208" t="str">
        <f t="shared" ca="1" si="4"/>
        <v>02.001.002.003</v>
      </c>
      <c r="J61" s="209" t="s">
        <v>368</v>
      </c>
      <c r="K61" s="210" t="s">
        <v>3</v>
      </c>
      <c r="L61" s="211">
        <f>EPCs!D18</f>
        <v>732.16311961004874</v>
      </c>
      <c r="M61" s="211">
        <v>18.306699999999999</v>
      </c>
      <c r="N61" s="285">
        <f t="shared" si="6"/>
        <v>13403.490581765278</v>
      </c>
      <c r="O61" s="212" t="s">
        <v>393</v>
      </c>
      <c r="P61" s="213" t="s">
        <v>518</v>
      </c>
    </row>
    <row r="62" spans="1:16" s="34" customFormat="1" ht="13.9" hidden="1" customHeight="1" outlineLevel="1" x14ac:dyDescent="0.2">
      <c r="A62" s="203">
        <f ca="1">IF($H62="UNIDADE CONSTRUTIVA",OFFSET(A62,-1,0)+1,LARGE(A$3:A61,1))</f>
        <v>0</v>
      </c>
      <c r="B62" s="203">
        <f t="shared" ca="1" si="0"/>
        <v>2</v>
      </c>
      <c r="C62" s="203">
        <f t="shared" ca="1" si="1"/>
        <v>1</v>
      </c>
      <c r="D62" s="204">
        <f t="shared" ca="1" si="2"/>
        <v>2</v>
      </c>
      <c r="E62" s="204">
        <f t="shared" ca="1" si="3"/>
        <v>4</v>
      </c>
      <c r="G62" s="206"/>
      <c r="H62" s="207" t="s">
        <v>212</v>
      </c>
      <c r="I62" s="208" t="str">
        <f t="shared" ca="1" si="4"/>
        <v>02.001.002.004</v>
      </c>
      <c r="J62" s="209" t="s">
        <v>1220</v>
      </c>
      <c r="K62" s="210" t="s">
        <v>3</v>
      </c>
      <c r="L62" s="211">
        <f>EPCs!D25</f>
        <v>411.68050399370003</v>
      </c>
      <c r="M62" s="211">
        <v>19.484300000000001</v>
      </c>
      <c r="N62" s="285">
        <f t="shared" si="6"/>
        <v>8021.3064439644495</v>
      </c>
      <c r="O62" s="212" t="s">
        <v>393</v>
      </c>
      <c r="P62" s="213" t="s">
        <v>518</v>
      </c>
    </row>
    <row r="63" spans="1:16" s="34" customFormat="1" ht="13.9" hidden="1" customHeight="1" outlineLevel="1" x14ac:dyDescent="0.2">
      <c r="A63" s="203">
        <f ca="1">IF($H63="UNIDADE CONSTRUTIVA",OFFSET(A63,-1,0)+1,LARGE(A$3:A62,1))</f>
        <v>0</v>
      </c>
      <c r="B63" s="203">
        <f t="shared" ca="1" si="0"/>
        <v>2</v>
      </c>
      <c r="C63" s="203">
        <f t="shared" ca="1" si="1"/>
        <v>1</v>
      </c>
      <c r="D63" s="204">
        <f t="shared" ca="1" si="2"/>
        <v>2</v>
      </c>
      <c r="E63" s="204">
        <f t="shared" ca="1" si="3"/>
        <v>5</v>
      </c>
      <c r="G63" s="206"/>
      <c r="H63" s="207" t="s">
        <v>212</v>
      </c>
      <c r="I63" s="208" t="str">
        <f t="shared" ca="1" si="4"/>
        <v>02.001.002.005</v>
      </c>
      <c r="J63" s="209" t="s">
        <v>327</v>
      </c>
      <c r="K63" s="210" t="s">
        <v>1</v>
      </c>
      <c r="L63" s="211">
        <f>EPCs!D33</f>
        <v>166.95000000000002</v>
      </c>
      <c r="M63" s="211">
        <v>97.799400000000006</v>
      </c>
      <c r="N63" s="285">
        <f t="shared" si="6"/>
        <v>16327.609830000003</v>
      </c>
      <c r="O63" s="212" t="s">
        <v>393</v>
      </c>
      <c r="P63" s="213" t="s">
        <v>518</v>
      </c>
    </row>
    <row r="64" spans="1:16" s="34" customFormat="1" ht="13.9" hidden="1" customHeight="1" outlineLevel="1" x14ac:dyDescent="0.2">
      <c r="A64" s="203">
        <f ca="1">IF($H64="UNIDADE CONSTRUTIVA",OFFSET(A64,-1,0)+1,LARGE(A$3:A63,1))</f>
        <v>0</v>
      </c>
      <c r="B64" s="203">
        <f t="shared" ca="1" si="0"/>
        <v>2</v>
      </c>
      <c r="C64" s="203">
        <f t="shared" ca="1" si="1"/>
        <v>1</v>
      </c>
      <c r="D64" s="204">
        <f t="shared" ca="1" si="2"/>
        <v>2</v>
      </c>
      <c r="E64" s="204">
        <f t="shared" ca="1" si="3"/>
        <v>6</v>
      </c>
      <c r="G64" s="206"/>
      <c r="H64" s="207" t="s">
        <v>212</v>
      </c>
      <c r="I64" s="208" t="str">
        <f t="shared" ca="1" si="4"/>
        <v>02.001.002.006</v>
      </c>
      <c r="J64" s="209" t="s">
        <v>1221</v>
      </c>
      <c r="K64" s="210" t="s">
        <v>1</v>
      </c>
      <c r="L64" s="211">
        <f>EPCs!D42</f>
        <v>7170.7991816992462</v>
      </c>
      <c r="M64" s="211">
        <v>10.585000000000001</v>
      </c>
      <c r="N64" s="285">
        <f t="shared" si="6"/>
        <v>75902.909338286525</v>
      </c>
      <c r="O64" s="212" t="s">
        <v>393</v>
      </c>
      <c r="P64" s="213" t="s">
        <v>518</v>
      </c>
    </row>
    <row r="65" spans="1:16" s="34" customFormat="1" ht="13.9" hidden="1" customHeight="1" outlineLevel="1" x14ac:dyDescent="0.2">
      <c r="A65" s="203">
        <f ca="1">IF($H65="UNIDADE CONSTRUTIVA",OFFSET(A65,-1,0)+1,LARGE(A$3:A64,1))</f>
        <v>0</v>
      </c>
      <c r="B65" s="203">
        <f t="shared" ca="1" si="0"/>
        <v>2</v>
      </c>
      <c r="C65" s="203">
        <f t="shared" ca="1" si="1"/>
        <v>1</v>
      </c>
      <c r="D65" s="204">
        <f t="shared" ca="1" si="2"/>
        <v>2</v>
      </c>
      <c r="E65" s="204">
        <f t="shared" ca="1" si="3"/>
        <v>7</v>
      </c>
      <c r="G65" s="206"/>
      <c r="H65" s="207" t="s">
        <v>212</v>
      </c>
      <c r="I65" s="208" t="str">
        <f t="shared" ca="1" si="4"/>
        <v>02.001.002.007</v>
      </c>
      <c r="J65" s="209" t="s">
        <v>286</v>
      </c>
      <c r="K65" s="210" t="s">
        <v>3</v>
      </c>
      <c r="L65" s="211">
        <f>EPCs!D63</f>
        <v>411.68050399370003</v>
      </c>
      <c r="M65" s="211">
        <v>87.201499999999996</v>
      </c>
      <c r="N65" s="285">
        <f t="shared" si="6"/>
        <v>35899.157469006634</v>
      </c>
      <c r="O65" s="212" t="s">
        <v>393</v>
      </c>
      <c r="P65" s="213" t="s">
        <v>518</v>
      </c>
    </row>
    <row r="66" spans="1:16" s="34" customFormat="1" ht="13.9" hidden="1" customHeight="1" outlineLevel="1" x14ac:dyDescent="0.2">
      <c r="A66" s="203">
        <f ca="1">IF($H66="UNIDADE CONSTRUTIVA",OFFSET(A66,-1,0)+1,LARGE(A$3:A65,1))</f>
        <v>0</v>
      </c>
      <c r="B66" s="203">
        <f t="shared" ca="1" si="0"/>
        <v>2</v>
      </c>
      <c r="C66" s="203">
        <f t="shared" ca="1" si="1"/>
        <v>1</v>
      </c>
      <c r="D66" s="204">
        <f t="shared" ca="1" si="2"/>
        <v>2</v>
      </c>
      <c r="E66" s="204">
        <f t="shared" ca="1" si="3"/>
        <v>8</v>
      </c>
      <c r="G66" s="206"/>
      <c r="H66" s="207" t="s">
        <v>212</v>
      </c>
      <c r="I66" s="208" t="str">
        <f ca="1">IF(H66="Unidade Construtiva",TEXT(A66,"00"),IF(H66="Célula Construtiva",TEXT(B66,"00"),IF(H66="Etapa",CONCATENATE(TEXT(B66,"00"),".",TEXT(C66,"000")),IF(H66="Subetapa",CONCATENATE(TEXT(B66,"00"),".",TEXT(C66,"000"),".",TEXT(D66,"000")),IF(H66="Serviço",CONCATENATE(TEXT(B66,"00"),".",TEXT(C66,"000"),".",TEXT(D66,"000"),".",TEXT(E66,"000")),"")))))</f>
        <v>02.001.002.008</v>
      </c>
      <c r="J66" s="209" t="s">
        <v>516</v>
      </c>
      <c r="K66" s="210" t="s">
        <v>151</v>
      </c>
      <c r="L66" s="211">
        <v>1</v>
      </c>
      <c r="M66" s="211">
        <v>11869.875</v>
      </c>
      <c r="N66" s="285">
        <f t="shared" si="6"/>
        <v>11869.875</v>
      </c>
      <c r="O66" s="212" t="s">
        <v>393</v>
      </c>
      <c r="P66" s="213" t="s">
        <v>518</v>
      </c>
    </row>
    <row r="67" spans="1:16" s="34" customFormat="1" ht="13.9" customHeight="1" collapsed="1" x14ac:dyDescent="0.2">
      <c r="A67" s="203">
        <f ca="1">IF($H67="UNIDADE CONSTRUTIVA",OFFSET(A67,-1,0)+1,LARGE(A$3:A66,1))</f>
        <v>0</v>
      </c>
      <c r="B67" s="203">
        <f t="shared" ca="1" si="0"/>
        <v>2</v>
      </c>
      <c r="C67" s="203">
        <f t="shared" ca="1" si="1"/>
        <v>1</v>
      </c>
      <c r="D67" s="204">
        <f t="shared" ca="1" si="2"/>
        <v>3</v>
      </c>
      <c r="E67" s="204">
        <f t="shared" ca="1" si="3"/>
        <v>0</v>
      </c>
      <c r="G67" s="206"/>
      <c r="H67" s="207" t="s">
        <v>211</v>
      </c>
      <c r="I67" s="208" t="str">
        <f t="shared" ca="1" si="4"/>
        <v>02.001.003</v>
      </c>
      <c r="J67" s="209" t="s">
        <v>370</v>
      </c>
      <c r="K67" s="210"/>
      <c r="L67" s="211"/>
      <c r="M67" s="234"/>
      <c r="N67" s="285">
        <f t="shared" ca="1" si="6"/>
        <v>85282.820174285313</v>
      </c>
      <c r="O67" s="212"/>
      <c r="P67" s="213"/>
    </row>
    <row r="68" spans="1:16" s="34" customFormat="1" ht="13.9" hidden="1" customHeight="1" outlineLevel="1" x14ac:dyDescent="0.2">
      <c r="A68" s="203">
        <f ca="1">IF($H68="UNIDADE CONSTRUTIVA",OFFSET(A68,-1,0)+1,LARGE(A$3:A67,1))</f>
        <v>0</v>
      </c>
      <c r="B68" s="203">
        <f t="shared" ca="1" si="0"/>
        <v>2</v>
      </c>
      <c r="C68" s="203">
        <f t="shared" ca="1" si="1"/>
        <v>1</v>
      </c>
      <c r="D68" s="204">
        <f t="shared" ca="1" si="2"/>
        <v>3</v>
      </c>
      <c r="E68" s="204">
        <f t="shared" ca="1" si="3"/>
        <v>1</v>
      </c>
      <c r="G68" s="206"/>
      <c r="H68" s="207" t="s">
        <v>212</v>
      </c>
      <c r="I68" s="208" t="str">
        <f t="shared" ca="1" si="4"/>
        <v>02.001.003.001</v>
      </c>
      <c r="J68" s="209" t="s">
        <v>1222</v>
      </c>
      <c r="K68" s="210" t="s">
        <v>151</v>
      </c>
      <c r="L68" s="211">
        <v>1</v>
      </c>
      <c r="M68" s="211">
        <v>5188.7927899805118</v>
      </c>
      <c r="N68" s="285">
        <f t="shared" si="6"/>
        <v>5188.7927899805118</v>
      </c>
      <c r="O68" s="212" t="s">
        <v>393</v>
      </c>
      <c r="P68" s="213" t="s">
        <v>518</v>
      </c>
    </row>
    <row r="69" spans="1:16" s="34" customFormat="1" ht="13.9" hidden="1" customHeight="1" outlineLevel="1" x14ac:dyDescent="0.2">
      <c r="A69" s="203">
        <f ca="1">IF($H69="UNIDADE CONSTRUTIVA",OFFSET(A69,-1,0)+1,LARGE(A$3:A68,1))</f>
        <v>0</v>
      </c>
      <c r="B69" s="203">
        <f t="shared" ca="1" si="0"/>
        <v>2</v>
      </c>
      <c r="C69" s="203">
        <f t="shared" ca="1" si="1"/>
        <v>1</v>
      </c>
      <c r="D69" s="204">
        <f t="shared" ca="1" si="2"/>
        <v>3</v>
      </c>
      <c r="E69" s="204">
        <f t="shared" ca="1" si="3"/>
        <v>2</v>
      </c>
      <c r="G69" s="206"/>
      <c r="H69" s="207" t="s">
        <v>212</v>
      </c>
      <c r="I69" s="208" t="str">
        <f t="shared" ca="1" si="4"/>
        <v>02.001.003.002</v>
      </c>
      <c r="J69" s="209" t="s">
        <v>371</v>
      </c>
      <c r="K69" s="210" t="s">
        <v>151</v>
      </c>
      <c r="L69" s="211">
        <v>1</v>
      </c>
      <c r="M69" s="211">
        <v>3457.7769706955373</v>
      </c>
      <c r="N69" s="285">
        <f t="shared" si="6"/>
        <v>3457.7769706955373</v>
      </c>
      <c r="O69" s="212" t="s">
        <v>393</v>
      </c>
      <c r="P69" s="213" t="s">
        <v>518</v>
      </c>
    </row>
    <row r="70" spans="1:16" s="34" customFormat="1" ht="13.9" hidden="1" customHeight="1" outlineLevel="1" x14ac:dyDescent="0.2">
      <c r="A70" s="203">
        <f ca="1">IF($H70="UNIDADE CONSTRUTIVA",OFFSET(A70,-1,0)+1,LARGE(A$3:A69,1))</f>
        <v>0</v>
      </c>
      <c r="B70" s="203">
        <f t="shared" ca="1" si="0"/>
        <v>2</v>
      </c>
      <c r="C70" s="203">
        <f t="shared" ca="1" si="1"/>
        <v>1</v>
      </c>
      <c r="D70" s="204">
        <f t="shared" ca="1" si="2"/>
        <v>3</v>
      </c>
      <c r="E70" s="204">
        <f t="shared" ca="1" si="3"/>
        <v>3</v>
      </c>
      <c r="G70" s="206"/>
      <c r="H70" s="207" t="s">
        <v>212</v>
      </c>
      <c r="I70" s="208" t="str">
        <f t="shared" ca="1" si="4"/>
        <v>02.001.003.003</v>
      </c>
      <c r="J70" s="209" t="s">
        <v>372</v>
      </c>
      <c r="K70" s="210" t="s">
        <v>151</v>
      </c>
      <c r="L70" s="211">
        <v>1</v>
      </c>
      <c r="M70" s="211">
        <v>4636.2504136092593</v>
      </c>
      <c r="N70" s="285">
        <f t="shared" si="6"/>
        <v>4636.2504136092593</v>
      </c>
      <c r="O70" s="212" t="s">
        <v>393</v>
      </c>
      <c r="P70" s="213" t="s">
        <v>518</v>
      </c>
    </row>
    <row r="71" spans="1:16" s="34" customFormat="1" ht="13.9" hidden="1" customHeight="1" outlineLevel="1" x14ac:dyDescent="0.2">
      <c r="A71" s="203">
        <f ca="1">IF($H71="UNIDADE CONSTRUTIVA",OFFSET(A71,-1,0)+1,LARGE(A$3:A70,1))</f>
        <v>0</v>
      </c>
      <c r="B71" s="203">
        <f t="shared" ca="1" si="0"/>
        <v>2</v>
      </c>
      <c r="C71" s="203">
        <f t="shared" ca="1" si="1"/>
        <v>1</v>
      </c>
      <c r="D71" s="204">
        <f t="shared" ca="1" si="2"/>
        <v>3</v>
      </c>
      <c r="E71" s="204">
        <f t="shared" ca="1" si="3"/>
        <v>4</v>
      </c>
      <c r="G71" s="206"/>
      <c r="H71" s="207" t="s">
        <v>212</v>
      </c>
      <c r="I71" s="208" t="str">
        <f t="shared" ca="1" si="4"/>
        <v>02.001.003.004</v>
      </c>
      <c r="J71" s="209" t="s">
        <v>328</v>
      </c>
      <c r="K71" s="210" t="s">
        <v>365</v>
      </c>
      <c r="L71" s="211">
        <f>'Obra '!E7</f>
        <v>36</v>
      </c>
      <c r="M71" s="211">
        <v>2000</v>
      </c>
      <c r="N71" s="285">
        <f t="shared" si="6"/>
        <v>72000</v>
      </c>
      <c r="O71" s="212" t="s">
        <v>1238</v>
      </c>
      <c r="P71" s="213" t="s">
        <v>518</v>
      </c>
    </row>
    <row r="72" spans="1:16" s="34" customFormat="1" ht="17.25" customHeight="1" x14ac:dyDescent="0.2">
      <c r="A72" s="203">
        <f ca="1">IF($H72="UNIDADE CONSTRUTIVA",OFFSET(A72,-1,0)+1,LARGE(A$3:A71,1))</f>
        <v>0</v>
      </c>
      <c r="B72" s="203">
        <f t="shared" ca="1" si="0"/>
        <v>2</v>
      </c>
      <c r="C72" s="203">
        <f t="shared" ca="1" si="1"/>
        <v>2</v>
      </c>
      <c r="D72" s="204">
        <f t="shared" ca="1" si="2"/>
        <v>0</v>
      </c>
      <c r="E72" s="204">
        <f t="shared" ca="1" si="3"/>
        <v>4</v>
      </c>
      <c r="G72" s="206"/>
      <c r="H72" s="207" t="s">
        <v>210</v>
      </c>
      <c r="I72" s="208" t="str">
        <f t="shared" ca="1" si="4"/>
        <v>02.002</v>
      </c>
      <c r="J72" s="209" t="s">
        <v>329</v>
      </c>
      <c r="K72" s="210"/>
      <c r="L72" s="211"/>
      <c r="M72" s="211"/>
      <c r="N72" s="285">
        <f t="shared" ref="N72:N103" ca="1" si="7">IF(H72="Serviço",M72*L72,IF(H72="CÉLULA CONSTRUTIVA",SUMIFS($N$8:$N$420,$B$8:$B$420,B72,$H$8:$H$420,"Serviço"),IF(H72="ETAPA",SUMIFS($N$8:$N$420,$B$8:$B$420,B72,$C$8:$C$420,C72,$H$8:$H$420,"Serviço"),IF(H72="SUBETAPA",SUMIFS($N$8:$N$420,$B$8:$B$420,B72,$C$8:$C$420,C72,$D$8:$D$420,D72,$H$8:$H$420,"Serviço"),0))))</f>
        <v>1156559.2438780714</v>
      </c>
      <c r="O72" s="212"/>
      <c r="P72" s="213"/>
    </row>
    <row r="73" spans="1:16" s="34" customFormat="1" ht="13.9" customHeight="1" collapsed="1" x14ac:dyDescent="0.2">
      <c r="A73" s="203">
        <f ca="1">IF($H73="UNIDADE CONSTRUTIVA",OFFSET(A73,-1,0)+1,LARGE(A$3:A72,1))</f>
        <v>0</v>
      </c>
      <c r="B73" s="203">
        <f t="shared" ca="1" si="0"/>
        <v>2</v>
      </c>
      <c r="C73" s="203">
        <f t="shared" ca="1" si="1"/>
        <v>2</v>
      </c>
      <c r="D73" s="204">
        <f t="shared" ca="1" si="2"/>
        <v>1</v>
      </c>
      <c r="E73" s="204">
        <f t="shared" ca="1" si="3"/>
        <v>0</v>
      </c>
      <c r="G73" s="206"/>
      <c r="H73" s="207" t="s">
        <v>211</v>
      </c>
      <c r="I73" s="208" t="str">
        <f t="shared" ca="1" si="4"/>
        <v>02.002.001</v>
      </c>
      <c r="J73" s="209" t="s">
        <v>330</v>
      </c>
      <c r="K73" s="210"/>
      <c r="L73" s="211"/>
      <c r="M73" s="211"/>
      <c r="N73" s="285">
        <f t="shared" ca="1" si="7"/>
        <v>588536</v>
      </c>
      <c r="O73" s="212"/>
      <c r="P73" s="213"/>
    </row>
    <row r="74" spans="1:16" s="34" customFormat="1" ht="13.9" hidden="1" customHeight="1" outlineLevel="1" x14ac:dyDescent="0.2">
      <c r="A74" s="203">
        <f ca="1">IF($H74="UNIDADE CONSTRUTIVA",OFFSET(A74,-1,0)+1,LARGE(A$3:A73,1))</f>
        <v>0</v>
      </c>
      <c r="B74" s="203">
        <f t="shared" ref="B74:B140" ca="1" si="8">IF(H74="UNIDADE CONSTRUTIVA",0,IF(H74="CÉLULA CONSTRUTIVA",OFFSET(B74,-1,0)+1,OFFSET(B74,-1,0)))</f>
        <v>2</v>
      </c>
      <c r="C74" s="203">
        <f t="shared" ref="C74:C140" ca="1" si="9">IF(H74="CÉLULA CONSTRUTIVA",0,IF(H74="ETAPA",OFFSET(C74,-1,0)+1,OFFSET(C74,-1,0)))</f>
        <v>2</v>
      </c>
      <c r="D74" s="204">
        <f t="shared" ref="D74:D140" ca="1" si="10">IF(H74="ETAPA",0,IF(H74="SUBETAPA",OFFSET(D74,-1,0)+1,OFFSET(D74,-1,0)))</f>
        <v>1</v>
      </c>
      <c r="E74" s="204">
        <f t="shared" ref="E74:E140" ca="1" si="11">IF(H74="Subetapa",0,IF(H74="serviço",OFFSET(E74,-1,0)+1,OFFSET(E74,-1,0)))</f>
        <v>1</v>
      </c>
      <c r="G74" s="206"/>
      <c r="H74" s="207" t="s">
        <v>212</v>
      </c>
      <c r="I74" s="208" t="str">
        <f t="shared" ref="I74:I122" ca="1" si="12">IF(H74="Unidade Construtiva",TEXT(A74,"00"),IF(H74="Célula Construtiva",TEXT(B74,"00"),IF(H74="Etapa",CONCATENATE(TEXT(B74,"00"),".",TEXT(C74,"000")),IF(H74="Subetapa",CONCATENATE(TEXT(B74,"00"),".",TEXT(C74,"000"),".",TEXT(D74,"000")),IF(H74="Serviço",CONCATENATE(TEXT(B74,"00"),".",TEXT(C74,"000"),".",TEXT(D74,"000"),".",TEXT(E74,"000")),"")))))</f>
        <v>02.002.001.001</v>
      </c>
      <c r="J74" s="209" t="s">
        <v>373</v>
      </c>
      <c r="K74" s="210" t="s">
        <v>365</v>
      </c>
      <c r="L74" s="211">
        <v>33</v>
      </c>
      <c r="M74" s="211">
        <v>7392</v>
      </c>
      <c r="N74" s="285">
        <f t="shared" si="7"/>
        <v>243936</v>
      </c>
      <c r="O74" s="212" t="s">
        <v>1239</v>
      </c>
      <c r="P74" s="213" t="s">
        <v>518</v>
      </c>
    </row>
    <row r="75" spans="1:16" s="34" customFormat="1" ht="13.9" hidden="1" customHeight="1" outlineLevel="1" x14ac:dyDescent="0.2">
      <c r="A75" s="203">
        <f ca="1">IF($H75="UNIDADE CONSTRUTIVA",OFFSET(A75,-1,0)+1,LARGE(A$3:A74,1))</f>
        <v>0</v>
      </c>
      <c r="B75" s="203">
        <f t="shared" ca="1" si="8"/>
        <v>2</v>
      </c>
      <c r="C75" s="203">
        <f t="shared" ca="1" si="9"/>
        <v>2</v>
      </c>
      <c r="D75" s="204">
        <f t="shared" ca="1" si="10"/>
        <v>1</v>
      </c>
      <c r="E75" s="204">
        <f t="shared" ca="1" si="11"/>
        <v>2</v>
      </c>
      <c r="G75" s="206"/>
      <c r="H75" s="207" t="s">
        <v>212</v>
      </c>
      <c r="I75" s="208" t="str">
        <f t="shared" ca="1" si="12"/>
        <v>02.002.001.002</v>
      </c>
      <c r="J75" s="209" t="s">
        <v>1223</v>
      </c>
      <c r="K75" s="210" t="s">
        <v>365</v>
      </c>
      <c r="L75" s="211">
        <v>27</v>
      </c>
      <c r="M75" s="211">
        <v>8500</v>
      </c>
      <c r="N75" s="285">
        <f t="shared" si="7"/>
        <v>229500</v>
      </c>
      <c r="O75" s="212" t="s">
        <v>1239</v>
      </c>
      <c r="P75" s="213" t="s">
        <v>518</v>
      </c>
    </row>
    <row r="76" spans="1:16" s="34" customFormat="1" ht="13.9" hidden="1" customHeight="1" outlineLevel="1" x14ac:dyDescent="0.2">
      <c r="A76" s="203">
        <f ca="1">IF($H76="UNIDADE CONSTRUTIVA",OFFSET(A76,-1,0)+1,LARGE(A$3:A75,1))</f>
        <v>0</v>
      </c>
      <c r="B76" s="203">
        <f t="shared" ca="1" si="8"/>
        <v>2</v>
      </c>
      <c r="C76" s="203">
        <f t="shared" ca="1" si="9"/>
        <v>2</v>
      </c>
      <c r="D76" s="204">
        <f t="shared" ca="1" si="10"/>
        <v>1</v>
      </c>
      <c r="E76" s="204">
        <f t="shared" ca="1" si="11"/>
        <v>3</v>
      </c>
      <c r="G76" s="206"/>
      <c r="H76" s="207" t="s">
        <v>212</v>
      </c>
      <c r="I76" s="208" t="str">
        <f t="shared" ca="1" si="12"/>
        <v>02.002.001.003</v>
      </c>
      <c r="J76" s="209" t="s">
        <v>374</v>
      </c>
      <c r="K76" s="210" t="s">
        <v>365</v>
      </c>
      <c r="L76" s="211">
        <v>27</v>
      </c>
      <c r="M76" s="211">
        <v>3300</v>
      </c>
      <c r="N76" s="285">
        <f t="shared" si="7"/>
        <v>89100</v>
      </c>
      <c r="O76" s="212" t="s">
        <v>1239</v>
      </c>
      <c r="P76" s="213" t="s">
        <v>518</v>
      </c>
    </row>
    <row r="77" spans="1:16" s="34" customFormat="1" ht="13.9" hidden="1" customHeight="1" outlineLevel="1" x14ac:dyDescent="0.2">
      <c r="A77" s="203">
        <f ca="1">IF($H77="UNIDADE CONSTRUTIVA",OFFSET(A77,-1,0)+1,LARGE(A$3:A76,1))</f>
        <v>0</v>
      </c>
      <c r="B77" s="203">
        <f t="shared" ca="1" si="8"/>
        <v>2</v>
      </c>
      <c r="C77" s="203">
        <f t="shared" ca="1" si="9"/>
        <v>2</v>
      </c>
      <c r="D77" s="204">
        <f t="shared" ca="1" si="10"/>
        <v>1</v>
      </c>
      <c r="E77" s="204">
        <f t="shared" ca="1" si="11"/>
        <v>4</v>
      </c>
      <c r="G77" s="206"/>
      <c r="H77" s="207" t="s">
        <v>212</v>
      </c>
      <c r="I77" s="208" t="str">
        <f t="shared" ca="1" si="12"/>
        <v>02.002.001.004</v>
      </c>
      <c r="J77" s="209" t="s">
        <v>443</v>
      </c>
      <c r="K77" s="210" t="s">
        <v>365</v>
      </c>
      <c r="L77" s="211">
        <v>13</v>
      </c>
      <c r="M77" s="211">
        <v>2000</v>
      </c>
      <c r="N77" s="285">
        <f t="shared" si="7"/>
        <v>26000</v>
      </c>
      <c r="O77" s="212" t="s">
        <v>1239</v>
      </c>
      <c r="P77" s="213" t="s">
        <v>518</v>
      </c>
    </row>
    <row r="78" spans="1:16" s="34" customFormat="1" ht="13.9" customHeight="1" collapsed="1" x14ac:dyDescent="0.2">
      <c r="A78" s="203">
        <f ca="1">IF($H78="UNIDADE CONSTRUTIVA",OFFSET(A78,-1,0)+1,LARGE(A$3:A77,1))</f>
        <v>0</v>
      </c>
      <c r="B78" s="203">
        <f t="shared" ca="1" si="8"/>
        <v>2</v>
      </c>
      <c r="C78" s="203">
        <f t="shared" ca="1" si="9"/>
        <v>2</v>
      </c>
      <c r="D78" s="204">
        <f t="shared" ca="1" si="10"/>
        <v>2</v>
      </c>
      <c r="E78" s="204">
        <f t="shared" ca="1" si="11"/>
        <v>0</v>
      </c>
      <c r="G78" s="206"/>
      <c r="H78" s="207" t="s">
        <v>211</v>
      </c>
      <c r="I78" s="208" t="str">
        <f t="shared" ca="1" si="12"/>
        <v>02.002.002</v>
      </c>
      <c r="J78" s="209" t="s">
        <v>375</v>
      </c>
      <c r="K78" s="210"/>
      <c r="L78" s="211"/>
      <c r="M78" s="211"/>
      <c r="N78" s="285">
        <f t="shared" ca="1" si="7"/>
        <v>272807.69613224256</v>
      </c>
      <c r="O78" s="212"/>
      <c r="P78" s="213"/>
    </row>
    <row r="79" spans="1:16" s="34" customFormat="1" ht="13.9" hidden="1" customHeight="1" outlineLevel="1" x14ac:dyDescent="0.2">
      <c r="A79" s="203">
        <f ca="1">IF($H79="UNIDADE CONSTRUTIVA",OFFSET(A79,-1,0)+1,LARGE(A$3:A78,1))</f>
        <v>0</v>
      </c>
      <c r="B79" s="203">
        <f t="shared" ca="1" si="8"/>
        <v>2</v>
      </c>
      <c r="C79" s="203">
        <f t="shared" ca="1" si="9"/>
        <v>2</v>
      </c>
      <c r="D79" s="204">
        <f t="shared" ca="1" si="10"/>
        <v>2</v>
      </c>
      <c r="E79" s="204">
        <f t="shared" ca="1" si="11"/>
        <v>1</v>
      </c>
      <c r="G79" s="206"/>
      <c r="H79" s="207" t="s">
        <v>212</v>
      </c>
      <c r="I79" s="208" t="str">
        <f t="shared" ca="1" si="12"/>
        <v>02.002.002.001</v>
      </c>
      <c r="J79" s="209" t="s">
        <v>376</v>
      </c>
      <c r="K79" s="210" t="s">
        <v>365</v>
      </c>
      <c r="L79" s="211">
        <f>'Obra '!$E$7</f>
        <v>36</v>
      </c>
      <c r="M79" s="211">
        <v>254.67247583981597</v>
      </c>
      <c r="N79" s="285">
        <f t="shared" si="7"/>
        <v>9168.2091302333756</v>
      </c>
      <c r="O79" s="212" t="s">
        <v>393</v>
      </c>
      <c r="P79" s="213" t="s">
        <v>518</v>
      </c>
    </row>
    <row r="80" spans="1:16" s="34" customFormat="1" ht="13.9" hidden="1" customHeight="1" outlineLevel="1" x14ac:dyDescent="0.2">
      <c r="A80" s="203">
        <f ca="1">IF($H80="UNIDADE CONSTRUTIVA",OFFSET(A80,-1,0)+1,LARGE(A$3:A79,1))</f>
        <v>0</v>
      </c>
      <c r="B80" s="203">
        <f t="shared" ca="1" si="8"/>
        <v>2</v>
      </c>
      <c r="C80" s="203">
        <f t="shared" ca="1" si="9"/>
        <v>2</v>
      </c>
      <c r="D80" s="204">
        <f t="shared" ca="1" si="10"/>
        <v>2</v>
      </c>
      <c r="E80" s="204">
        <f t="shared" ca="1" si="11"/>
        <v>2</v>
      </c>
      <c r="G80" s="206"/>
      <c r="H80" s="207" t="s">
        <v>212</v>
      </c>
      <c r="I80" s="208" t="str">
        <f t="shared" ca="1" si="12"/>
        <v>02.002.002.002</v>
      </c>
      <c r="J80" s="209" t="s">
        <v>377</v>
      </c>
      <c r="K80" s="210" t="s">
        <v>365</v>
      </c>
      <c r="L80" s="211">
        <f>'Obra '!$E$7</f>
        <v>36</v>
      </c>
      <c r="M80" s="211">
        <v>1910.0435687986196</v>
      </c>
      <c r="N80" s="285">
        <f t="shared" si="7"/>
        <v>68761.568476750312</v>
      </c>
      <c r="O80" s="212" t="s">
        <v>393</v>
      </c>
      <c r="P80" s="213" t="s">
        <v>518</v>
      </c>
    </row>
    <row r="81" spans="1:16" s="34" customFormat="1" ht="13.9" hidden="1" customHeight="1" outlineLevel="1" x14ac:dyDescent="0.2">
      <c r="A81" s="203">
        <f ca="1">IF($H81="UNIDADE CONSTRUTIVA",OFFSET(A81,-1,0)+1,LARGE(A$3:A80,1))</f>
        <v>0</v>
      </c>
      <c r="B81" s="203">
        <f t="shared" ca="1" si="8"/>
        <v>2</v>
      </c>
      <c r="C81" s="203">
        <f t="shared" ca="1" si="9"/>
        <v>2</v>
      </c>
      <c r="D81" s="204">
        <f t="shared" ca="1" si="10"/>
        <v>2</v>
      </c>
      <c r="E81" s="204">
        <f t="shared" ca="1" si="11"/>
        <v>3</v>
      </c>
      <c r="G81" s="206"/>
      <c r="H81" s="207" t="s">
        <v>212</v>
      </c>
      <c r="I81" s="208" t="str">
        <f t="shared" ca="1" si="12"/>
        <v>02.002.002.003</v>
      </c>
      <c r="J81" s="209" t="s">
        <v>378</v>
      </c>
      <c r="K81" s="210" t="s">
        <v>365</v>
      </c>
      <c r="L81" s="211">
        <f>'Obra '!$E$7</f>
        <v>36</v>
      </c>
      <c r="M81" s="211">
        <v>150</v>
      </c>
      <c r="N81" s="285">
        <f t="shared" si="7"/>
        <v>5400</v>
      </c>
      <c r="O81" s="212" t="s">
        <v>393</v>
      </c>
      <c r="P81" s="213" t="s">
        <v>518</v>
      </c>
    </row>
    <row r="82" spans="1:16" s="34" customFormat="1" ht="13.9" hidden="1" customHeight="1" outlineLevel="1" x14ac:dyDescent="0.2">
      <c r="A82" s="203">
        <f ca="1">IF($H82="UNIDADE CONSTRUTIVA",OFFSET(A82,-1,0)+1,LARGE(A$3:A81,1))</f>
        <v>0</v>
      </c>
      <c r="B82" s="203">
        <f t="shared" ca="1" si="8"/>
        <v>2</v>
      </c>
      <c r="C82" s="203">
        <f t="shared" ca="1" si="9"/>
        <v>2</v>
      </c>
      <c r="D82" s="204">
        <f t="shared" ca="1" si="10"/>
        <v>2</v>
      </c>
      <c r="E82" s="204">
        <f t="shared" ca="1" si="11"/>
        <v>4</v>
      </c>
      <c r="G82" s="206"/>
      <c r="H82" s="207" t="s">
        <v>212</v>
      </c>
      <c r="I82" s="208" t="str">
        <f t="shared" ca="1" si="12"/>
        <v>02.002.002.004</v>
      </c>
      <c r="J82" s="209" t="s">
        <v>379</v>
      </c>
      <c r="K82" s="210" t="s">
        <v>365</v>
      </c>
      <c r="L82" s="211">
        <f>'Obra '!$E$7</f>
        <v>36</v>
      </c>
      <c r="M82" s="211">
        <v>382.00871375972395</v>
      </c>
      <c r="N82" s="285">
        <f t="shared" si="7"/>
        <v>13752.313695350062</v>
      </c>
      <c r="O82" s="212" t="s">
        <v>393</v>
      </c>
      <c r="P82" s="213" t="s">
        <v>518</v>
      </c>
    </row>
    <row r="83" spans="1:16" s="34" customFormat="1" ht="13.9" hidden="1" customHeight="1" outlineLevel="1" x14ac:dyDescent="0.2">
      <c r="A83" s="203">
        <f ca="1">IF($H83="UNIDADE CONSTRUTIVA",OFFSET(A83,-1,0)+1,LARGE(A$3:A82,1))</f>
        <v>0</v>
      </c>
      <c r="B83" s="203">
        <f t="shared" ca="1" si="8"/>
        <v>2</v>
      </c>
      <c r="C83" s="203">
        <f t="shared" ca="1" si="9"/>
        <v>2</v>
      </c>
      <c r="D83" s="204">
        <f t="shared" ca="1" si="10"/>
        <v>2</v>
      </c>
      <c r="E83" s="204">
        <f t="shared" ca="1" si="11"/>
        <v>5</v>
      </c>
      <c r="G83" s="206"/>
      <c r="H83" s="207" t="s">
        <v>212</v>
      </c>
      <c r="I83" s="208" t="str">
        <f t="shared" ca="1" si="12"/>
        <v>02.002.002.005</v>
      </c>
      <c r="J83" s="209" t="s">
        <v>380</v>
      </c>
      <c r="K83" s="210" t="s">
        <v>365</v>
      </c>
      <c r="L83" s="211">
        <f>'Obra '!$E$7</f>
        <v>36</v>
      </c>
      <c r="M83" s="211">
        <v>100</v>
      </c>
      <c r="N83" s="285">
        <f t="shared" si="7"/>
        <v>3600</v>
      </c>
      <c r="O83" s="212" t="s">
        <v>393</v>
      </c>
      <c r="P83" s="213" t="s">
        <v>518</v>
      </c>
    </row>
    <row r="84" spans="1:16" s="34" customFormat="1" ht="13.9" hidden="1" customHeight="1" outlineLevel="1" x14ac:dyDescent="0.2">
      <c r="A84" s="203">
        <f ca="1">IF($H84="UNIDADE CONSTRUTIVA",OFFSET(A84,-1,0)+1,LARGE(A$3:A83,1))</f>
        <v>0</v>
      </c>
      <c r="B84" s="203">
        <f t="shared" ca="1" si="8"/>
        <v>2</v>
      </c>
      <c r="C84" s="203">
        <f t="shared" ca="1" si="9"/>
        <v>2</v>
      </c>
      <c r="D84" s="204">
        <f t="shared" ca="1" si="10"/>
        <v>2</v>
      </c>
      <c r="E84" s="204">
        <f t="shared" ca="1" si="11"/>
        <v>6</v>
      </c>
      <c r="G84" s="206"/>
      <c r="H84" s="207" t="s">
        <v>212</v>
      </c>
      <c r="I84" s="208" t="str">
        <f t="shared" ca="1" si="12"/>
        <v>02.002.002.006</v>
      </c>
      <c r="J84" s="209" t="s">
        <v>381</v>
      </c>
      <c r="K84" s="210" t="s">
        <v>151</v>
      </c>
      <c r="L84" s="211">
        <v>1</v>
      </c>
      <c r="M84" s="211">
        <v>13486.328854285326</v>
      </c>
      <c r="N84" s="285">
        <f t="shared" si="7"/>
        <v>13486.328854285326</v>
      </c>
      <c r="O84" s="212" t="s">
        <v>393</v>
      </c>
      <c r="P84" s="213" t="s">
        <v>518</v>
      </c>
    </row>
    <row r="85" spans="1:16" s="34" customFormat="1" ht="13.9" hidden="1" customHeight="1" outlineLevel="1" x14ac:dyDescent="0.2">
      <c r="A85" s="203">
        <f ca="1">IF($H85="UNIDADE CONSTRUTIVA",OFFSET(A85,-1,0)+1,LARGE(A$3:A84,1))</f>
        <v>0</v>
      </c>
      <c r="B85" s="203">
        <f t="shared" ca="1" si="8"/>
        <v>2</v>
      </c>
      <c r="C85" s="203">
        <f t="shared" ca="1" si="9"/>
        <v>2</v>
      </c>
      <c r="D85" s="204">
        <f t="shared" ca="1" si="10"/>
        <v>2</v>
      </c>
      <c r="E85" s="204">
        <f t="shared" ca="1" si="11"/>
        <v>7</v>
      </c>
      <c r="G85" s="206"/>
      <c r="H85" s="207" t="s">
        <v>212</v>
      </c>
      <c r="I85" s="208" t="str">
        <f t="shared" ca="1" si="12"/>
        <v>02.002.002.007</v>
      </c>
      <c r="J85" s="209" t="s">
        <v>382</v>
      </c>
      <c r="K85" s="210" t="s">
        <v>151</v>
      </c>
      <c r="L85" s="211">
        <v>1</v>
      </c>
      <c r="M85" s="211">
        <v>19957.859246674165</v>
      </c>
      <c r="N85" s="285">
        <f t="shared" si="7"/>
        <v>19957.859246674165</v>
      </c>
      <c r="O85" s="212" t="s">
        <v>393</v>
      </c>
      <c r="P85" s="213" t="s">
        <v>518</v>
      </c>
    </row>
    <row r="86" spans="1:16" s="34" customFormat="1" ht="13.9" hidden="1" customHeight="1" outlineLevel="1" x14ac:dyDescent="0.2">
      <c r="A86" s="203">
        <f ca="1">IF($H86="UNIDADE CONSTRUTIVA",OFFSET(A86,-1,0)+1,LARGE(A$3:A85,1))</f>
        <v>0</v>
      </c>
      <c r="B86" s="203">
        <f t="shared" ca="1" si="8"/>
        <v>2</v>
      </c>
      <c r="C86" s="203">
        <f t="shared" ca="1" si="9"/>
        <v>2</v>
      </c>
      <c r="D86" s="204">
        <f t="shared" ca="1" si="10"/>
        <v>2</v>
      </c>
      <c r="E86" s="204">
        <f t="shared" ca="1" si="11"/>
        <v>8</v>
      </c>
      <c r="G86" s="206"/>
      <c r="H86" s="207" t="s">
        <v>212</v>
      </c>
      <c r="I86" s="208" t="str">
        <f t="shared" ca="1" si="12"/>
        <v>02.002.002.008</v>
      </c>
      <c r="J86" s="209" t="s">
        <v>383</v>
      </c>
      <c r="K86" s="210" t="s">
        <v>151</v>
      </c>
      <c r="L86" s="211">
        <v>1</v>
      </c>
      <c r="M86" s="211">
        <v>13088.856915120086</v>
      </c>
      <c r="N86" s="285">
        <f t="shared" si="7"/>
        <v>13088.856915120086</v>
      </c>
      <c r="O86" s="212" t="s">
        <v>393</v>
      </c>
      <c r="P86" s="213" t="s">
        <v>518</v>
      </c>
    </row>
    <row r="87" spans="1:16" s="34" customFormat="1" ht="13.9" hidden="1" customHeight="1" outlineLevel="1" x14ac:dyDescent="0.2">
      <c r="A87" s="203">
        <f ca="1">IF($H87="UNIDADE CONSTRUTIVA",OFFSET(A87,-1,0)+1,LARGE(A$3:A86,1))</f>
        <v>0</v>
      </c>
      <c r="B87" s="203">
        <f t="shared" ca="1" si="8"/>
        <v>2</v>
      </c>
      <c r="C87" s="203">
        <f t="shared" ca="1" si="9"/>
        <v>2</v>
      </c>
      <c r="D87" s="204">
        <f t="shared" ca="1" si="10"/>
        <v>2</v>
      </c>
      <c r="E87" s="204">
        <f t="shared" ca="1" si="11"/>
        <v>9</v>
      </c>
      <c r="G87" s="206"/>
      <c r="H87" s="207" t="s">
        <v>212</v>
      </c>
      <c r="I87" s="208" t="str">
        <f t="shared" ca="1" si="12"/>
        <v>02.002.002.009</v>
      </c>
      <c r="J87" s="209" t="s">
        <v>384</v>
      </c>
      <c r="K87" s="210" t="s">
        <v>151</v>
      </c>
      <c r="L87" s="211">
        <v>1</v>
      </c>
      <c r="M87" s="211">
        <v>4379.8343219777353</v>
      </c>
      <c r="N87" s="285">
        <f t="shared" si="7"/>
        <v>4379.8343219777353</v>
      </c>
      <c r="O87" s="212" t="s">
        <v>393</v>
      </c>
      <c r="P87" s="213" t="s">
        <v>518</v>
      </c>
    </row>
    <row r="88" spans="1:16" s="34" customFormat="1" ht="13.9" hidden="1" customHeight="1" outlineLevel="1" x14ac:dyDescent="0.2">
      <c r="A88" s="203">
        <f ca="1">IF($H88="UNIDADE CONSTRUTIVA",OFFSET(A88,-1,0)+1,LARGE(A$3:A87,1))</f>
        <v>0</v>
      </c>
      <c r="B88" s="203">
        <f t="shared" ca="1" si="8"/>
        <v>2</v>
      </c>
      <c r="C88" s="203">
        <f t="shared" ca="1" si="9"/>
        <v>2</v>
      </c>
      <c r="D88" s="204">
        <f t="shared" ca="1" si="10"/>
        <v>2</v>
      </c>
      <c r="E88" s="204">
        <f t="shared" ca="1" si="11"/>
        <v>10</v>
      </c>
      <c r="G88" s="206"/>
      <c r="H88" s="207" t="s">
        <v>212</v>
      </c>
      <c r="I88" s="208" t="str">
        <f t="shared" ca="1" si="12"/>
        <v>02.002.002.010</v>
      </c>
      <c r="J88" s="209" t="s">
        <v>385</v>
      </c>
      <c r="K88" s="210" t="s">
        <v>151</v>
      </c>
      <c r="L88" s="211">
        <v>1</v>
      </c>
      <c r="M88" s="211">
        <v>17712.451168630199</v>
      </c>
      <c r="N88" s="285">
        <f t="shared" si="7"/>
        <v>17712.451168630199</v>
      </c>
      <c r="O88" s="212" t="s">
        <v>393</v>
      </c>
      <c r="P88" s="213" t="s">
        <v>518</v>
      </c>
    </row>
    <row r="89" spans="1:16" s="34" customFormat="1" ht="13.9" hidden="1" customHeight="1" outlineLevel="1" x14ac:dyDescent="0.2">
      <c r="A89" s="203">
        <f ca="1">IF($H89="UNIDADE CONSTRUTIVA",OFFSET(A89,-1,0)+1,LARGE(A$3:A88,1))</f>
        <v>0</v>
      </c>
      <c r="B89" s="203">
        <f t="shared" ca="1" si="8"/>
        <v>2</v>
      </c>
      <c r="C89" s="203">
        <f t="shared" ca="1" si="9"/>
        <v>2</v>
      </c>
      <c r="D89" s="204">
        <f t="shared" ca="1" si="10"/>
        <v>2</v>
      </c>
      <c r="E89" s="204">
        <f t="shared" ca="1" si="11"/>
        <v>11</v>
      </c>
      <c r="G89" s="206"/>
      <c r="H89" s="207" t="s">
        <v>212</v>
      </c>
      <c r="I89" s="208" t="str">
        <f t="shared" ca="1" si="12"/>
        <v>02.002.002.011</v>
      </c>
      <c r="J89" s="209" t="s">
        <v>386</v>
      </c>
      <c r="K89" s="210" t="s">
        <v>365</v>
      </c>
      <c r="L89" s="211">
        <v>3</v>
      </c>
      <c r="M89" s="211">
        <v>2028.0914410737723</v>
      </c>
      <c r="N89" s="285">
        <f t="shared" si="7"/>
        <v>6084.274323221317</v>
      </c>
      <c r="O89" s="212" t="s">
        <v>393</v>
      </c>
      <c r="P89" s="213" t="s">
        <v>518</v>
      </c>
    </row>
    <row r="90" spans="1:16" s="34" customFormat="1" ht="13.9" hidden="1" customHeight="1" outlineLevel="1" x14ac:dyDescent="0.2">
      <c r="A90" s="203">
        <f ca="1">IF($H90="UNIDADE CONSTRUTIVA",OFFSET(A90,-1,0)+1,LARGE(A$3:A89,1))</f>
        <v>0</v>
      </c>
      <c r="B90" s="203">
        <f ca="1">IF(H90="UNIDADE CONSTRUTIVA",0,IF(H90="CÉLULA CONSTRUTIVA",OFFSET(B90,-1,0)+1,OFFSET(B90,-1,0)))</f>
        <v>2</v>
      </c>
      <c r="C90" s="203">
        <f ca="1">IF(H90="CÉLULA CONSTRUTIVA",0,IF(H90="ETAPA",OFFSET(C90,-1,0)+1,OFFSET(C90,-1,0)))</f>
        <v>2</v>
      </c>
      <c r="D90" s="204">
        <f ca="1">IF(H90="ETAPA",0,IF(H90="SUBETAPA",OFFSET(D90,-1,0)+1,OFFSET(D90,-1,0)))</f>
        <v>2</v>
      </c>
      <c r="E90" s="204">
        <f ca="1">IF(H90="Subetapa",0,IF(H90="serviço",OFFSET(E90,-1,0)+1,OFFSET(E90,-1,0)))</f>
        <v>12</v>
      </c>
      <c r="G90" s="206"/>
      <c r="H90" s="207" t="s">
        <v>212</v>
      </c>
      <c r="I90" s="208" t="str">
        <f ca="1">IF(H90="Unidade Construtiva",TEXT(A90,"00"),IF(H90="Célula Construtiva",TEXT(B90,"00"),IF(H90="Etapa",CONCATENATE(TEXT(B90,"00"),".",TEXT(C90,"000")),IF(H90="Subetapa",CONCATENATE(TEXT(B90,"00"),".",TEXT(C90,"000"),".",TEXT(D90,"000")),IF(H90="Serviço",CONCATENATE(TEXT(B90,"00"),".",TEXT(C90,"000"),".",TEXT(D90,"000"),".",TEXT(E90,"000")),"")))))</f>
        <v>02.002.002.012</v>
      </c>
      <c r="J90" s="209" t="s">
        <v>1246</v>
      </c>
      <c r="K90" s="210" t="s">
        <v>365</v>
      </c>
      <c r="L90" s="211">
        <v>36</v>
      </c>
      <c r="M90" s="211">
        <f>1804*1.5</f>
        <v>2706</v>
      </c>
      <c r="N90" s="285">
        <f t="shared" si="7"/>
        <v>97416</v>
      </c>
      <c r="O90" s="212" t="s">
        <v>393</v>
      </c>
      <c r="P90" s="213" t="s">
        <v>518</v>
      </c>
    </row>
    <row r="91" spans="1:16" s="34" customFormat="1" ht="13.9" customHeight="1" collapsed="1" x14ac:dyDescent="0.2">
      <c r="A91" s="203">
        <f ca="1">IF($H91="UNIDADE CONSTRUTIVA",OFFSET(A91,-1,0)+1,LARGE(A$3:A89,1))</f>
        <v>0</v>
      </c>
      <c r="B91" s="203">
        <f t="shared" ca="1" si="8"/>
        <v>2</v>
      </c>
      <c r="C91" s="203">
        <f t="shared" ca="1" si="9"/>
        <v>2</v>
      </c>
      <c r="D91" s="204">
        <f t="shared" ca="1" si="10"/>
        <v>3</v>
      </c>
      <c r="E91" s="204">
        <f t="shared" ca="1" si="11"/>
        <v>0</v>
      </c>
      <c r="G91" s="206"/>
      <c r="H91" s="207" t="s">
        <v>211</v>
      </c>
      <c r="I91" s="208" t="str">
        <f t="shared" ca="1" si="12"/>
        <v>02.002.003</v>
      </c>
      <c r="J91" s="209" t="s">
        <v>387</v>
      </c>
      <c r="K91" s="210"/>
      <c r="L91" s="211"/>
      <c r="M91" s="211"/>
      <c r="N91" s="285">
        <f t="shared" ca="1" si="7"/>
        <v>201531.4127936</v>
      </c>
      <c r="O91" s="212"/>
      <c r="P91" s="213"/>
    </row>
    <row r="92" spans="1:16" s="34" customFormat="1" ht="13.9" hidden="1" customHeight="1" outlineLevel="1" x14ac:dyDescent="0.2">
      <c r="A92" s="203">
        <f ca="1">IF($H92="UNIDADE CONSTRUTIVA",OFFSET(A92,-1,0)+1,LARGE(A$3:A91,1))</f>
        <v>0</v>
      </c>
      <c r="B92" s="203">
        <f t="shared" ca="1" si="8"/>
        <v>2</v>
      </c>
      <c r="C92" s="203">
        <f t="shared" ca="1" si="9"/>
        <v>2</v>
      </c>
      <c r="D92" s="204">
        <f t="shared" ca="1" si="10"/>
        <v>3</v>
      </c>
      <c r="E92" s="204">
        <f t="shared" ca="1" si="11"/>
        <v>1</v>
      </c>
      <c r="G92" s="206"/>
      <c r="H92" s="207" t="s">
        <v>212</v>
      </c>
      <c r="I92" s="208" t="str">
        <f t="shared" ca="1" si="12"/>
        <v>02.002.003.001</v>
      </c>
      <c r="J92" s="209" t="s">
        <v>369</v>
      </c>
      <c r="K92" s="210" t="s">
        <v>151</v>
      </c>
      <c r="L92" s="211">
        <v>1</v>
      </c>
      <c r="M92" s="211">
        <v>100896.42718</v>
      </c>
      <c r="N92" s="285">
        <f t="shared" si="7"/>
        <v>100896.42718</v>
      </c>
      <c r="O92" s="212" t="s">
        <v>1224</v>
      </c>
      <c r="P92" s="213" t="s">
        <v>518</v>
      </c>
    </row>
    <row r="93" spans="1:16" s="34" customFormat="1" ht="13.9" hidden="1" customHeight="1" outlineLevel="1" x14ac:dyDescent="0.2">
      <c r="A93" s="203">
        <f ca="1">IF($H93="UNIDADE CONSTRUTIVA",OFFSET(A93,-1,0)+1,LARGE(A$3:A92,1))</f>
        <v>0</v>
      </c>
      <c r="B93" s="203">
        <f t="shared" ca="1" si="8"/>
        <v>2</v>
      </c>
      <c r="C93" s="203">
        <f t="shared" ca="1" si="9"/>
        <v>2</v>
      </c>
      <c r="D93" s="204">
        <f t="shared" ca="1" si="10"/>
        <v>3</v>
      </c>
      <c r="E93" s="204">
        <f t="shared" ca="1" si="11"/>
        <v>2</v>
      </c>
      <c r="G93" s="206"/>
      <c r="H93" s="207" t="s">
        <v>212</v>
      </c>
      <c r="I93" s="208" t="str">
        <f t="shared" ca="1" si="12"/>
        <v>02.002.003.002</v>
      </c>
      <c r="J93" s="209" t="s">
        <v>446</v>
      </c>
      <c r="K93" s="210" t="s">
        <v>365</v>
      </c>
      <c r="L93" s="211">
        <v>11</v>
      </c>
      <c r="M93" s="211">
        <v>1600</v>
      </c>
      <c r="N93" s="285">
        <f t="shared" si="7"/>
        <v>17600</v>
      </c>
      <c r="O93" s="212" t="s">
        <v>1225</v>
      </c>
      <c r="P93" s="213" t="s">
        <v>518</v>
      </c>
    </row>
    <row r="94" spans="1:16" s="34" customFormat="1" ht="13.9" hidden="1" customHeight="1" outlineLevel="1" x14ac:dyDescent="0.2">
      <c r="A94" s="203">
        <f ca="1">IF($H94="UNIDADE CONSTRUTIVA",OFFSET(A94,-1,0)+1,LARGE(A$3:A93,1))</f>
        <v>0</v>
      </c>
      <c r="B94" s="203">
        <f t="shared" ca="1" si="8"/>
        <v>2</v>
      </c>
      <c r="C94" s="203">
        <f t="shared" ca="1" si="9"/>
        <v>2</v>
      </c>
      <c r="D94" s="204">
        <f t="shared" ca="1" si="10"/>
        <v>3</v>
      </c>
      <c r="E94" s="204">
        <f t="shared" ca="1" si="11"/>
        <v>3</v>
      </c>
      <c r="G94" s="206"/>
      <c r="H94" s="207" t="s">
        <v>212</v>
      </c>
      <c r="I94" s="208" t="str">
        <f t="shared" ca="1" si="12"/>
        <v>02.002.003.003</v>
      </c>
      <c r="J94" s="209" t="s">
        <v>395</v>
      </c>
      <c r="K94" s="210" t="s">
        <v>365</v>
      </c>
      <c r="L94" s="211">
        <v>6</v>
      </c>
      <c r="M94" s="211">
        <v>980</v>
      </c>
      <c r="N94" s="285">
        <f t="shared" si="7"/>
        <v>5880</v>
      </c>
      <c r="O94" s="212" t="s">
        <v>1226</v>
      </c>
      <c r="P94" s="213" t="s">
        <v>518</v>
      </c>
    </row>
    <row r="95" spans="1:16" s="34" customFormat="1" ht="13.9" hidden="1" customHeight="1" outlineLevel="1" x14ac:dyDescent="0.2">
      <c r="A95" s="203">
        <f ca="1">IF($H95="UNIDADE CONSTRUTIVA",OFFSET(A95,-1,0)+1,LARGE(A$3:A94,1))</f>
        <v>0</v>
      </c>
      <c r="B95" s="203">
        <f t="shared" ca="1" si="8"/>
        <v>2</v>
      </c>
      <c r="C95" s="203">
        <f t="shared" ca="1" si="9"/>
        <v>2</v>
      </c>
      <c r="D95" s="204">
        <f t="shared" ca="1" si="10"/>
        <v>3</v>
      </c>
      <c r="E95" s="204">
        <f t="shared" ca="1" si="11"/>
        <v>4</v>
      </c>
      <c r="G95" s="206"/>
      <c r="H95" s="207" t="s">
        <v>212</v>
      </c>
      <c r="I95" s="208" t="str">
        <f t="shared" ca="1" si="12"/>
        <v>02.002.003.004</v>
      </c>
      <c r="J95" s="209" t="s">
        <v>388</v>
      </c>
      <c r="K95" s="210" t="s">
        <v>151</v>
      </c>
      <c r="L95" s="211">
        <v>1</v>
      </c>
      <c r="M95" s="211">
        <v>20200</v>
      </c>
      <c r="N95" s="285">
        <f t="shared" si="7"/>
        <v>20200</v>
      </c>
      <c r="O95" s="212" t="s">
        <v>397</v>
      </c>
      <c r="P95" s="213" t="s">
        <v>518</v>
      </c>
    </row>
    <row r="96" spans="1:16" s="34" customFormat="1" ht="13.9" hidden="1" customHeight="1" outlineLevel="1" x14ac:dyDescent="0.2">
      <c r="A96" s="203">
        <f ca="1">IF($H96="UNIDADE CONSTRUTIVA",OFFSET(A96,-1,0)+1,LARGE(A$3:A95,1))</f>
        <v>0</v>
      </c>
      <c r="B96" s="203">
        <f t="shared" ca="1" si="8"/>
        <v>2</v>
      </c>
      <c r="C96" s="203">
        <f t="shared" ca="1" si="9"/>
        <v>2</v>
      </c>
      <c r="D96" s="204">
        <f t="shared" ca="1" si="10"/>
        <v>3</v>
      </c>
      <c r="E96" s="204">
        <f t="shared" ca="1" si="11"/>
        <v>5</v>
      </c>
      <c r="G96" s="206"/>
      <c r="H96" s="207" t="s">
        <v>212</v>
      </c>
      <c r="I96" s="208" t="str">
        <f t="shared" ca="1" si="12"/>
        <v>02.002.003.005</v>
      </c>
      <c r="J96" s="209" t="s">
        <v>396</v>
      </c>
      <c r="K96" s="210" t="s">
        <v>151</v>
      </c>
      <c r="L96" s="211">
        <v>1</v>
      </c>
      <c r="M96" s="211">
        <v>35500</v>
      </c>
      <c r="N96" s="285">
        <f t="shared" si="7"/>
        <v>35500</v>
      </c>
      <c r="O96" s="212" t="s">
        <v>397</v>
      </c>
      <c r="P96" s="213" t="s">
        <v>518</v>
      </c>
    </row>
    <row r="97" spans="1:16" s="34" customFormat="1" ht="13.9" hidden="1" customHeight="1" outlineLevel="1" x14ac:dyDescent="0.2">
      <c r="A97" s="203">
        <f ca="1">IF($H97="UNIDADE CONSTRUTIVA",OFFSET(A97,-1,0)+1,LARGE(A$3:A96,1))</f>
        <v>0</v>
      </c>
      <c r="B97" s="203">
        <f t="shared" ca="1" si="8"/>
        <v>2</v>
      </c>
      <c r="C97" s="203">
        <f t="shared" ca="1" si="9"/>
        <v>2</v>
      </c>
      <c r="D97" s="204">
        <f t="shared" ca="1" si="10"/>
        <v>3</v>
      </c>
      <c r="E97" s="204">
        <f t="shared" ca="1" si="11"/>
        <v>6</v>
      </c>
      <c r="G97" s="206"/>
      <c r="H97" s="207" t="s">
        <v>212</v>
      </c>
      <c r="I97" s="208" t="str">
        <f t="shared" ca="1" si="12"/>
        <v>02.002.003.006</v>
      </c>
      <c r="J97" s="209" t="s">
        <v>389</v>
      </c>
      <c r="K97" s="210" t="s">
        <v>1</v>
      </c>
      <c r="L97" s="211">
        <f>EPCs!D57</f>
        <v>303.33600000000001</v>
      </c>
      <c r="M97" s="211">
        <v>70.730099999999993</v>
      </c>
      <c r="N97" s="285">
        <f t="shared" si="7"/>
        <v>21454.985613599998</v>
      </c>
      <c r="O97" s="212" t="s">
        <v>1227</v>
      </c>
      <c r="P97" s="213" t="s">
        <v>518</v>
      </c>
    </row>
    <row r="98" spans="1:16" s="34" customFormat="1" ht="13.9" customHeight="1" collapsed="1" x14ac:dyDescent="0.2">
      <c r="A98" s="203">
        <f ca="1">IF($H98="UNIDADE CONSTRUTIVA",OFFSET(A98,-1,0)+1,LARGE(A$3:A97,1))</f>
        <v>0</v>
      </c>
      <c r="B98" s="203">
        <f t="shared" ca="1" si="8"/>
        <v>2</v>
      </c>
      <c r="C98" s="203">
        <f t="shared" ca="1" si="9"/>
        <v>2</v>
      </c>
      <c r="D98" s="204">
        <f t="shared" ca="1" si="10"/>
        <v>4</v>
      </c>
      <c r="E98" s="204">
        <f t="shared" ca="1" si="11"/>
        <v>0</v>
      </c>
      <c r="G98" s="206"/>
      <c r="H98" s="207" t="s">
        <v>211</v>
      </c>
      <c r="I98" s="208" t="str">
        <f t="shared" ca="1" si="12"/>
        <v>02.002.004</v>
      </c>
      <c r="J98" s="209" t="s">
        <v>331</v>
      </c>
      <c r="K98" s="210"/>
      <c r="L98" s="211"/>
      <c r="M98" s="211"/>
      <c r="N98" s="285">
        <f t="shared" ca="1" si="7"/>
        <v>37503.504858898137</v>
      </c>
      <c r="O98" s="212"/>
      <c r="P98" s="213"/>
    </row>
    <row r="99" spans="1:16" s="34" customFormat="1" ht="13.9" hidden="1" customHeight="1" outlineLevel="1" x14ac:dyDescent="0.2">
      <c r="A99" s="203">
        <f ca="1">IF($H99="UNIDADE CONSTRUTIVA",OFFSET(A99,-1,0)+1,LARGE(A$3:A98,1))</f>
        <v>0</v>
      </c>
      <c r="B99" s="203">
        <f t="shared" ca="1" si="8"/>
        <v>2</v>
      </c>
      <c r="C99" s="203">
        <f t="shared" ca="1" si="9"/>
        <v>2</v>
      </c>
      <c r="D99" s="204">
        <f t="shared" ca="1" si="10"/>
        <v>4</v>
      </c>
      <c r="E99" s="204">
        <f t="shared" ca="1" si="11"/>
        <v>1</v>
      </c>
      <c r="G99" s="206"/>
      <c r="H99" s="207" t="s">
        <v>212</v>
      </c>
      <c r="I99" s="208" t="str">
        <f t="shared" ca="1" si="12"/>
        <v>02.002.004.001</v>
      </c>
      <c r="J99" s="209" t="s">
        <v>390</v>
      </c>
      <c r="K99" s="210" t="s">
        <v>151</v>
      </c>
      <c r="L99" s="211">
        <v>1</v>
      </c>
      <c r="M99" s="211">
        <v>19775.424050190082</v>
      </c>
      <c r="N99" s="285">
        <f t="shared" si="7"/>
        <v>19775.424050190082</v>
      </c>
      <c r="O99" s="212" t="s">
        <v>393</v>
      </c>
      <c r="P99" s="213" t="s">
        <v>518</v>
      </c>
    </row>
    <row r="100" spans="1:16" s="34" customFormat="1" ht="13.9" hidden="1" customHeight="1" outlineLevel="1" x14ac:dyDescent="0.2">
      <c r="A100" s="203">
        <f ca="1">IF($H100="UNIDADE CONSTRUTIVA",OFFSET(A100,-1,0)+1,LARGE(A$3:A99,1))</f>
        <v>0</v>
      </c>
      <c r="B100" s="203">
        <f t="shared" ca="1" si="8"/>
        <v>2</v>
      </c>
      <c r="C100" s="203">
        <f t="shared" ca="1" si="9"/>
        <v>2</v>
      </c>
      <c r="D100" s="204">
        <f t="shared" ca="1" si="10"/>
        <v>4</v>
      </c>
      <c r="E100" s="204">
        <f t="shared" ca="1" si="11"/>
        <v>2</v>
      </c>
      <c r="G100" s="206"/>
      <c r="H100" s="207" t="s">
        <v>212</v>
      </c>
      <c r="I100" s="208" t="str">
        <f t="shared" ca="1" si="12"/>
        <v>02.002.004.002</v>
      </c>
      <c r="J100" s="209" t="s">
        <v>391</v>
      </c>
      <c r="K100" s="210" t="s">
        <v>151</v>
      </c>
      <c r="L100" s="211">
        <v>1</v>
      </c>
      <c r="M100" s="211">
        <v>17728.080808708055</v>
      </c>
      <c r="N100" s="285">
        <f t="shared" si="7"/>
        <v>17728.080808708055</v>
      </c>
      <c r="O100" s="212" t="s">
        <v>393</v>
      </c>
      <c r="P100" s="213" t="s">
        <v>518</v>
      </c>
    </row>
    <row r="101" spans="1:16" s="34" customFormat="1" ht="13.9" customHeight="1" collapsed="1" x14ac:dyDescent="0.2">
      <c r="A101" s="203">
        <f ca="1">IF($H101="UNIDADE CONSTRUTIVA",OFFSET(A101,-1,0)+1,LARGE(A$3:A100,1))</f>
        <v>0</v>
      </c>
      <c r="B101" s="203">
        <f t="shared" ca="1" si="8"/>
        <v>2</v>
      </c>
      <c r="C101" s="203">
        <f t="shared" ca="1" si="9"/>
        <v>2</v>
      </c>
      <c r="D101" s="204">
        <f t="shared" ca="1" si="10"/>
        <v>5</v>
      </c>
      <c r="E101" s="204">
        <f t="shared" ca="1" si="11"/>
        <v>0</v>
      </c>
      <c r="G101" s="206"/>
      <c r="H101" s="207" t="s">
        <v>211</v>
      </c>
      <c r="I101" s="208" t="str">
        <f t="shared" ca="1" si="12"/>
        <v>02.002.005</v>
      </c>
      <c r="J101" s="209" t="s">
        <v>1228</v>
      </c>
      <c r="K101" s="210"/>
      <c r="L101" s="211"/>
      <c r="M101" s="211"/>
      <c r="N101" s="285">
        <f t="shared" ca="1" si="7"/>
        <v>56180.630093331201</v>
      </c>
      <c r="O101" s="212"/>
      <c r="P101" s="213"/>
    </row>
    <row r="102" spans="1:16" s="34" customFormat="1" ht="13.9" hidden="1" customHeight="1" outlineLevel="1" x14ac:dyDescent="0.2">
      <c r="A102" s="203">
        <f ca="1">IF($H102="UNIDADE CONSTRUTIVA",OFFSET(A102,-1,0)+1,LARGE(A$3:A100,1))</f>
        <v>0</v>
      </c>
      <c r="B102" s="203">
        <f ca="1">IF(H102="UNIDADE CONSTRUTIVA",0,IF(H102="CÉLULA CONSTRUTIVA",OFFSET(B102,-1,0)+1,OFFSET(B102,-1,0)))</f>
        <v>2</v>
      </c>
      <c r="C102" s="203">
        <f ca="1">IF(H102="CÉLULA CONSTRUTIVA",0,IF(H102="ETAPA",OFFSET(C102,-1,0)+1,OFFSET(C102,-1,0)))</f>
        <v>2</v>
      </c>
      <c r="D102" s="204">
        <f ca="1">IF(H102="ETAPA",0,IF(H102="SUBETAPA",OFFSET(D102,-1,0)+1,OFFSET(D102,-1,0)))</f>
        <v>5</v>
      </c>
      <c r="E102" s="204">
        <f ca="1">IF(H102="Subetapa",0,IF(H102="serviço",OFFSET(E102,-1,0)+1,OFFSET(E102,-1,0)))</f>
        <v>1</v>
      </c>
      <c r="G102" s="206"/>
      <c r="H102" s="207" t="s">
        <v>212</v>
      </c>
      <c r="I102" s="208" t="str">
        <f ca="1">IF(H102="Unidade Construtiva",TEXT(A102,"00"),IF(H102="Célula Construtiva",TEXT(B102,"00"),IF(H102="Etapa",CONCATENATE(TEXT(B102,"00"),".",TEXT(C102,"000")),IF(H102="Subetapa",CONCATENATE(TEXT(B102,"00"),".",TEXT(C102,"000"),".",TEXT(D102,"000")),IF(H102="Serviço",CONCATENATE(TEXT(B102,"00"),".",TEXT(C102,"000"),".",TEXT(D102,"000"),".",TEXT(E102,"000")),"")))))</f>
        <v>02.002.005.001</v>
      </c>
      <c r="J102" s="209" t="s">
        <v>444</v>
      </c>
      <c r="K102" s="210" t="s">
        <v>151</v>
      </c>
      <c r="L102" s="211">
        <v>1</v>
      </c>
      <c r="M102" s="211">
        <v>35379.243393331206</v>
      </c>
      <c r="N102" s="285">
        <f t="shared" si="7"/>
        <v>35379.243393331206</v>
      </c>
      <c r="O102" s="212" t="s">
        <v>393</v>
      </c>
      <c r="P102" s="213" t="s">
        <v>518</v>
      </c>
    </row>
    <row r="103" spans="1:16" s="34" customFormat="1" ht="13.9" hidden="1" customHeight="1" outlineLevel="1" x14ac:dyDescent="0.2">
      <c r="A103" s="203">
        <f ca="1">IF($H103="UNIDADE CONSTRUTIVA",OFFSET(A103,-1,0)+1,LARGE(A$3:A101,1))</f>
        <v>0</v>
      </c>
      <c r="B103" s="203">
        <f t="shared" ca="1" si="8"/>
        <v>2</v>
      </c>
      <c r="C103" s="203">
        <f t="shared" ca="1" si="9"/>
        <v>2</v>
      </c>
      <c r="D103" s="204">
        <f t="shared" ca="1" si="10"/>
        <v>5</v>
      </c>
      <c r="E103" s="204">
        <f t="shared" ca="1" si="11"/>
        <v>2</v>
      </c>
      <c r="G103" s="206"/>
      <c r="H103" s="207" t="s">
        <v>212</v>
      </c>
      <c r="I103" s="208" t="str">
        <f t="shared" ca="1" si="12"/>
        <v>02.002.005.002</v>
      </c>
      <c r="J103" s="209" t="s">
        <v>1229</v>
      </c>
      <c r="K103" s="210" t="s">
        <v>1</v>
      </c>
      <c r="L103" s="211">
        <f>'Obra '!E8</f>
        <v>894.13</v>
      </c>
      <c r="M103" s="211">
        <v>13.5</v>
      </c>
      <c r="N103" s="285">
        <f t="shared" si="7"/>
        <v>12070.754999999999</v>
      </c>
      <c r="O103" s="212" t="s">
        <v>393</v>
      </c>
      <c r="P103" s="213" t="s">
        <v>518</v>
      </c>
    </row>
    <row r="104" spans="1:16" s="34" customFormat="1" ht="13.9" hidden="1" customHeight="1" outlineLevel="1" x14ac:dyDescent="0.2">
      <c r="A104" s="203">
        <f ca="1">IF($H104="UNIDADE CONSTRUTIVA",OFFSET(A104,-1,0)+1,LARGE(A$3:A103,1))</f>
        <v>0</v>
      </c>
      <c r="B104" s="203">
        <f t="shared" ca="1" si="8"/>
        <v>2</v>
      </c>
      <c r="C104" s="203">
        <f t="shared" ca="1" si="9"/>
        <v>2</v>
      </c>
      <c r="D104" s="204">
        <f t="shared" ca="1" si="10"/>
        <v>5</v>
      </c>
      <c r="E104" s="204">
        <f t="shared" ca="1" si="11"/>
        <v>3</v>
      </c>
      <c r="G104" s="206"/>
      <c r="H104" s="207" t="s">
        <v>212</v>
      </c>
      <c r="I104" s="208" t="str">
        <f t="shared" ca="1" si="12"/>
        <v>02.002.005.003</v>
      </c>
      <c r="J104" s="209" t="s">
        <v>445</v>
      </c>
      <c r="K104" s="210" t="s">
        <v>3</v>
      </c>
      <c r="L104" s="211">
        <f>EPCs!M5</f>
        <v>118.50999999999999</v>
      </c>
      <c r="M104" s="211">
        <v>73.67</v>
      </c>
      <c r="N104" s="285">
        <f t="shared" ref="N104:N122" si="13">IF(H104="Serviço",M104*L104,IF(H104="CÉLULA CONSTRUTIVA",SUMIFS($N$8:$N$420,$B$8:$B$420,B104,$H$8:$H$420,"Serviço"),IF(H104="ETAPA",SUMIFS($N$8:$N$420,$B$8:$B$420,B104,$C$8:$C$420,C104,$H$8:$H$420,"Serviço"),IF(H104="SUBETAPA",SUMIFS($N$8:$N$420,$B$8:$B$420,B104,$C$8:$C$420,C104,$D$8:$D$420,D104,$H$8:$H$420,"Serviço"),0))))</f>
        <v>8730.6316999999999</v>
      </c>
      <c r="O104" s="212" t="s">
        <v>393</v>
      </c>
      <c r="P104" s="213" t="s">
        <v>518</v>
      </c>
    </row>
    <row r="105" spans="1:16" s="34" customFormat="1" ht="13.9" customHeight="1" x14ac:dyDescent="0.2">
      <c r="A105" s="203">
        <f ca="1">IF($H105="UNIDADE CONSTRUTIVA",OFFSET(A105,-1,0)+1,LARGE(A$3:A104,1))</f>
        <v>0</v>
      </c>
      <c r="B105" s="203">
        <f t="shared" ca="1" si="8"/>
        <v>3</v>
      </c>
      <c r="C105" s="203">
        <f t="shared" ca="1" si="9"/>
        <v>0</v>
      </c>
      <c r="D105" s="204">
        <f t="shared" ca="1" si="10"/>
        <v>5</v>
      </c>
      <c r="E105" s="204">
        <f t="shared" ca="1" si="11"/>
        <v>3</v>
      </c>
      <c r="G105" s="206"/>
      <c r="H105" s="207" t="s">
        <v>209</v>
      </c>
      <c r="I105" s="208" t="str">
        <f t="shared" ca="1" si="12"/>
        <v>03</v>
      </c>
      <c r="J105" s="209" t="s">
        <v>219</v>
      </c>
      <c r="K105" s="210"/>
      <c r="L105" s="211"/>
      <c r="M105" s="211"/>
      <c r="N105" s="285">
        <f t="shared" ca="1" si="13"/>
        <v>934516</v>
      </c>
      <c r="O105" s="212"/>
      <c r="P105" s="213"/>
    </row>
    <row r="106" spans="1:16" s="34" customFormat="1" ht="13.9" customHeight="1" x14ac:dyDescent="0.2">
      <c r="A106" s="203">
        <f ca="1">IF($H106="UNIDADE CONSTRUTIVA",OFFSET(A106,-1,0)+1,LARGE(A$3:A105,1))</f>
        <v>0</v>
      </c>
      <c r="B106" s="203">
        <f t="shared" ca="1" si="8"/>
        <v>3</v>
      </c>
      <c r="C106" s="203">
        <f t="shared" ca="1" si="9"/>
        <v>1</v>
      </c>
      <c r="D106" s="204">
        <f t="shared" ca="1" si="10"/>
        <v>0</v>
      </c>
      <c r="E106" s="204">
        <f t="shared" ca="1" si="11"/>
        <v>3</v>
      </c>
      <c r="G106" s="206"/>
      <c r="H106" s="207" t="s">
        <v>210</v>
      </c>
      <c r="I106" s="208" t="str">
        <f t="shared" ca="1" si="12"/>
        <v>03.001</v>
      </c>
      <c r="J106" s="209" t="s">
        <v>219</v>
      </c>
      <c r="K106" s="210"/>
      <c r="L106" s="211"/>
      <c r="M106" s="211"/>
      <c r="N106" s="285">
        <f t="shared" ca="1" si="13"/>
        <v>934516</v>
      </c>
      <c r="O106" s="212"/>
      <c r="P106" s="213"/>
    </row>
    <row r="107" spans="1:16" s="34" customFormat="1" ht="13.9" customHeight="1" x14ac:dyDescent="0.2">
      <c r="A107" s="203">
        <f ca="1">IF($H107="UNIDADE CONSTRUTIVA",OFFSET(A107,-1,0)+1,LARGE(A$3:A106,1))</f>
        <v>0</v>
      </c>
      <c r="B107" s="203">
        <f t="shared" ca="1" si="8"/>
        <v>3</v>
      </c>
      <c r="C107" s="203">
        <f t="shared" ca="1" si="9"/>
        <v>1</v>
      </c>
      <c r="D107" s="204">
        <f t="shared" ca="1" si="10"/>
        <v>1</v>
      </c>
      <c r="E107" s="204">
        <f t="shared" ca="1" si="11"/>
        <v>0</v>
      </c>
      <c r="G107" s="206"/>
      <c r="H107" s="207" t="s">
        <v>211</v>
      </c>
      <c r="I107" s="208" t="str">
        <f t="shared" ca="1" si="12"/>
        <v>03.001.001</v>
      </c>
      <c r="J107" s="209" t="s">
        <v>392</v>
      </c>
      <c r="K107" s="210"/>
      <c r="L107" s="211"/>
      <c r="M107" s="211"/>
      <c r="N107" s="285">
        <f t="shared" ca="1" si="13"/>
        <v>934516</v>
      </c>
      <c r="O107" s="212"/>
      <c r="P107" s="213"/>
    </row>
    <row r="108" spans="1:16" s="34" customFormat="1" ht="13.9" customHeight="1" outlineLevel="1" x14ac:dyDescent="0.2">
      <c r="A108" s="203">
        <f ca="1">IF($H108="UNIDADE CONSTRUTIVA",OFFSET(A108,-1,0)+1,LARGE(A$3:A107,1))</f>
        <v>0</v>
      </c>
      <c r="B108" s="203">
        <f t="shared" ca="1" si="8"/>
        <v>3</v>
      </c>
      <c r="C108" s="203">
        <f t="shared" ca="1" si="9"/>
        <v>1</v>
      </c>
      <c r="D108" s="204">
        <f t="shared" ca="1" si="10"/>
        <v>1</v>
      </c>
      <c r="E108" s="204">
        <f t="shared" ca="1" si="11"/>
        <v>1</v>
      </c>
      <c r="G108" s="1000"/>
      <c r="H108" s="1001" t="s">
        <v>212</v>
      </c>
      <c r="I108" s="1002" t="str">
        <f t="shared" ca="1" si="12"/>
        <v>03.001.001.001</v>
      </c>
      <c r="J108" s="1003" t="s">
        <v>5048</v>
      </c>
      <c r="K108" s="1004" t="s">
        <v>365</v>
      </c>
      <c r="L108" s="1005">
        <v>22</v>
      </c>
      <c r="M108" s="1005">
        <f>9600-2100</f>
        <v>7500</v>
      </c>
      <c r="N108" s="1006">
        <f t="shared" si="13"/>
        <v>165000</v>
      </c>
      <c r="O108" s="1007" t="s">
        <v>5050</v>
      </c>
      <c r="P108" s="213" t="s">
        <v>518</v>
      </c>
    </row>
    <row r="109" spans="1:16" s="34" customFormat="1" ht="13.9" customHeight="1" outlineLevel="1" x14ac:dyDescent="0.2">
      <c r="A109" s="203">
        <f ca="1">IF($H109="UNIDADE CONSTRUTIVA",OFFSET(A109,-1,0)+1,LARGE(A$3:A108,1))</f>
        <v>0</v>
      </c>
      <c r="B109" s="203">
        <f t="shared" ca="1" si="8"/>
        <v>3</v>
      </c>
      <c r="C109" s="203">
        <f t="shared" ca="1" si="9"/>
        <v>1</v>
      </c>
      <c r="D109" s="204">
        <f t="shared" ca="1" si="10"/>
        <v>1</v>
      </c>
      <c r="E109" s="204">
        <f t="shared" ca="1" si="11"/>
        <v>2</v>
      </c>
      <c r="G109" s="206"/>
      <c r="H109" s="207" t="s">
        <v>212</v>
      </c>
      <c r="I109" s="208" t="str">
        <f t="shared" ca="1" si="12"/>
        <v>03.001.001.002</v>
      </c>
      <c r="J109" s="209" t="s">
        <v>4932</v>
      </c>
      <c r="K109" s="210" t="s">
        <v>365</v>
      </c>
      <c r="L109" s="211">
        <v>22</v>
      </c>
      <c r="M109" s="211">
        <v>2100</v>
      </c>
      <c r="N109" s="285">
        <f t="shared" si="13"/>
        <v>46200</v>
      </c>
      <c r="O109" s="212"/>
      <c r="P109" s="213" t="s">
        <v>518</v>
      </c>
    </row>
    <row r="110" spans="1:16" s="34" customFormat="1" ht="13.9" customHeight="1" outlineLevel="1" x14ac:dyDescent="0.2">
      <c r="A110" s="203">
        <f ca="1">IF($H110="UNIDADE CONSTRUTIVA",OFFSET(A110,-1,0)+1,LARGE(A$3:A108,1))</f>
        <v>0</v>
      </c>
      <c r="B110" s="203">
        <f ca="1">IF(H110="UNIDADE CONSTRUTIVA",0,IF(H110="CÉLULA CONSTRUTIVA",OFFSET(B110,-1,0)+1,OFFSET(B110,-1,0)))</f>
        <v>3</v>
      </c>
      <c r="C110" s="203">
        <f ca="1">IF(H110="CÉLULA CONSTRUTIVA",0,IF(H110="ETAPA",OFFSET(C110,-1,0)+1,OFFSET(C110,-1,0)))</f>
        <v>1</v>
      </c>
      <c r="D110" s="204">
        <f ca="1">IF(H110="ETAPA",0,IF(H110="SUBETAPA",OFFSET(D110,-1,0)+1,OFFSET(D110,-1,0)))</f>
        <v>1</v>
      </c>
      <c r="E110" s="204">
        <f ca="1">IF(H110="Subetapa",0,IF(H110="serviço",OFFSET(E110,-1,0)+1,OFFSET(E110,-1,0)))</f>
        <v>3</v>
      </c>
      <c r="G110" s="206"/>
      <c r="H110" s="207" t="s">
        <v>212</v>
      </c>
      <c r="I110" s="208" t="str">
        <f ca="1">IF(H110="Unidade Construtiva",TEXT(A110,"00"),IF(H110="Célula Construtiva",TEXT(B110,"00"),IF(H110="Etapa",CONCATENATE(TEXT(B110,"00"),".",TEXT(C110,"000")),IF(H110="Subetapa",CONCATENATE(TEXT(B110,"00"),".",TEXT(C110,"000"),".",TEXT(D110,"000")),IF(H110="Serviço",CONCATENATE(TEXT(B110,"00"),".",TEXT(C110,"000"),".",TEXT(D110,"000"),".",TEXT(E110,"000")),"")))))</f>
        <v>03.001.001.003</v>
      </c>
      <c r="J110" s="209" t="s">
        <v>5001</v>
      </c>
      <c r="K110" s="210" t="s">
        <v>151</v>
      </c>
      <c r="L110" s="211">
        <v>1</v>
      </c>
      <c r="M110" s="211">
        <v>18400</v>
      </c>
      <c r="N110" s="285">
        <f t="shared" si="13"/>
        <v>18400</v>
      </c>
      <c r="O110" s="212"/>
      <c r="P110" s="213" t="s">
        <v>518</v>
      </c>
    </row>
    <row r="111" spans="1:16" s="34" customFormat="1" ht="13.9" customHeight="1" outlineLevel="1" x14ac:dyDescent="0.2">
      <c r="A111" s="203">
        <f ca="1">IF($H111="UNIDADE CONSTRUTIVA",OFFSET(A111,-1,0)+1,LARGE(A$3:A109,1))</f>
        <v>0</v>
      </c>
      <c r="B111" s="203">
        <f t="shared" ca="1" si="8"/>
        <v>3</v>
      </c>
      <c r="C111" s="203">
        <f t="shared" ca="1" si="9"/>
        <v>1</v>
      </c>
      <c r="D111" s="204">
        <f t="shared" ca="1" si="10"/>
        <v>1</v>
      </c>
      <c r="E111" s="204">
        <f t="shared" ca="1" si="11"/>
        <v>4</v>
      </c>
      <c r="G111" s="206"/>
      <c r="H111" s="207" t="s">
        <v>212</v>
      </c>
      <c r="I111" s="208" t="str">
        <f t="shared" ca="1" si="12"/>
        <v>03.001.001.004</v>
      </c>
      <c r="J111" s="209" t="s">
        <v>4933</v>
      </c>
      <c r="K111" s="210" t="s">
        <v>151</v>
      </c>
      <c r="L111" s="211">
        <v>1</v>
      </c>
      <c r="M111" s="211">
        <v>4500</v>
      </c>
      <c r="N111" s="285">
        <f t="shared" si="13"/>
        <v>4500</v>
      </c>
      <c r="O111" s="212"/>
      <c r="P111" s="213" t="s">
        <v>518</v>
      </c>
    </row>
    <row r="112" spans="1:16" s="34" customFormat="1" ht="13.9" customHeight="1" outlineLevel="1" x14ac:dyDescent="0.2">
      <c r="A112" s="203">
        <f ca="1">IF($H112="UNIDADE CONSTRUTIVA",OFFSET(A112,-1,0)+1,LARGE(A$3:A111,1))</f>
        <v>0</v>
      </c>
      <c r="B112" s="203">
        <f t="shared" ca="1" si="8"/>
        <v>3</v>
      </c>
      <c r="C112" s="203">
        <f t="shared" ca="1" si="9"/>
        <v>1</v>
      </c>
      <c r="D112" s="204">
        <f t="shared" ca="1" si="10"/>
        <v>1</v>
      </c>
      <c r="E112" s="204">
        <f t="shared" ca="1" si="11"/>
        <v>5</v>
      </c>
      <c r="G112" s="1000"/>
      <c r="H112" s="1001" t="s">
        <v>212</v>
      </c>
      <c r="I112" s="1002" t="str">
        <f t="shared" ca="1" si="12"/>
        <v>03.001.001.005</v>
      </c>
      <c r="J112" s="1003" t="s">
        <v>5049</v>
      </c>
      <c r="K112" s="1004" t="s">
        <v>365</v>
      </c>
      <c r="L112" s="1005">
        <v>21</v>
      </c>
      <c r="M112" s="1005">
        <f>18000-M116</f>
        <v>14800</v>
      </c>
      <c r="N112" s="1006">
        <f t="shared" si="13"/>
        <v>310800</v>
      </c>
      <c r="O112" s="1007" t="s">
        <v>5050</v>
      </c>
      <c r="P112" s="213" t="s">
        <v>518</v>
      </c>
    </row>
    <row r="113" spans="1:17" s="34" customFormat="1" ht="13.9" customHeight="1" outlineLevel="1" x14ac:dyDescent="0.2">
      <c r="A113" s="203">
        <f ca="1">IF($H113="UNIDADE CONSTRUTIVA",OFFSET(A113,-1,0)+1,LARGE(A$3:A112,1))</f>
        <v>0</v>
      </c>
      <c r="B113" s="203">
        <f ca="1">IF(H113="UNIDADE CONSTRUTIVA",0,IF(H113="CÉLULA CONSTRUTIVA",OFFSET(B113,-1,0)+1,OFFSET(B113,-1,0)))</f>
        <v>3</v>
      </c>
      <c r="C113" s="203">
        <f ca="1">IF(H113="CÉLULA CONSTRUTIVA",0,IF(H113="ETAPA",OFFSET(C113,-1,0)+1,OFFSET(C113,-1,0)))</f>
        <v>1</v>
      </c>
      <c r="D113" s="204">
        <f ca="1">IF(H113="ETAPA",0,IF(H113="SUBETAPA",OFFSET(D113,-1,0)+1,OFFSET(D113,-1,0)))</f>
        <v>1</v>
      </c>
      <c r="E113" s="204">
        <f ca="1">IF(H113="Subetapa",0,IF(H113="serviço",OFFSET(E113,-1,0)+1,OFFSET(E113,-1,0)))</f>
        <v>6</v>
      </c>
      <c r="G113" s="206"/>
      <c r="H113" s="207" t="s">
        <v>212</v>
      </c>
      <c r="I113" s="208" t="str">
        <f ca="1">IF(H113="Unidade Construtiva",TEXT(A113,"00"),IF(H113="Célula Construtiva",TEXT(B113,"00"),IF(H113="Etapa",CONCATENATE(TEXT(B113,"00"),".",TEXT(C113,"000")),IF(H113="Subetapa",CONCATENATE(TEXT(B113,"00"),".",TEXT(C113,"000"),".",TEXT(D113,"000")),IF(H113="Serviço",CONCATENATE(TEXT(B113,"00"),".",TEXT(C113,"000"),".",TEXT(D113,"000"),".",TEXT(E113,"000")),"")))))</f>
        <v>03.001.001.006</v>
      </c>
      <c r="J113" s="209" t="s">
        <v>5000</v>
      </c>
      <c r="K113" s="210" t="s">
        <v>2</v>
      </c>
      <c r="L113" s="211">
        <f>21/3</f>
        <v>7</v>
      </c>
      <c r="M113" s="211">
        <v>9000</v>
      </c>
      <c r="N113" s="285">
        <f t="shared" si="13"/>
        <v>63000</v>
      </c>
      <c r="O113" s="212" t="s">
        <v>5002</v>
      </c>
      <c r="P113" s="213" t="s">
        <v>518</v>
      </c>
    </row>
    <row r="114" spans="1:17" s="34" customFormat="1" ht="13.9" customHeight="1" outlineLevel="1" x14ac:dyDescent="0.2">
      <c r="A114" s="203">
        <f ca="1">IF($H114="UNIDADE CONSTRUTIVA",OFFSET(A114,-1,0)+1,LARGE(A$3:A112,1))</f>
        <v>0</v>
      </c>
      <c r="B114" s="203">
        <f t="shared" ca="1" si="8"/>
        <v>3</v>
      </c>
      <c r="C114" s="203">
        <f t="shared" ca="1" si="9"/>
        <v>1</v>
      </c>
      <c r="D114" s="204">
        <f t="shared" ca="1" si="10"/>
        <v>1</v>
      </c>
      <c r="E114" s="204">
        <f t="shared" ca="1" si="11"/>
        <v>7</v>
      </c>
      <c r="G114" s="206"/>
      <c r="H114" s="207" t="s">
        <v>212</v>
      </c>
      <c r="I114" s="208" t="str">
        <f t="shared" ca="1" si="12"/>
        <v>03.001.001.007</v>
      </c>
      <c r="J114" s="209" t="s">
        <v>4934</v>
      </c>
      <c r="K114" s="210" t="s">
        <v>151</v>
      </c>
      <c r="L114" s="211">
        <v>1</v>
      </c>
      <c r="M114" s="211">
        <v>9200</v>
      </c>
      <c r="N114" s="285">
        <f t="shared" si="13"/>
        <v>9200</v>
      </c>
      <c r="O114" s="212"/>
      <c r="P114" s="213" t="s">
        <v>518</v>
      </c>
    </row>
    <row r="115" spans="1:17" s="34" customFormat="1" ht="13.9" customHeight="1" outlineLevel="1" x14ac:dyDescent="0.2">
      <c r="A115" s="203">
        <f ca="1">IF($H115="UNIDADE CONSTRUTIVA",OFFSET(A115,-1,0)+1,LARGE(A$3:A114,1))</f>
        <v>0</v>
      </c>
      <c r="B115" s="203">
        <f t="shared" ca="1" si="8"/>
        <v>3</v>
      </c>
      <c r="C115" s="203">
        <f t="shared" ca="1" si="9"/>
        <v>1</v>
      </c>
      <c r="D115" s="204">
        <f t="shared" ca="1" si="10"/>
        <v>1</v>
      </c>
      <c r="E115" s="204">
        <f t="shared" ca="1" si="11"/>
        <v>8</v>
      </c>
      <c r="G115" s="206"/>
      <c r="H115" s="207" t="s">
        <v>212</v>
      </c>
      <c r="I115" s="208" t="str">
        <f t="shared" ca="1" si="12"/>
        <v>03.001.001.008</v>
      </c>
      <c r="J115" s="209" t="s">
        <v>4935</v>
      </c>
      <c r="K115" s="210" t="s">
        <v>151</v>
      </c>
      <c r="L115" s="211">
        <v>1</v>
      </c>
      <c r="M115" s="211">
        <v>17550</v>
      </c>
      <c r="N115" s="285">
        <f t="shared" si="13"/>
        <v>17550</v>
      </c>
      <c r="O115" s="212"/>
      <c r="P115" s="213" t="s">
        <v>518</v>
      </c>
    </row>
    <row r="116" spans="1:17" s="34" customFormat="1" ht="13.9" customHeight="1" outlineLevel="1" x14ac:dyDescent="0.2">
      <c r="A116" s="203">
        <f ca="1">IF($H116="UNIDADE CONSTRUTIVA",OFFSET(A116,-1,0)+1,LARGE(A$3:A115,1))</f>
        <v>0</v>
      </c>
      <c r="B116" s="203">
        <f ca="1">IF(H116="UNIDADE CONSTRUTIVA",0,IF(H116="CÉLULA CONSTRUTIVA",OFFSET(B116,-1,0)+1,OFFSET(B116,-1,0)))</f>
        <v>3</v>
      </c>
      <c r="C116" s="203">
        <f ca="1">IF(H116="CÉLULA CONSTRUTIVA",0,IF(H116="ETAPA",OFFSET(C116,-1,0)+1,OFFSET(C116,-1,0)))</f>
        <v>1</v>
      </c>
      <c r="D116" s="204">
        <f ca="1">IF(H116="ETAPA",0,IF(H116="SUBETAPA",OFFSET(D116,-1,0)+1,OFFSET(D116,-1,0)))</f>
        <v>1</v>
      </c>
      <c r="E116" s="204">
        <f ca="1">IF(H116="Subetapa",0,IF(H116="serviço",OFFSET(E116,-1,0)+1,OFFSET(E116,-1,0)))</f>
        <v>9</v>
      </c>
      <c r="G116" s="206"/>
      <c r="H116" s="207" t="s">
        <v>212</v>
      </c>
      <c r="I116" s="208" t="str">
        <f ca="1">IF(H116="Unidade Construtiva",TEXT(A116,"00"),IF(H116="Célula Construtiva",TEXT(B116,"00"),IF(H116="Etapa",CONCATENATE(TEXT(B116,"00"),".",TEXT(C116,"000")),IF(H116="Subetapa",CONCATENATE(TEXT(B116,"00"),".",TEXT(C116,"000"),".",TEXT(D116,"000")),IF(H116="Serviço",CONCATENATE(TEXT(B116,"00"),".",TEXT(C116,"000"),".",TEXT(D116,"000"),".",TEXT(E116,"000")),"")))))</f>
        <v>03.001.001.009</v>
      </c>
      <c r="J116" s="209" t="s">
        <v>4936</v>
      </c>
      <c r="K116" s="210" t="s">
        <v>365</v>
      </c>
      <c r="L116" s="211">
        <v>21</v>
      </c>
      <c r="M116" s="211">
        <v>3200</v>
      </c>
      <c r="N116" s="285">
        <f t="shared" si="13"/>
        <v>67200</v>
      </c>
      <c r="O116" s="212" t="s">
        <v>5047</v>
      </c>
      <c r="P116" s="213" t="s">
        <v>518</v>
      </c>
    </row>
    <row r="117" spans="1:17" s="34" customFormat="1" ht="13.9" customHeight="1" outlineLevel="1" x14ac:dyDescent="0.2">
      <c r="A117" s="203">
        <f ca="1">IF($H117="UNIDADE CONSTRUTIVA",OFFSET(A117,-1,0)+1,LARGE(A$3:A115,1))</f>
        <v>0</v>
      </c>
      <c r="B117" s="203">
        <f t="shared" ca="1" si="8"/>
        <v>3</v>
      </c>
      <c r="C117" s="203">
        <f t="shared" ca="1" si="9"/>
        <v>1</v>
      </c>
      <c r="D117" s="204">
        <f t="shared" ca="1" si="10"/>
        <v>1</v>
      </c>
      <c r="E117" s="204">
        <f t="shared" ca="1" si="11"/>
        <v>10</v>
      </c>
      <c r="G117" s="206"/>
      <c r="H117" s="207" t="s">
        <v>212</v>
      </c>
      <c r="I117" s="208" t="str">
        <f t="shared" ca="1" si="12"/>
        <v>03.001.001.010</v>
      </c>
      <c r="J117" s="209" t="s">
        <v>1230</v>
      </c>
      <c r="K117" s="210" t="s">
        <v>365</v>
      </c>
      <c r="L117" s="211">
        <v>6</v>
      </c>
      <c r="M117" s="211">
        <f>510</f>
        <v>510</v>
      </c>
      <c r="N117" s="285">
        <f t="shared" si="13"/>
        <v>3060</v>
      </c>
      <c r="O117" s="212"/>
      <c r="P117" s="213" t="s">
        <v>518</v>
      </c>
    </row>
    <row r="118" spans="1:17" s="34" customFormat="1" ht="13.9" customHeight="1" outlineLevel="1" x14ac:dyDescent="0.2">
      <c r="A118" s="203">
        <f ca="1">IF($H118="UNIDADE CONSTRUTIVA",OFFSET(A118,-1,0)+1,LARGE(A$3:A117,1))</f>
        <v>0</v>
      </c>
      <c r="B118" s="203">
        <f t="shared" ca="1" si="8"/>
        <v>3</v>
      </c>
      <c r="C118" s="203">
        <f t="shared" ca="1" si="9"/>
        <v>1</v>
      </c>
      <c r="D118" s="204">
        <f t="shared" ca="1" si="10"/>
        <v>1</v>
      </c>
      <c r="E118" s="204">
        <f t="shared" ca="1" si="11"/>
        <v>11</v>
      </c>
      <c r="G118" s="206"/>
      <c r="H118" s="207" t="s">
        <v>212</v>
      </c>
      <c r="I118" s="208" t="str">
        <f t="shared" ca="1" si="12"/>
        <v>03.001.001.011</v>
      </c>
      <c r="J118" s="209" t="s">
        <v>1231</v>
      </c>
      <c r="K118" s="210" t="s">
        <v>365</v>
      </c>
      <c r="L118" s="211">
        <v>8</v>
      </c>
      <c r="M118" s="211">
        <f>((1800*5*6)+(1800*3*3))/8</f>
        <v>8775</v>
      </c>
      <c r="N118" s="285">
        <f t="shared" si="13"/>
        <v>70200</v>
      </c>
      <c r="O118" s="212" t="s">
        <v>1247</v>
      </c>
      <c r="P118" s="213" t="s">
        <v>518</v>
      </c>
    </row>
    <row r="119" spans="1:17" s="34" customFormat="1" ht="13.9" customHeight="1" outlineLevel="1" x14ac:dyDescent="0.2">
      <c r="A119" s="203">
        <f ca="1">IF($H119="UNIDADE CONSTRUTIVA",OFFSET(A119,-1,0)+1,LARGE(A$3:A118,1))</f>
        <v>0</v>
      </c>
      <c r="B119" s="203">
        <f t="shared" ca="1" si="8"/>
        <v>3</v>
      </c>
      <c r="C119" s="203">
        <f t="shared" ca="1" si="9"/>
        <v>1</v>
      </c>
      <c r="D119" s="204">
        <f t="shared" ca="1" si="10"/>
        <v>1</v>
      </c>
      <c r="E119" s="204">
        <f t="shared" ca="1" si="11"/>
        <v>12</v>
      </c>
      <c r="G119" s="206"/>
      <c r="H119" s="207" t="s">
        <v>212</v>
      </c>
      <c r="I119" s="208" t="str">
        <f t="shared" ca="1" si="12"/>
        <v>03.001.001.012</v>
      </c>
      <c r="J119" s="209" t="s">
        <v>1232</v>
      </c>
      <c r="K119" s="210" t="s">
        <v>2</v>
      </c>
      <c r="L119" s="211">
        <f>ROUNDUP(EPCs!D10/4,0)*2+ROUNDUP(EPCs!D8/4,0)*2</f>
        <v>164</v>
      </c>
      <c r="M119" s="211">
        <v>450</v>
      </c>
      <c r="N119" s="285">
        <f t="shared" si="13"/>
        <v>73800</v>
      </c>
      <c r="O119" s="212" t="s">
        <v>1233</v>
      </c>
      <c r="P119" s="213" t="s">
        <v>518</v>
      </c>
    </row>
    <row r="120" spans="1:17" s="34" customFormat="1" ht="13.9" customHeight="1" outlineLevel="1" x14ac:dyDescent="0.2">
      <c r="A120" s="203">
        <f ca="1">IF($H120="UNIDADE CONSTRUTIVA",OFFSET(A120,-1,0)+1,LARGE(A$3:A117,1))</f>
        <v>0</v>
      </c>
      <c r="B120" s="203">
        <f t="shared" ca="1" si="8"/>
        <v>3</v>
      </c>
      <c r="C120" s="203">
        <f t="shared" ca="1" si="9"/>
        <v>1</v>
      </c>
      <c r="D120" s="204">
        <f t="shared" ca="1" si="10"/>
        <v>1</v>
      </c>
      <c r="E120" s="204">
        <f t="shared" ca="1" si="11"/>
        <v>13</v>
      </c>
      <c r="G120" s="206"/>
      <c r="H120" s="207" t="s">
        <v>212</v>
      </c>
      <c r="I120" s="208" t="str">
        <f t="shared" ca="1" si="12"/>
        <v>03.001.001.013</v>
      </c>
      <c r="J120" s="209" t="s">
        <v>1234</v>
      </c>
      <c r="K120" s="210" t="s">
        <v>151</v>
      </c>
      <c r="L120" s="211">
        <v>1</v>
      </c>
      <c r="M120" s="211">
        <f>CANTEIRO!D14</f>
        <v>73600</v>
      </c>
      <c r="N120" s="285">
        <f t="shared" si="13"/>
        <v>73600</v>
      </c>
      <c r="O120" s="212"/>
      <c r="P120" s="213" t="s">
        <v>518</v>
      </c>
    </row>
    <row r="121" spans="1:17" s="34" customFormat="1" ht="13.9" customHeight="1" outlineLevel="1" x14ac:dyDescent="0.2">
      <c r="A121" s="203">
        <f ca="1">IF($H121="UNIDADE CONSTRUTIVA",OFFSET(A121,-1,0)+1,LARGE(A$3:A120,1))</f>
        <v>0</v>
      </c>
      <c r="B121" s="203">
        <f t="shared" ca="1" si="8"/>
        <v>3</v>
      </c>
      <c r="C121" s="203">
        <f t="shared" ca="1" si="9"/>
        <v>1</v>
      </c>
      <c r="D121" s="204">
        <f t="shared" ca="1" si="10"/>
        <v>1</v>
      </c>
      <c r="E121" s="204">
        <f t="shared" ca="1" si="11"/>
        <v>14</v>
      </c>
      <c r="G121" s="206"/>
      <c r="H121" s="207" t="s">
        <v>212</v>
      </c>
      <c r="I121" s="208" t="str">
        <f t="shared" ca="1" si="12"/>
        <v>03.001.001.014</v>
      </c>
      <c r="J121" s="209" t="s">
        <v>1235</v>
      </c>
      <c r="K121" s="210" t="s">
        <v>2</v>
      </c>
      <c r="L121" s="211">
        <v>1</v>
      </c>
      <c r="M121" s="211">
        <v>1443</v>
      </c>
      <c r="N121" s="285">
        <f t="shared" si="13"/>
        <v>1443</v>
      </c>
      <c r="O121" s="212"/>
      <c r="P121" s="213" t="s">
        <v>518</v>
      </c>
    </row>
    <row r="122" spans="1:17" s="34" customFormat="1" ht="13.9" customHeight="1" outlineLevel="1" x14ac:dyDescent="0.2">
      <c r="A122" s="203">
        <f ca="1">IF($H122="UNIDADE CONSTRUTIVA",OFFSET(A122,-1,0)+1,LARGE(A$3:A121,1))</f>
        <v>0</v>
      </c>
      <c r="B122" s="203">
        <f t="shared" ca="1" si="8"/>
        <v>3</v>
      </c>
      <c r="C122" s="203">
        <f t="shared" ca="1" si="9"/>
        <v>1</v>
      </c>
      <c r="D122" s="204">
        <f t="shared" ca="1" si="10"/>
        <v>1</v>
      </c>
      <c r="E122" s="204">
        <f t="shared" ca="1" si="11"/>
        <v>15</v>
      </c>
      <c r="G122" s="206"/>
      <c r="H122" s="207" t="s">
        <v>212</v>
      </c>
      <c r="I122" s="208" t="str">
        <f t="shared" ca="1" si="12"/>
        <v>03.001.001.015</v>
      </c>
      <c r="J122" s="209" t="s">
        <v>1236</v>
      </c>
      <c r="K122" s="210" t="s">
        <v>2</v>
      </c>
      <c r="L122" s="211">
        <v>1</v>
      </c>
      <c r="M122" s="211">
        <f>503*'Obra '!E13</f>
        <v>10563</v>
      </c>
      <c r="N122" s="285">
        <f t="shared" si="13"/>
        <v>10563</v>
      </c>
      <c r="O122" s="212" t="s">
        <v>1237</v>
      </c>
      <c r="P122" s="213" t="s">
        <v>518</v>
      </c>
    </row>
    <row r="123" spans="1:17" s="248" customFormat="1" ht="11.25" x14ac:dyDescent="0.2">
      <c r="A123" s="203">
        <f ca="1">IF($H123="UNIDADE CONSTRUTIVA",OFFSET(A123,-1,0)+1,LARGE(A$3:A122,1))</f>
        <v>0</v>
      </c>
      <c r="B123" s="203">
        <f t="shared" ca="1" si="8"/>
        <v>3</v>
      </c>
      <c r="C123" s="203">
        <f t="shared" ca="1" si="9"/>
        <v>1</v>
      </c>
      <c r="D123" s="204">
        <f t="shared" ca="1" si="10"/>
        <v>1</v>
      </c>
      <c r="E123" s="204">
        <f t="shared" ca="1" si="11"/>
        <v>15</v>
      </c>
      <c r="F123" s="245"/>
      <c r="G123" s="246"/>
      <c r="H123" s="246"/>
      <c r="I123" s="246"/>
      <c r="J123" s="247" t="s">
        <v>8</v>
      </c>
      <c r="K123" s="244"/>
      <c r="L123" s="242"/>
      <c r="M123" s="242"/>
      <c r="N123" s="243">
        <f ca="1">N105+N53+N8</f>
        <v>4533686.5323830638</v>
      </c>
      <c r="O123" s="242"/>
      <c r="P123" s="244"/>
      <c r="Q123" s="245"/>
    </row>
    <row r="124" spans="1:17" s="23" customFormat="1" ht="14.1" customHeight="1" x14ac:dyDescent="0.2">
      <c r="A124" s="203">
        <f ca="1">IF($H124="UNIDADE CONSTRUTIVA",OFFSET(A124,-1,0)+1,LARGE(A$3:A123,1))</f>
        <v>0</v>
      </c>
      <c r="B124" s="203">
        <f t="shared" ca="1" si="8"/>
        <v>3</v>
      </c>
      <c r="C124" s="203">
        <f t="shared" ca="1" si="9"/>
        <v>1</v>
      </c>
      <c r="D124" s="204">
        <f t="shared" ca="1" si="10"/>
        <v>1</v>
      </c>
      <c r="E124" s="204">
        <f t="shared" ca="1" si="11"/>
        <v>15</v>
      </c>
      <c r="F124" s="34"/>
      <c r="J124" s="15"/>
      <c r="K124" s="21"/>
      <c r="L124" s="103"/>
      <c r="M124" s="286">
        <f ca="1">SUMIFS($N$7:$N$415,$H$7:$H$415,N124)</f>
        <v>4533686.5323830638</v>
      </c>
      <c r="N124" s="287" t="s">
        <v>209</v>
      </c>
      <c r="O124" s="139"/>
      <c r="P124" s="22"/>
      <c r="Q124" s="15"/>
    </row>
    <row r="125" spans="1:17" s="23" customFormat="1" ht="14.1" customHeight="1" x14ac:dyDescent="0.2">
      <c r="A125" s="203">
        <f ca="1">IF($H125="UNIDADE CONSTRUTIVA",OFFSET(A125,-1,0)+1,LARGE(A$3:A124,1))</f>
        <v>0</v>
      </c>
      <c r="B125" s="203">
        <f t="shared" ca="1" si="8"/>
        <v>3</v>
      </c>
      <c r="C125" s="203">
        <f t="shared" ca="1" si="9"/>
        <v>1</v>
      </c>
      <c r="D125" s="204">
        <f t="shared" ca="1" si="10"/>
        <v>1</v>
      </c>
      <c r="E125" s="204">
        <f t="shared" ca="1" si="11"/>
        <v>15</v>
      </c>
      <c r="F125" s="34"/>
      <c r="J125" s="15"/>
      <c r="K125" s="21"/>
      <c r="L125" s="103"/>
      <c r="M125" s="286">
        <f ca="1">SUMIFS($N$7:$N$415,$H$7:$H$415,N125)</f>
        <v>4533686.5323830638</v>
      </c>
      <c r="N125" s="287" t="s">
        <v>210</v>
      </c>
      <c r="O125" s="139"/>
      <c r="P125" s="22"/>
      <c r="Q125" s="15"/>
    </row>
    <row r="126" spans="1:17" s="23" customFormat="1" ht="14.1" customHeight="1" x14ac:dyDescent="0.2">
      <c r="A126" s="203">
        <f ca="1">IF($H126="UNIDADE CONSTRUTIVA",OFFSET(A126,-1,0)+1,LARGE(A$3:A125,1))</f>
        <v>0</v>
      </c>
      <c r="B126" s="203">
        <f t="shared" ca="1" si="8"/>
        <v>3</v>
      </c>
      <c r="C126" s="203">
        <f t="shared" ca="1" si="9"/>
        <v>1</v>
      </c>
      <c r="D126" s="204">
        <f t="shared" ca="1" si="10"/>
        <v>1</v>
      </c>
      <c r="E126" s="204">
        <f t="shared" ca="1" si="11"/>
        <v>15</v>
      </c>
      <c r="F126" s="34"/>
      <c r="J126" s="15"/>
      <c r="K126" s="21"/>
      <c r="L126" s="103"/>
      <c r="M126" s="286">
        <f ca="1">SUMIFS($N$7:$N$415,$H$7:$H$415,N126)</f>
        <v>4533686.5323830638</v>
      </c>
      <c r="N126" s="287" t="s">
        <v>211</v>
      </c>
      <c r="O126" s="139"/>
      <c r="P126" s="22"/>
      <c r="Q126" s="15"/>
    </row>
    <row r="127" spans="1:17" s="23" customFormat="1" ht="14.1" customHeight="1" x14ac:dyDescent="0.2">
      <c r="A127" s="203">
        <f ca="1">IF($H127="UNIDADE CONSTRUTIVA",OFFSET(A127,-1,0)+1,LARGE(A$3:A126,1))</f>
        <v>0</v>
      </c>
      <c r="B127" s="203">
        <f t="shared" ca="1" si="8"/>
        <v>3</v>
      </c>
      <c r="C127" s="203">
        <f t="shared" ca="1" si="9"/>
        <v>1</v>
      </c>
      <c r="D127" s="204">
        <f t="shared" ca="1" si="10"/>
        <v>1</v>
      </c>
      <c r="E127" s="204">
        <f t="shared" ca="1" si="11"/>
        <v>15</v>
      </c>
      <c r="F127" s="34"/>
      <c r="J127" s="15"/>
      <c r="K127" s="21"/>
      <c r="L127" s="103"/>
      <c r="M127" s="286">
        <f>SUMIFS($N$7:$N$415,$H$7:$H$415,N127)</f>
        <v>4533686.5323830638</v>
      </c>
      <c r="N127" s="287" t="s">
        <v>212</v>
      </c>
      <c r="O127" s="139"/>
      <c r="P127" s="22"/>
      <c r="Q127" s="15"/>
    </row>
    <row r="128" spans="1:17" s="23" customFormat="1" ht="14.1" customHeight="1" x14ac:dyDescent="0.2">
      <c r="A128" s="203">
        <f ca="1">IF($H128="UNIDADE CONSTRUTIVA",OFFSET(A128,-1,0)+1,LARGE(A$3:A127,1))</f>
        <v>0</v>
      </c>
      <c r="B128" s="203">
        <f t="shared" ca="1" si="8"/>
        <v>3</v>
      </c>
      <c r="C128" s="203">
        <f t="shared" ca="1" si="9"/>
        <v>1</v>
      </c>
      <c r="D128" s="204">
        <f t="shared" ca="1" si="10"/>
        <v>1</v>
      </c>
      <c r="E128" s="204">
        <f t="shared" ca="1" si="11"/>
        <v>15</v>
      </c>
      <c r="F128" s="34"/>
      <c r="J128" s="15"/>
      <c r="K128" s="21"/>
      <c r="L128" s="103"/>
      <c r="M128" s="286"/>
      <c r="N128" s="287"/>
      <c r="O128" s="139"/>
      <c r="P128" s="22"/>
      <c r="Q128" s="15"/>
    </row>
    <row r="129" spans="1:17" s="23" customFormat="1" ht="14.1" customHeight="1" x14ac:dyDescent="0.2">
      <c r="A129" s="203">
        <f ca="1">IF($H129="UNIDADE CONSTRUTIVA",OFFSET(A129,-1,0)+1,LARGE(A$3:A128,1))</f>
        <v>0</v>
      </c>
      <c r="B129" s="203">
        <f t="shared" ca="1" si="8"/>
        <v>3</v>
      </c>
      <c r="C129" s="203">
        <f t="shared" ca="1" si="9"/>
        <v>1</v>
      </c>
      <c r="D129" s="204">
        <f t="shared" ca="1" si="10"/>
        <v>1</v>
      </c>
      <c r="E129" s="204">
        <f t="shared" ca="1" si="11"/>
        <v>15</v>
      </c>
      <c r="F129" s="34"/>
      <c r="J129" s="15"/>
      <c r="K129" s="21"/>
      <c r="L129" s="103"/>
      <c r="M129" s="477"/>
      <c r="N129" s="288"/>
      <c r="O129" s="139"/>
      <c r="P129" s="22"/>
      <c r="Q129" s="15"/>
    </row>
    <row r="130" spans="1:17" s="23" customFormat="1" ht="14.1" customHeight="1" x14ac:dyDescent="0.2">
      <c r="A130" s="203">
        <f ca="1">IF($H130="UNIDADE CONSTRUTIVA",OFFSET(A130,-1,0)+1,LARGE(A$3:A129,1))</f>
        <v>0</v>
      </c>
      <c r="B130" s="203">
        <f t="shared" ca="1" si="8"/>
        <v>3</v>
      </c>
      <c r="C130" s="203">
        <f t="shared" ca="1" si="9"/>
        <v>1</v>
      </c>
      <c r="D130" s="204">
        <f t="shared" ca="1" si="10"/>
        <v>1</v>
      </c>
      <c r="E130" s="204">
        <f t="shared" ca="1" si="11"/>
        <v>15</v>
      </c>
      <c r="F130" s="34"/>
      <c r="J130" s="15"/>
      <c r="K130" s="21"/>
      <c r="L130" s="103"/>
      <c r="M130" s="103"/>
      <c r="N130" s="196"/>
      <c r="O130" s="139"/>
      <c r="P130" s="22"/>
      <c r="Q130" s="15"/>
    </row>
    <row r="131" spans="1:17" s="23" customFormat="1" ht="14.1" customHeight="1" x14ac:dyDescent="0.2">
      <c r="A131" s="203">
        <f ca="1">IF($H131="UNIDADE CONSTRUTIVA",OFFSET(A131,-1,0)+1,LARGE(A$3:A130,1))</f>
        <v>0</v>
      </c>
      <c r="B131" s="203">
        <f t="shared" ca="1" si="8"/>
        <v>3</v>
      </c>
      <c r="C131" s="203">
        <f t="shared" ca="1" si="9"/>
        <v>1</v>
      </c>
      <c r="D131" s="204">
        <f t="shared" ca="1" si="10"/>
        <v>1</v>
      </c>
      <c r="E131" s="204">
        <f t="shared" ca="1" si="11"/>
        <v>15</v>
      </c>
      <c r="F131" s="34"/>
      <c r="J131" s="15"/>
      <c r="K131" s="21"/>
      <c r="L131" s="103"/>
      <c r="M131" s="103"/>
      <c r="N131" s="196"/>
      <c r="O131" s="139"/>
      <c r="P131" s="22"/>
      <c r="Q131" s="15"/>
    </row>
    <row r="132" spans="1:17" s="23" customFormat="1" ht="14.1" customHeight="1" x14ac:dyDescent="0.2">
      <c r="A132" s="203">
        <f ca="1">IF($H132="UNIDADE CONSTRUTIVA",OFFSET(A132,-1,0)+1,LARGE(A$3:A131,1))</f>
        <v>0</v>
      </c>
      <c r="B132" s="203">
        <f t="shared" ca="1" si="8"/>
        <v>3</v>
      </c>
      <c r="C132" s="203">
        <f t="shared" ca="1" si="9"/>
        <v>1</v>
      </c>
      <c r="D132" s="204">
        <f t="shared" ca="1" si="10"/>
        <v>1</v>
      </c>
      <c r="E132" s="204">
        <f t="shared" ca="1" si="11"/>
        <v>15</v>
      </c>
      <c r="F132" s="34"/>
      <c r="J132" s="15"/>
      <c r="K132" s="21"/>
      <c r="L132" s="103"/>
      <c r="M132" s="103"/>
      <c r="N132" s="196"/>
      <c r="O132" s="139"/>
      <c r="P132" s="22"/>
      <c r="Q132" s="15"/>
    </row>
    <row r="133" spans="1:17" s="23" customFormat="1" ht="14.1" customHeight="1" x14ac:dyDescent="0.2">
      <c r="A133" s="203">
        <f ca="1">IF($H133="UNIDADE CONSTRUTIVA",OFFSET(A133,-1,0)+1,LARGE(A$3:A132,1))</f>
        <v>0</v>
      </c>
      <c r="B133" s="203">
        <f t="shared" ca="1" si="8"/>
        <v>3</v>
      </c>
      <c r="C133" s="203">
        <f t="shared" ca="1" si="9"/>
        <v>1</v>
      </c>
      <c r="D133" s="204">
        <f t="shared" ca="1" si="10"/>
        <v>1</v>
      </c>
      <c r="E133" s="204">
        <f t="shared" ca="1" si="11"/>
        <v>15</v>
      </c>
      <c r="F133" s="34"/>
      <c r="J133" s="15"/>
      <c r="K133" s="21"/>
      <c r="L133" s="103"/>
      <c r="M133" s="103"/>
      <c r="N133" s="196"/>
      <c r="O133" s="139"/>
      <c r="P133" s="22"/>
      <c r="Q133" s="15"/>
    </row>
    <row r="134" spans="1:17" s="23" customFormat="1" ht="14.1" customHeight="1" x14ac:dyDescent="0.2">
      <c r="A134" s="203">
        <f ca="1">IF($H134="UNIDADE CONSTRUTIVA",OFFSET(A134,-1,0)+1,LARGE(A$3:A133,1))</f>
        <v>0</v>
      </c>
      <c r="B134" s="203">
        <f t="shared" ca="1" si="8"/>
        <v>3</v>
      </c>
      <c r="C134" s="203">
        <f t="shared" ca="1" si="9"/>
        <v>1</v>
      </c>
      <c r="D134" s="204">
        <f t="shared" ca="1" si="10"/>
        <v>1</v>
      </c>
      <c r="E134" s="204">
        <f t="shared" ca="1" si="11"/>
        <v>15</v>
      </c>
      <c r="F134" s="34"/>
      <c r="J134" s="15"/>
      <c r="K134" s="21"/>
      <c r="L134" s="103"/>
      <c r="M134" s="103"/>
      <c r="N134" s="196"/>
      <c r="O134" s="139"/>
      <c r="P134" s="22"/>
      <c r="Q134" s="15"/>
    </row>
    <row r="135" spans="1:17" s="23" customFormat="1" ht="14.1" customHeight="1" x14ac:dyDescent="0.2">
      <c r="A135" s="203">
        <f ca="1">IF($H135="UNIDADE CONSTRUTIVA",OFFSET(A135,-1,0)+1,LARGE(A$3:A134,1))</f>
        <v>0</v>
      </c>
      <c r="B135" s="203">
        <f t="shared" ca="1" si="8"/>
        <v>3</v>
      </c>
      <c r="C135" s="203">
        <f t="shared" ca="1" si="9"/>
        <v>1</v>
      </c>
      <c r="D135" s="204">
        <f t="shared" ca="1" si="10"/>
        <v>1</v>
      </c>
      <c r="E135" s="204">
        <f t="shared" ca="1" si="11"/>
        <v>15</v>
      </c>
      <c r="F135" s="34"/>
      <c r="J135" s="15"/>
      <c r="K135" s="21"/>
      <c r="L135" s="103"/>
      <c r="M135" s="103"/>
      <c r="N135" s="196"/>
      <c r="O135" s="139"/>
      <c r="P135" s="22"/>
      <c r="Q135" s="15"/>
    </row>
    <row r="136" spans="1:17" s="23" customFormat="1" ht="14.1" customHeight="1" x14ac:dyDescent="0.2">
      <c r="A136" s="203">
        <f ca="1">IF($H136="UNIDADE CONSTRUTIVA",OFFSET(A136,-1,0)+1,LARGE(A$3:A135,1))</f>
        <v>0</v>
      </c>
      <c r="B136" s="203">
        <f t="shared" ca="1" si="8"/>
        <v>3</v>
      </c>
      <c r="C136" s="203">
        <f t="shared" ca="1" si="9"/>
        <v>1</v>
      </c>
      <c r="D136" s="204">
        <f t="shared" ca="1" si="10"/>
        <v>1</v>
      </c>
      <c r="E136" s="204">
        <f t="shared" ca="1" si="11"/>
        <v>15</v>
      </c>
      <c r="F136" s="34"/>
      <c r="J136" s="15"/>
      <c r="K136" s="21"/>
      <c r="L136" s="103"/>
      <c r="M136" s="103"/>
      <c r="N136" s="196"/>
      <c r="O136" s="139"/>
      <c r="P136" s="22"/>
      <c r="Q136" s="15"/>
    </row>
    <row r="137" spans="1:17" s="23" customFormat="1" ht="14.1" customHeight="1" x14ac:dyDescent="0.2">
      <c r="A137" s="203">
        <f ca="1">IF($H137="UNIDADE CONSTRUTIVA",OFFSET(A137,-1,0)+1,LARGE(A$3:A136,1))</f>
        <v>0</v>
      </c>
      <c r="B137" s="203">
        <f t="shared" ca="1" si="8"/>
        <v>3</v>
      </c>
      <c r="C137" s="203">
        <f t="shared" ca="1" si="9"/>
        <v>1</v>
      </c>
      <c r="D137" s="204">
        <f t="shared" ca="1" si="10"/>
        <v>1</v>
      </c>
      <c r="E137" s="204">
        <f t="shared" ca="1" si="11"/>
        <v>15</v>
      </c>
      <c r="F137" s="34"/>
      <c r="J137" s="15"/>
      <c r="K137" s="21"/>
      <c r="L137" s="103"/>
      <c r="M137" s="103"/>
      <c r="N137" s="196"/>
      <c r="O137" s="139"/>
      <c r="P137" s="22"/>
      <c r="Q137" s="15"/>
    </row>
    <row r="138" spans="1:17" s="23" customFormat="1" ht="14.1" customHeight="1" x14ac:dyDescent="0.2">
      <c r="A138" s="203">
        <f ca="1">IF($H138="UNIDADE CONSTRUTIVA",OFFSET(A138,-1,0)+1,LARGE(A$3:A137,1))</f>
        <v>0</v>
      </c>
      <c r="B138" s="203">
        <f t="shared" ca="1" si="8"/>
        <v>3</v>
      </c>
      <c r="C138" s="203">
        <f t="shared" ca="1" si="9"/>
        <v>1</v>
      </c>
      <c r="D138" s="204">
        <f t="shared" ca="1" si="10"/>
        <v>1</v>
      </c>
      <c r="E138" s="204">
        <f t="shared" ca="1" si="11"/>
        <v>15</v>
      </c>
      <c r="F138" s="34"/>
      <c r="J138" s="15"/>
      <c r="K138" s="21"/>
      <c r="L138" s="103"/>
      <c r="M138" s="103"/>
      <c r="N138" s="196"/>
      <c r="O138" s="139"/>
      <c r="P138" s="22"/>
      <c r="Q138" s="15"/>
    </row>
    <row r="139" spans="1:17" s="23" customFormat="1" ht="14.1" customHeight="1" x14ac:dyDescent="0.2">
      <c r="A139" s="203">
        <f ca="1">IF($H139="UNIDADE CONSTRUTIVA",OFFSET(A139,-1,0)+1,LARGE(A$3:A138,1))</f>
        <v>0</v>
      </c>
      <c r="B139" s="203">
        <f t="shared" ca="1" si="8"/>
        <v>3</v>
      </c>
      <c r="C139" s="203">
        <f t="shared" ca="1" si="9"/>
        <v>1</v>
      </c>
      <c r="D139" s="204">
        <f t="shared" ca="1" si="10"/>
        <v>1</v>
      </c>
      <c r="E139" s="204">
        <f t="shared" ca="1" si="11"/>
        <v>15</v>
      </c>
      <c r="F139" s="34"/>
      <c r="J139" s="15"/>
      <c r="K139" s="21"/>
      <c r="L139" s="103"/>
      <c r="M139" s="103"/>
      <c r="N139" s="196"/>
      <c r="O139" s="139"/>
      <c r="P139" s="22"/>
      <c r="Q139" s="15"/>
    </row>
    <row r="140" spans="1:17" s="23" customFormat="1" ht="14.1" customHeight="1" x14ac:dyDescent="0.2">
      <c r="A140" s="203">
        <f ca="1">IF($H140="UNIDADE CONSTRUTIVA",OFFSET(A140,-1,0)+1,LARGE(A$3:A139,1))</f>
        <v>0</v>
      </c>
      <c r="B140" s="203">
        <f t="shared" ca="1" si="8"/>
        <v>3</v>
      </c>
      <c r="C140" s="203">
        <f t="shared" ca="1" si="9"/>
        <v>1</v>
      </c>
      <c r="D140" s="204">
        <f t="shared" ca="1" si="10"/>
        <v>1</v>
      </c>
      <c r="E140" s="204">
        <f t="shared" ca="1" si="11"/>
        <v>15</v>
      </c>
      <c r="F140" s="34"/>
      <c r="J140" s="15"/>
      <c r="K140" s="21"/>
      <c r="L140" s="103"/>
      <c r="M140" s="103"/>
      <c r="N140" s="196"/>
      <c r="O140" s="139"/>
      <c r="P140" s="22"/>
      <c r="Q140" s="15"/>
    </row>
    <row r="141" spans="1:17" s="23" customFormat="1" ht="14.1" customHeight="1" x14ac:dyDescent="0.2">
      <c r="A141" s="203">
        <f ca="1">IF($H141="UNIDADE CONSTRUTIVA",OFFSET(A141,-1,0)+1,LARGE(A$3:A140,1))</f>
        <v>0</v>
      </c>
      <c r="B141" s="203">
        <f t="shared" ref="B141:B204" ca="1" si="14">IF(H141="UNIDADE CONSTRUTIVA",0,IF(H141="CÉLULA CONSTRUTIVA",OFFSET(B141,-1,0)+1,OFFSET(B141,-1,0)))</f>
        <v>3</v>
      </c>
      <c r="C141" s="203">
        <f t="shared" ref="C141:C204" ca="1" si="15">IF(H141="CÉLULA CONSTRUTIVA",0,IF(H141="ETAPA",OFFSET(C141,-1,0)+1,OFFSET(C141,-1,0)))</f>
        <v>1</v>
      </c>
      <c r="D141" s="204">
        <f t="shared" ref="D141:D204" ca="1" si="16">IF(H141="ETAPA",0,IF(H141="SUBETAPA",OFFSET(D141,-1,0)+1,OFFSET(D141,-1,0)))</f>
        <v>1</v>
      </c>
      <c r="E141" s="204">
        <f t="shared" ref="E141:E204" ca="1" si="17">IF(H141="Subetapa",0,IF(H141="serviço",OFFSET(E141,-1,0)+1,OFFSET(E141,-1,0)))</f>
        <v>15</v>
      </c>
      <c r="F141" s="34"/>
      <c r="J141" s="15"/>
      <c r="K141" s="21"/>
      <c r="L141" s="103"/>
      <c r="M141" s="103"/>
      <c r="N141" s="196"/>
      <c r="O141" s="139"/>
      <c r="P141" s="22"/>
      <c r="Q141" s="15"/>
    </row>
    <row r="142" spans="1:17" s="23" customFormat="1" ht="14.1" customHeight="1" x14ac:dyDescent="0.2">
      <c r="A142" s="203">
        <f ca="1">IF($H142="UNIDADE CONSTRUTIVA",OFFSET(A142,-1,0)+1,LARGE(A$3:A141,1))</f>
        <v>0</v>
      </c>
      <c r="B142" s="203">
        <f t="shared" ca="1" si="14"/>
        <v>3</v>
      </c>
      <c r="C142" s="203">
        <f t="shared" ca="1" si="15"/>
        <v>1</v>
      </c>
      <c r="D142" s="204">
        <f t="shared" ca="1" si="16"/>
        <v>1</v>
      </c>
      <c r="E142" s="204">
        <f t="shared" ca="1" si="17"/>
        <v>15</v>
      </c>
      <c r="F142" s="34"/>
      <c r="J142" s="15"/>
      <c r="K142" s="21"/>
      <c r="L142" s="103"/>
      <c r="M142" s="103"/>
      <c r="N142" s="196"/>
      <c r="O142" s="139"/>
      <c r="P142" s="22"/>
      <c r="Q142" s="15"/>
    </row>
    <row r="143" spans="1:17" s="23" customFormat="1" ht="14.1" customHeight="1" x14ac:dyDescent="0.2">
      <c r="A143" s="203">
        <f ca="1">IF($H143="UNIDADE CONSTRUTIVA",OFFSET(A143,-1,0)+1,LARGE(A$3:A142,1))</f>
        <v>0</v>
      </c>
      <c r="B143" s="203">
        <f t="shared" ca="1" si="14"/>
        <v>3</v>
      </c>
      <c r="C143" s="203">
        <f t="shared" ca="1" si="15"/>
        <v>1</v>
      </c>
      <c r="D143" s="204">
        <f t="shared" ca="1" si="16"/>
        <v>1</v>
      </c>
      <c r="E143" s="204">
        <f t="shared" ca="1" si="17"/>
        <v>15</v>
      </c>
      <c r="F143" s="34"/>
      <c r="J143" s="15"/>
      <c r="K143" s="21"/>
      <c r="L143" s="103"/>
      <c r="M143" s="103"/>
      <c r="N143" s="196"/>
      <c r="O143" s="139"/>
      <c r="P143" s="22"/>
      <c r="Q143" s="15"/>
    </row>
    <row r="144" spans="1:17" s="23" customFormat="1" ht="14.1" customHeight="1" x14ac:dyDescent="0.2">
      <c r="A144" s="203">
        <f ca="1">IF($H144="UNIDADE CONSTRUTIVA",OFFSET(A144,-1,0)+1,LARGE(A$3:A143,1))</f>
        <v>0</v>
      </c>
      <c r="B144" s="203">
        <f t="shared" ca="1" si="14"/>
        <v>3</v>
      </c>
      <c r="C144" s="203">
        <f t="shared" ca="1" si="15"/>
        <v>1</v>
      </c>
      <c r="D144" s="204">
        <f t="shared" ca="1" si="16"/>
        <v>1</v>
      </c>
      <c r="E144" s="204">
        <f t="shared" ca="1" si="17"/>
        <v>15</v>
      </c>
      <c r="F144" s="34"/>
      <c r="J144" s="15"/>
      <c r="K144" s="21"/>
      <c r="L144" s="103"/>
      <c r="M144" s="103"/>
      <c r="N144" s="196"/>
      <c r="O144" s="139"/>
      <c r="P144" s="22"/>
      <c r="Q144" s="15"/>
    </row>
    <row r="145" spans="1:17" s="23" customFormat="1" ht="14.1" customHeight="1" x14ac:dyDescent="0.2">
      <c r="A145" s="203">
        <f ca="1">IF($H145="UNIDADE CONSTRUTIVA",OFFSET(A145,-1,0)+1,LARGE(A$3:A144,1))</f>
        <v>0</v>
      </c>
      <c r="B145" s="203">
        <f t="shared" ca="1" si="14"/>
        <v>3</v>
      </c>
      <c r="C145" s="203">
        <f t="shared" ca="1" si="15"/>
        <v>1</v>
      </c>
      <c r="D145" s="204">
        <f t="shared" ca="1" si="16"/>
        <v>1</v>
      </c>
      <c r="E145" s="204">
        <f t="shared" ca="1" si="17"/>
        <v>15</v>
      </c>
      <c r="F145" s="34"/>
      <c r="J145" s="15"/>
      <c r="K145" s="21"/>
      <c r="L145" s="103"/>
      <c r="M145" s="103"/>
      <c r="N145" s="196"/>
      <c r="O145" s="139"/>
      <c r="P145" s="22"/>
      <c r="Q145" s="15"/>
    </row>
    <row r="146" spans="1:17" s="23" customFormat="1" ht="14.1" customHeight="1" x14ac:dyDescent="0.2">
      <c r="A146" s="203">
        <f ca="1">IF($H146="UNIDADE CONSTRUTIVA",OFFSET(A146,-1,0)+1,LARGE(A$3:A145,1))</f>
        <v>0</v>
      </c>
      <c r="B146" s="203">
        <f t="shared" ca="1" si="14"/>
        <v>3</v>
      </c>
      <c r="C146" s="203">
        <f t="shared" ca="1" si="15"/>
        <v>1</v>
      </c>
      <c r="D146" s="204">
        <f t="shared" ca="1" si="16"/>
        <v>1</v>
      </c>
      <c r="E146" s="204">
        <f t="shared" ca="1" si="17"/>
        <v>15</v>
      </c>
      <c r="F146" s="34"/>
      <c r="J146" s="15"/>
      <c r="K146" s="21"/>
      <c r="L146" s="103"/>
      <c r="M146" s="103"/>
      <c r="N146" s="196"/>
      <c r="O146" s="139"/>
      <c r="P146" s="22"/>
      <c r="Q146" s="15"/>
    </row>
    <row r="147" spans="1:17" s="23" customFormat="1" ht="14.1" customHeight="1" x14ac:dyDescent="0.2">
      <c r="A147" s="203">
        <f ca="1">IF($H147="UNIDADE CONSTRUTIVA",OFFSET(A147,-1,0)+1,LARGE(A$3:A146,1))</f>
        <v>0</v>
      </c>
      <c r="B147" s="203">
        <f t="shared" ca="1" si="14"/>
        <v>3</v>
      </c>
      <c r="C147" s="203">
        <f t="shared" ca="1" si="15"/>
        <v>1</v>
      </c>
      <c r="D147" s="204">
        <f t="shared" ca="1" si="16"/>
        <v>1</v>
      </c>
      <c r="E147" s="204">
        <f t="shared" ca="1" si="17"/>
        <v>15</v>
      </c>
      <c r="F147" s="34"/>
      <c r="J147" s="15"/>
      <c r="K147" s="21"/>
      <c r="L147" s="103"/>
      <c r="M147" s="103"/>
      <c r="N147" s="196"/>
      <c r="O147" s="139"/>
      <c r="P147" s="22"/>
      <c r="Q147" s="15"/>
    </row>
    <row r="148" spans="1:17" s="23" customFormat="1" ht="14.1" customHeight="1" x14ac:dyDescent="0.2">
      <c r="A148" s="203">
        <f ca="1">IF($H148="UNIDADE CONSTRUTIVA",OFFSET(A148,-1,0)+1,LARGE(A$3:A147,1))</f>
        <v>0</v>
      </c>
      <c r="B148" s="203">
        <f t="shared" ca="1" si="14"/>
        <v>3</v>
      </c>
      <c r="C148" s="203">
        <f t="shared" ca="1" si="15"/>
        <v>1</v>
      </c>
      <c r="D148" s="204">
        <f t="shared" ca="1" si="16"/>
        <v>1</v>
      </c>
      <c r="E148" s="204">
        <f t="shared" ca="1" si="17"/>
        <v>15</v>
      </c>
      <c r="F148" s="34"/>
      <c r="J148" s="15"/>
      <c r="K148" s="21"/>
      <c r="L148" s="103"/>
      <c r="M148" s="103"/>
      <c r="N148" s="196"/>
      <c r="O148" s="139"/>
      <c r="P148" s="22"/>
      <c r="Q148" s="15"/>
    </row>
    <row r="149" spans="1:17" s="23" customFormat="1" ht="14.1" customHeight="1" x14ac:dyDescent="0.2">
      <c r="A149" s="203">
        <f ca="1">IF($H149="UNIDADE CONSTRUTIVA",OFFSET(A149,-1,0)+1,LARGE(A$3:A148,1))</f>
        <v>0</v>
      </c>
      <c r="B149" s="203">
        <f t="shared" ca="1" si="14"/>
        <v>3</v>
      </c>
      <c r="C149" s="203">
        <f t="shared" ca="1" si="15"/>
        <v>1</v>
      </c>
      <c r="D149" s="204">
        <f t="shared" ca="1" si="16"/>
        <v>1</v>
      </c>
      <c r="E149" s="204">
        <f t="shared" ca="1" si="17"/>
        <v>15</v>
      </c>
      <c r="F149" s="34"/>
      <c r="J149" s="15"/>
      <c r="K149" s="21"/>
      <c r="L149" s="103"/>
      <c r="M149" s="103"/>
      <c r="N149" s="196"/>
      <c r="O149" s="139"/>
      <c r="P149" s="22"/>
      <c r="Q149" s="15"/>
    </row>
    <row r="150" spans="1:17" s="23" customFormat="1" ht="14.1" customHeight="1" x14ac:dyDescent="0.2">
      <c r="A150" s="203">
        <f ca="1">IF($H150="UNIDADE CONSTRUTIVA",OFFSET(A150,-1,0)+1,LARGE(A$3:A149,1))</f>
        <v>0</v>
      </c>
      <c r="B150" s="203">
        <f t="shared" ca="1" si="14"/>
        <v>3</v>
      </c>
      <c r="C150" s="203">
        <f t="shared" ca="1" si="15"/>
        <v>1</v>
      </c>
      <c r="D150" s="204">
        <f t="shared" ca="1" si="16"/>
        <v>1</v>
      </c>
      <c r="E150" s="204">
        <f t="shared" ca="1" si="17"/>
        <v>15</v>
      </c>
      <c r="F150" s="34"/>
      <c r="J150" s="15"/>
      <c r="K150" s="21"/>
      <c r="L150" s="103"/>
      <c r="M150" s="103"/>
      <c r="N150" s="196"/>
      <c r="O150" s="139"/>
      <c r="P150" s="22"/>
      <c r="Q150" s="15"/>
    </row>
    <row r="151" spans="1:17" s="23" customFormat="1" ht="14.1" customHeight="1" x14ac:dyDescent="0.2">
      <c r="A151" s="203">
        <f ca="1">IF($H151="UNIDADE CONSTRUTIVA",OFFSET(A151,-1,0)+1,LARGE(A$3:A150,1))</f>
        <v>0</v>
      </c>
      <c r="B151" s="203">
        <f t="shared" ca="1" si="14"/>
        <v>3</v>
      </c>
      <c r="C151" s="203">
        <f t="shared" ca="1" si="15"/>
        <v>1</v>
      </c>
      <c r="D151" s="204">
        <f t="shared" ca="1" si="16"/>
        <v>1</v>
      </c>
      <c r="E151" s="204">
        <f t="shared" ca="1" si="17"/>
        <v>15</v>
      </c>
      <c r="F151" s="34"/>
      <c r="J151" s="15"/>
      <c r="K151" s="21"/>
      <c r="L151" s="103"/>
      <c r="M151" s="103"/>
      <c r="N151" s="196"/>
      <c r="O151" s="139"/>
      <c r="P151" s="22"/>
      <c r="Q151" s="15"/>
    </row>
    <row r="152" spans="1:17" s="23" customFormat="1" ht="14.1" customHeight="1" x14ac:dyDescent="0.2">
      <c r="A152" s="203">
        <f ca="1">IF($H152="UNIDADE CONSTRUTIVA",OFFSET(A152,-1,0)+1,LARGE(A$3:A151,1))</f>
        <v>0</v>
      </c>
      <c r="B152" s="203">
        <f t="shared" ca="1" si="14"/>
        <v>3</v>
      </c>
      <c r="C152" s="203">
        <f t="shared" ca="1" si="15"/>
        <v>1</v>
      </c>
      <c r="D152" s="204">
        <f t="shared" ca="1" si="16"/>
        <v>1</v>
      </c>
      <c r="E152" s="204">
        <f t="shared" ca="1" si="17"/>
        <v>15</v>
      </c>
      <c r="F152" s="34"/>
      <c r="J152" s="15"/>
      <c r="K152" s="21"/>
      <c r="L152" s="103"/>
      <c r="M152" s="103"/>
      <c r="N152" s="196"/>
      <c r="O152" s="139"/>
      <c r="P152" s="22"/>
      <c r="Q152" s="15"/>
    </row>
    <row r="153" spans="1:17" s="23" customFormat="1" ht="14.1" customHeight="1" x14ac:dyDescent="0.2">
      <c r="A153" s="203">
        <f ca="1">IF($H153="UNIDADE CONSTRUTIVA",OFFSET(A153,-1,0)+1,LARGE(A$3:A152,1))</f>
        <v>0</v>
      </c>
      <c r="B153" s="203">
        <f t="shared" ca="1" si="14"/>
        <v>3</v>
      </c>
      <c r="C153" s="203">
        <f t="shared" ca="1" si="15"/>
        <v>1</v>
      </c>
      <c r="D153" s="204">
        <f t="shared" ca="1" si="16"/>
        <v>1</v>
      </c>
      <c r="E153" s="204">
        <f t="shared" ca="1" si="17"/>
        <v>15</v>
      </c>
      <c r="F153" s="34"/>
      <c r="J153" s="15"/>
      <c r="K153" s="21"/>
      <c r="L153" s="103"/>
      <c r="M153" s="103"/>
      <c r="N153" s="196"/>
      <c r="O153" s="139"/>
      <c r="P153" s="22"/>
      <c r="Q153" s="15"/>
    </row>
    <row r="154" spans="1:17" s="23" customFormat="1" ht="14.1" customHeight="1" x14ac:dyDescent="0.2">
      <c r="A154" s="203">
        <f ca="1">IF($H154="UNIDADE CONSTRUTIVA",OFFSET(A154,-1,0)+1,LARGE(A$3:A153,1))</f>
        <v>0</v>
      </c>
      <c r="B154" s="203">
        <f t="shared" ca="1" si="14"/>
        <v>3</v>
      </c>
      <c r="C154" s="203">
        <f t="shared" ca="1" si="15"/>
        <v>1</v>
      </c>
      <c r="D154" s="204">
        <f t="shared" ca="1" si="16"/>
        <v>1</v>
      </c>
      <c r="E154" s="204">
        <f t="shared" ca="1" si="17"/>
        <v>15</v>
      </c>
      <c r="F154" s="34"/>
      <c r="J154" s="15"/>
      <c r="K154" s="21"/>
      <c r="L154" s="103"/>
      <c r="M154" s="103"/>
      <c r="N154" s="196"/>
      <c r="O154" s="139"/>
      <c r="P154" s="22"/>
      <c r="Q154" s="15"/>
    </row>
    <row r="155" spans="1:17" s="23" customFormat="1" ht="14.1" customHeight="1" x14ac:dyDescent="0.2">
      <c r="A155" s="203">
        <f ca="1">IF($H155="UNIDADE CONSTRUTIVA",OFFSET(A155,-1,0)+1,LARGE(A$3:A154,1))</f>
        <v>0</v>
      </c>
      <c r="B155" s="203">
        <f t="shared" ca="1" si="14"/>
        <v>3</v>
      </c>
      <c r="C155" s="203">
        <f t="shared" ca="1" si="15"/>
        <v>1</v>
      </c>
      <c r="D155" s="204">
        <f t="shared" ca="1" si="16"/>
        <v>1</v>
      </c>
      <c r="E155" s="204">
        <f t="shared" ca="1" si="17"/>
        <v>15</v>
      </c>
      <c r="F155" s="34"/>
      <c r="J155" s="15"/>
      <c r="K155" s="21"/>
      <c r="L155" s="103"/>
      <c r="M155" s="103"/>
      <c r="N155" s="196"/>
      <c r="O155" s="139"/>
      <c r="P155" s="22"/>
      <c r="Q155" s="15"/>
    </row>
    <row r="156" spans="1:17" s="23" customFormat="1" ht="14.1" customHeight="1" x14ac:dyDescent="0.2">
      <c r="A156" s="203">
        <f ca="1">IF($H156="UNIDADE CONSTRUTIVA",OFFSET(A156,-1,0)+1,LARGE(A$3:A155,1))</f>
        <v>0</v>
      </c>
      <c r="B156" s="203">
        <f t="shared" ca="1" si="14"/>
        <v>3</v>
      </c>
      <c r="C156" s="203">
        <f t="shared" ca="1" si="15"/>
        <v>1</v>
      </c>
      <c r="D156" s="204">
        <f t="shared" ca="1" si="16"/>
        <v>1</v>
      </c>
      <c r="E156" s="204">
        <f t="shared" ca="1" si="17"/>
        <v>15</v>
      </c>
      <c r="F156" s="34"/>
      <c r="J156" s="15"/>
      <c r="K156" s="21"/>
      <c r="L156" s="103"/>
      <c r="M156" s="103"/>
      <c r="N156" s="196"/>
      <c r="O156" s="139"/>
      <c r="P156" s="22"/>
      <c r="Q156" s="15"/>
    </row>
    <row r="157" spans="1:17" s="23" customFormat="1" ht="14.1" customHeight="1" x14ac:dyDescent="0.2">
      <c r="A157" s="203">
        <f ca="1">IF($H157="UNIDADE CONSTRUTIVA",OFFSET(A157,-1,0)+1,LARGE(A$3:A156,1))</f>
        <v>0</v>
      </c>
      <c r="B157" s="203">
        <f t="shared" ca="1" si="14"/>
        <v>3</v>
      </c>
      <c r="C157" s="203">
        <f t="shared" ca="1" si="15"/>
        <v>1</v>
      </c>
      <c r="D157" s="204">
        <f t="shared" ca="1" si="16"/>
        <v>1</v>
      </c>
      <c r="E157" s="204">
        <f t="shared" ca="1" si="17"/>
        <v>15</v>
      </c>
      <c r="F157" s="34"/>
      <c r="J157" s="15"/>
      <c r="K157" s="21"/>
      <c r="L157" s="103"/>
      <c r="M157" s="103"/>
      <c r="N157" s="196"/>
      <c r="O157" s="139"/>
      <c r="P157" s="22"/>
      <c r="Q157" s="15"/>
    </row>
    <row r="158" spans="1:17" s="23" customFormat="1" ht="14.1" customHeight="1" x14ac:dyDescent="0.2">
      <c r="A158" s="203">
        <f ca="1">IF($H158="UNIDADE CONSTRUTIVA",OFFSET(A158,-1,0)+1,LARGE(A$3:A157,1))</f>
        <v>0</v>
      </c>
      <c r="B158" s="203">
        <f t="shared" ca="1" si="14"/>
        <v>3</v>
      </c>
      <c r="C158" s="203">
        <f t="shared" ca="1" si="15"/>
        <v>1</v>
      </c>
      <c r="D158" s="204">
        <f t="shared" ca="1" si="16"/>
        <v>1</v>
      </c>
      <c r="E158" s="204">
        <f t="shared" ca="1" si="17"/>
        <v>15</v>
      </c>
      <c r="F158" s="34"/>
      <c r="J158" s="15"/>
      <c r="K158" s="21"/>
      <c r="L158" s="103"/>
      <c r="M158" s="103"/>
      <c r="N158" s="196"/>
      <c r="O158" s="139"/>
      <c r="P158" s="22"/>
      <c r="Q158" s="15"/>
    </row>
    <row r="159" spans="1:17" s="23" customFormat="1" ht="14.1" customHeight="1" x14ac:dyDescent="0.2">
      <c r="A159" s="203">
        <f ca="1">IF($H159="UNIDADE CONSTRUTIVA",OFFSET(A159,-1,0)+1,LARGE(A$3:A158,1))</f>
        <v>0</v>
      </c>
      <c r="B159" s="203">
        <f t="shared" ca="1" si="14"/>
        <v>3</v>
      </c>
      <c r="C159" s="203">
        <f t="shared" ca="1" si="15"/>
        <v>1</v>
      </c>
      <c r="D159" s="204">
        <f t="shared" ca="1" si="16"/>
        <v>1</v>
      </c>
      <c r="E159" s="204">
        <f t="shared" ca="1" si="17"/>
        <v>15</v>
      </c>
      <c r="F159" s="34"/>
      <c r="J159" s="15"/>
      <c r="K159" s="21"/>
      <c r="L159" s="103"/>
      <c r="M159" s="103"/>
      <c r="N159" s="196"/>
      <c r="O159" s="139"/>
      <c r="P159" s="22"/>
      <c r="Q159" s="15"/>
    </row>
    <row r="160" spans="1:17" s="23" customFormat="1" ht="14.1" customHeight="1" x14ac:dyDescent="0.2">
      <c r="A160" s="203">
        <f ca="1">IF($H160="UNIDADE CONSTRUTIVA",OFFSET(A160,-1,0)+1,LARGE(A$3:A159,1))</f>
        <v>0</v>
      </c>
      <c r="B160" s="203">
        <f t="shared" ca="1" si="14"/>
        <v>3</v>
      </c>
      <c r="C160" s="203">
        <f t="shared" ca="1" si="15"/>
        <v>1</v>
      </c>
      <c r="D160" s="204">
        <f t="shared" ca="1" si="16"/>
        <v>1</v>
      </c>
      <c r="E160" s="204">
        <f t="shared" ca="1" si="17"/>
        <v>15</v>
      </c>
      <c r="F160" s="34"/>
      <c r="J160" s="15"/>
      <c r="K160" s="21"/>
      <c r="L160" s="103"/>
      <c r="M160" s="103"/>
      <c r="N160" s="196"/>
      <c r="O160" s="139"/>
      <c r="P160" s="22"/>
      <c r="Q160" s="15"/>
    </row>
    <row r="161" spans="1:17" s="23" customFormat="1" ht="14.1" customHeight="1" x14ac:dyDescent="0.2">
      <c r="A161" s="203">
        <f ca="1">IF($H161="UNIDADE CONSTRUTIVA",OFFSET(A161,-1,0)+1,LARGE(A$3:A160,1))</f>
        <v>0</v>
      </c>
      <c r="B161" s="203">
        <f t="shared" ca="1" si="14"/>
        <v>3</v>
      </c>
      <c r="C161" s="203">
        <f t="shared" ca="1" si="15"/>
        <v>1</v>
      </c>
      <c r="D161" s="204">
        <f t="shared" ca="1" si="16"/>
        <v>1</v>
      </c>
      <c r="E161" s="204">
        <f t="shared" ca="1" si="17"/>
        <v>15</v>
      </c>
      <c r="F161" s="34"/>
      <c r="J161" s="15"/>
      <c r="K161" s="21"/>
      <c r="L161" s="103"/>
      <c r="M161" s="103"/>
      <c r="N161" s="196"/>
      <c r="O161" s="139"/>
      <c r="P161" s="22"/>
      <c r="Q161" s="15"/>
    </row>
    <row r="162" spans="1:17" s="23" customFormat="1" ht="14.1" customHeight="1" x14ac:dyDescent="0.2">
      <c r="A162" s="203">
        <f ca="1">IF($H162="UNIDADE CONSTRUTIVA",OFFSET(A162,-1,0)+1,LARGE(A$3:A161,1))</f>
        <v>0</v>
      </c>
      <c r="B162" s="203">
        <f t="shared" ca="1" si="14"/>
        <v>3</v>
      </c>
      <c r="C162" s="203">
        <f t="shared" ca="1" si="15"/>
        <v>1</v>
      </c>
      <c r="D162" s="204">
        <f t="shared" ca="1" si="16"/>
        <v>1</v>
      </c>
      <c r="E162" s="204">
        <f t="shared" ca="1" si="17"/>
        <v>15</v>
      </c>
      <c r="F162" s="34"/>
      <c r="J162" s="15"/>
      <c r="K162" s="21"/>
      <c r="L162" s="103"/>
      <c r="M162" s="103"/>
      <c r="N162" s="196"/>
      <c r="O162" s="139"/>
      <c r="P162" s="22"/>
      <c r="Q162" s="15"/>
    </row>
    <row r="163" spans="1:17" s="23" customFormat="1" ht="14.1" customHeight="1" x14ac:dyDescent="0.2">
      <c r="A163" s="203">
        <f ca="1">IF($H163="UNIDADE CONSTRUTIVA",OFFSET(A163,-1,0)+1,LARGE(A$3:A162,1))</f>
        <v>0</v>
      </c>
      <c r="B163" s="203">
        <f t="shared" ca="1" si="14"/>
        <v>3</v>
      </c>
      <c r="C163" s="203">
        <f t="shared" ca="1" si="15"/>
        <v>1</v>
      </c>
      <c r="D163" s="204">
        <f t="shared" ca="1" si="16"/>
        <v>1</v>
      </c>
      <c r="E163" s="204">
        <f t="shared" ca="1" si="17"/>
        <v>15</v>
      </c>
      <c r="F163" s="34"/>
      <c r="J163" s="15"/>
      <c r="K163" s="21"/>
      <c r="L163" s="103"/>
      <c r="M163" s="103"/>
      <c r="N163" s="196"/>
      <c r="O163" s="139"/>
      <c r="P163" s="22"/>
      <c r="Q163" s="15"/>
    </row>
    <row r="164" spans="1:17" s="23" customFormat="1" ht="14.1" customHeight="1" x14ac:dyDescent="0.2">
      <c r="A164" s="203">
        <f ca="1">IF($H164="UNIDADE CONSTRUTIVA",OFFSET(A164,-1,0)+1,LARGE(A$3:A163,1))</f>
        <v>0</v>
      </c>
      <c r="B164" s="203">
        <f t="shared" ca="1" si="14"/>
        <v>3</v>
      </c>
      <c r="C164" s="203">
        <f t="shared" ca="1" si="15"/>
        <v>1</v>
      </c>
      <c r="D164" s="204">
        <f t="shared" ca="1" si="16"/>
        <v>1</v>
      </c>
      <c r="E164" s="204">
        <f t="shared" ca="1" si="17"/>
        <v>15</v>
      </c>
      <c r="F164" s="34"/>
      <c r="J164" s="15"/>
      <c r="K164" s="21"/>
      <c r="L164" s="103"/>
      <c r="M164" s="103"/>
      <c r="N164" s="196"/>
      <c r="O164" s="139"/>
      <c r="P164" s="22"/>
      <c r="Q164" s="15"/>
    </row>
    <row r="165" spans="1:17" s="23" customFormat="1" ht="14.1" customHeight="1" x14ac:dyDescent="0.2">
      <c r="A165" s="203">
        <f ca="1">IF($H165="UNIDADE CONSTRUTIVA",OFFSET(A165,-1,0)+1,LARGE(A$3:A164,1))</f>
        <v>0</v>
      </c>
      <c r="B165" s="203">
        <f t="shared" ca="1" si="14"/>
        <v>3</v>
      </c>
      <c r="C165" s="203">
        <f t="shared" ca="1" si="15"/>
        <v>1</v>
      </c>
      <c r="D165" s="204">
        <f t="shared" ca="1" si="16"/>
        <v>1</v>
      </c>
      <c r="E165" s="204">
        <f t="shared" ca="1" si="17"/>
        <v>15</v>
      </c>
      <c r="F165" s="34"/>
      <c r="J165" s="15"/>
      <c r="K165" s="21"/>
      <c r="L165" s="103"/>
      <c r="M165" s="103"/>
      <c r="N165" s="196"/>
      <c r="O165" s="139"/>
      <c r="P165" s="22"/>
      <c r="Q165" s="15"/>
    </row>
    <row r="166" spans="1:17" s="23" customFormat="1" ht="14.1" customHeight="1" x14ac:dyDescent="0.2">
      <c r="A166" s="203">
        <f ca="1">IF($H166="UNIDADE CONSTRUTIVA",OFFSET(A166,-1,0)+1,LARGE(A$3:A165,1))</f>
        <v>0</v>
      </c>
      <c r="B166" s="203">
        <f t="shared" ca="1" si="14"/>
        <v>3</v>
      </c>
      <c r="C166" s="203">
        <f t="shared" ca="1" si="15"/>
        <v>1</v>
      </c>
      <c r="D166" s="204">
        <f t="shared" ca="1" si="16"/>
        <v>1</v>
      </c>
      <c r="E166" s="204">
        <f t="shared" ca="1" si="17"/>
        <v>15</v>
      </c>
      <c r="F166" s="34"/>
      <c r="J166" s="15"/>
      <c r="K166" s="21"/>
      <c r="L166" s="103"/>
      <c r="M166" s="103"/>
      <c r="N166" s="196"/>
      <c r="O166" s="139"/>
      <c r="P166" s="22"/>
      <c r="Q166" s="15"/>
    </row>
    <row r="167" spans="1:17" s="23" customFormat="1" ht="14.1" customHeight="1" x14ac:dyDescent="0.2">
      <c r="A167" s="203">
        <f ca="1">IF($H167="UNIDADE CONSTRUTIVA",OFFSET(A167,-1,0)+1,LARGE(A$3:A166,1))</f>
        <v>0</v>
      </c>
      <c r="B167" s="203">
        <f t="shared" ca="1" si="14"/>
        <v>3</v>
      </c>
      <c r="C167" s="203">
        <f t="shared" ca="1" si="15"/>
        <v>1</v>
      </c>
      <c r="D167" s="204">
        <f t="shared" ca="1" si="16"/>
        <v>1</v>
      </c>
      <c r="E167" s="204">
        <f t="shared" ca="1" si="17"/>
        <v>15</v>
      </c>
      <c r="F167" s="34"/>
      <c r="J167" s="15"/>
      <c r="K167" s="21"/>
      <c r="L167" s="103"/>
      <c r="M167" s="103"/>
      <c r="N167" s="196"/>
      <c r="O167" s="139"/>
      <c r="P167" s="22"/>
      <c r="Q167" s="15"/>
    </row>
    <row r="168" spans="1:17" s="23" customFormat="1" ht="14.1" customHeight="1" x14ac:dyDescent="0.2">
      <c r="A168" s="203">
        <f ca="1">IF($H168="UNIDADE CONSTRUTIVA",OFFSET(A168,-1,0)+1,LARGE(A$3:A167,1))</f>
        <v>0</v>
      </c>
      <c r="B168" s="203">
        <f t="shared" ca="1" si="14"/>
        <v>3</v>
      </c>
      <c r="C168" s="203">
        <f t="shared" ca="1" si="15"/>
        <v>1</v>
      </c>
      <c r="D168" s="204">
        <f t="shared" ca="1" si="16"/>
        <v>1</v>
      </c>
      <c r="E168" s="204">
        <f t="shared" ca="1" si="17"/>
        <v>15</v>
      </c>
      <c r="F168" s="34"/>
      <c r="J168" s="15"/>
      <c r="K168" s="21"/>
      <c r="L168" s="103"/>
      <c r="M168" s="103"/>
      <c r="N168" s="196"/>
      <c r="O168" s="139"/>
      <c r="P168" s="22"/>
      <c r="Q168" s="15"/>
    </row>
    <row r="169" spans="1:17" s="23" customFormat="1" ht="14.1" customHeight="1" x14ac:dyDescent="0.2">
      <c r="A169" s="203">
        <f ca="1">IF($H169="UNIDADE CONSTRUTIVA",OFFSET(A169,-1,0)+1,LARGE(A$3:A168,1))</f>
        <v>0</v>
      </c>
      <c r="B169" s="203">
        <f t="shared" ca="1" si="14"/>
        <v>3</v>
      </c>
      <c r="C169" s="203">
        <f t="shared" ca="1" si="15"/>
        <v>1</v>
      </c>
      <c r="D169" s="204">
        <f t="shared" ca="1" si="16"/>
        <v>1</v>
      </c>
      <c r="E169" s="204">
        <f t="shared" ca="1" si="17"/>
        <v>15</v>
      </c>
      <c r="F169" s="34"/>
      <c r="J169" s="15"/>
      <c r="K169" s="21"/>
      <c r="L169" s="103"/>
      <c r="M169" s="103"/>
      <c r="N169" s="196"/>
      <c r="O169" s="139"/>
      <c r="P169" s="22"/>
      <c r="Q169" s="15"/>
    </row>
    <row r="170" spans="1:17" s="23" customFormat="1" ht="14.1" customHeight="1" x14ac:dyDescent="0.2">
      <c r="A170" s="203">
        <f ca="1">IF($H170="UNIDADE CONSTRUTIVA",OFFSET(A170,-1,0)+1,LARGE(A$3:A169,1))</f>
        <v>0</v>
      </c>
      <c r="B170" s="203">
        <f t="shared" ca="1" si="14"/>
        <v>3</v>
      </c>
      <c r="C170" s="203">
        <f t="shared" ca="1" si="15"/>
        <v>1</v>
      </c>
      <c r="D170" s="204">
        <f t="shared" ca="1" si="16"/>
        <v>1</v>
      </c>
      <c r="E170" s="204">
        <f t="shared" ca="1" si="17"/>
        <v>15</v>
      </c>
      <c r="F170" s="34"/>
      <c r="J170" s="15"/>
      <c r="K170" s="21"/>
      <c r="L170" s="103"/>
      <c r="M170" s="103"/>
      <c r="N170" s="196"/>
      <c r="O170" s="139"/>
      <c r="P170" s="22"/>
      <c r="Q170" s="15"/>
    </row>
    <row r="171" spans="1:17" s="23" customFormat="1" ht="14.1" customHeight="1" x14ac:dyDescent="0.2">
      <c r="A171" s="203">
        <f ca="1">IF($H171="UNIDADE CONSTRUTIVA",OFFSET(A171,-1,0)+1,LARGE(A$3:A170,1))</f>
        <v>0</v>
      </c>
      <c r="B171" s="203">
        <f t="shared" ca="1" si="14"/>
        <v>3</v>
      </c>
      <c r="C171" s="203">
        <f t="shared" ca="1" si="15"/>
        <v>1</v>
      </c>
      <c r="D171" s="204">
        <f t="shared" ca="1" si="16"/>
        <v>1</v>
      </c>
      <c r="E171" s="204">
        <f t="shared" ca="1" si="17"/>
        <v>15</v>
      </c>
      <c r="F171" s="34"/>
      <c r="J171" s="15"/>
      <c r="K171" s="21"/>
      <c r="L171" s="103"/>
      <c r="M171" s="103"/>
      <c r="N171" s="196"/>
      <c r="O171" s="139"/>
      <c r="P171" s="22"/>
      <c r="Q171" s="15"/>
    </row>
    <row r="172" spans="1:17" s="23" customFormat="1" ht="14.1" customHeight="1" x14ac:dyDescent="0.2">
      <c r="A172" s="203">
        <f ca="1">IF($H172="UNIDADE CONSTRUTIVA",OFFSET(A172,-1,0)+1,LARGE(A$3:A171,1))</f>
        <v>0</v>
      </c>
      <c r="B172" s="203">
        <f t="shared" ca="1" si="14"/>
        <v>3</v>
      </c>
      <c r="C172" s="203">
        <f t="shared" ca="1" si="15"/>
        <v>1</v>
      </c>
      <c r="D172" s="204">
        <f t="shared" ca="1" si="16"/>
        <v>1</v>
      </c>
      <c r="E172" s="204">
        <f t="shared" ca="1" si="17"/>
        <v>15</v>
      </c>
      <c r="F172" s="34"/>
      <c r="J172" s="15"/>
      <c r="K172" s="21"/>
      <c r="L172" s="103"/>
      <c r="M172" s="103"/>
      <c r="N172" s="196"/>
      <c r="O172" s="139"/>
      <c r="P172" s="22"/>
      <c r="Q172" s="15"/>
    </row>
    <row r="173" spans="1:17" s="23" customFormat="1" ht="14.1" customHeight="1" x14ac:dyDescent="0.2">
      <c r="A173" s="203">
        <f ca="1">IF($H173="UNIDADE CONSTRUTIVA",OFFSET(A173,-1,0)+1,LARGE(A$3:A172,1))</f>
        <v>0</v>
      </c>
      <c r="B173" s="203">
        <f t="shared" ca="1" si="14"/>
        <v>3</v>
      </c>
      <c r="C173" s="203">
        <f t="shared" ca="1" si="15"/>
        <v>1</v>
      </c>
      <c r="D173" s="204">
        <f t="shared" ca="1" si="16"/>
        <v>1</v>
      </c>
      <c r="E173" s="204">
        <f t="shared" ca="1" si="17"/>
        <v>15</v>
      </c>
      <c r="F173" s="34"/>
      <c r="J173" s="15"/>
      <c r="K173" s="21"/>
      <c r="L173" s="103"/>
      <c r="M173" s="103"/>
      <c r="N173" s="196"/>
      <c r="O173" s="139"/>
      <c r="P173" s="22"/>
      <c r="Q173" s="15"/>
    </row>
    <row r="174" spans="1:17" s="23" customFormat="1" ht="14.1" customHeight="1" x14ac:dyDescent="0.2">
      <c r="A174" s="203">
        <f ca="1">IF($H174="UNIDADE CONSTRUTIVA",OFFSET(A174,-1,0)+1,LARGE(A$3:A173,1))</f>
        <v>0</v>
      </c>
      <c r="B174" s="203">
        <f t="shared" ca="1" si="14"/>
        <v>3</v>
      </c>
      <c r="C174" s="203">
        <f t="shared" ca="1" si="15"/>
        <v>1</v>
      </c>
      <c r="D174" s="204">
        <f t="shared" ca="1" si="16"/>
        <v>1</v>
      </c>
      <c r="E174" s="204">
        <f t="shared" ca="1" si="17"/>
        <v>15</v>
      </c>
      <c r="F174" s="34"/>
      <c r="J174" s="15"/>
      <c r="K174" s="21"/>
      <c r="L174" s="103"/>
      <c r="M174" s="103"/>
      <c r="N174" s="196"/>
      <c r="O174" s="139"/>
      <c r="P174" s="22"/>
      <c r="Q174" s="15"/>
    </row>
    <row r="175" spans="1:17" s="23" customFormat="1" ht="14.1" customHeight="1" x14ac:dyDescent="0.2">
      <c r="A175" s="203">
        <f ca="1">IF($H175="UNIDADE CONSTRUTIVA",OFFSET(A175,-1,0)+1,LARGE(A$3:A174,1))</f>
        <v>0</v>
      </c>
      <c r="B175" s="203">
        <f t="shared" ca="1" si="14"/>
        <v>3</v>
      </c>
      <c r="C175" s="203">
        <f t="shared" ca="1" si="15"/>
        <v>1</v>
      </c>
      <c r="D175" s="204">
        <f t="shared" ca="1" si="16"/>
        <v>1</v>
      </c>
      <c r="E175" s="204">
        <f t="shared" ca="1" si="17"/>
        <v>15</v>
      </c>
      <c r="F175" s="34"/>
      <c r="J175" s="15"/>
      <c r="K175" s="21"/>
      <c r="L175" s="103"/>
      <c r="M175" s="103"/>
      <c r="N175" s="196"/>
      <c r="O175" s="139"/>
      <c r="P175" s="22"/>
      <c r="Q175" s="15"/>
    </row>
    <row r="176" spans="1:17" s="23" customFormat="1" ht="14.1" customHeight="1" x14ac:dyDescent="0.2">
      <c r="A176" s="203">
        <f ca="1">IF($H176="UNIDADE CONSTRUTIVA",OFFSET(A176,-1,0)+1,LARGE(A$3:A175,1))</f>
        <v>0</v>
      </c>
      <c r="B176" s="203">
        <f t="shared" ca="1" si="14"/>
        <v>3</v>
      </c>
      <c r="C176" s="203">
        <f t="shared" ca="1" si="15"/>
        <v>1</v>
      </c>
      <c r="D176" s="204">
        <f t="shared" ca="1" si="16"/>
        <v>1</v>
      </c>
      <c r="E176" s="204">
        <f t="shared" ca="1" si="17"/>
        <v>15</v>
      </c>
      <c r="F176" s="34"/>
      <c r="J176" s="15"/>
      <c r="K176" s="21"/>
      <c r="L176" s="103"/>
      <c r="M176" s="103"/>
      <c r="N176" s="196"/>
      <c r="O176" s="139"/>
      <c r="P176" s="22"/>
      <c r="Q176" s="15"/>
    </row>
    <row r="177" spans="1:17" s="23" customFormat="1" ht="14.1" customHeight="1" x14ac:dyDescent="0.2">
      <c r="A177" s="203">
        <f ca="1">IF($H177="UNIDADE CONSTRUTIVA",OFFSET(A177,-1,0)+1,LARGE(A$3:A176,1))</f>
        <v>0</v>
      </c>
      <c r="B177" s="203">
        <f t="shared" ca="1" si="14"/>
        <v>3</v>
      </c>
      <c r="C177" s="203">
        <f t="shared" ca="1" si="15"/>
        <v>1</v>
      </c>
      <c r="D177" s="204">
        <f t="shared" ca="1" si="16"/>
        <v>1</v>
      </c>
      <c r="E177" s="204">
        <f t="shared" ca="1" si="17"/>
        <v>15</v>
      </c>
      <c r="F177" s="34"/>
      <c r="J177" s="15"/>
      <c r="K177" s="21"/>
      <c r="L177" s="103"/>
      <c r="M177" s="103"/>
      <c r="N177" s="196"/>
      <c r="O177" s="139"/>
      <c r="P177" s="22"/>
      <c r="Q177" s="15"/>
    </row>
    <row r="178" spans="1:17" s="23" customFormat="1" ht="14.1" customHeight="1" x14ac:dyDescent="0.2">
      <c r="A178" s="203">
        <f ca="1">IF($H178="UNIDADE CONSTRUTIVA",OFFSET(A178,-1,0)+1,LARGE(A$3:A177,1))</f>
        <v>0</v>
      </c>
      <c r="B178" s="203">
        <f t="shared" ca="1" si="14"/>
        <v>3</v>
      </c>
      <c r="C178" s="203">
        <f t="shared" ca="1" si="15"/>
        <v>1</v>
      </c>
      <c r="D178" s="204">
        <f t="shared" ca="1" si="16"/>
        <v>1</v>
      </c>
      <c r="E178" s="204">
        <f t="shared" ca="1" si="17"/>
        <v>15</v>
      </c>
      <c r="F178" s="34"/>
      <c r="J178" s="15"/>
      <c r="K178" s="21"/>
      <c r="L178" s="103"/>
      <c r="M178" s="103"/>
      <c r="N178" s="196"/>
      <c r="O178" s="139"/>
      <c r="P178" s="22"/>
      <c r="Q178" s="15"/>
    </row>
    <row r="179" spans="1:17" s="23" customFormat="1" ht="14.1" customHeight="1" x14ac:dyDescent="0.2">
      <c r="A179" s="203">
        <f ca="1">IF($H179="UNIDADE CONSTRUTIVA",OFFSET(A179,-1,0)+1,LARGE(A$3:A178,1))</f>
        <v>0</v>
      </c>
      <c r="B179" s="203">
        <f t="shared" ca="1" si="14"/>
        <v>3</v>
      </c>
      <c r="C179" s="203">
        <f t="shared" ca="1" si="15"/>
        <v>1</v>
      </c>
      <c r="D179" s="204">
        <f t="shared" ca="1" si="16"/>
        <v>1</v>
      </c>
      <c r="E179" s="204">
        <f t="shared" ca="1" si="17"/>
        <v>15</v>
      </c>
      <c r="F179" s="34"/>
      <c r="J179" s="15"/>
      <c r="K179" s="21"/>
      <c r="L179" s="103"/>
      <c r="M179" s="103"/>
      <c r="N179" s="196"/>
      <c r="O179" s="139"/>
      <c r="P179" s="22"/>
      <c r="Q179" s="15"/>
    </row>
    <row r="180" spans="1:17" s="23" customFormat="1" ht="14.1" customHeight="1" x14ac:dyDescent="0.2">
      <c r="A180" s="203">
        <f ca="1">IF($H180="UNIDADE CONSTRUTIVA",OFFSET(A180,-1,0)+1,LARGE(A$3:A179,1))</f>
        <v>0</v>
      </c>
      <c r="B180" s="203">
        <f t="shared" ca="1" si="14"/>
        <v>3</v>
      </c>
      <c r="C180" s="203">
        <f t="shared" ca="1" si="15"/>
        <v>1</v>
      </c>
      <c r="D180" s="204">
        <f t="shared" ca="1" si="16"/>
        <v>1</v>
      </c>
      <c r="E180" s="204">
        <f t="shared" ca="1" si="17"/>
        <v>15</v>
      </c>
      <c r="F180" s="34"/>
      <c r="J180" s="15"/>
      <c r="K180" s="21"/>
      <c r="L180" s="103"/>
      <c r="M180" s="103"/>
      <c r="N180" s="196"/>
      <c r="O180" s="139"/>
      <c r="P180" s="22"/>
      <c r="Q180" s="15"/>
    </row>
    <row r="181" spans="1:17" s="23" customFormat="1" ht="14.1" customHeight="1" x14ac:dyDescent="0.2">
      <c r="A181" s="203">
        <f ca="1">IF($H181="UNIDADE CONSTRUTIVA",OFFSET(A181,-1,0)+1,LARGE(A$3:A180,1))</f>
        <v>0</v>
      </c>
      <c r="B181" s="203">
        <f t="shared" ca="1" si="14"/>
        <v>3</v>
      </c>
      <c r="C181" s="203">
        <f t="shared" ca="1" si="15"/>
        <v>1</v>
      </c>
      <c r="D181" s="204">
        <f t="shared" ca="1" si="16"/>
        <v>1</v>
      </c>
      <c r="E181" s="204">
        <f t="shared" ca="1" si="17"/>
        <v>15</v>
      </c>
      <c r="F181" s="34"/>
      <c r="J181" s="15"/>
      <c r="K181" s="21"/>
      <c r="L181" s="103"/>
      <c r="M181" s="103"/>
      <c r="N181" s="196"/>
      <c r="O181" s="139"/>
      <c r="P181" s="22"/>
      <c r="Q181" s="15"/>
    </row>
    <row r="182" spans="1:17" s="23" customFormat="1" ht="14.1" customHeight="1" x14ac:dyDescent="0.2">
      <c r="A182" s="203">
        <f ca="1">IF($H182="UNIDADE CONSTRUTIVA",OFFSET(A182,-1,0)+1,LARGE(A$3:A181,1))</f>
        <v>0</v>
      </c>
      <c r="B182" s="203">
        <f t="shared" ca="1" si="14"/>
        <v>3</v>
      </c>
      <c r="C182" s="203">
        <f t="shared" ca="1" si="15"/>
        <v>1</v>
      </c>
      <c r="D182" s="204">
        <f t="shared" ca="1" si="16"/>
        <v>1</v>
      </c>
      <c r="E182" s="204">
        <f t="shared" ca="1" si="17"/>
        <v>15</v>
      </c>
      <c r="F182" s="34"/>
      <c r="J182" s="15"/>
      <c r="K182" s="21"/>
      <c r="L182" s="103"/>
      <c r="M182" s="103"/>
      <c r="N182" s="196"/>
      <c r="O182" s="139"/>
      <c r="P182" s="22"/>
      <c r="Q182" s="15"/>
    </row>
    <row r="183" spans="1:17" s="23" customFormat="1" ht="14.1" customHeight="1" x14ac:dyDescent="0.2">
      <c r="A183" s="203">
        <f ca="1">IF($H183="UNIDADE CONSTRUTIVA",OFFSET(A183,-1,0)+1,LARGE(A$3:A182,1))</f>
        <v>0</v>
      </c>
      <c r="B183" s="203">
        <f t="shared" ca="1" si="14"/>
        <v>3</v>
      </c>
      <c r="C183" s="203">
        <f t="shared" ca="1" si="15"/>
        <v>1</v>
      </c>
      <c r="D183" s="204">
        <f t="shared" ca="1" si="16"/>
        <v>1</v>
      </c>
      <c r="E183" s="204">
        <f t="shared" ca="1" si="17"/>
        <v>15</v>
      </c>
      <c r="F183" s="34"/>
      <c r="J183" s="15"/>
      <c r="K183" s="21"/>
      <c r="L183" s="103"/>
      <c r="M183" s="103"/>
      <c r="N183" s="196"/>
      <c r="O183" s="139"/>
      <c r="P183" s="22"/>
      <c r="Q183" s="15"/>
    </row>
    <row r="184" spans="1:17" s="23" customFormat="1" ht="14.1" customHeight="1" x14ac:dyDescent="0.2">
      <c r="A184" s="203">
        <f ca="1">IF($H184="UNIDADE CONSTRUTIVA",OFFSET(A184,-1,0)+1,LARGE(A$3:A183,1))</f>
        <v>0</v>
      </c>
      <c r="B184" s="203">
        <f t="shared" ca="1" si="14"/>
        <v>3</v>
      </c>
      <c r="C184" s="203">
        <f t="shared" ca="1" si="15"/>
        <v>1</v>
      </c>
      <c r="D184" s="204">
        <f t="shared" ca="1" si="16"/>
        <v>1</v>
      </c>
      <c r="E184" s="204">
        <f t="shared" ca="1" si="17"/>
        <v>15</v>
      </c>
      <c r="F184" s="34"/>
      <c r="J184" s="15"/>
      <c r="K184" s="21"/>
      <c r="L184" s="103"/>
      <c r="M184" s="103"/>
      <c r="N184" s="196"/>
      <c r="O184" s="139"/>
      <c r="P184" s="22"/>
      <c r="Q184" s="15"/>
    </row>
    <row r="185" spans="1:17" s="23" customFormat="1" ht="14.1" customHeight="1" x14ac:dyDescent="0.2">
      <c r="A185" s="203">
        <f ca="1">IF($H185="UNIDADE CONSTRUTIVA",OFFSET(A185,-1,0)+1,LARGE(A$3:A184,1))</f>
        <v>0</v>
      </c>
      <c r="B185" s="203">
        <f t="shared" ca="1" si="14"/>
        <v>3</v>
      </c>
      <c r="C185" s="203">
        <f t="shared" ca="1" si="15"/>
        <v>1</v>
      </c>
      <c r="D185" s="204">
        <f t="shared" ca="1" si="16"/>
        <v>1</v>
      </c>
      <c r="E185" s="204">
        <f t="shared" ca="1" si="17"/>
        <v>15</v>
      </c>
      <c r="F185" s="34"/>
      <c r="J185" s="15"/>
      <c r="K185" s="21"/>
      <c r="L185" s="103"/>
      <c r="M185" s="103"/>
      <c r="N185" s="196"/>
      <c r="O185" s="139"/>
      <c r="P185" s="22"/>
      <c r="Q185" s="15"/>
    </row>
    <row r="186" spans="1:17" s="23" customFormat="1" ht="14.1" customHeight="1" x14ac:dyDescent="0.2">
      <c r="A186" s="203">
        <f ca="1">IF($H186="UNIDADE CONSTRUTIVA",OFFSET(A186,-1,0)+1,LARGE(A$3:A185,1))</f>
        <v>0</v>
      </c>
      <c r="B186" s="203">
        <f t="shared" ca="1" si="14"/>
        <v>3</v>
      </c>
      <c r="C186" s="203">
        <f t="shared" ca="1" si="15"/>
        <v>1</v>
      </c>
      <c r="D186" s="204">
        <f t="shared" ca="1" si="16"/>
        <v>1</v>
      </c>
      <c r="E186" s="204">
        <f t="shared" ca="1" si="17"/>
        <v>15</v>
      </c>
      <c r="F186" s="34"/>
      <c r="J186" s="15"/>
      <c r="K186" s="21"/>
      <c r="L186" s="103"/>
      <c r="M186" s="103"/>
      <c r="N186" s="196"/>
      <c r="O186" s="139"/>
      <c r="P186" s="22"/>
      <c r="Q186" s="15"/>
    </row>
    <row r="187" spans="1:17" s="23" customFormat="1" ht="14.1" customHeight="1" x14ac:dyDescent="0.2">
      <c r="A187" s="203">
        <f ca="1">IF($H187="UNIDADE CONSTRUTIVA",OFFSET(A187,-1,0)+1,LARGE(A$3:A186,1))</f>
        <v>0</v>
      </c>
      <c r="B187" s="203">
        <f t="shared" ca="1" si="14"/>
        <v>3</v>
      </c>
      <c r="C187" s="203">
        <f t="shared" ca="1" si="15"/>
        <v>1</v>
      </c>
      <c r="D187" s="204">
        <f t="shared" ca="1" si="16"/>
        <v>1</v>
      </c>
      <c r="E187" s="204">
        <f t="shared" ca="1" si="17"/>
        <v>15</v>
      </c>
      <c r="F187" s="34"/>
      <c r="J187" s="15"/>
      <c r="K187" s="21"/>
      <c r="L187" s="103"/>
      <c r="M187" s="103"/>
      <c r="N187" s="196"/>
      <c r="O187" s="139"/>
      <c r="P187" s="22"/>
      <c r="Q187" s="15"/>
    </row>
    <row r="188" spans="1:17" s="23" customFormat="1" ht="14.1" customHeight="1" x14ac:dyDescent="0.2">
      <c r="A188" s="203">
        <f ca="1">IF($H188="UNIDADE CONSTRUTIVA",OFFSET(A188,-1,0)+1,LARGE(A$3:A187,1))</f>
        <v>0</v>
      </c>
      <c r="B188" s="203">
        <f t="shared" ca="1" si="14"/>
        <v>3</v>
      </c>
      <c r="C188" s="203">
        <f t="shared" ca="1" si="15"/>
        <v>1</v>
      </c>
      <c r="D188" s="204">
        <f t="shared" ca="1" si="16"/>
        <v>1</v>
      </c>
      <c r="E188" s="204">
        <f t="shared" ca="1" si="17"/>
        <v>15</v>
      </c>
      <c r="F188" s="34"/>
      <c r="J188" s="15"/>
      <c r="K188" s="21"/>
      <c r="L188" s="103"/>
      <c r="M188" s="103"/>
      <c r="N188" s="196"/>
      <c r="O188" s="139"/>
      <c r="P188" s="22"/>
      <c r="Q188" s="15"/>
    </row>
    <row r="189" spans="1:17" s="23" customFormat="1" ht="14.1" customHeight="1" x14ac:dyDescent="0.2">
      <c r="A189" s="203">
        <f ca="1">IF($H189="UNIDADE CONSTRUTIVA",OFFSET(A189,-1,0)+1,LARGE(A$3:A188,1))</f>
        <v>0</v>
      </c>
      <c r="B189" s="203">
        <f t="shared" ca="1" si="14"/>
        <v>3</v>
      </c>
      <c r="C189" s="203">
        <f t="shared" ca="1" si="15"/>
        <v>1</v>
      </c>
      <c r="D189" s="204">
        <f t="shared" ca="1" si="16"/>
        <v>1</v>
      </c>
      <c r="E189" s="204">
        <f t="shared" ca="1" si="17"/>
        <v>15</v>
      </c>
      <c r="F189" s="34"/>
      <c r="J189" s="15"/>
      <c r="K189" s="21"/>
      <c r="L189" s="103"/>
      <c r="M189" s="103"/>
      <c r="N189" s="196"/>
      <c r="O189" s="139"/>
      <c r="P189" s="22"/>
      <c r="Q189" s="15"/>
    </row>
    <row r="190" spans="1:17" s="23" customFormat="1" ht="14.1" customHeight="1" x14ac:dyDescent="0.2">
      <c r="A190" s="203">
        <f ca="1">IF($H190="UNIDADE CONSTRUTIVA",OFFSET(A190,-1,0)+1,LARGE(A$3:A189,1))</f>
        <v>0</v>
      </c>
      <c r="B190" s="203">
        <f t="shared" ca="1" si="14"/>
        <v>3</v>
      </c>
      <c r="C190" s="203">
        <f t="shared" ca="1" si="15"/>
        <v>1</v>
      </c>
      <c r="D190" s="204">
        <f t="shared" ca="1" si="16"/>
        <v>1</v>
      </c>
      <c r="E190" s="204">
        <f t="shared" ca="1" si="17"/>
        <v>15</v>
      </c>
      <c r="F190" s="34"/>
      <c r="J190" s="15"/>
      <c r="K190" s="21"/>
      <c r="L190" s="103"/>
      <c r="M190" s="103"/>
      <c r="N190" s="196"/>
      <c r="O190" s="139"/>
      <c r="P190" s="22"/>
      <c r="Q190" s="15"/>
    </row>
    <row r="191" spans="1:17" s="23" customFormat="1" ht="14.1" customHeight="1" x14ac:dyDescent="0.2">
      <c r="A191" s="203">
        <f ca="1">IF($H191="UNIDADE CONSTRUTIVA",OFFSET(A191,-1,0)+1,LARGE(A$3:A190,1))</f>
        <v>0</v>
      </c>
      <c r="B191" s="203">
        <f t="shared" ca="1" si="14"/>
        <v>3</v>
      </c>
      <c r="C191" s="203">
        <f t="shared" ca="1" si="15"/>
        <v>1</v>
      </c>
      <c r="D191" s="204">
        <f t="shared" ca="1" si="16"/>
        <v>1</v>
      </c>
      <c r="E191" s="204">
        <f t="shared" ca="1" si="17"/>
        <v>15</v>
      </c>
      <c r="F191" s="34"/>
      <c r="J191" s="15"/>
      <c r="K191" s="21"/>
      <c r="L191" s="103"/>
      <c r="M191" s="103"/>
      <c r="N191" s="196"/>
      <c r="O191" s="139"/>
      <c r="P191" s="22"/>
      <c r="Q191" s="15"/>
    </row>
    <row r="192" spans="1:17" s="23" customFormat="1" ht="14.1" customHeight="1" x14ac:dyDescent="0.2">
      <c r="A192" s="203">
        <f ca="1">IF($H192="UNIDADE CONSTRUTIVA",OFFSET(A192,-1,0)+1,LARGE(A$3:A191,1))</f>
        <v>0</v>
      </c>
      <c r="B192" s="203">
        <f t="shared" ca="1" si="14"/>
        <v>3</v>
      </c>
      <c r="C192" s="203">
        <f t="shared" ca="1" si="15"/>
        <v>1</v>
      </c>
      <c r="D192" s="204">
        <f t="shared" ca="1" si="16"/>
        <v>1</v>
      </c>
      <c r="E192" s="204">
        <f t="shared" ca="1" si="17"/>
        <v>15</v>
      </c>
      <c r="F192" s="34"/>
      <c r="J192" s="15"/>
      <c r="K192" s="21"/>
      <c r="L192" s="103"/>
      <c r="M192" s="103"/>
      <c r="N192" s="196"/>
      <c r="O192" s="139"/>
      <c r="P192" s="22"/>
      <c r="Q192" s="15"/>
    </row>
    <row r="193" spans="1:17" s="23" customFormat="1" ht="14.1" customHeight="1" x14ac:dyDescent="0.2">
      <c r="A193" s="203">
        <f ca="1">IF($H193="UNIDADE CONSTRUTIVA",OFFSET(A193,-1,0)+1,LARGE(A$3:A192,1))</f>
        <v>0</v>
      </c>
      <c r="B193" s="203">
        <f t="shared" ca="1" si="14"/>
        <v>3</v>
      </c>
      <c r="C193" s="203">
        <f t="shared" ca="1" si="15"/>
        <v>1</v>
      </c>
      <c r="D193" s="204">
        <f t="shared" ca="1" si="16"/>
        <v>1</v>
      </c>
      <c r="E193" s="204">
        <f t="shared" ca="1" si="17"/>
        <v>15</v>
      </c>
      <c r="F193" s="34"/>
      <c r="J193" s="15"/>
      <c r="K193" s="21"/>
      <c r="L193" s="103"/>
      <c r="M193" s="103"/>
      <c r="N193" s="196"/>
      <c r="O193" s="139"/>
      <c r="P193" s="22"/>
      <c r="Q193" s="15"/>
    </row>
    <row r="194" spans="1:17" s="23" customFormat="1" ht="14.1" customHeight="1" x14ac:dyDescent="0.2">
      <c r="A194" s="203">
        <f ca="1">IF($H194="UNIDADE CONSTRUTIVA",OFFSET(A194,-1,0)+1,LARGE(A$3:A193,1))</f>
        <v>0</v>
      </c>
      <c r="B194" s="203">
        <f t="shared" ca="1" si="14"/>
        <v>3</v>
      </c>
      <c r="C194" s="203">
        <f t="shared" ca="1" si="15"/>
        <v>1</v>
      </c>
      <c r="D194" s="204">
        <f t="shared" ca="1" si="16"/>
        <v>1</v>
      </c>
      <c r="E194" s="204">
        <f t="shared" ca="1" si="17"/>
        <v>15</v>
      </c>
      <c r="F194" s="34"/>
      <c r="J194" s="15"/>
      <c r="K194" s="21"/>
      <c r="L194" s="103"/>
      <c r="M194" s="103"/>
      <c r="N194" s="196"/>
      <c r="O194" s="139"/>
      <c r="P194" s="22"/>
      <c r="Q194" s="15"/>
    </row>
    <row r="195" spans="1:17" s="23" customFormat="1" ht="14.1" customHeight="1" x14ac:dyDescent="0.2">
      <c r="A195" s="203">
        <f ca="1">IF($H195="UNIDADE CONSTRUTIVA",OFFSET(A195,-1,0)+1,LARGE(A$3:A194,1))</f>
        <v>0</v>
      </c>
      <c r="B195" s="203">
        <f t="shared" ca="1" si="14"/>
        <v>3</v>
      </c>
      <c r="C195" s="203">
        <f t="shared" ca="1" si="15"/>
        <v>1</v>
      </c>
      <c r="D195" s="204">
        <f t="shared" ca="1" si="16"/>
        <v>1</v>
      </c>
      <c r="E195" s="204">
        <f t="shared" ca="1" si="17"/>
        <v>15</v>
      </c>
      <c r="F195" s="34"/>
      <c r="J195" s="15"/>
      <c r="K195" s="21"/>
      <c r="L195" s="103"/>
      <c r="M195" s="103"/>
      <c r="N195" s="196"/>
      <c r="O195" s="139"/>
      <c r="P195" s="22"/>
      <c r="Q195" s="15"/>
    </row>
    <row r="196" spans="1:17" s="23" customFormat="1" ht="14.1" customHeight="1" x14ac:dyDescent="0.2">
      <c r="A196" s="203">
        <f ca="1">IF($H196="UNIDADE CONSTRUTIVA",OFFSET(A196,-1,0)+1,LARGE(A$3:A195,1))</f>
        <v>0</v>
      </c>
      <c r="B196" s="203">
        <f t="shared" ca="1" si="14"/>
        <v>3</v>
      </c>
      <c r="C196" s="203">
        <f t="shared" ca="1" si="15"/>
        <v>1</v>
      </c>
      <c r="D196" s="204">
        <f t="shared" ca="1" si="16"/>
        <v>1</v>
      </c>
      <c r="E196" s="204">
        <f t="shared" ca="1" si="17"/>
        <v>15</v>
      </c>
      <c r="F196" s="34"/>
      <c r="J196" s="15"/>
      <c r="K196" s="21"/>
      <c r="L196" s="103"/>
      <c r="M196" s="103"/>
      <c r="N196" s="196"/>
      <c r="O196" s="139"/>
      <c r="P196" s="22"/>
      <c r="Q196" s="15"/>
    </row>
    <row r="197" spans="1:17" s="23" customFormat="1" ht="14.1" customHeight="1" x14ac:dyDescent="0.2">
      <c r="A197" s="203">
        <f ca="1">IF($H197="UNIDADE CONSTRUTIVA",OFFSET(A197,-1,0)+1,LARGE(A$3:A196,1))</f>
        <v>0</v>
      </c>
      <c r="B197" s="203">
        <f t="shared" ca="1" si="14"/>
        <v>3</v>
      </c>
      <c r="C197" s="203">
        <f t="shared" ca="1" si="15"/>
        <v>1</v>
      </c>
      <c r="D197" s="204">
        <f t="shared" ca="1" si="16"/>
        <v>1</v>
      </c>
      <c r="E197" s="204">
        <f t="shared" ca="1" si="17"/>
        <v>15</v>
      </c>
      <c r="F197" s="34"/>
      <c r="J197" s="15"/>
      <c r="K197" s="21"/>
      <c r="L197" s="103"/>
      <c r="M197" s="103"/>
      <c r="N197" s="196"/>
      <c r="O197" s="139"/>
      <c r="P197" s="22"/>
      <c r="Q197" s="15"/>
    </row>
    <row r="198" spans="1:17" s="23" customFormat="1" ht="14.1" customHeight="1" x14ac:dyDescent="0.2">
      <c r="A198" s="203">
        <f ca="1">IF($H198="UNIDADE CONSTRUTIVA",OFFSET(A198,-1,0)+1,LARGE(A$3:A197,1))</f>
        <v>0</v>
      </c>
      <c r="B198" s="203">
        <f t="shared" ca="1" si="14"/>
        <v>3</v>
      </c>
      <c r="C198" s="203">
        <f t="shared" ca="1" si="15"/>
        <v>1</v>
      </c>
      <c r="D198" s="204">
        <f t="shared" ca="1" si="16"/>
        <v>1</v>
      </c>
      <c r="E198" s="204">
        <f t="shared" ca="1" si="17"/>
        <v>15</v>
      </c>
      <c r="F198" s="34"/>
      <c r="J198" s="15"/>
      <c r="K198" s="21"/>
      <c r="L198" s="103"/>
      <c r="M198" s="103"/>
      <c r="N198" s="196"/>
      <c r="O198" s="139"/>
      <c r="P198" s="22"/>
      <c r="Q198" s="15"/>
    </row>
    <row r="199" spans="1:17" s="23" customFormat="1" ht="14.1" customHeight="1" x14ac:dyDescent="0.2">
      <c r="A199" s="203">
        <f ca="1">IF($H199="UNIDADE CONSTRUTIVA",OFFSET(A199,-1,0)+1,LARGE(A$3:A198,1))</f>
        <v>0</v>
      </c>
      <c r="B199" s="203">
        <f t="shared" ca="1" si="14"/>
        <v>3</v>
      </c>
      <c r="C199" s="203">
        <f t="shared" ca="1" si="15"/>
        <v>1</v>
      </c>
      <c r="D199" s="204">
        <f t="shared" ca="1" si="16"/>
        <v>1</v>
      </c>
      <c r="E199" s="204">
        <f t="shared" ca="1" si="17"/>
        <v>15</v>
      </c>
      <c r="F199" s="34"/>
      <c r="J199" s="15"/>
      <c r="K199" s="21"/>
      <c r="L199" s="103"/>
      <c r="M199" s="103"/>
      <c r="N199" s="196"/>
      <c r="O199" s="139"/>
      <c r="P199" s="22"/>
      <c r="Q199" s="15"/>
    </row>
    <row r="200" spans="1:17" s="23" customFormat="1" ht="14.1" customHeight="1" x14ac:dyDescent="0.2">
      <c r="A200" s="203">
        <f ca="1">IF($H200="UNIDADE CONSTRUTIVA",OFFSET(A200,-1,0)+1,LARGE(A$3:A199,1))</f>
        <v>0</v>
      </c>
      <c r="B200" s="203">
        <f t="shared" ca="1" si="14"/>
        <v>3</v>
      </c>
      <c r="C200" s="203">
        <f t="shared" ca="1" si="15"/>
        <v>1</v>
      </c>
      <c r="D200" s="204">
        <f t="shared" ca="1" si="16"/>
        <v>1</v>
      </c>
      <c r="E200" s="204">
        <f t="shared" ca="1" si="17"/>
        <v>15</v>
      </c>
      <c r="F200" s="34"/>
      <c r="J200" s="15"/>
      <c r="K200" s="21"/>
      <c r="L200" s="103"/>
      <c r="M200" s="103"/>
      <c r="N200" s="196"/>
      <c r="O200" s="139"/>
      <c r="P200" s="22"/>
      <c r="Q200" s="15"/>
    </row>
    <row r="201" spans="1:17" s="23" customFormat="1" ht="14.1" customHeight="1" x14ac:dyDescent="0.2">
      <c r="A201" s="203">
        <f ca="1">IF($H201="UNIDADE CONSTRUTIVA",OFFSET(A201,-1,0)+1,LARGE(A$3:A200,1))</f>
        <v>0</v>
      </c>
      <c r="B201" s="203">
        <f t="shared" ca="1" si="14"/>
        <v>3</v>
      </c>
      <c r="C201" s="203">
        <f t="shared" ca="1" si="15"/>
        <v>1</v>
      </c>
      <c r="D201" s="204">
        <f t="shared" ca="1" si="16"/>
        <v>1</v>
      </c>
      <c r="E201" s="204">
        <f t="shared" ca="1" si="17"/>
        <v>15</v>
      </c>
      <c r="F201" s="34"/>
      <c r="J201" s="15"/>
      <c r="K201" s="21"/>
      <c r="L201" s="103"/>
      <c r="M201" s="103"/>
      <c r="N201" s="196"/>
      <c r="O201" s="139"/>
      <c r="P201" s="22"/>
      <c r="Q201" s="15"/>
    </row>
    <row r="202" spans="1:17" s="23" customFormat="1" ht="14.1" customHeight="1" x14ac:dyDescent="0.2">
      <c r="A202" s="203">
        <f ca="1">IF($H202="UNIDADE CONSTRUTIVA",OFFSET(A202,-1,0)+1,LARGE(A$3:A201,1))</f>
        <v>0</v>
      </c>
      <c r="B202" s="203">
        <f t="shared" ca="1" si="14"/>
        <v>3</v>
      </c>
      <c r="C202" s="203">
        <f t="shared" ca="1" si="15"/>
        <v>1</v>
      </c>
      <c r="D202" s="204">
        <f t="shared" ca="1" si="16"/>
        <v>1</v>
      </c>
      <c r="E202" s="204">
        <f t="shared" ca="1" si="17"/>
        <v>15</v>
      </c>
      <c r="F202" s="34"/>
      <c r="J202" s="15"/>
      <c r="K202" s="21"/>
      <c r="L202" s="103"/>
      <c r="M202" s="103"/>
      <c r="N202" s="196"/>
      <c r="O202" s="139"/>
      <c r="P202" s="22"/>
      <c r="Q202" s="15"/>
    </row>
    <row r="203" spans="1:17" s="23" customFormat="1" ht="14.1" customHeight="1" x14ac:dyDescent="0.2">
      <c r="A203" s="203">
        <f ca="1">IF($H203="UNIDADE CONSTRUTIVA",OFFSET(A203,-1,0)+1,LARGE(A$3:A202,1))</f>
        <v>0</v>
      </c>
      <c r="B203" s="203">
        <f t="shared" ca="1" si="14"/>
        <v>3</v>
      </c>
      <c r="C203" s="203">
        <f t="shared" ca="1" si="15"/>
        <v>1</v>
      </c>
      <c r="D203" s="204">
        <f t="shared" ca="1" si="16"/>
        <v>1</v>
      </c>
      <c r="E203" s="204">
        <f t="shared" ca="1" si="17"/>
        <v>15</v>
      </c>
      <c r="F203" s="34"/>
      <c r="J203" s="15"/>
      <c r="K203" s="21"/>
      <c r="L203" s="103"/>
      <c r="M203" s="103"/>
      <c r="N203" s="196"/>
      <c r="O203" s="139"/>
      <c r="P203" s="22"/>
      <c r="Q203" s="15"/>
    </row>
    <row r="204" spans="1:17" s="23" customFormat="1" ht="14.1" customHeight="1" x14ac:dyDescent="0.2">
      <c r="A204" s="203">
        <f ca="1">IF($H204="UNIDADE CONSTRUTIVA",OFFSET(A204,-1,0)+1,LARGE(A$3:A203,1))</f>
        <v>0</v>
      </c>
      <c r="B204" s="203">
        <f t="shared" ca="1" si="14"/>
        <v>3</v>
      </c>
      <c r="C204" s="203">
        <f t="shared" ca="1" si="15"/>
        <v>1</v>
      </c>
      <c r="D204" s="204">
        <f t="shared" ca="1" si="16"/>
        <v>1</v>
      </c>
      <c r="E204" s="204">
        <f t="shared" ca="1" si="17"/>
        <v>15</v>
      </c>
      <c r="F204" s="34"/>
      <c r="J204" s="15"/>
      <c r="K204" s="21"/>
      <c r="L204" s="103"/>
      <c r="M204" s="103"/>
      <c r="N204" s="196"/>
      <c r="O204" s="139"/>
      <c r="P204" s="22"/>
      <c r="Q204" s="15"/>
    </row>
    <row r="205" spans="1:17" s="23" customFormat="1" ht="14.1" customHeight="1" x14ac:dyDescent="0.2">
      <c r="A205" s="203">
        <f ca="1">IF($H205="UNIDADE CONSTRUTIVA",OFFSET(A205,-1,0)+1,LARGE(A$3:A204,1))</f>
        <v>0</v>
      </c>
      <c r="B205" s="203">
        <f t="shared" ref="B205:B268" ca="1" si="18">IF(H205="UNIDADE CONSTRUTIVA",0,IF(H205="CÉLULA CONSTRUTIVA",OFFSET(B205,-1,0)+1,OFFSET(B205,-1,0)))</f>
        <v>3</v>
      </c>
      <c r="C205" s="203">
        <f t="shared" ref="C205:C268" ca="1" si="19">IF(H205="CÉLULA CONSTRUTIVA",0,IF(H205="ETAPA",OFFSET(C205,-1,0)+1,OFFSET(C205,-1,0)))</f>
        <v>1</v>
      </c>
      <c r="D205" s="204">
        <f t="shared" ref="D205:D268" ca="1" si="20">IF(H205="ETAPA",0,IF(H205="SUBETAPA",OFFSET(D205,-1,0)+1,OFFSET(D205,-1,0)))</f>
        <v>1</v>
      </c>
      <c r="E205" s="204">
        <f t="shared" ref="E205:E268" ca="1" si="21">IF(H205="Subetapa",0,IF(H205="serviço",OFFSET(E205,-1,0)+1,OFFSET(E205,-1,0)))</f>
        <v>15</v>
      </c>
      <c r="F205" s="34"/>
      <c r="J205" s="15"/>
      <c r="K205" s="21"/>
      <c r="L205" s="103"/>
      <c r="M205" s="103"/>
      <c r="N205" s="196"/>
      <c r="O205" s="139"/>
      <c r="P205" s="22"/>
      <c r="Q205" s="15"/>
    </row>
    <row r="206" spans="1:17" s="23" customFormat="1" ht="14.1" customHeight="1" x14ac:dyDescent="0.2">
      <c r="A206" s="203">
        <f ca="1">IF($H206="UNIDADE CONSTRUTIVA",OFFSET(A206,-1,0)+1,LARGE(A$3:A205,1))</f>
        <v>0</v>
      </c>
      <c r="B206" s="203">
        <f t="shared" ca="1" si="18"/>
        <v>3</v>
      </c>
      <c r="C206" s="203">
        <f t="shared" ca="1" si="19"/>
        <v>1</v>
      </c>
      <c r="D206" s="204">
        <f t="shared" ca="1" si="20"/>
        <v>1</v>
      </c>
      <c r="E206" s="204">
        <f t="shared" ca="1" si="21"/>
        <v>15</v>
      </c>
      <c r="F206" s="34"/>
      <c r="J206" s="15"/>
      <c r="K206" s="21"/>
      <c r="L206" s="103"/>
      <c r="M206" s="103"/>
      <c r="N206" s="196"/>
      <c r="O206" s="139"/>
      <c r="P206" s="22"/>
      <c r="Q206" s="15"/>
    </row>
    <row r="207" spans="1:17" s="23" customFormat="1" ht="14.1" customHeight="1" x14ac:dyDescent="0.2">
      <c r="A207" s="203">
        <f ca="1">IF($H207="UNIDADE CONSTRUTIVA",OFFSET(A207,-1,0)+1,LARGE(A$3:A206,1))</f>
        <v>0</v>
      </c>
      <c r="B207" s="203">
        <f t="shared" ca="1" si="18"/>
        <v>3</v>
      </c>
      <c r="C207" s="203">
        <f t="shared" ca="1" si="19"/>
        <v>1</v>
      </c>
      <c r="D207" s="204">
        <f t="shared" ca="1" si="20"/>
        <v>1</v>
      </c>
      <c r="E207" s="204">
        <f t="shared" ca="1" si="21"/>
        <v>15</v>
      </c>
      <c r="F207" s="34"/>
      <c r="J207" s="15"/>
      <c r="K207" s="21"/>
      <c r="L207" s="103"/>
      <c r="M207" s="103"/>
      <c r="N207" s="196"/>
      <c r="O207" s="139"/>
      <c r="P207" s="22"/>
      <c r="Q207" s="15"/>
    </row>
    <row r="208" spans="1:17" s="23" customFormat="1" ht="14.1" customHeight="1" x14ac:dyDescent="0.2">
      <c r="A208" s="203">
        <f ca="1">IF($H208="UNIDADE CONSTRUTIVA",OFFSET(A208,-1,0)+1,LARGE(A$3:A207,1))</f>
        <v>0</v>
      </c>
      <c r="B208" s="203">
        <f t="shared" ca="1" si="18"/>
        <v>3</v>
      </c>
      <c r="C208" s="203">
        <f t="shared" ca="1" si="19"/>
        <v>1</v>
      </c>
      <c r="D208" s="204">
        <f t="shared" ca="1" si="20"/>
        <v>1</v>
      </c>
      <c r="E208" s="204">
        <f t="shared" ca="1" si="21"/>
        <v>15</v>
      </c>
      <c r="F208" s="34"/>
      <c r="J208" s="15"/>
      <c r="K208" s="21"/>
      <c r="L208" s="103"/>
      <c r="M208" s="103"/>
      <c r="N208" s="196"/>
      <c r="O208" s="139"/>
      <c r="P208" s="22"/>
      <c r="Q208" s="15"/>
    </row>
    <row r="209" spans="1:17" s="23" customFormat="1" ht="14.1" customHeight="1" x14ac:dyDescent="0.2">
      <c r="A209" s="203">
        <f ca="1">IF($H209="UNIDADE CONSTRUTIVA",OFFSET(A209,-1,0)+1,LARGE(A$3:A208,1))</f>
        <v>0</v>
      </c>
      <c r="B209" s="203">
        <f t="shared" ca="1" si="18"/>
        <v>3</v>
      </c>
      <c r="C209" s="203">
        <f t="shared" ca="1" si="19"/>
        <v>1</v>
      </c>
      <c r="D209" s="204">
        <f t="shared" ca="1" si="20"/>
        <v>1</v>
      </c>
      <c r="E209" s="204">
        <f t="shared" ca="1" si="21"/>
        <v>15</v>
      </c>
      <c r="F209" s="34"/>
      <c r="J209" s="15"/>
      <c r="K209" s="21"/>
      <c r="L209" s="103"/>
      <c r="M209" s="103"/>
      <c r="N209" s="196"/>
      <c r="O209" s="139"/>
      <c r="P209" s="22"/>
      <c r="Q209" s="15"/>
    </row>
    <row r="210" spans="1:17" s="23" customFormat="1" ht="14.1" customHeight="1" x14ac:dyDescent="0.2">
      <c r="A210" s="203">
        <f ca="1">IF($H210="UNIDADE CONSTRUTIVA",OFFSET(A210,-1,0)+1,LARGE(A$3:A209,1))</f>
        <v>0</v>
      </c>
      <c r="B210" s="203">
        <f t="shared" ca="1" si="18"/>
        <v>3</v>
      </c>
      <c r="C210" s="203">
        <f t="shared" ca="1" si="19"/>
        <v>1</v>
      </c>
      <c r="D210" s="204">
        <f t="shared" ca="1" si="20"/>
        <v>1</v>
      </c>
      <c r="E210" s="204">
        <f t="shared" ca="1" si="21"/>
        <v>15</v>
      </c>
      <c r="F210" s="34"/>
      <c r="J210" s="15"/>
      <c r="K210" s="21"/>
      <c r="L210" s="103"/>
      <c r="M210" s="103"/>
      <c r="N210" s="196"/>
      <c r="O210" s="139"/>
      <c r="P210" s="22"/>
      <c r="Q210" s="15"/>
    </row>
    <row r="211" spans="1:17" s="23" customFormat="1" ht="14.1" customHeight="1" x14ac:dyDescent="0.2">
      <c r="A211" s="203">
        <f ca="1">IF($H211="UNIDADE CONSTRUTIVA",OFFSET(A211,-1,0)+1,LARGE(A$3:A210,1))</f>
        <v>0</v>
      </c>
      <c r="B211" s="203">
        <f t="shared" ca="1" si="18"/>
        <v>3</v>
      </c>
      <c r="C211" s="203">
        <f t="shared" ca="1" si="19"/>
        <v>1</v>
      </c>
      <c r="D211" s="204">
        <f t="shared" ca="1" si="20"/>
        <v>1</v>
      </c>
      <c r="E211" s="204">
        <f t="shared" ca="1" si="21"/>
        <v>15</v>
      </c>
      <c r="F211" s="34"/>
      <c r="J211" s="15"/>
      <c r="K211" s="21"/>
      <c r="L211" s="103"/>
      <c r="M211" s="103"/>
      <c r="N211" s="196"/>
      <c r="O211" s="139"/>
      <c r="P211" s="22"/>
      <c r="Q211" s="15"/>
    </row>
    <row r="212" spans="1:17" s="23" customFormat="1" ht="14.1" customHeight="1" x14ac:dyDescent="0.2">
      <c r="A212" s="203">
        <f ca="1">IF($H212="UNIDADE CONSTRUTIVA",OFFSET(A212,-1,0)+1,LARGE(A$3:A211,1))</f>
        <v>0</v>
      </c>
      <c r="B212" s="203">
        <f t="shared" ca="1" si="18"/>
        <v>3</v>
      </c>
      <c r="C212" s="203">
        <f t="shared" ca="1" si="19"/>
        <v>1</v>
      </c>
      <c r="D212" s="204">
        <f t="shared" ca="1" si="20"/>
        <v>1</v>
      </c>
      <c r="E212" s="204">
        <f t="shared" ca="1" si="21"/>
        <v>15</v>
      </c>
      <c r="F212" s="34"/>
      <c r="J212" s="15"/>
      <c r="K212" s="21"/>
      <c r="L212" s="103"/>
      <c r="M212" s="103"/>
      <c r="N212" s="196"/>
      <c r="O212" s="139"/>
      <c r="P212" s="22"/>
      <c r="Q212" s="15"/>
    </row>
    <row r="213" spans="1:17" s="23" customFormat="1" ht="14.1" customHeight="1" x14ac:dyDescent="0.2">
      <c r="A213" s="203">
        <f ca="1">IF($H213="UNIDADE CONSTRUTIVA",OFFSET(A213,-1,0)+1,LARGE(A$3:A212,1))</f>
        <v>0</v>
      </c>
      <c r="B213" s="203">
        <f t="shared" ca="1" si="18"/>
        <v>3</v>
      </c>
      <c r="C213" s="203">
        <f t="shared" ca="1" si="19"/>
        <v>1</v>
      </c>
      <c r="D213" s="204">
        <f t="shared" ca="1" si="20"/>
        <v>1</v>
      </c>
      <c r="E213" s="204">
        <f t="shared" ca="1" si="21"/>
        <v>15</v>
      </c>
      <c r="F213" s="34"/>
      <c r="J213" s="15"/>
      <c r="K213" s="21"/>
      <c r="L213" s="103"/>
      <c r="M213" s="103"/>
      <c r="N213" s="196"/>
      <c r="O213" s="139"/>
      <c r="P213" s="22"/>
      <c r="Q213" s="15"/>
    </row>
    <row r="214" spans="1:17" s="23" customFormat="1" ht="14.1" customHeight="1" x14ac:dyDescent="0.2">
      <c r="A214" s="203">
        <f ca="1">IF($H214="UNIDADE CONSTRUTIVA",OFFSET(A214,-1,0)+1,LARGE(A$3:A213,1))</f>
        <v>0</v>
      </c>
      <c r="B214" s="203">
        <f t="shared" ca="1" si="18"/>
        <v>3</v>
      </c>
      <c r="C214" s="203">
        <f t="shared" ca="1" si="19"/>
        <v>1</v>
      </c>
      <c r="D214" s="204">
        <f t="shared" ca="1" si="20"/>
        <v>1</v>
      </c>
      <c r="E214" s="204">
        <f t="shared" ca="1" si="21"/>
        <v>15</v>
      </c>
      <c r="F214" s="34"/>
      <c r="J214" s="15"/>
      <c r="K214" s="21"/>
      <c r="L214" s="103"/>
      <c r="M214" s="103"/>
      <c r="N214" s="196"/>
      <c r="O214" s="139"/>
      <c r="P214" s="22"/>
      <c r="Q214" s="15"/>
    </row>
    <row r="215" spans="1:17" s="23" customFormat="1" ht="14.1" customHeight="1" x14ac:dyDescent="0.2">
      <c r="A215" s="203">
        <f ca="1">IF($H215="UNIDADE CONSTRUTIVA",OFFSET(A215,-1,0)+1,LARGE(A$3:A214,1))</f>
        <v>0</v>
      </c>
      <c r="B215" s="203">
        <f t="shared" ca="1" si="18"/>
        <v>3</v>
      </c>
      <c r="C215" s="203">
        <f t="shared" ca="1" si="19"/>
        <v>1</v>
      </c>
      <c r="D215" s="204">
        <f t="shared" ca="1" si="20"/>
        <v>1</v>
      </c>
      <c r="E215" s="204">
        <f t="shared" ca="1" si="21"/>
        <v>15</v>
      </c>
      <c r="F215" s="34"/>
      <c r="J215" s="15"/>
      <c r="K215" s="21"/>
      <c r="L215" s="103"/>
      <c r="M215" s="103"/>
      <c r="N215" s="196"/>
      <c r="O215" s="139"/>
      <c r="P215" s="22"/>
      <c r="Q215" s="15"/>
    </row>
    <row r="216" spans="1:17" s="23" customFormat="1" ht="14.1" customHeight="1" x14ac:dyDescent="0.2">
      <c r="A216" s="203">
        <f ca="1">IF($H216="UNIDADE CONSTRUTIVA",OFFSET(A216,-1,0)+1,LARGE(A$3:A215,1))</f>
        <v>0</v>
      </c>
      <c r="B216" s="203">
        <f t="shared" ca="1" si="18"/>
        <v>3</v>
      </c>
      <c r="C216" s="203">
        <f t="shared" ca="1" si="19"/>
        <v>1</v>
      </c>
      <c r="D216" s="204">
        <f t="shared" ca="1" si="20"/>
        <v>1</v>
      </c>
      <c r="E216" s="204">
        <f t="shared" ca="1" si="21"/>
        <v>15</v>
      </c>
      <c r="F216" s="34"/>
      <c r="J216" s="15"/>
      <c r="K216" s="21"/>
      <c r="L216" s="103"/>
      <c r="M216" s="103"/>
      <c r="N216" s="196"/>
      <c r="O216" s="139"/>
      <c r="P216" s="22"/>
      <c r="Q216" s="15"/>
    </row>
    <row r="217" spans="1:17" s="23" customFormat="1" ht="14.1" customHeight="1" x14ac:dyDescent="0.2">
      <c r="A217" s="203">
        <f ca="1">IF($H217="UNIDADE CONSTRUTIVA",OFFSET(A217,-1,0)+1,LARGE(A$3:A216,1))</f>
        <v>0</v>
      </c>
      <c r="B217" s="203">
        <f t="shared" ca="1" si="18"/>
        <v>3</v>
      </c>
      <c r="C217" s="203">
        <f t="shared" ca="1" si="19"/>
        <v>1</v>
      </c>
      <c r="D217" s="204">
        <f t="shared" ca="1" si="20"/>
        <v>1</v>
      </c>
      <c r="E217" s="204">
        <f t="shared" ca="1" si="21"/>
        <v>15</v>
      </c>
      <c r="F217" s="34"/>
      <c r="J217" s="15"/>
      <c r="K217" s="21"/>
      <c r="L217" s="103"/>
      <c r="M217" s="103"/>
      <c r="N217" s="196"/>
      <c r="O217" s="139"/>
      <c r="P217" s="22"/>
      <c r="Q217" s="15"/>
    </row>
    <row r="218" spans="1:17" s="23" customFormat="1" ht="14.1" customHeight="1" x14ac:dyDescent="0.2">
      <c r="A218" s="203">
        <f ca="1">IF($H218="UNIDADE CONSTRUTIVA",OFFSET(A218,-1,0)+1,LARGE(A$3:A217,1))</f>
        <v>0</v>
      </c>
      <c r="B218" s="203">
        <f t="shared" ca="1" si="18"/>
        <v>3</v>
      </c>
      <c r="C218" s="203">
        <f t="shared" ca="1" si="19"/>
        <v>1</v>
      </c>
      <c r="D218" s="204">
        <f t="shared" ca="1" si="20"/>
        <v>1</v>
      </c>
      <c r="E218" s="204">
        <f t="shared" ca="1" si="21"/>
        <v>15</v>
      </c>
      <c r="F218" s="34"/>
      <c r="J218" s="15"/>
      <c r="K218" s="21"/>
      <c r="L218" s="103"/>
      <c r="M218" s="103"/>
      <c r="N218" s="196"/>
      <c r="O218" s="139"/>
      <c r="P218" s="22"/>
      <c r="Q218" s="15"/>
    </row>
    <row r="219" spans="1:17" s="23" customFormat="1" ht="14.1" customHeight="1" x14ac:dyDescent="0.2">
      <c r="A219" s="203">
        <f ca="1">IF($H219="UNIDADE CONSTRUTIVA",OFFSET(A219,-1,0)+1,LARGE(A$3:A218,1))</f>
        <v>0</v>
      </c>
      <c r="B219" s="203">
        <f t="shared" ca="1" si="18"/>
        <v>3</v>
      </c>
      <c r="C219" s="203">
        <f t="shared" ca="1" si="19"/>
        <v>1</v>
      </c>
      <c r="D219" s="204">
        <f t="shared" ca="1" si="20"/>
        <v>1</v>
      </c>
      <c r="E219" s="204">
        <f t="shared" ca="1" si="21"/>
        <v>15</v>
      </c>
      <c r="F219" s="34"/>
      <c r="J219" s="15"/>
      <c r="K219" s="21"/>
      <c r="L219" s="103"/>
      <c r="M219" s="103"/>
      <c r="N219" s="196"/>
      <c r="O219" s="139"/>
      <c r="P219" s="22"/>
      <c r="Q219" s="15"/>
    </row>
    <row r="220" spans="1:17" s="23" customFormat="1" ht="14.1" customHeight="1" x14ac:dyDescent="0.2">
      <c r="A220" s="203">
        <f ca="1">IF($H220="UNIDADE CONSTRUTIVA",OFFSET(A220,-1,0)+1,LARGE(A$3:A219,1))</f>
        <v>0</v>
      </c>
      <c r="B220" s="203">
        <f t="shared" ca="1" si="18"/>
        <v>3</v>
      </c>
      <c r="C220" s="203">
        <f t="shared" ca="1" si="19"/>
        <v>1</v>
      </c>
      <c r="D220" s="204">
        <f t="shared" ca="1" si="20"/>
        <v>1</v>
      </c>
      <c r="E220" s="204">
        <f t="shared" ca="1" si="21"/>
        <v>15</v>
      </c>
      <c r="F220" s="34"/>
      <c r="J220" s="15"/>
      <c r="K220" s="21"/>
      <c r="L220" s="103"/>
      <c r="M220" s="103"/>
      <c r="N220" s="196"/>
      <c r="O220" s="139"/>
      <c r="P220" s="22"/>
      <c r="Q220" s="15"/>
    </row>
    <row r="221" spans="1:17" s="23" customFormat="1" ht="14.1" customHeight="1" x14ac:dyDescent="0.2">
      <c r="A221" s="203">
        <f ca="1">IF($H221="UNIDADE CONSTRUTIVA",OFFSET(A221,-1,0)+1,LARGE(A$3:A220,1))</f>
        <v>0</v>
      </c>
      <c r="B221" s="203">
        <f t="shared" ca="1" si="18"/>
        <v>3</v>
      </c>
      <c r="C221" s="203">
        <f t="shared" ca="1" si="19"/>
        <v>1</v>
      </c>
      <c r="D221" s="204">
        <f t="shared" ca="1" si="20"/>
        <v>1</v>
      </c>
      <c r="E221" s="204">
        <f t="shared" ca="1" si="21"/>
        <v>15</v>
      </c>
      <c r="F221" s="34"/>
      <c r="J221" s="15"/>
      <c r="K221" s="21"/>
      <c r="L221" s="103"/>
      <c r="M221" s="103"/>
      <c r="N221" s="196"/>
      <c r="O221" s="139"/>
      <c r="P221" s="22"/>
      <c r="Q221" s="15"/>
    </row>
    <row r="222" spans="1:17" s="23" customFormat="1" ht="14.1" customHeight="1" x14ac:dyDescent="0.2">
      <c r="A222" s="203">
        <f ca="1">IF($H222="UNIDADE CONSTRUTIVA",OFFSET(A222,-1,0)+1,LARGE(A$3:A221,1))</f>
        <v>0</v>
      </c>
      <c r="B222" s="203">
        <f t="shared" ca="1" si="18"/>
        <v>3</v>
      </c>
      <c r="C222" s="203">
        <f t="shared" ca="1" si="19"/>
        <v>1</v>
      </c>
      <c r="D222" s="204">
        <f t="shared" ca="1" si="20"/>
        <v>1</v>
      </c>
      <c r="E222" s="204">
        <f t="shared" ca="1" si="21"/>
        <v>15</v>
      </c>
      <c r="F222" s="34"/>
      <c r="J222" s="15"/>
      <c r="K222" s="21"/>
      <c r="L222" s="103"/>
      <c r="M222" s="103"/>
      <c r="N222" s="196"/>
      <c r="O222" s="139"/>
      <c r="P222" s="22"/>
      <c r="Q222" s="15"/>
    </row>
    <row r="223" spans="1:17" s="23" customFormat="1" ht="14.1" customHeight="1" x14ac:dyDescent="0.2">
      <c r="A223" s="203">
        <f ca="1">IF($H223="UNIDADE CONSTRUTIVA",OFFSET(A223,-1,0)+1,LARGE(A$3:A222,1))</f>
        <v>0</v>
      </c>
      <c r="B223" s="203">
        <f t="shared" ca="1" si="18"/>
        <v>3</v>
      </c>
      <c r="C223" s="203">
        <f t="shared" ca="1" si="19"/>
        <v>1</v>
      </c>
      <c r="D223" s="204">
        <f t="shared" ca="1" si="20"/>
        <v>1</v>
      </c>
      <c r="E223" s="204">
        <f t="shared" ca="1" si="21"/>
        <v>15</v>
      </c>
      <c r="F223" s="34"/>
      <c r="J223" s="15"/>
      <c r="K223" s="21"/>
      <c r="L223" s="103"/>
      <c r="M223" s="103"/>
      <c r="N223" s="196"/>
      <c r="O223" s="139"/>
      <c r="P223" s="22"/>
      <c r="Q223" s="15"/>
    </row>
    <row r="224" spans="1:17" s="23" customFormat="1" ht="14.1" customHeight="1" x14ac:dyDescent="0.2">
      <c r="A224" s="203">
        <f ca="1">IF($H224="UNIDADE CONSTRUTIVA",OFFSET(A224,-1,0)+1,LARGE(A$3:A223,1))</f>
        <v>0</v>
      </c>
      <c r="B224" s="203">
        <f t="shared" ca="1" si="18"/>
        <v>3</v>
      </c>
      <c r="C224" s="203">
        <f t="shared" ca="1" si="19"/>
        <v>1</v>
      </c>
      <c r="D224" s="204">
        <f t="shared" ca="1" si="20"/>
        <v>1</v>
      </c>
      <c r="E224" s="204">
        <f t="shared" ca="1" si="21"/>
        <v>15</v>
      </c>
      <c r="F224" s="34"/>
      <c r="J224" s="15"/>
      <c r="K224" s="21"/>
      <c r="L224" s="103"/>
      <c r="M224" s="103"/>
      <c r="N224" s="196"/>
      <c r="O224" s="139"/>
      <c r="P224" s="22"/>
      <c r="Q224" s="15"/>
    </row>
    <row r="225" spans="1:17" s="23" customFormat="1" ht="14.1" customHeight="1" x14ac:dyDescent="0.2">
      <c r="A225" s="203">
        <f ca="1">IF($H225="UNIDADE CONSTRUTIVA",OFFSET(A225,-1,0)+1,LARGE(A$3:A224,1))</f>
        <v>0</v>
      </c>
      <c r="B225" s="203">
        <f t="shared" ca="1" si="18"/>
        <v>3</v>
      </c>
      <c r="C225" s="203">
        <f t="shared" ca="1" si="19"/>
        <v>1</v>
      </c>
      <c r="D225" s="204">
        <f t="shared" ca="1" si="20"/>
        <v>1</v>
      </c>
      <c r="E225" s="204">
        <f t="shared" ca="1" si="21"/>
        <v>15</v>
      </c>
      <c r="F225" s="34"/>
      <c r="J225" s="15"/>
      <c r="K225" s="21"/>
      <c r="L225" s="103"/>
      <c r="M225" s="103"/>
      <c r="N225" s="196"/>
      <c r="O225" s="139"/>
      <c r="P225" s="22"/>
      <c r="Q225" s="15"/>
    </row>
    <row r="226" spans="1:17" s="23" customFormat="1" ht="14.1" customHeight="1" x14ac:dyDescent="0.2">
      <c r="A226" s="203">
        <f ca="1">IF($H226="UNIDADE CONSTRUTIVA",OFFSET(A226,-1,0)+1,LARGE(A$3:A225,1))</f>
        <v>0</v>
      </c>
      <c r="B226" s="203">
        <f t="shared" ca="1" si="18"/>
        <v>3</v>
      </c>
      <c r="C226" s="203">
        <f t="shared" ca="1" si="19"/>
        <v>1</v>
      </c>
      <c r="D226" s="204">
        <f t="shared" ca="1" si="20"/>
        <v>1</v>
      </c>
      <c r="E226" s="204">
        <f t="shared" ca="1" si="21"/>
        <v>15</v>
      </c>
      <c r="F226" s="34"/>
      <c r="J226" s="15"/>
      <c r="K226" s="21"/>
      <c r="L226" s="103"/>
      <c r="M226" s="103"/>
      <c r="N226" s="196"/>
      <c r="O226" s="139"/>
      <c r="P226" s="22"/>
      <c r="Q226" s="15"/>
    </row>
    <row r="227" spans="1:17" s="23" customFormat="1" ht="14.1" customHeight="1" x14ac:dyDescent="0.2">
      <c r="A227" s="203">
        <f ca="1">IF($H227="UNIDADE CONSTRUTIVA",OFFSET(A227,-1,0)+1,LARGE(A$3:A226,1))</f>
        <v>0</v>
      </c>
      <c r="B227" s="203">
        <f t="shared" ca="1" si="18"/>
        <v>3</v>
      </c>
      <c r="C227" s="203">
        <f t="shared" ca="1" si="19"/>
        <v>1</v>
      </c>
      <c r="D227" s="204">
        <f t="shared" ca="1" si="20"/>
        <v>1</v>
      </c>
      <c r="E227" s="204">
        <f t="shared" ca="1" si="21"/>
        <v>15</v>
      </c>
      <c r="F227" s="34"/>
      <c r="J227" s="15"/>
      <c r="K227" s="21"/>
      <c r="L227" s="103"/>
      <c r="M227" s="103"/>
      <c r="N227" s="196"/>
      <c r="O227" s="139"/>
      <c r="P227" s="22"/>
      <c r="Q227" s="15"/>
    </row>
    <row r="228" spans="1:17" s="23" customFormat="1" ht="14.1" customHeight="1" x14ac:dyDescent="0.2">
      <c r="A228" s="203">
        <f ca="1">IF($H228="UNIDADE CONSTRUTIVA",OFFSET(A228,-1,0)+1,LARGE(A$3:A227,1))</f>
        <v>0</v>
      </c>
      <c r="B228" s="203">
        <f t="shared" ca="1" si="18"/>
        <v>3</v>
      </c>
      <c r="C228" s="203">
        <f t="shared" ca="1" si="19"/>
        <v>1</v>
      </c>
      <c r="D228" s="204">
        <f t="shared" ca="1" si="20"/>
        <v>1</v>
      </c>
      <c r="E228" s="204">
        <f t="shared" ca="1" si="21"/>
        <v>15</v>
      </c>
      <c r="F228" s="34"/>
      <c r="J228" s="15"/>
      <c r="K228" s="21"/>
      <c r="L228" s="103"/>
      <c r="M228" s="103"/>
      <c r="N228" s="196"/>
      <c r="O228" s="139"/>
      <c r="P228" s="22"/>
      <c r="Q228" s="15"/>
    </row>
    <row r="229" spans="1:17" s="23" customFormat="1" ht="14.1" customHeight="1" x14ac:dyDescent="0.2">
      <c r="A229" s="203">
        <f ca="1">IF($H229="UNIDADE CONSTRUTIVA",OFFSET(A229,-1,0)+1,LARGE(A$3:A228,1))</f>
        <v>0</v>
      </c>
      <c r="B229" s="203">
        <f t="shared" ca="1" si="18"/>
        <v>3</v>
      </c>
      <c r="C229" s="203">
        <f t="shared" ca="1" si="19"/>
        <v>1</v>
      </c>
      <c r="D229" s="204">
        <f t="shared" ca="1" si="20"/>
        <v>1</v>
      </c>
      <c r="E229" s="204">
        <f t="shared" ca="1" si="21"/>
        <v>15</v>
      </c>
      <c r="F229" s="34"/>
      <c r="J229" s="15"/>
      <c r="K229" s="21"/>
      <c r="L229" s="103"/>
      <c r="M229" s="103"/>
      <c r="N229" s="196"/>
      <c r="O229" s="139"/>
      <c r="P229" s="22"/>
      <c r="Q229" s="15"/>
    </row>
    <row r="230" spans="1:17" s="23" customFormat="1" ht="14.1" customHeight="1" x14ac:dyDescent="0.2">
      <c r="A230" s="203">
        <f ca="1">IF($H230="UNIDADE CONSTRUTIVA",OFFSET(A230,-1,0)+1,LARGE(A$3:A229,1))</f>
        <v>0</v>
      </c>
      <c r="B230" s="203">
        <f t="shared" ca="1" si="18"/>
        <v>3</v>
      </c>
      <c r="C230" s="203">
        <f t="shared" ca="1" si="19"/>
        <v>1</v>
      </c>
      <c r="D230" s="204">
        <f t="shared" ca="1" si="20"/>
        <v>1</v>
      </c>
      <c r="E230" s="204">
        <f t="shared" ca="1" si="21"/>
        <v>15</v>
      </c>
      <c r="F230" s="34"/>
      <c r="J230" s="15"/>
      <c r="K230" s="21"/>
      <c r="L230" s="103"/>
      <c r="M230" s="103"/>
      <c r="N230" s="196"/>
      <c r="O230" s="139"/>
      <c r="P230" s="22"/>
      <c r="Q230" s="15"/>
    </row>
    <row r="231" spans="1:17" s="23" customFormat="1" ht="14.1" customHeight="1" x14ac:dyDescent="0.2">
      <c r="A231" s="203">
        <f ca="1">IF($H231="UNIDADE CONSTRUTIVA",OFFSET(A231,-1,0)+1,LARGE(A$3:A230,1))</f>
        <v>0</v>
      </c>
      <c r="B231" s="203">
        <f t="shared" ca="1" si="18"/>
        <v>3</v>
      </c>
      <c r="C231" s="203">
        <f t="shared" ca="1" si="19"/>
        <v>1</v>
      </c>
      <c r="D231" s="204">
        <f t="shared" ca="1" si="20"/>
        <v>1</v>
      </c>
      <c r="E231" s="204">
        <f t="shared" ca="1" si="21"/>
        <v>15</v>
      </c>
      <c r="F231" s="34"/>
      <c r="J231" s="15"/>
      <c r="K231" s="21"/>
      <c r="L231" s="103"/>
      <c r="M231" s="103"/>
      <c r="N231" s="196"/>
      <c r="O231" s="139"/>
      <c r="P231" s="22"/>
      <c r="Q231" s="15"/>
    </row>
    <row r="232" spans="1:17" s="23" customFormat="1" ht="14.1" customHeight="1" x14ac:dyDescent="0.2">
      <c r="A232" s="203">
        <f ca="1">IF($H232="UNIDADE CONSTRUTIVA",OFFSET(A232,-1,0)+1,LARGE(A$3:A231,1))</f>
        <v>0</v>
      </c>
      <c r="B232" s="203">
        <f t="shared" ca="1" si="18"/>
        <v>3</v>
      </c>
      <c r="C232" s="203">
        <f t="shared" ca="1" si="19"/>
        <v>1</v>
      </c>
      <c r="D232" s="204">
        <f t="shared" ca="1" si="20"/>
        <v>1</v>
      </c>
      <c r="E232" s="204">
        <f t="shared" ca="1" si="21"/>
        <v>15</v>
      </c>
      <c r="F232" s="34"/>
      <c r="J232" s="15"/>
      <c r="K232" s="21"/>
      <c r="L232" s="103"/>
      <c r="M232" s="103"/>
      <c r="N232" s="196"/>
      <c r="O232" s="139"/>
      <c r="P232" s="22"/>
      <c r="Q232" s="15"/>
    </row>
    <row r="233" spans="1:17" s="23" customFormat="1" ht="14.1" customHeight="1" x14ac:dyDescent="0.2">
      <c r="A233" s="203">
        <f ca="1">IF($H233="UNIDADE CONSTRUTIVA",OFFSET(A233,-1,0)+1,LARGE(A$3:A232,1))</f>
        <v>0</v>
      </c>
      <c r="B233" s="203">
        <f t="shared" ca="1" si="18"/>
        <v>3</v>
      </c>
      <c r="C233" s="203">
        <f t="shared" ca="1" si="19"/>
        <v>1</v>
      </c>
      <c r="D233" s="204">
        <f t="shared" ca="1" si="20"/>
        <v>1</v>
      </c>
      <c r="E233" s="204">
        <f t="shared" ca="1" si="21"/>
        <v>15</v>
      </c>
      <c r="F233" s="34"/>
      <c r="J233" s="15"/>
      <c r="K233" s="21"/>
      <c r="L233" s="103"/>
      <c r="M233" s="103"/>
      <c r="N233" s="196"/>
      <c r="O233" s="139"/>
      <c r="P233" s="22"/>
      <c r="Q233" s="15"/>
    </row>
    <row r="234" spans="1:17" s="23" customFormat="1" ht="14.1" customHeight="1" x14ac:dyDescent="0.2">
      <c r="A234" s="203">
        <f ca="1">IF($H234="UNIDADE CONSTRUTIVA",OFFSET(A234,-1,0)+1,LARGE(A$3:A233,1))</f>
        <v>0</v>
      </c>
      <c r="B234" s="203">
        <f t="shared" ca="1" si="18"/>
        <v>3</v>
      </c>
      <c r="C234" s="203">
        <f t="shared" ca="1" si="19"/>
        <v>1</v>
      </c>
      <c r="D234" s="204">
        <f t="shared" ca="1" si="20"/>
        <v>1</v>
      </c>
      <c r="E234" s="204">
        <f t="shared" ca="1" si="21"/>
        <v>15</v>
      </c>
      <c r="F234" s="34"/>
      <c r="J234" s="15"/>
      <c r="K234" s="21"/>
      <c r="L234" s="103"/>
      <c r="M234" s="103"/>
      <c r="N234" s="196"/>
      <c r="O234" s="139"/>
      <c r="P234" s="22"/>
      <c r="Q234" s="15"/>
    </row>
    <row r="235" spans="1:17" s="23" customFormat="1" ht="14.1" customHeight="1" x14ac:dyDescent="0.2">
      <c r="A235" s="203">
        <f ca="1">IF($H235="UNIDADE CONSTRUTIVA",OFFSET(A235,-1,0)+1,LARGE(A$3:A234,1))</f>
        <v>0</v>
      </c>
      <c r="B235" s="203">
        <f t="shared" ca="1" si="18"/>
        <v>3</v>
      </c>
      <c r="C235" s="203">
        <f t="shared" ca="1" si="19"/>
        <v>1</v>
      </c>
      <c r="D235" s="204">
        <f t="shared" ca="1" si="20"/>
        <v>1</v>
      </c>
      <c r="E235" s="204">
        <f t="shared" ca="1" si="21"/>
        <v>15</v>
      </c>
      <c r="F235" s="34"/>
      <c r="J235" s="15"/>
      <c r="K235" s="21"/>
      <c r="L235" s="103"/>
      <c r="M235" s="103"/>
      <c r="N235" s="196"/>
      <c r="O235" s="139"/>
      <c r="P235" s="22"/>
      <c r="Q235" s="15"/>
    </row>
    <row r="236" spans="1:17" s="23" customFormat="1" ht="14.1" customHeight="1" x14ac:dyDescent="0.2">
      <c r="A236" s="203">
        <f ca="1">IF($H236="UNIDADE CONSTRUTIVA",OFFSET(A236,-1,0)+1,LARGE(A$3:A235,1))</f>
        <v>0</v>
      </c>
      <c r="B236" s="203">
        <f t="shared" ca="1" si="18"/>
        <v>3</v>
      </c>
      <c r="C236" s="203">
        <f t="shared" ca="1" si="19"/>
        <v>1</v>
      </c>
      <c r="D236" s="204">
        <f t="shared" ca="1" si="20"/>
        <v>1</v>
      </c>
      <c r="E236" s="204">
        <f t="shared" ca="1" si="21"/>
        <v>15</v>
      </c>
      <c r="F236" s="34"/>
      <c r="J236" s="15"/>
      <c r="K236" s="21"/>
      <c r="L236" s="103"/>
      <c r="M236" s="103"/>
      <c r="N236" s="196"/>
      <c r="O236" s="139"/>
      <c r="P236" s="22"/>
      <c r="Q236" s="15"/>
    </row>
    <row r="237" spans="1:17" s="23" customFormat="1" ht="14.1" customHeight="1" x14ac:dyDescent="0.2">
      <c r="A237" s="203">
        <f ca="1">IF($H237="UNIDADE CONSTRUTIVA",OFFSET(A237,-1,0)+1,LARGE(A$3:A236,1))</f>
        <v>0</v>
      </c>
      <c r="B237" s="203">
        <f t="shared" ca="1" si="18"/>
        <v>3</v>
      </c>
      <c r="C237" s="203">
        <f t="shared" ca="1" si="19"/>
        <v>1</v>
      </c>
      <c r="D237" s="204">
        <f t="shared" ca="1" si="20"/>
        <v>1</v>
      </c>
      <c r="E237" s="204">
        <f t="shared" ca="1" si="21"/>
        <v>15</v>
      </c>
      <c r="F237" s="34"/>
      <c r="J237" s="15"/>
      <c r="K237" s="21"/>
      <c r="L237" s="103"/>
      <c r="M237" s="103"/>
      <c r="N237" s="196"/>
      <c r="O237" s="139"/>
      <c r="P237" s="22"/>
      <c r="Q237" s="15"/>
    </row>
    <row r="238" spans="1:17" s="23" customFormat="1" ht="14.1" customHeight="1" x14ac:dyDescent="0.2">
      <c r="A238" s="203">
        <f ca="1">IF($H238="UNIDADE CONSTRUTIVA",OFFSET(A238,-1,0)+1,LARGE(A$3:A237,1))</f>
        <v>0</v>
      </c>
      <c r="B238" s="203">
        <f t="shared" ca="1" si="18"/>
        <v>3</v>
      </c>
      <c r="C238" s="203">
        <f t="shared" ca="1" si="19"/>
        <v>1</v>
      </c>
      <c r="D238" s="204">
        <f t="shared" ca="1" si="20"/>
        <v>1</v>
      </c>
      <c r="E238" s="204">
        <f t="shared" ca="1" si="21"/>
        <v>15</v>
      </c>
      <c r="F238" s="34"/>
      <c r="J238" s="15"/>
      <c r="K238" s="21"/>
      <c r="L238" s="103"/>
      <c r="M238" s="103"/>
      <c r="N238" s="196"/>
      <c r="O238" s="139"/>
      <c r="P238" s="22"/>
      <c r="Q238" s="15"/>
    </row>
    <row r="239" spans="1:17" s="23" customFormat="1" ht="14.1" customHeight="1" x14ac:dyDescent="0.2">
      <c r="A239" s="203">
        <f ca="1">IF($H239="UNIDADE CONSTRUTIVA",OFFSET(A239,-1,0)+1,LARGE(A$3:A238,1))</f>
        <v>0</v>
      </c>
      <c r="B239" s="203">
        <f t="shared" ca="1" si="18"/>
        <v>3</v>
      </c>
      <c r="C239" s="203">
        <f t="shared" ca="1" si="19"/>
        <v>1</v>
      </c>
      <c r="D239" s="204">
        <f t="shared" ca="1" si="20"/>
        <v>1</v>
      </c>
      <c r="E239" s="204">
        <f t="shared" ca="1" si="21"/>
        <v>15</v>
      </c>
      <c r="F239" s="34"/>
      <c r="J239" s="15"/>
      <c r="K239" s="21"/>
      <c r="L239" s="103"/>
      <c r="M239" s="103"/>
      <c r="N239" s="196"/>
      <c r="O239" s="139"/>
      <c r="P239" s="22"/>
      <c r="Q239" s="15"/>
    </row>
    <row r="240" spans="1:17" s="23" customFormat="1" ht="14.1" customHeight="1" x14ac:dyDescent="0.2">
      <c r="A240" s="203">
        <f ca="1">IF($H240="UNIDADE CONSTRUTIVA",OFFSET(A240,-1,0)+1,LARGE(A$3:A239,1))</f>
        <v>0</v>
      </c>
      <c r="B240" s="203">
        <f t="shared" ca="1" si="18"/>
        <v>3</v>
      </c>
      <c r="C240" s="203">
        <f t="shared" ca="1" si="19"/>
        <v>1</v>
      </c>
      <c r="D240" s="204">
        <f t="shared" ca="1" si="20"/>
        <v>1</v>
      </c>
      <c r="E240" s="204">
        <f t="shared" ca="1" si="21"/>
        <v>15</v>
      </c>
      <c r="F240" s="34"/>
      <c r="J240" s="15"/>
      <c r="K240" s="21"/>
      <c r="L240" s="103"/>
      <c r="M240" s="103"/>
      <c r="N240" s="196"/>
      <c r="O240" s="139"/>
      <c r="P240" s="22"/>
      <c r="Q240" s="15"/>
    </row>
    <row r="241" spans="1:17" s="23" customFormat="1" ht="14.1" customHeight="1" x14ac:dyDescent="0.2">
      <c r="A241" s="203">
        <f ca="1">IF($H241="UNIDADE CONSTRUTIVA",OFFSET(A241,-1,0)+1,LARGE(A$3:A240,1))</f>
        <v>0</v>
      </c>
      <c r="B241" s="203">
        <f t="shared" ca="1" si="18"/>
        <v>3</v>
      </c>
      <c r="C241" s="203">
        <f t="shared" ca="1" si="19"/>
        <v>1</v>
      </c>
      <c r="D241" s="204">
        <f t="shared" ca="1" si="20"/>
        <v>1</v>
      </c>
      <c r="E241" s="204">
        <f t="shared" ca="1" si="21"/>
        <v>15</v>
      </c>
      <c r="F241" s="34"/>
      <c r="J241" s="15"/>
      <c r="K241" s="21"/>
      <c r="L241" s="103"/>
      <c r="M241" s="103"/>
      <c r="N241" s="196"/>
      <c r="O241" s="139"/>
      <c r="P241" s="22"/>
      <c r="Q241" s="15"/>
    </row>
    <row r="242" spans="1:17" s="23" customFormat="1" ht="14.1" customHeight="1" x14ac:dyDescent="0.2">
      <c r="A242" s="203">
        <f ca="1">IF($H242="UNIDADE CONSTRUTIVA",OFFSET(A242,-1,0)+1,LARGE(A$3:A241,1))</f>
        <v>0</v>
      </c>
      <c r="B242" s="203">
        <f t="shared" ca="1" si="18"/>
        <v>3</v>
      </c>
      <c r="C242" s="203">
        <f t="shared" ca="1" si="19"/>
        <v>1</v>
      </c>
      <c r="D242" s="204">
        <f t="shared" ca="1" si="20"/>
        <v>1</v>
      </c>
      <c r="E242" s="204">
        <f t="shared" ca="1" si="21"/>
        <v>15</v>
      </c>
      <c r="F242" s="34"/>
      <c r="J242" s="15"/>
      <c r="K242" s="21"/>
      <c r="L242" s="103"/>
      <c r="M242" s="103"/>
      <c r="N242" s="196"/>
      <c r="O242" s="139"/>
      <c r="P242" s="22"/>
      <c r="Q242" s="15"/>
    </row>
    <row r="243" spans="1:17" s="23" customFormat="1" ht="14.1" customHeight="1" x14ac:dyDescent="0.2">
      <c r="A243" s="203">
        <f ca="1">IF($H243="UNIDADE CONSTRUTIVA",OFFSET(A243,-1,0)+1,LARGE(A$3:A242,1))</f>
        <v>0</v>
      </c>
      <c r="B243" s="203">
        <f t="shared" ca="1" si="18"/>
        <v>3</v>
      </c>
      <c r="C243" s="203">
        <f t="shared" ca="1" si="19"/>
        <v>1</v>
      </c>
      <c r="D243" s="204">
        <f t="shared" ca="1" si="20"/>
        <v>1</v>
      </c>
      <c r="E243" s="204">
        <f t="shared" ca="1" si="21"/>
        <v>15</v>
      </c>
      <c r="F243" s="34"/>
      <c r="J243" s="15"/>
      <c r="K243" s="21"/>
      <c r="L243" s="103"/>
      <c r="M243" s="103"/>
      <c r="N243" s="196"/>
      <c r="O243" s="139"/>
      <c r="P243" s="22"/>
      <c r="Q243" s="15"/>
    </row>
    <row r="244" spans="1:17" s="23" customFormat="1" ht="14.1" customHeight="1" x14ac:dyDescent="0.2">
      <c r="A244" s="203">
        <f ca="1">IF($H244="UNIDADE CONSTRUTIVA",OFFSET(A244,-1,0)+1,LARGE(A$3:A243,1))</f>
        <v>0</v>
      </c>
      <c r="B244" s="203">
        <f t="shared" ca="1" si="18"/>
        <v>3</v>
      </c>
      <c r="C244" s="203">
        <f t="shared" ca="1" si="19"/>
        <v>1</v>
      </c>
      <c r="D244" s="204">
        <f t="shared" ca="1" si="20"/>
        <v>1</v>
      </c>
      <c r="E244" s="204">
        <f t="shared" ca="1" si="21"/>
        <v>15</v>
      </c>
      <c r="F244" s="34"/>
      <c r="J244" s="15"/>
      <c r="K244" s="21"/>
      <c r="L244" s="103"/>
      <c r="M244" s="103"/>
      <c r="N244" s="196"/>
      <c r="O244" s="139"/>
      <c r="P244" s="22"/>
      <c r="Q244" s="15"/>
    </row>
    <row r="245" spans="1:17" s="23" customFormat="1" ht="14.1" customHeight="1" x14ac:dyDescent="0.2">
      <c r="A245" s="203">
        <f ca="1">IF($H245="UNIDADE CONSTRUTIVA",OFFSET(A245,-1,0)+1,LARGE(A$3:A244,1))</f>
        <v>0</v>
      </c>
      <c r="B245" s="203">
        <f t="shared" ca="1" si="18"/>
        <v>3</v>
      </c>
      <c r="C245" s="203">
        <f t="shared" ca="1" si="19"/>
        <v>1</v>
      </c>
      <c r="D245" s="204">
        <f t="shared" ca="1" si="20"/>
        <v>1</v>
      </c>
      <c r="E245" s="204">
        <f t="shared" ca="1" si="21"/>
        <v>15</v>
      </c>
      <c r="F245" s="34"/>
      <c r="J245" s="15"/>
      <c r="K245" s="21"/>
      <c r="L245" s="103"/>
      <c r="M245" s="103"/>
      <c r="N245" s="196"/>
      <c r="O245" s="139"/>
      <c r="P245" s="22"/>
      <c r="Q245" s="15"/>
    </row>
    <row r="246" spans="1:17" s="23" customFormat="1" ht="14.1" customHeight="1" x14ac:dyDescent="0.2">
      <c r="A246" s="203">
        <f ca="1">IF($H246="UNIDADE CONSTRUTIVA",OFFSET(A246,-1,0)+1,LARGE(A$3:A245,1))</f>
        <v>0</v>
      </c>
      <c r="B246" s="203">
        <f t="shared" ca="1" si="18"/>
        <v>3</v>
      </c>
      <c r="C246" s="203">
        <f t="shared" ca="1" si="19"/>
        <v>1</v>
      </c>
      <c r="D246" s="204">
        <f t="shared" ca="1" si="20"/>
        <v>1</v>
      </c>
      <c r="E246" s="204">
        <f t="shared" ca="1" si="21"/>
        <v>15</v>
      </c>
      <c r="F246" s="34"/>
      <c r="J246" s="15"/>
      <c r="K246" s="21"/>
      <c r="L246" s="103"/>
      <c r="M246" s="103"/>
      <c r="N246" s="196"/>
      <c r="O246" s="139"/>
      <c r="P246" s="22"/>
      <c r="Q246" s="15"/>
    </row>
    <row r="247" spans="1:17" s="23" customFormat="1" ht="14.1" customHeight="1" x14ac:dyDescent="0.2">
      <c r="A247" s="203">
        <f ca="1">IF($H247="UNIDADE CONSTRUTIVA",OFFSET(A247,-1,0)+1,LARGE(A$3:A246,1))</f>
        <v>0</v>
      </c>
      <c r="B247" s="203">
        <f t="shared" ca="1" si="18"/>
        <v>3</v>
      </c>
      <c r="C247" s="203">
        <f t="shared" ca="1" si="19"/>
        <v>1</v>
      </c>
      <c r="D247" s="204">
        <f t="shared" ca="1" si="20"/>
        <v>1</v>
      </c>
      <c r="E247" s="204">
        <f t="shared" ca="1" si="21"/>
        <v>15</v>
      </c>
      <c r="F247" s="34"/>
      <c r="J247" s="15"/>
      <c r="K247" s="21"/>
      <c r="L247" s="103"/>
      <c r="M247" s="103"/>
      <c r="N247" s="196"/>
      <c r="O247" s="139"/>
      <c r="P247" s="22"/>
      <c r="Q247" s="15"/>
    </row>
    <row r="248" spans="1:17" s="23" customFormat="1" ht="14.1" customHeight="1" x14ac:dyDescent="0.2">
      <c r="A248" s="203">
        <f ca="1">IF($H248="UNIDADE CONSTRUTIVA",OFFSET(A248,-1,0)+1,LARGE(A$3:A247,1))</f>
        <v>0</v>
      </c>
      <c r="B248" s="203">
        <f t="shared" ca="1" si="18"/>
        <v>3</v>
      </c>
      <c r="C248" s="203">
        <f t="shared" ca="1" si="19"/>
        <v>1</v>
      </c>
      <c r="D248" s="204">
        <f t="shared" ca="1" si="20"/>
        <v>1</v>
      </c>
      <c r="E248" s="204">
        <f t="shared" ca="1" si="21"/>
        <v>15</v>
      </c>
      <c r="F248" s="34"/>
      <c r="J248" s="15"/>
      <c r="K248" s="21"/>
      <c r="L248" s="103"/>
      <c r="M248" s="103"/>
      <c r="N248" s="196"/>
      <c r="O248" s="139"/>
      <c r="P248" s="22"/>
      <c r="Q248" s="15"/>
    </row>
    <row r="249" spans="1:17" s="23" customFormat="1" ht="14.1" customHeight="1" x14ac:dyDescent="0.2">
      <c r="A249" s="203">
        <f ca="1">IF($H249="UNIDADE CONSTRUTIVA",OFFSET(A249,-1,0)+1,LARGE(A$3:A248,1))</f>
        <v>0</v>
      </c>
      <c r="B249" s="203">
        <f t="shared" ca="1" si="18"/>
        <v>3</v>
      </c>
      <c r="C249" s="203">
        <f t="shared" ca="1" si="19"/>
        <v>1</v>
      </c>
      <c r="D249" s="204">
        <f t="shared" ca="1" si="20"/>
        <v>1</v>
      </c>
      <c r="E249" s="204">
        <f t="shared" ca="1" si="21"/>
        <v>15</v>
      </c>
      <c r="F249" s="34"/>
      <c r="J249" s="15"/>
      <c r="K249" s="21"/>
      <c r="L249" s="103"/>
      <c r="M249" s="103"/>
      <c r="N249" s="196"/>
      <c r="O249" s="139"/>
      <c r="P249" s="22"/>
      <c r="Q249" s="15"/>
    </row>
    <row r="250" spans="1:17" s="23" customFormat="1" ht="14.1" customHeight="1" x14ac:dyDescent="0.2">
      <c r="A250" s="203">
        <f ca="1">IF($H250="UNIDADE CONSTRUTIVA",OFFSET(A250,-1,0)+1,LARGE(A$3:A249,1))</f>
        <v>0</v>
      </c>
      <c r="B250" s="203">
        <f t="shared" ca="1" si="18"/>
        <v>3</v>
      </c>
      <c r="C250" s="203">
        <f t="shared" ca="1" si="19"/>
        <v>1</v>
      </c>
      <c r="D250" s="204">
        <f t="shared" ca="1" si="20"/>
        <v>1</v>
      </c>
      <c r="E250" s="204">
        <f t="shared" ca="1" si="21"/>
        <v>15</v>
      </c>
      <c r="F250" s="34"/>
      <c r="J250" s="15"/>
      <c r="K250" s="21"/>
      <c r="L250" s="103"/>
      <c r="M250" s="103"/>
      <c r="N250" s="196"/>
      <c r="O250" s="139"/>
      <c r="P250" s="22"/>
      <c r="Q250" s="15"/>
    </row>
    <row r="251" spans="1:17" s="23" customFormat="1" ht="14.1" customHeight="1" x14ac:dyDescent="0.2">
      <c r="A251" s="203">
        <f ca="1">IF($H251="UNIDADE CONSTRUTIVA",OFFSET(A251,-1,0)+1,LARGE(A$3:A250,1))</f>
        <v>0</v>
      </c>
      <c r="B251" s="203">
        <f t="shared" ca="1" si="18"/>
        <v>3</v>
      </c>
      <c r="C251" s="203">
        <f t="shared" ca="1" si="19"/>
        <v>1</v>
      </c>
      <c r="D251" s="204">
        <f t="shared" ca="1" si="20"/>
        <v>1</v>
      </c>
      <c r="E251" s="204">
        <f t="shared" ca="1" si="21"/>
        <v>15</v>
      </c>
      <c r="F251" s="34"/>
      <c r="J251" s="15"/>
      <c r="K251" s="21"/>
      <c r="L251" s="103"/>
      <c r="M251" s="103"/>
      <c r="N251" s="196"/>
      <c r="O251" s="139"/>
      <c r="P251" s="22"/>
      <c r="Q251" s="15"/>
    </row>
    <row r="252" spans="1:17" s="23" customFormat="1" ht="14.1" customHeight="1" x14ac:dyDescent="0.2">
      <c r="A252" s="203">
        <f ca="1">IF($H252="UNIDADE CONSTRUTIVA",OFFSET(A252,-1,0)+1,LARGE(A$3:A251,1))</f>
        <v>0</v>
      </c>
      <c r="B252" s="203">
        <f t="shared" ca="1" si="18"/>
        <v>3</v>
      </c>
      <c r="C252" s="203">
        <f t="shared" ca="1" si="19"/>
        <v>1</v>
      </c>
      <c r="D252" s="204">
        <f t="shared" ca="1" si="20"/>
        <v>1</v>
      </c>
      <c r="E252" s="204">
        <f t="shared" ca="1" si="21"/>
        <v>15</v>
      </c>
      <c r="F252" s="34"/>
      <c r="J252" s="15"/>
      <c r="K252" s="21"/>
      <c r="L252" s="103"/>
      <c r="M252" s="103"/>
      <c r="N252" s="196"/>
      <c r="O252" s="139"/>
      <c r="P252" s="22"/>
      <c r="Q252" s="15"/>
    </row>
    <row r="253" spans="1:17" s="23" customFormat="1" ht="14.1" customHeight="1" x14ac:dyDescent="0.2">
      <c r="A253" s="203">
        <f ca="1">IF($H253="UNIDADE CONSTRUTIVA",OFFSET(A253,-1,0)+1,LARGE(A$3:A252,1))</f>
        <v>0</v>
      </c>
      <c r="B253" s="203">
        <f t="shared" ca="1" si="18"/>
        <v>3</v>
      </c>
      <c r="C253" s="203">
        <f t="shared" ca="1" si="19"/>
        <v>1</v>
      </c>
      <c r="D253" s="204">
        <f t="shared" ca="1" si="20"/>
        <v>1</v>
      </c>
      <c r="E253" s="204">
        <f t="shared" ca="1" si="21"/>
        <v>15</v>
      </c>
      <c r="F253" s="34"/>
      <c r="J253" s="15"/>
      <c r="K253" s="21"/>
      <c r="L253" s="103"/>
      <c r="M253" s="103"/>
      <c r="N253" s="196"/>
      <c r="O253" s="139"/>
      <c r="P253" s="22"/>
      <c r="Q253" s="15"/>
    </row>
    <row r="254" spans="1:17" s="23" customFormat="1" ht="14.1" customHeight="1" x14ac:dyDescent="0.2">
      <c r="A254" s="203">
        <f ca="1">IF($H254="UNIDADE CONSTRUTIVA",OFFSET(A254,-1,0)+1,LARGE(A$3:A253,1))</f>
        <v>0</v>
      </c>
      <c r="B254" s="203">
        <f t="shared" ca="1" si="18"/>
        <v>3</v>
      </c>
      <c r="C254" s="203">
        <f t="shared" ca="1" si="19"/>
        <v>1</v>
      </c>
      <c r="D254" s="204">
        <f t="shared" ca="1" si="20"/>
        <v>1</v>
      </c>
      <c r="E254" s="204">
        <f t="shared" ca="1" si="21"/>
        <v>15</v>
      </c>
      <c r="F254" s="34"/>
      <c r="J254" s="15"/>
      <c r="K254" s="21"/>
      <c r="L254" s="103"/>
      <c r="M254" s="103"/>
      <c r="N254" s="196"/>
      <c r="O254" s="139"/>
      <c r="P254" s="22"/>
      <c r="Q254" s="15"/>
    </row>
    <row r="255" spans="1:17" s="23" customFormat="1" ht="14.1" customHeight="1" x14ac:dyDescent="0.2">
      <c r="A255" s="203">
        <f ca="1">IF($H255="UNIDADE CONSTRUTIVA",OFFSET(A255,-1,0)+1,LARGE(A$3:A254,1))</f>
        <v>0</v>
      </c>
      <c r="B255" s="203">
        <f t="shared" ca="1" si="18"/>
        <v>3</v>
      </c>
      <c r="C255" s="203">
        <f t="shared" ca="1" si="19"/>
        <v>1</v>
      </c>
      <c r="D255" s="204">
        <f t="shared" ca="1" si="20"/>
        <v>1</v>
      </c>
      <c r="E255" s="204">
        <f t="shared" ca="1" si="21"/>
        <v>15</v>
      </c>
      <c r="F255" s="34"/>
      <c r="J255" s="15"/>
      <c r="K255" s="21"/>
      <c r="L255" s="103"/>
      <c r="M255" s="103"/>
      <c r="N255" s="196"/>
      <c r="O255" s="139"/>
      <c r="P255" s="22"/>
      <c r="Q255" s="15"/>
    </row>
    <row r="256" spans="1:17" s="23" customFormat="1" ht="14.1" customHeight="1" x14ac:dyDescent="0.2">
      <c r="A256" s="203">
        <f ca="1">IF($H256="UNIDADE CONSTRUTIVA",OFFSET(A256,-1,0)+1,LARGE(A$3:A255,1))</f>
        <v>0</v>
      </c>
      <c r="B256" s="203">
        <f t="shared" ca="1" si="18"/>
        <v>3</v>
      </c>
      <c r="C256" s="203">
        <f t="shared" ca="1" si="19"/>
        <v>1</v>
      </c>
      <c r="D256" s="204">
        <f t="shared" ca="1" si="20"/>
        <v>1</v>
      </c>
      <c r="E256" s="204">
        <f t="shared" ca="1" si="21"/>
        <v>15</v>
      </c>
      <c r="F256" s="34"/>
      <c r="J256" s="15"/>
      <c r="K256" s="21"/>
      <c r="L256" s="103"/>
      <c r="M256" s="103"/>
      <c r="N256" s="196"/>
      <c r="O256" s="139"/>
      <c r="P256" s="22"/>
      <c r="Q256" s="15"/>
    </row>
    <row r="257" spans="1:17" s="23" customFormat="1" ht="14.1" customHeight="1" x14ac:dyDescent="0.2">
      <c r="A257" s="203">
        <f ca="1">IF($H257="UNIDADE CONSTRUTIVA",OFFSET(A257,-1,0)+1,LARGE(A$3:A256,1))</f>
        <v>0</v>
      </c>
      <c r="B257" s="203">
        <f t="shared" ca="1" si="18"/>
        <v>3</v>
      </c>
      <c r="C257" s="203">
        <f t="shared" ca="1" si="19"/>
        <v>1</v>
      </c>
      <c r="D257" s="204">
        <f t="shared" ca="1" si="20"/>
        <v>1</v>
      </c>
      <c r="E257" s="204">
        <f t="shared" ca="1" si="21"/>
        <v>15</v>
      </c>
      <c r="F257" s="34"/>
      <c r="J257" s="15"/>
      <c r="K257" s="21"/>
      <c r="L257" s="103"/>
      <c r="M257" s="103"/>
      <c r="N257" s="196"/>
      <c r="O257" s="139"/>
      <c r="P257" s="22"/>
      <c r="Q257" s="15"/>
    </row>
    <row r="258" spans="1:17" s="23" customFormat="1" ht="14.1" customHeight="1" x14ac:dyDescent="0.2">
      <c r="A258" s="203">
        <f ca="1">IF($H258="UNIDADE CONSTRUTIVA",OFFSET(A258,-1,0)+1,LARGE(A$3:A257,1))</f>
        <v>0</v>
      </c>
      <c r="B258" s="203">
        <f t="shared" ca="1" si="18"/>
        <v>3</v>
      </c>
      <c r="C258" s="203">
        <f t="shared" ca="1" si="19"/>
        <v>1</v>
      </c>
      <c r="D258" s="204">
        <f t="shared" ca="1" si="20"/>
        <v>1</v>
      </c>
      <c r="E258" s="204">
        <f t="shared" ca="1" si="21"/>
        <v>15</v>
      </c>
      <c r="F258" s="34"/>
      <c r="J258" s="15"/>
      <c r="K258" s="21"/>
      <c r="L258" s="103"/>
      <c r="M258" s="103"/>
      <c r="N258" s="196"/>
      <c r="O258" s="139"/>
      <c r="P258" s="22"/>
      <c r="Q258" s="15"/>
    </row>
    <row r="259" spans="1:17" s="23" customFormat="1" ht="14.1" customHeight="1" x14ac:dyDescent="0.2">
      <c r="A259" s="203">
        <f ca="1">IF($H259="UNIDADE CONSTRUTIVA",OFFSET(A259,-1,0)+1,LARGE(A$3:A258,1))</f>
        <v>0</v>
      </c>
      <c r="B259" s="203">
        <f t="shared" ca="1" si="18"/>
        <v>3</v>
      </c>
      <c r="C259" s="203">
        <f t="shared" ca="1" si="19"/>
        <v>1</v>
      </c>
      <c r="D259" s="204">
        <f t="shared" ca="1" si="20"/>
        <v>1</v>
      </c>
      <c r="E259" s="204">
        <f t="shared" ca="1" si="21"/>
        <v>15</v>
      </c>
      <c r="F259" s="34"/>
      <c r="J259" s="15"/>
      <c r="K259" s="21"/>
      <c r="L259" s="103"/>
      <c r="M259" s="103"/>
      <c r="N259" s="196"/>
      <c r="O259" s="139"/>
      <c r="P259" s="22"/>
      <c r="Q259" s="15"/>
    </row>
    <row r="260" spans="1:17" s="23" customFormat="1" ht="14.1" customHeight="1" x14ac:dyDescent="0.2">
      <c r="A260" s="203">
        <f ca="1">IF($H260="UNIDADE CONSTRUTIVA",OFFSET(A260,-1,0)+1,LARGE(A$3:A259,1))</f>
        <v>0</v>
      </c>
      <c r="B260" s="203">
        <f t="shared" ca="1" si="18"/>
        <v>3</v>
      </c>
      <c r="C260" s="203">
        <f t="shared" ca="1" si="19"/>
        <v>1</v>
      </c>
      <c r="D260" s="204">
        <f t="shared" ca="1" si="20"/>
        <v>1</v>
      </c>
      <c r="E260" s="204">
        <f t="shared" ca="1" si="21"/>
        <v>15</v>
      </c>
      <c r="F260" s="34"/>
      <c r="J260" s="15"/>
      <c r="K260" s="21"/>
      <c r="L260" s="103"/>
      <c r="M260" s="103"/>
      <c r="N260" s="196"/>
      <c r="O260" s="139"/>
      <c r="P260" s="22"/>
      <c r="Q260" s="15"/>
    </row>
    <row r="261" spans="1:17" s="23" customFormat="1" ht="14.1" customHeight="1" x14ac:dyDescent="0.2">
      <c r="A261" s="203">
        <f ca="1">IF($H261="UNIDADE CONSTRUTIVA",OFFSET(A261,-1,0)+1,LARGE(A$3:A260,1))</f>
        <v>0</v>
      </c>
      <c r="B261" s="203">
        <f t="shared" ca="1" si="18"/>
        <v>3</v>
      </c>
      <c r="C261" s="203">
        <f t="shared" ca="1" si="19"/>
        <v>1</v>
      </c>
      <c r="D261" s="204">
        <f t="shared" ca="1" si="20"/>
        <v>1</v>
      </c>
      <c r="E261" s="204">
        <f t="shared" ca="1" si="21"/>
        <v>15</v>
      </c>
      <c r="F261" s="34"/>
      <c r="J261" s="15"/>
      <c r="K261" s="21"/>
      <c r="L261" s="103"/>
      <c r="M261" s="103"/>
      <c r="N261" s="196"/>
      <c r="O261" s="139"/>
      <c r="P261" s="22"/>
      <c r="Q261" s="15"/>
    </row>
    <row r="262" spans="1:17" s="23" customFormat="1" ht="14.1" customHeight="1" x14ac:dyDescent="0.2">
      <c r="A262" s="203">
        <f ca="1">IF($H262="UNIDADE CONSTRUTIVA",OFFSET(A262,-1,0)+1,LARGE(A$3:A261,1))</f>
        <v>0</v>
      </c>
      <c r="B262" s="203">
        <f t="shared" ca="1" si="18"/>
        <v>3</v>
      </c>
      <c r="C262" s="203">
        <f t="shared" ca="1" si="19"/>
        <v>1</v>
      </c>
      <c r="D262" s="204">
        <f t="shared" ca="1" si="20"/>
        <v>1</v>
      </c>
      <c r="E262" s="204">
        <f t="shared" ca="1" si="21"/>
        <v>15</v>
      </c>
      <c r="F262" s="34"/>
      <c r="J262" s="15"/>
      <c r="K262" s="21"/>
      <c r="L262" s="103"/>
      <c r="M262" s="103"/>
      <c r="N262" s="196"/>
      <c r="O262" s="139"/>
      <c r="P262" s="22"/>
      <c r="Q262" s="15"/>
    </row>
    <row r="263" spans="1:17" s="23" customFormat="1" ht="14.1" customHeight="1" x14ac:dyDescent="0.2">
      <c r="A263" s="203">
        <f ca="1">IF($H263="UNIDADE CONSTRUTIVA",OFFSET(A263,-1,0)+1,LARGE(A$3:A262,1))</f>
        <v>0</v>
      </c>
      <c r="B263" s="203">
        <f t="shared" ca="1" si="18"/>
        <v>3</v>
      </c>
      <c r="C263" s="203">
        <f t="shared" ca="1" si="19"/>
        <v>1</v>
      </c>
      <c r="D263" s="204">
        <f t="shared" ca="1" si="20"/>
        <v>1</v>
      </c>
      <c r="E263" s="204">
        <f t="shared" ca="1" si="21"/>
        <v>15</v>
      </c>
      <c r="F263" s="34"/>
      <c r="J263" s="15"/>
      <c r="K263" s="21"/>
      <c r="L263" s="103"/>
      <c r="M263" s="103"/>
      <c r="N263" s="196"/>
      <c r="O263" s="139"/>
      <c r="P263" s="22"/>
      <c r="Q263" s="15"/>
    </row>
    <row r="264" spans="1:17" s="23" customFormat="1" ht="14.1" customHeight="1" x14ac:dyDescent="0.2">
      <c r="A264" s="203">
        <f ca="1">IF($H264="UNIDADE CONSTRUTIVA",OFFSET(A264,-1,0)+1,LARGE(A$3:A263,1))</f>
        <v>0</v>
      </c>
      <c r="B264" s="203">
        <f t="shared" ca="1" si="18"/>
        <v>3</v>
      </c>
      <c r="C264" s="203">
        <f t="shared" ca="1" si="19"/>
        <v>1</v>
      </c>
      <c r="D264" s="204">
        <f t="shared" ca="1" si="20"/>
        <v>1</v>
      </c>
      <c r="E264" s="204">
        <f t="shared" ca="1" si="21"/>
        <v>15</v>
      </c>
      <c r="F264" s="34"/>
      <c r="J264" s="15"/>
      <c r="K264" s="21"/>
      <c r="L264" s="103"/>
      <c r="M264" s="103"/>
      <c r="N264" s="196"/>
      <c r="O264" s="139"/>
      <c r="P264" s="22"/>
      <c r="Q264" s="15"/>
    </row>
    <row r="265" spans="1:17" s="23" customFormat="1" ht="14.1" customHeight="1" x14ac:dyDescent="0.2">
      <c r="A265" s="203">
        <f ca="1">IF($H265="UNIDADE CONSTRUTIVA",OFFSET(A265,-1,0)+1,LARGE(A$3:A264,1))</f>
        <v>0</v>
      </c>
      <c r="B265" s="203">
        <f t="shared" ca="1" si="18"/>
        <v>3</v>
      </c>
      <c r="C265" s="203">
        <f t="shared" ca="1" si="19"/>
        <v>1</v>
      </c>
      <c r="D265" s="204">
        <f t="shared" ca="1" si="20"/>
        <v>1</v>
      </c>
      <c r="E265" s="204">
        <f t="shared" ca="1" si="21"/>
        <v>15</v>
      </c>
      <c r="F265" s="34"/>
      <c r="J265" s="15"/>
      <c r="K265" s="21"/>
      <c r="L265" s="103"/>
      <c r="M265" s="103"/>
      <c r="N265" s="196"/>
      <c r="O265" s="139"/>
      <c r="P265" s="22"/>
      <c r="Q265" s="15"/>
    </row>
    <row r="266" spans="1:17" s="23" customFormat="1" ht="14.1" customHeight="1" x14ac:dyDescent="0.2">
      <c r="A266" s="203">
        <f ca="1">IF($H266="UNIDADE CONSTRUTIVA",OFFSET(A266,-1,0)+1,LARGE(A$3:A265,1))</f>
        <v>0</v>
      </c>
      <c r="B266" s="203">
        <f t="shared" ca="1" si="18"/>
        <v>3</v>
      </c>
      <c r="C266" s="203">
        <f t="shared" ca="1" si="19"/>
        <v>1</v>
      </c>
      <c r="D266" s="204">
        <f t="shared" ca="1" si="20"/>
        <v>1</v>
      </c>
      <c r="E266" s="204">
        <f t="shared" ca="1" si="21"/>
        <v>15</v>
      </c>
      <c r="F266" s="34"/>
      <c r="J266" s="15"/>
      <c r="K266" s="21"/>
      <c r="L266" s="103"/>
      <c r="M266" s="103"/>
      <c r="N266" s="196"/>
      <c r="O266" s="139"/>
      <c r="P266" s="22"/>
      <c r="Q266" s="15"/>
    </row>
    <row r="267" spans="1:17" s="23" customFormat="1" ht="14.1" customHeight="1" x14ac:dyDescent="0.2">
      <c r="A267" s="203">
        <f ca="1">IF($H267="UNIDADE CONSTRUTIVA",OFFSET(A267,-1,0)+1,LARGE(A$3:A266,1))</f>
        <v>0</v>
      </c>
      <c r="B267" s="203">
        <f t="shared" ca="1" si="18"/>
        <v>3</v>
      </c>
      <c r="C267" s="203">
        <f t="shared" ca="1" si="19"/>
        <v>1</v>
      </c>
      <c r="D267" s="204">
        <f t="shared" ca="1" si="20"/>
        <v>1</v>
      </c>
      <c r="E267" s="204">
        <f t="shared" ca="1" si="21"/>
        <v>15</v>
      </c>
      <c r="F267" s="34"/>
      <c r="J267" s="15"/>
      <c r="K267" s="21"/>
      <c r="L267" s="103"/>
      <c r="M267" s="103"/>
      <c r="N267" s="196"/>
      <c r="O267" s="139"/>
      <c r="P267" s="22"/>
      <c r="Q267" s="15"/>
    </row>
    <row r="268" spans="1:17" s="23" customFormat="1" ht="14.1" customHeight="1" x14ac:dyDescent="0.2">
      <c r="A268" s="203">
        <f ca="1">IF($H268="UNIDADE CONSTRUTIVA",OFFSET(A268,-1,0)+1,LARGE(A$3:A267,1))</f>
        <v>0</v>
      </c>
      <c r="B268" s="203">
        <f t="shared" ca="1" si="18"/>
        <v>3</v>
      </c>
      <c r="C268" s="203">
        <f t="shared" ca="1" si="19"/>
        <v>1</v>
      </c>
      <c r="D268" s="204">
        <f t="shared" ca="1" si="20"/>
        <v>1</v>
      </c>
      <c r="E268" s="204">
        <f t="shared" ca="1" si="21"/>
        <v>15</v>
      </c>
      <c r="F268" s="34"/>
      <c r="J268" s="15"/>
      <c r="K268" s="21"/>
      <c r="L268" s="103"/>
      <c r="M268" s="103"/>
      <c r="N268" s="196"/>
      <c r="O268" s="139"/>
      <c r="P268" s="22"/>
      <c r="Q268" s="15"/>
    </row>
    <row r="269" spans="1:17" s="23" customFormat="1" ht="14.1" customHeight="1" x14ac:dyDescent="0.2">
      <c r="A269" s="203">
        <f ca="1">IF($H269="UNIDADE CONSTRUTIVA",OFFSET(A269,-1,0)+1,LARGE(A$3:A268,1))</f>
        <v>0</v>
      </c>
      <c r="B269" s="203">
        <f t="shared" ref="B269:B332" ca="1" si="22">IF(H269="UNIDADE CONSTRUTIVA",0,IF(H269="CÉLULA CONSTRUTIVA",OFFSET(B269,-1,0)+1,OFFSET(B269,-1,0)))</f>
        <v>3</v>
      </c>
      <c r="C269" s="203">
        <f t="shared" ref="C269:C332" ca="1" si="23">IF(H269="CÉLULA CONSTRUTIVA",0,IF(H269="ETAPA",OFFSET(C269,-1,0)+1,OFFSET(C269,-1,0)))</f>
        <v>1</v>
      </c>
      <c r="D269" s="204">
        <f t="shared" ref="D269:D332" ca="1" si="24">IF(H269="ETAPA",0,IF(H269="SUBETAPA",OFFSET(D269,-1,0)+1,OFFSET(D269,-1,0)))</f>
        <v>1</v>
      </c>
      <c r="E269" s="204">
        <f t="shared" ref="E269:E332" ca="1" si="25">IF(H269="Subetapa",0,IF(H269="serviço",OFFSET(E269,-1,0)+1,OFFSET(E269,-1,0)))</f>
        <v>15</v>
      </c>
      <c r="F269" s="34"/>
      <c r="J269" s="15"/>
      <c r="K269" s="21"/>
      <c r="L269" s="103"/>
      <c r="M269" s="103"/>
      <c r="N269" s="196"/>
      <c r="O269" s="139"/>
      <c r="P269" s="22"/>
      <c r="Q269" s="15"/>
    </row>
    <row r="270" spans="1:17" s="23" customFormat="1" ht="14.1" customHeight="1" x14ac:dyDescent="0.2">
      <c r="A270" s="203">
        <f ca="1">IF($H270="UNIDADE CONSTRUTIVA",OFFSET(A270,-1,0)+1,LARGE(A$3:A269,1))</f>
        <v>0</v>
      </c>
      <c r="B270" s="203">
        <f t="shared" ca="1" si="22"/>
        <v>3</v>
      </c>
      <c r="C270" s="203">
        <f t="shared" ca="1" si="23"/>
        <v>1</v>
      </c>
      <c r="D270" s="204">
        <f t="shared" ca="1" si="24"/>
        <v>1</v>
      </c>
      <c r="E270" s="204">
        <f t="shared" ca="1" si="25"/>
        <v>15</v>
      </c>
      <c r="F270" s="34"/>
      <c r="J270" s="15"/>
      <c r="K270" s="21"/>
      <c r="L270" s="103"/>
      <c r="M270" s="103"/>
      <c r="N270" s="196"/>
      <c r="O270" s="139"/>
      <c r="P270" s="22"/>
      <c r="Q270" s="15"/>
    </row>
    <row r="271" spans="1:17" s="23" customFormat="1" ht="14.1" customHeight="1" x14ac:dyDescent="0.2">
      <c r="A271" s="203">
        <f ca="1">IF($H271="UNIDADE CONSTRUTIVA",OFFSET(A271,-1,0)+1,LARGE(A$3:A270,1))</f>
        <v>0</v>
      </c>
      <c r="B271" s="203">
        <f t="shared" ca="1" si="22"/>
        <v>3</v>
      </c>
      <c r="C271" s="203">
        <f t="shared" ca="1" si="23"/>
        <v>1</v>
      </c>
      <c r="D271" s="204">
        <f t="shared" ca="1" si="24"/>
        <v>1</v>
      </c>
      <c r="E271" s="204">
        <f t="shared" ca="1" si="25"/>
        <v>15</v>
      </c>
      <c r="F271" s="34"/>
      <c r="J271" s="15"/>
      <c r="K271" s="21"/>
      <c r="L271" s="103"/>
      <c r="M271" s="103"/>
      <c r="N271" s="196"/>
      <c r="O271" s="139"/>
      <c r="P271" s="22"/>
      <c r="Q271" s="15"/>
    </row>
    <row r="272" spans="1:17" s="23" customFormat="1" ht="14.1" customHeight="1" x14ac:dyDescent="0.2">
      <c r="A272" s="203">
        <f ca="1">IF($H272="UNIDADE CONSTRUTIVA",OFFSET(A272,-1,0)+1,LARGE(A$3:A271,1))</f>
        <v>0</v>
      </c>
      <c r="B272" s="203">
        <f t="shared" ca="1" si="22"/>
        <v>3</v>
      </c>
      <c r="C272" s="203">
        <f t="shared" ca="1" si="23"/>
        <v>1</v>
      </c>
      <c r="D272" s="204">
        <f t="shared" ca="1" si="24"/>
        <v>1</v>
      </c>
      <c r="E272" s="204">
        <f t="shared" ca="1" si="25"/>
        <v>15</v>
      </c>
      <c r="F272" s="34"/>
      <c r="J272" s="15"/>
      <c r="K272" s="21"/>
      <c r="L272" s="103"/>
      <c r="M272" s="103"/>
      <c r="N272" s="196"/>
      <c r="O272" s="139"/>
      <c r="P272" s="22"/>
      <c r="Q272" s="15"/>
    </row>
    <row r="273" spans="1:17" s="23" customFormat="1" ht="14.1" customHeight="1" x14ac:dyDescent="0.2">
      <c r="A273" s="203">
        <f ca="1">IF($H273="UNIDADE CONSTRUTIVA",OFFSET(A273,-1,0)+1,LARGE(A$3:A272,1))</f>
        <v>0</v>
      </c>
      <c r="B273" s="203">
        <f t="shared" ca="1" si="22"/>
        <v>3</v>
      </c>
      <c r="C273" s="203">
        <f t="shared" ca="1" si="23"/>
        <v>1</v>
      </c>
      <c r="D273" s="204">
        <f t="shared" ca="1" si="24"/>
        <v>1</v>
      </c>
      <c r="E273" s="204">
        <f t="shared" ca="1" si="25"/>
        <v>15</v>
      </c>
      <c r="F273" s="34"/>
      <c r="J273" s="15"/>
      <c r="K273" s="21"/>
      <c r="L273" s="103"/>
      <c r="M273" s="103"/>
      <c r="N273" s="196"/>
      <c r="O273" s="139"/>
      <c r="P273" s="22"/>
      <c r="Q273" s="15"/>
    </row>
    <row r="274" spans="1:17" s="23" customFormat="1" ht="14.1" customHeight="1" x14ac:dyDescent="0.2">
      <c r="A274" s="203">
        <f ca="1">IF($H274="UNIDADE CONSTRUTIVA",OFFSET(A274,-1,0)+1,LARGE(A$3:A273,1))</f>
        <v>0</v>
      </c>
      <c r="B274" s="203">
        <f t="shared" ca="1" si="22"/>
        <v>3</v>
      </c>
      <c r="C274" s="203">
        <f t="shared" ca="1" si="23"/>
        <v>1</v>
      </c>
      <c r="D274" s="204">
        <f t="shared" ca="1" si="24"/>
        <v>1</v>
      </c>
      <c r="E274" s="204">
        <f t="shared" ca="1" si="25"/>
        <v>15</v>
      </c>
      <c r="F274" s="34"/>
      <c r="J274" s="15"/>
      <c r="K274" s="21"/>
      <c r="L274" s="103"/>
      <c r="M274" s="103"/>
      <c r="N274" s="196"/>
      <c r="O274" s="139"/>
      <c r="P274" s="22"/>
      <c r="Q274" s="15"/>
    </row>
    <row r="275" spans="1:17" s="23" customFormat="1" ht="14.1" customHeight="1" x14ac:dyDescent="0.2">
      <c r="A275" s="203">
        <f ca="1">IF($H275="UNIDADE CONSTRUTIVA",OFFSET(A275,-1,0)+1,LARGE(A$3:A274,1))</f>
        <v>0</v>
      </c>
      <c r="B275" s="203">
        <f t="shared" ca="1" si="22"/>
        <v>3</v>
      </c>
      <c r="C275" s="203">
        <f t="shared" ca="1" si="23"/>
        <v>1</v>
      </c>
      <c r="D275" s="204">
        <f t="shared" ca="1" si="24"/>
        <v>1</v>
      </c>
      <c r="E275" s="204">
        <f t="shared" ca="1" si="25"/>
        <v>15</v>
      </c>
      <c r="F275" s="34"/>
      <c r="J275" s="15"/>
      <c r="K275" s="21"/>
      <c r="L275" s="103"/>
      <c r="M275" s="103"/>
      <c r="N275" s="196"/>
      <c r="O275" s="139"/>
      <c r="P275" s="22"/>
      <c r="Q275" s="15"/>
    </row>
    <row r="276" spans="1:17" s="23" customFormat="1" ht="14.1" customHeight="1" x14ac:dyDescent="0.2">
      <c r="A276" s="203">
        <f ca="1">IF($H276="UNIDADE CONSTRUTIVA",OFFSET(A276,-1,0)+1,LARGE(A$3:A275,1))</f>
        <v>0</v>
      </c>
      <c r="B276" s="203">
        <f t="shared" ca="1" si="22"/>
        <v>3</v>
      </c>
      <c r="C276" s="203">
        <f t="shared" ca="1" si="23"/>
        <v>1</v>
      </c>
      <c r="D276" s="204">
        <f t="shared" ca="1" si="24"/>
        <v>1</v>
      </c>
      <c r="E276" s="204">
        <f t="shared" ca="1" si="25"/>
        <v>15</v>
      </c>
      <c r="F276" s="34"/>
      <c r="J276" s="15"/>
      <c r="K276" s="21"/>
      <c r="L276" s="103"/>
      <c r="M276" s="103"/>
      <c r="N276" s="196"/>
      <c r="O276" s="139"/>
      <c r="P276" s="22"/>
      <c r="Q276" s="15"/>
    </row>
    <row r="277" spans="1:17" s="23" customFormat="1" ht="14.1" customHeight="1" x14ac:dyDescent="0.2">
      <c r="A277" s="203">
        <f ca="1">IF($H277="UNIDADE CONSTRUTIVA",OFFSET(A277,-1,0)+1,LARGE(A$3:A276,1))</f>
        <v>0</v>
      </c>
      <c r="B277" s="203">
        <f t="shared" ca="1" si="22"/>
        <v>3</v>
      </c>
      <c r="C277" s="203">
        <f t="shared" ca="1" si="23"/>
        <v>1</v>
      </c>
      <c r="D277" s="204">
        <f t="shared" ca="1" si="24"/>
        <v>1</v>
      </c>
      <c r="E277" s="204">
        <f t="shared" ca="1" si="25"/>
        <v>15</v>
      </c>
      <c r="F277" s="34"/>
      <c r="J277" s="15"/>
      <c r="K277" s="21"/>
      <c r="L277" s="103"/>
      <c r="M277" s="103"/>
      <c r="N277" s="196"/>
      <c r="O277" s="139"/>
      <c r="P277" s="22"/>
      <c r="Q277" s="15"/>
    </row>
    <row r="278" spans="1:17" s="23" customFormat="1" ht="14.1" customHeight="1" x14ac:dyDescent="0.2">
      <c r="A278" s="203">
        <f ca="1">IF($H278="UNIDADE CONSTRUTIVA",OFFSET(A278,-1,0)+1,LARGE(A$3:A277,1))</f>
        <v>0</v>
      </c>
      <c r="B278" s="203">
        <f t="shared" ca="1" si="22"/>
        <v>3</v>
      </c>
      <c r="C278" s="203">
        <f t="shared" ca="1" si="23"/>
        <v>1</v>
      </c>
      <c r="D278" s="204">
        <f t="shared" ca="1" si="24"/>
        <v>1</v>
      </c>
      <c r="E278" s="204">
        <f t="shared" ca="1" si="25"/>
        <v>15</v>
      </c>
      <c r="F278" s="34"/>
      <c r="J278" s="15"/>
      <c r="K278" s="21"/>
      <c r="L278" s="103"/>
      <c r="M278" s="103"/>
      <c r="N278" s="196"/>
      <c r="O278" s="139"/>
      <c r="P278" s="22"/>
      <c r="Q278" s="15"/>
    </row>
    <row r="279" spans="1:17" s="23" customFormat="1" ht="14.1" customHeight="1" x14ac:dyDescent="0.2">
      <c r="A279" s="203">
        <f ca="1">IF($H279="UNIDADE CONSTRUTIVA",OFFSET(A279,-1,0)+1,LARGE(A$3:A278,1))</f>
        <v>0</v>
      </c>
      <c r="B279" s="203">
        <f t="shared" ca="1" si="22"/>
        <v>3</v>
      </c>
      <c r="C279" s="203">
        <f t="shared" ca="1" si="23"/>
        <v>1</v>
      </c>
      <c r="D279" s="204">
        <f t="shared" ca="1" si="24"/>
        <v>1</v>
      </c>
      <c r="E279" s="204">
        <f t="shared" ca="1" si="25"/>
        <v>15</v>
      </c>
      <c r="F279" s="34"/>
      <c r="J279" s="15"/>
      <c r="K279" s="21"/>
      <c r="L279" s="103"/>
      <c r="M279" s="103"/>
      <c r="N279" s="196"/>
      <c r="O279" s="139"/>
      <c r="P279" s="22"/>
      <c r="Q279" s="15"/>
    </row>
    <row r="280" spans="1:17" s="23" customFormat="1" ht="14.1" customHeight="1" x14ac:dyDescent="0.2">
      <c r="A280" s="203">
        <f ca="1">IF($H280="UNIDADE CONSTRUTIVA",OFFSET(A280,-1,0)+1,LARGE(A$3:A279,1))</f>
        <v>0</v>
      </c>
      <c r="B280" s="203">
        <f t="shared" ca="1" si="22"/>
        <v>3</v>
      </c>
      <c r="C280" s="203">
        <f t="shared" ca="1" si="23"/>
        <v>1</v>
      </c>
      <c r="D280" s="204">
        <f t="shared" ca="1" si="24"/>
        <v>1</v>
      </c>
      <c r="E280" s="204">
        <f t="shared" ca="1" si="25"/>
        <v>15</v>
      </c>
      <c r="F280" s="34"/>
      <c r="J280" s="15"/>
      <c r="K280" s="21"/>
      <c r="L280" s="103"/>
      <c r="M280" s="103"/>
      <c r="N280" s="196"/>
      <c r="O280" s="139"/>
      <c r="P280" s="22"/>
      <c r="Q280" s="15"/>
    </row>
    <row r="281" spans="1:17" s="23" customFormat="1" ht="14.1" customHeight="1" x14ac:dyDescent="0.2">
      <c r="A281" s="203">
        <f ca="1">IF($H281="UNIDADE CONSTRUTIVA",OFFSET(A281,-1,0)+1,LARGE(A$3:A280,1))</f>
        <v>0</v>
      </c>
      <c r="B281" s="203">
        <f t="shared" ca="1" si="22"/>
        <v>3</v>
      </c>
      <c r="C281" s="203">
        <f t="shared" ca="1" si="23"/>
        <v>1</v>
      </c>
      <c r="D281" s="204">
        <f t="shared" ca="1" si="24"/>
        <v>1</v>
      </c>
      <c r="E281" s="204">
        <f t="shared" ca="1" si="25"/>
        <v>15</v>
      </c>
      <c r="F281" s="34"/>
      <c r="J281" s="15"/>
      <c r="K281" s="21"/>
      <c r="L281" s="103"/>
      <c r="M281" s="103"/>
      <c r="N281" s="196"/>
      <c r="O281" s="139"/>
      <c r="P281" s="22"/>
      <c r="Q281" s="15"/>
    </row>
    <row r="282" spans="1:17" s="23" customFormat="1" ht="14.1" customHeight="1" x14ac:dyDescent="0.2">
      <c r="A282" s="203">
        <f ca="1">IF($H282="UNIDADE CONSTRUTIVA",OFFSET(A282,-1,0)+1,LARGE(A$3:A281,1))</f>
        <v>0</v>
      </c>
      <c r="B282" s="203">
        <f t="shared" ca="1" si="22"/>
        <v>3</v>
      </c>
      <c r="C282" s="203">
        <f t="shared" ca="1" si="23"/>
        <v>1</v>
      </c>
      <c r="D282" s="204">
        <f t="shared" ca="1" si="24"/>
        <v>1</v>
      </c>
      <c r="E282" s="204">
        <f t="shared" ca="1" si="25"/>
        <v>15</v>
      </c>
      <c r="F282" s="34"/>
      <c r="J282" s="15"/>
      <c r="K282" s="21"/>
      <c r="L282" s="103"/>
      <c r="M282" s="103"/>
      <c r="N282" s="196"/>
      <c r="O282" s="139"/>
      <c r="P282" s="22"/>
      <c r="Q282" s="15"/>
    </row>
    <row r="283" spans="1:17" s="23" customFormat="1" ht="14.1" customHeight="1" x14ac:dyDescent="0.2">
      <c r="A283" s="203">
        <f ca="1">IF($H283="UNIDADE CONSTRUTIVA",OFFSET(A283,-1,0)+1,LARGE(A$3:A282,1))</f>
        <v>0</v>
      </c>
      <c r="B283" s="203">
        <f t="shared" ca="1" si="22"/>
        <v>3</v>
      </c>
      <c r="C283" s="203">
        <f t="shared" ca="1" si="23"/>
        <v>1</v>
      </c>
      <c r="D283" s="204">
        <f t="shared" ca="1" si="24"/>
        <v>1</v>
      </c>
      <c r="E283" s="204">
        <f t="shared" ca="1" si="25"/>
        <v>15</v>
      </c>
      <c r="F283" s="34"/>
      <c r="J283" s="15"/>
      <c r="K283" s="21"/>
      <c r="L283" s="103"/>
      <c r="M283" s="103"/>
      <c r="N283" s="196"/>
      <c r="O283" s="139"/>
      <c r="P283" s="22"/>
      <c r="Q283" s="15"/>
    </row>
    <row r="284" spans="1:17" s="23" customFormat="1" ht="14.1" customHeight="1" x14ac:dyDescent="0.2">
      <c r="A284" s="203">
        <f ca="1">IF($H284="UNIDADE CONSTRUTIVA",OFFSET(A284,-1,0)+1,LARGE(A$3:A283,1))</f>
        <v>0</v>
      </c>
      <c r="B284" s="203">
        <f t="shared" ca="1" si="22"/>
        <v>3</v>
      </c>
      <c r="C284" s="203">
        <f t="shared" ca="1" si="23"/>
        <v>1</v>
      </c>
      <c r="D284" s="204">
        <f t="shared" ca="1" si="24"/>
        <v>1</v>
      </c>
      <c r="E284" s="204">
        <f t="shared" ca="1" si="25"/>
        <v>15</v>
      </c>
      <c r="F284" s="34"/>
      <c r="J284" s="15"/>
      <c r="K284" s="21"/>
      <c r="L284" s="103"/>
      <c r="M284" s="103"/>
      <c r="N284" s="196"/>
      <c r="O284" s="139"/>
      <c r="P284" s="22"/>
      <c r="Q284" s="15"/>
    </row>
    <row r="285" spans="1:17" s="23" customFormat="1" ht="14.1" customHeight="1" x14ac:dyDescent="0.2">
      <c r="A285" s="203">
        <f ca="1">IF($H285="UNIDADE CONSTRUTIVA",OFFSET(A285,-1,0)+1,LARGE(A$3:A284,1))</f>
        <v>0</v>
      </c>
      <c r="B285" s="203">
        <f t="shared" ca="1" si="22"/>
        <v>3</v>
      </c>
      <c r="C285" s="203">
        <f t="shared" ca="1" si="23"/>
        <v>1</v>
      </c>
      <c r="D285" s="204">
        <f t="shared" ca="1" si="24"/>
        <v>1</v>
      </c>
      <c r="E285" s="204">
        <f t="shared" ca="1" si="25"/>
        <v>15</v>
      </c>
      <c r="F285" s="34"/>
      <c r="J285" s="15"/>
      <c r="K285" s="21"/>
      <c r="L285" s="103"/>
      <c r="M285" s="103"/>
      <c r="N285" s="196"/>
      <c r="O285" s="139"/>
      <c r="P285" s="22"/>
      <c r="Q285" s="15"/>
    </row>
    <row r="286" spans="1:17" s="23" customFormat="1" ht="14.1" customHeight="1" x14ac:dyDescent="0.2">
      <c r="A286" s="203">
        <f ca="1">IF($H286="UNIDADE CONSTRUTIVA",OFFSET(A286,-1,0)+1,LARGE(A$3:A285,1))</f>
        <v>0</v>
      </c>
      <c r="B286" s="203">
        <f t="shared" ca="1" si="22"/>
        <v>3</v>
      </c>
      <c r="C286" s="203">
        <f t="shared" ca="1" si="23"/>
        <v>1</v>
      </c>
      <c r="D286" s="204">
        <f t="shared" ca="1" si="24"/>
        <v>1</v>
      </c>
      <c r="E286" s="204">
        <f t="shared" ca="1" si="25"/>
        <v>15</v>
      </c>
      <c r="F286" s="34"/>
      <c r="J286" s="15"/>
      <c r="K286" s="21"/>
      <c r="L286" s="103"/>
      <c r="M286" s="103"/>
      <c r="N286" s="196"/>
      <c r="O286" s="139"/>
      <c r="P286" s="22"/>
      <c r="Q286" s="15"/>
    </row>
    <row r="287" spans="1:17" s="23" customFormat="1" ht="14.1" customHeight="1" x14ac:dyDescent="0.2">
      <c r="A287" s="203">
        <f ca="1">IF($H287="UNIDADE CONSTRUTIVA",OFFSET(A287,-1,0)+1,LARGE(A$3:A286,1))</f>
        <v>0</v>
      </c>
      <c r="B287" s="203">
        <f t="shared" ca="1" si="22"/>
        <v>3</v>
      </c>
      <c r="C287" s="203">
        <f t="shared" ca="1" si="23"/>
        <v>1</v>
      </c>
      <c r="D287" s="204">
        <f t="shared" ca="1" si="24"/>
        <v>1</v>
      </c>
      <c r="E287" s="204">
        <f t="shared" ca="1" si="25"/>
        <v>15</v>
      </c>
      <c r="F287" s="34"/>
      <c r="J287" s="15"/>
      <c r="K287" s="21"/>
      <c r="L287" s="103"/>
      <c r="M287" s="103"/>
      <c r="N287" s="196"/>
      <c r="O287" s="139"/>
      <c r="P287" s="22"/>
      <c r="Q287" s="15"/>
    </row>
    <row r="288" spans="1:17" s="23" customFormat="1" ht="14.1" customHeight="1" x14ac:dyDescent="0.2">
      <c r="A288" s="203">
        <f ca="1">IF($H288="UNIDADE CONSTRUTIVA",OFFSET(A288,-1,0)+1,LARGE(A$3:A287,1))</f>
        <v>0</v>
      </c>
      <c r="B288" s="203">
        <f t="shared" ca="1" si="22"/>
        <v>3</v>
      </c>
      <c r="C288" s="203">
        <f t="shared" ca="1" si="23"/>
        <v>1</v>
      </c>
      <c r="D288" s="204">
        <f t="shared" ca="1" si="24"/>
        <v>1</v>
      </c>
      <c r="E288" s="204">
        <f t="shared" ca="1" si="25"/>
        <v>15</v>
      </c>
      <c r="F288" s="34"/>
      <c r="J288" s="15"/>
      <c r="K288" s="21"/>
      <c r="L288" s="103"/>
      <c r="M288" s="103"/>
      <c r="N288" s="196"/>
      <c r="O288" s="139"/>
      <c r="P288" s="22"/>
      <c r="Q288" s="15"/>
    </row>
    <row r="289" spans="1:17" s="23" customFormat="1" ht="14.1" customHeight="1" x14ac:dyDescent="0.2">
      <c r="A289" s="203">
        <f ca="1">IF($H289="UNIDADE CONSTRUTIVA",OFFSET(A289,-1,0)+1,LARGE(A$3:A288,1))</f>
        <v>0</v>
      </c>
      <c r="B289" s="203">
        <f t="shared" ca="1" si="22"/>
        <v>3</v>
      </c>
      <c r="C289" s="203">
        <f t="shared" ca="1" si="23"/>
        <v>1</v>
      </c>
      <c r="D289" s="204">
        <f t="shared" ca="1" si="24"/>
        <v>1</v>
      </c>
      <c r="E289" s="204">
        <f t="shared" ca="1" si="25"/>
        <v>15</v>
      </c>
      <c r="F289" s="34"/>
      <c r="J289" s="15"/>
      <c r="K289" s="21"/>
      <c r="L289" s="103"/>
      <c r="M289" s="103"/>
      <c r="N289" s="196"/>
      <c r="O289" s="139"/>
      <c r="P289" s="22"/>
      <c r="Q289" s="15"/>
    </row>
    <row r="290" spans="1:17" s="23" customFormat="1" ht="14.1" customHeight="1" x14ac:dyDescent="0.2">
      <c r="A290" s="203">
        <f ca="1">IF($H290="UNIDADE CONSTRUTIVA",OFFSET(A290,-1,0)+1,LARGE(A$3:A289,1))</f>
        <v>0</v>
      </c>
      <c r="B290" s="203">
        <f t="shared" ca="1" si="22"/>
        <v>3</v>
      </c>
      <c r="C290" s="203">
        <f t="shared" ca="1" si="23"/>
        <v>1</v>
      </c>
      <c r="D290" s="204">
        <f t="shared" ca="1" si="24"/>
        <v>1</v>
      </c>
      <c r="E290" s="204">
        <f t="shared" ca="1" si="25"/>
        <v>15</v>
      </c>
      <c r="F290" s="34"/>
      <c r="J290" s="15"/>
      <c r="K290" s="21"/>
      <c r="L290" s="103"/>
      <c r="M290" s="103"/>
      <c r="N290" s="196"/>
      <c r="O290" s="139"/>
      <c r="P290" s="22"/>
      <c r="Q290" s="15"/>
    </row>
    <row r="291" spans="1:17" s="23" customFormat="1" ht="14.1" customHeight="1" x14ac:dyDescent="0.2">
      <c r="A291" s="203">
        <f ca="1">IF($H291="UNIDADE CONSTRUTIVA",OFFSET(A291,-1,0)+1,LARGE(A$3:A290,1))</f>
        <v>0</v>
      </c>
      <c r="B291" s="203">
        <f t="shared" ca="1" si="22"/>
        <v>3</v>
      </c>
      <c r="C291" s="203">
        <f t="shared" ca="1" si="23"/>
        <v>1</v>
      </c>
      <c r="D291" s="204">
        <f t="shared" ca="1" si="24"/>
        <v>1</v>
      </c>
      <c r="E291" s="204">
        <f t="shared" ca="1" si="25"/>
        <v>15</v>
      </c>
      <c r="F291" s="34"/>
      <c r="J291" s="15"/>
      <c r="K291" s="21"/>
      <c r="L291" s="103"/>
      <c r="M291" s="103"/>
      <c r="N291" s="196"/>
      <c r="O291" s="139"/>
      <c r="P291" s="22"/>
      <c r="Q291" s="15"/>
    </row>
    <row r="292" spans="1:17" s="23" customFormat="1" ht="14.1" customHeight="1" x14ac:dyDescent="0.2">
      <c r="A292" s="203">
        <f ca="1">IF($H292="UNIDADE CONSTRUTIVA",OFFSET(A292,-1,0)+1,LARGE(A$3:A291,1))</f>
        <v>0</v>
      </c>
      <c r="B292" s="203">
        <f t="shared" ca="1" si="22"/>
        <v>3</v>
      </c>
      <c r="C292" s="203">
        <f t="shared" ca="1" si="23"/>
        <v>1</v>
      </c>
      <c r="D292" s="204">
        <f t="shared" ca="1" si="24"/>
        <v>1</v>
      </c>
      <c r="E292" s="204">
        <f t="shared" ca="1" si="25"/>
        <v>15</v>
      </c>
      <c r="F292" s="34"/>
      <c r="J292" s="15"/>
      <c r="K292" s="21"/>
      <c r="L292" s="103"/>
      <c r="M292" s="103"/>
      <c r="N292" s="196"/>
      <c r="O292" s="139"/>
      <c r="P292" s="22"/>
      <c r="Q292" s="15"/>
    </row>
    <row r="293" spans="1:17" s="23" customFormat="1" ht="14.1" customHeight="1" x14ac:dyDescent="0.2">
      <c r="A293" s="203">
        <f ca="1">IF($H293="UNIDADE CONSTRUTIVA",OFFSET(A293,-1,0)+1,LARGE(A$3:A292,1))</f>
        <v>0</v>
      </c>
      <c r="B293" s="203">
        <f t="shared" ca="1" si="22"/>
        <v>3</v>
      </c>
      <c r="C293" s="203">
        <f t="shared" ca="1" si="23"/>
        <v>1</v>
      </c>
      <c r="D293" s="204">
        <f t="shared" ca="1" si="24"/>
        <v>1</v>
      </c>
      <c r="E293" s="204">
        <f t="shared" ca="1" si="25"/>
        <v>15</v>
      </c>
      <c r="F293" s="34"/>
      <c r="J293" s="15"/>
      <c r="K293" s="21"/>
      <c r="L293" s="103"/>
      <c r="M293" s="103"/>
      <c r="N293" s="196"/>
      <c r="O293" s="139"/>
      <c r="P293" s="22"/>
      <c r="Q293" s="15"/>
    </row>
    <row r="294" spans="1:17" s="23" customFormat="1" ht="14.1" customHeight="1" x14ac:dyDescent="0.2">
      <c r="A294" s="203">
        <f ca="1">IF($H294="UNIDADE CONSTRUTIVA",OFFSET(A294,-1,0)+1,LARGE(A$3:A293,1))</f>
        <v>0</v>
      </c>
      <c r="B294" s="203">
        <f t="shared" ca="1" si="22"/>
        <v>3</v>
      </c>
      <c r="C294" s="203">
        <f t="shared" ca="1" si="23"/>
        <v>1</v>
      </c>
      <c r="D294" s="204">
        <f t="shared" ca="1" si="24"/>
        <v>1</v>
      </c>
      <c r="E294" s="204">
        <f t="shared" ca="1" si="25"/>
        <v>15</v>
      </c>
      <c r="F294" s="34"/>
      <c r="J294" s="15"/>
      <c r="K294" s="21"/>
      <c r="L294" s="103"/>
      <c r="M294" s="103"/>
      <c r="N294" s="196"/>
      <c r="O294" s="139"/>
      <c r="P294" s="22"/>
      <c r="Q294" s="15"/>
    </row>
    <row r="295" spans="1:17" s="23" customFormat="1" ht="14.1" customHeight="1" x14ac:dyDescent="0.2">
      <c r="A295" s="203">
        <f ca="1">IF($H295="UNIDADE CONSTRUTIVA",OFFSET(A295,-1,0)+1,LARGE(A$3:A294,1))</f>
        <v>0</v>
      </c>
      <c r="B295" s="203">
        <f t="shared" ca="1" si="22"/>
        <v>3</v>
      </c>
      <c r="C295" s="203">
        <f t="shared" ca="1" si="23"/>
        <v>1</v>
      </c>
      <c r="D295" s="204">
        <f t="shared" ca="1" si="24"/>
        <v>1</v>
      </c>
      <c r="E295" s="204">
        <f t="shared" ca="1" si="25"/>
        <v>15</v>
      </c>
      <c r="F295" s="34"/>
      <c r="J295" s="15"/>
      <c r="K295" s="21"/>
      <c r="L295" s="103"/>
      <c r="M295" s="103"/>
      <c r="N295" s="196"/>
      <c r="O295" s="139"/>
      <c r="P295" s="22"/>
      <c r="Q295" s="15"/>
    </row>
    <row r="296" spans="1:17" s="23" customFormat="1" ht="14.1" customHeight="1" x14ac:dyDescent="0.2">
      <c r="A296" s="203">
        <f ca="1">IF($H296="UNIDADE CONSTRUTIVA",OFFSET(A296,-1,0)+1,LARGE(A$3:A295,1))</f>
        <v>0</v>
      </c>
      <c r="B296" s="203">
        <f t="shared" ca="1" si="22"/>
        <v>3</v>
      </c>
      <c r="C296" s="203">
        <f t="shared" ca="1" si="23"/>
        <v>1</v>
      </c>
      <c r="D296" s="204">
        <f t="shared" ca="1" si="24"/>
        <v>1</v>
      </c>
      <c r="E296" s="204">
        <f t="shared" ca="1" si="25"/>
        <v>15</v>
      </c>
      <c r="F296" s="34"/>
      <c r="J296" s="15"/>
      <c r="K296" s="21"/>
      <c r="L296" s="103"/>
      <c r="M296" s="103"/>
      <c r="N296" s="196"/>
      <c r="O296" s="139"/>
      <c r="P296" s="22"/>
      <c r="Q296" s="15"/>
    </row>
    <row r="297" spans="1:17" s="23" customFormat="1" ht="14.1" customHeight="1" x14ac:dyDescent="0.2">
      <c r="A297" s="203">
        <f ca="1">IF($H297="UNIDADE CONSTRUTIVA",OFFSET(A297,-1,0)+1,LARGE(A$3:A296,1))</f>
        <v>0</v>
      </c>
      <c r="B297" s="203">
        <f t="shared" ca="1" si="22"/>
        <v>3</v>
      </c>
      <c r="C297" s="203">
        <f t="shared" ca="1" si="23"/>
        <v>1</v>
      </c>
      <c r="D297" s="204">
        <f t="shared" ca="1" si="24"/>
        <v>1</v>
      </c>
      <c r="E297" s="204">
        <f t="shared" ca="1" si="25"/>
        <v>15</v>
      </c>
      <c r="F297" s="34"/>
      <c r="J297" s="15"/>
      <c r="K297" s="21"/>
      <c r="L297" s="103"/>
      <c r="M297" s="103"/>
      <c r="N297" s="196"/>
      <c r="O297" s="139"/>
      <c r="P297" s="22"/>
      <c r="Q297" s="15"/>
    </row>
    <row r="298" spans="1:17" s="23" customFormat="1" ht="14.1" customHeight="1" x14ac:dyDescent="0.2">
      <c r="A298" s="203">
        <f ca="1">IF($H298="UNIDADE CONSTRUTIVA",OFFSET(A298,-1,0)+1,LARGE(A$3:A297,1))</f>
        <v>0</v>
      </c>
      <c r="B298" s="203">
        <f t="shared" ca="1" si="22"/>
        <v>3</v>
      </c>
      <c r="C298" s="203">
        <f t="shared" ca="1" si="23"/>
        <v>1</v>
      </c>
      <c r="D298" s="204">
        <f t="shared" ca="1" si="24"/>
        <v>1</v>
      </c>
      <c r="E298" s="204">
        <f t="shared" ca="1" si="25"/>
        <v>15</v>
      </c>
      <c r="F298" s="34"/>
      <c r="J298" s="15"/>
      <c r="K298" s="21"/>
      <c r="L298" s="103"/>
      <c r="M298" s="103"/>
      <c r="N298" s="196"/>
      <c r="O298" s="139"/>
      <c r="P298" s="22"/>
      <c r="Q298" s="15"/>
    </row>
    <row r="299" spans="1:17" s="23" customFormat="1" ht="14.1" customHeight="1" x14ac:dyDescent="0.2">
      <c r="A299" s="203">
        <f ca="1">IF($H299="UNIDADE CONSTRUTIVA",OFFSET(A299,-1,0)+1,LARGE(A$3:A298,1))</f>
        <v>0</v>
      </c>
      <c r="B299" s="203">
        <f t="shared" ca="1" si="22"/>
        <v>3</v>
      </c>
      <c r="C299" s="203">
        <f t="shared" ca="1" si="23"/>
        <v>1</v>
      </c>
      <c r="D299" s="204">
        <f t="shared" ca="1" si="24"/>
        <v>1</v>
      </c>
      <c r="E299" s="204">
        <f t="shared" ca="1" si="25"/>
        <v>15</v>
      </c>
      <c r="F299" s="34"/>
      <c r="J299" s="15"/>
      <c r="K299" s="21"/>
      <c r="L299" s="103"/>
      <c r="M299" s="103"/>
      <c r="N299" s="196"/>
      <c r="O299" s="139"/>
      <c r="P299" s="22"/>
      <c r="Q299" s="15"/>
    </row>
    <row r="300" spans="1:17" s="23" customFormat="1" ht="14.1" customHeight="1" x14ac:dyDescent="0.2">
      <c r="A300" s="203">
        <f ca="1">IF($H300="UNIDADE CONSTRUTIVA",OFFSET(A300,-1,0)+1,LARGE(A$3:A299,1))</f>
        <v>0</v>
      </c>
      <c r="B300" s="203">
        <f t="shared" ca="1" si="22"/>
        <v>3</v>
      </c>
      <c r="C300" s="203">
        <f t="shared" ca="1" si="23"/>
        <v>1</v>
      </c>
      <c r="D300" s="204">
        <f t="shared" ca="1" si="24"/>
        <v>1</v>
      </c>
      <c r="E300" s="204">
        <f t="shared" ca="1" si="25"/>
        <v>15</v>
      </c>
      <c r="F300" s="34"/>
      <c r="J300" s="15"/>
      <c r="K300" s="21"/>
      <c r="L300" s="103"/>
      <c r="M300" s="103"/>
      <c r="N300" s="196"/>
      <c r="O300" s="139"/>
      <c r="P300" s="22"/>
      <c r="Q300" s="15"/>
    </row>
    <row r="301" spans="1:17" s="23" customFormat="1" ht="14.1" customHeight="1" x14ac:dyDescent="0.2">
      <c r="A301" s="203">
        <f ca="1">IF($H301="UNIDADE CONSTRUTIVA",OFFSET(A301,-1,0)+1,LARGE(A$3:A300,1))</f>
        <v>0</v>
      </c>
      <c r="B301" s="203">
        <f t="shared" ca="1" si="22"/>
        <v>3</v>
      </c>
      <c r="C301" s="203">
        <f t="shared" ca="1" si="23"/>
        <v>1</v>
      </c>
      <c r="D301" s="204">
        <f t="shared" ca="1" si="24"/>
        <v>1</v>
      </c>
      <c r="E301" s="204">
        <f t="shared" ca="1" si="25"/>
        <v>15</v>
      </c>
      <c r="F301" s="34"/>
      <c r="J301" s="15"/>
      <c r="K301" s="21"/>
      <c r="L301" s="103"/>
      <c r="M301" s="103"/>
      <c r="N301" s="196"/>
      <c r="O301" s="139"/>
      <c r="P301" s="22"/>
      <c r="Q301" s="15"/>
    </row>
    <row r="302" spans="1:17" s="23" customFormat="1" ht="14.1" customHeight="1" x14ac:dyDescent="0.2">
      <c r="A302" s="203">
        <f ca="1">IF($H302="UNIDADE CONSTRUTIVA",OFFSET(A302,-1,0)+1,LARGE(A$3:A301,1))</f>
        <v>0</v>
      </c>
      <c r="B302" s="203">
        <f t="shared" ca="1" si="22"/>
        <v>3</v>
      </c>
      <c r="C302" s="203">
        <f t="shared" ca="1" si="23"/>
        <v>1</v>
      </c>
      <c r="D302" s="204">
        <f t="shared" ca="1" si="24"/>
        <v>1</v>
      </c>
      <c r="E302" s="204">
        <f t="shared" ca="1" si="25"/>
        <v>15</v>
      </c>
      <c r="F302" s="34"/>
      <c r="J302" s="15"/>
      <c r="K302" s="21"/>
      <c r="L302" s="103"/>
      <c r="M302" s="103"/>
      <c r="N302" s="196"/>
      <c r="O302" s="139"/>
      <c r="P302" s="22"/>
      <c r="Q302" s="15"/>
    </row>
    <row r="303" spans="1:17" s="23" customFormat="1" ht="14.1" customHeight="1" x14ac:dyDescent="0.2">
      <c r="A303" s="203">
        <f ca="1">IF($H303="UNIDADE CONSTRUTIVA",OFFSET(A303,-1,0)+1,LARGE(A$3:A302,1))</f>
        <v>0</v>
      </c>
      <c r="B303" s="203">
        <f t="shared" ca="1" si="22"/>
        <v>3</v>
      </c>
      <c r="C303" s="203">
        <f t="shared" ca="1" si="23"/>
        <v>1</v>
      </c>
      <c r="D303" s="204">
        <f t="shared" ca="1" si="24"/>
        <v>1</v>
      </c>
      <c r="E303" s="204">
        <f t="shared" ca="1" si="25"/>
        <v>15</v>
      </c>
      <c r="F303" s="34"/>
      <c r="J303" s="15"/>
      <c r="K303" s="21"/>
      <c r="L303" s="103"/>
      <c r="M303" s="103"/>
      <c r="N303" s="196"/>
      <c r="O303" s="139"/>
      <c r="P303" s="22"/>
      <c r="Q303" s="15"/>
    </row>
    <row r="304" spans="1:17" s="23" customFormat="1" ht="14.1" customHeight="1" x14ac:dyDescent="0.2">
      <c r="A304" s="203">
        <f ca="1">IF($H304="UNIDADE CONSTRUTIVA",OFFSET(A304,-1,0)+1,LARGE(A$3:A303,1))</f>
        <v>0</v>
      </c>
      <c r="B304" s="203">
        <f t="shared" ca="1" si="22"/>
        <v>3</v>
      </c>
      <c r="C304" s="203">
        <f t="shared" ca="1" si="23"/>
        <v>1</v>
      </c>
      <c r="D304" s="204">
        <f t="shared" ca="1" si="24"/>
        <v>1</v>
      </c>
      <c r="E304" s="204">
        <f t="shared" ca="1" si="25"/>
        <v>15</v>
      </c>
      <c r="F304" s="34"/>
      <c r="J304" s="15"/>
      <c r="K304" s="21"/>
      <c r="L304" s="103"/>
      <c r="M304" s="103"/>
      <c r="N304" s="196"/>
      <c r="O304" s="139"/>
      <c r="P304" s="22"/>
      <c r="Q304" s="15"/>
    </row>
    <row r="305" spans="1:17" s="23" customFormat="1" ht="14.1" customHeight="1" x14ac:dyDescent="0.2">
      <c r="A305" s="203">
        <f ca="1">IF($H305="UNIDADE CONSTRUTIVA",OFFSET(A305,-1,0)+1,LARGE(A$3:A304,1))</f>
        <v>0</v>
      </c>
      <c r="B305" s="203">
        <f t="shared" ca="1" si="22"/>
        <v>3</v>
      </c>
      <c r="C305" s="203">
        <f t="shared" ca="1" si="23"/>
        <v>1</v>
      </c>
      <c r="D305" s="204">
        <f t="shared" ca="1" si="24"/>
        <v>1</v>
      </c>
      <c r="E305" s="204">
        <f t="shared" ca="1" si="25"/>
        <v>15</v>
      </c>
      <c r="F305" s="34"/>
      <c r="J305" s="15"/>
      <c r="K305" s="21"/>
      <c r="L305" s="103"/>
      <c r="M305" s="103"/>
      <c r="N305" s="196"/>
      <c r="O305" s="139"/>
      <c r="P305" s="22"/>
      <c r="Q305" s="15"/>
    </row>
    <row r="306" spans="1:17" s="23" customFormat="1" ht="14.1" customHeight="1" x14ac:dyDescent="0.2">
      <c r="A306" s="203">
        <f ca="1">IF($H306="UNIDADE CONSTRUTIVA",OFFSET(A306,-1,0)+1,LARGE(A$3:A305,1))</f>
        <v>0</v>
      </c>
      <c r="B306" s="203">
        <f t="shared" ca="1" si="22"/>
        <v>3</v>
      </c>
      <c r="C306" s="203">
        <f t="shared" ca="1" si="23"/>
        <v>1</v>
      </c>
      <c r="D306" s="204">
        <f t="shared" ca="1" si="24"/>
        <v>1</v>
      </c>
      <c r="E306" s="204">
        <f t="shared" ca="1" si="25"/>
        <v>15</v>
      </c>
      <c r="F306" s="34"/>
      <c r="J306" s="15"/>
      <c r="K306" s="21"/>
      <c r="L306" s="103"/>
      <c r="M306" s="103"/>
      <c r="N306" s="196"/>
      <c r="O306" s="139"/>
      <c r="P306" s="22"/>
      <c r="Q306" s="15"/>
    </row>
    <row r="307" spans="1:17" s="23" customFormat="1" ht="14.1" customHeight="1" x14ac:dyDescent="0.2">
      <c r="A307" s="203">
        <f ca="1">IF($H307="UNIDADE CONSTRUTIVA",OFFSET(A307,-1,0)+1,LARGE(A$3:A306,1))</f>
        <v>0</v>
      </c>
      <c r="B307" s="203">
        <f t="shared" ca="1" si="22"/>
        <v>3</v>
      </c>
      <c r="C307" s="203">
        <f t="shared" ca="1" si="23"/>
        <v>1</v>
      </c>
      <c r="D307" s="204">
        <f t="shared" ca="1" si="24"/>
        <v>1</v>
      </c>
      <c r="E307" s="204">
        <f t="shared" ca="1" si="25"/>
        <v>15</v>
      </c>
      <c r="F307" s="34"/>
      <c r="J307" s="15"/>
      <c r="K307" s="21"/>
      <c r="L307" s="103"/>
      <c r="M307" s="103"/>
      <c r="N307" s="196"/>
      <c r="O307" s="139"/>
      <c r="P307" s="22"/>
      <c r="Q307" s="15"/>
    </row>
    <row r="308" spans="1:17" s="23" customFormat="1" ht="14.1" customHeight="1" x14ac:dyDescent="0.2">
      <c r="A308" s="203">
        <f ca="1">IF($H308="UNIDADE CONSTRUTIVA",OFFSET(A308,-1,0)+1,LARGE(A$3:A307,1))</f>
        <v>0</v>
      </c>
      <c r="B308" s="203">
        <f t="shared" ca="1" si="22"/>
        <v>3</v>
      </c>
      <c r="C308" s="203">
        <f t="shared" ca="1" si="23"/>
        <v>1</v>
      </c>
      <c r="D308" s="204">
        <f t="shared" ca="1" si="24"/>
        <v>1</v>
      </c>
      <c r="E308" s="204">
        <f t="shared" ca="1" si="25"/>
        <v>15</v>
      </c>
      <c r="F308" s="34"/>
      <c r="J308" s="15"/>
      <c r="K308" s="21"/>
      <c r="L308" s="103"/>
      <c r="M308" s="103"/>
      <c r="N308" s="196"/>
      <c r="O308" s="139"/>
      <c r="P308" s="22"/>
      <c r="Q308" s="15"/>
    </row>
    <row r="309" spans="1:17" s="23" customFormat="1" ht="14.1" customHeight="1" x14ac:dyDescent="0.2">
      <c r="A309" s="203">
        <f ca="1">IF($H309="UNIDADE CONSTRUTIVA",OFFSET(A309,-1,0)+1,LARGE(A$3:A308,1))</f>
        <v>0</v>
      </c>
      <c r="B309" s="203">
        <f t="shared" ca="1" si="22"/>
        <v>3</v>
      </c>
      <c r="C309" s="203">
        <f t="shared" ca="1" si="23"/>
        <v>1</v>
      </c>
      <c r="D309" s="204">
        <f t="shared" ca="1" si="24"/>
        <v>1</v>
      </c>
      <c r="E309" s="204">
        <f t="shared" ca="1" si="25"/>
        <v>15</v>
      </c>
      <c r="F309" s="34"/>
      <c r="J309" s="15"/>
      <c r="K309" s="21"/>
      <c r="L309" s="103"/>
      <c r="M309" s="103"/>
      <c r="N309" s="196"/>
      <c r="O309" s="139"/>
      <c r="P309" s="22"/>
      <c r="Q309" s="15"/>
    </row>
    <row r="310" spans="1:17" s="23" customFormat="1" ht="14.1" customHeight="1" x14ac:dyDescent="0.2">
      <c r="A310" s="203">
        <f ca="1">IF($H310="UNIDADE CONSTRUTIVA",OFFSET(A310,-1,0)+1,LARGE(A$3:A309,1))</f>
        <v>0</v>
      </c>
      <c r="B310" s="203">
        <f t="shared" ca="1" si="22"/>
        <v>3</v>
      </c>
      <c r="C310" s="203">
        <f t="shared" ca="1" si="23"/>
        <v>1</v>
      </c>
      <c r="D310" s="204">
        <f t="shared" ca="1" si="24"/>
        <v>1</v>
      </c>
      <c r="E310" s="204">
        <f t="shared" ca="1" si="25"/>
        <v>15</v>
      </c>
      <c r="F310" s="34"/>
      <c r="J310" s="15"/>
      <c r="K310" s="21"/>
      <c r="L310" s="103"/>
      <c r="M310" s="103"/>
      <c r="N310" s="196"/>
      <c r="O310" s="139"/>
      <c r="P310" s="22"/>
      <c r="Q310" s="15"/>
    </row>
    <row r="311" spans="1:17" s="23" customFormat="1" ht="14.1" customHeight="1" x14ac:dyDescent="0.2">
      <c r="A311" s="203">
        <f ca="1">IF($H311="UNIDADE CONSTRUTIVA",OFFSET(A311,-1,0)+1,LARGE(A$3:A310,1))</f>
        <v>0</v>
      </c>
      <c r="B311" s="203">
        <f t="shared" ca="1" si="22"/>
        <v>3</v>
      </c>
      <c r="C311" s="203">
        <f t="shared" ca="1" si="23"/>
        <v>1</v>
      </c>
      <c r="D311" s="204">
        <f t="shared" ca="1" si="24"/>
        <v>1</v>
      </c>
      <c r="E311" s="204">
        <f t="shared" ca="1" si="25"/>
        <v>15</v>
      </c>
      <c r="F311" s="34"/>
      <c r="J311" s="15"/>
      <c r="K311" s="21"/>
      <c r="L311" s="103"/>
      <c r="M311" s="103"/>
      <c r="N311" s="196"/>
      <c r="O311" s="139"/>
      <c r="P311" s="22"/>
      <c r="Q311" s="15"/>
    </row>
    <row r="312" spans="1:17" s="23" customFormat="1" ht="14.1" customHeight="1" x14ac:dyDescent="0.2">
      <c r="A312" s="203">
        <f ca="1">IF($H312="UNIDADE CONSTRUTIVA",OFFSET(A312,-1,0)+1,LARGE(A$3:A311,1))</f>
        <v>0</v>
      </c>
      <c r="B312" s="203">
        <f t="shared" ca="1" si="22"/>
        <v>3</v>
      </c>
      <c r="C312" s="203">
        <f t="shared" ca="1" si="23"/>
        <v>1</v>
      </c>
      <c r="D312" s="204">
        <f t="shared" ca="1" si="24"/>
        <v>1</v>
      </c>
      <c r="E312" s="204">
        <f t="shared" ca="1" si="25"/>
        <v>15</v>
      </c>
      <c r="F312" s="34"/>
      <c r="J312" s="15"/>
      <c r="K312" s="21"/>
      <c r="L312" s="103"/>
      <c r="M312" s="103"/>
      <c r="N312" s="196"/>
      <c r="O312" s="139"/>
      <c r="P312" s="22"/>
      <c r="Q312" s="15"/>
    </row>
    <row r="313" spans="1:17" s="23" customFormat="1" ht="14.1" customHeight="1" x14ac:dyDescent="0.2">
      <c r="A313" s="203">
        <f ca="1">IF($H313="UNIDADE CONSTRUTIVA",OFFSET(A313,-1,0)+1,LARGE(A$3:A312,1))</f>
        <v>0</v>
      </c>
      <c r="B313" s="203">
        <f t="shared" ca="1" si="22"/>
        <v>3</v>
      </c>
      <c r="C313" s="203">
        <f t="shared" ca="1" si="23"/>
        <v>1</v>
      </c>
      <c r="D313" s="204">
        <f t="shared" ca="1" si="24"/>
        <v>1</v>
      </c>
      <c r="E313" s="204">
        <f t="shared" ca="1" si="25"/>
        <v>15</v>
      </c>
      <c r="F313" s="34"/>
      <c r="J313" s="15"/>
      <c r="K313" s="21"/>
      <c r="L313" s="103"/>
      <c r="M313" s="103"/>
      <c r="N313" s="196"/>
      <c r="O313" s="139"/>
      <c r="P313" s="22"/>
      <c r="Q313" s="15"/>
    </row>
    <row r="314" spans="1:17" s="23" customFormat="1" ht="14.1" customHeight="1" x14ac:dyDescent="0.2">
      <c r="A314" s="203">
        <f ca="1">IF($H314="UNIDADE CONSTRUTIVA",OFFSET(A314,-1,0)+1,LARGE(A$3:A313,1))</f>
        <v>0</v>
      </c>
      <c r="B314" s="203">
        <f t="shared" ca="1" si="22"/>
        <v>3</v>
      </c>
      <c r="C314" s="203">
        <f t="shared" ca="1" si="23"/>
        <v>1</v>
      </c>
      <c r="D314" s="204">
        <f t="shared" ca="1" si="24"/>
        <v>1</v>
      </c>
      <c r="E314" s="204">
        <f t="shared" ca="1" si="25"/>
        <v>15</v>
      </c>
      <c r="F314" s="34"/>
      <c r="J314" s="15"/>
      <c r="K314" s="21"/>
      <c r="L314" s="103"/>
      <c r="M314" s="103"/>
      <c r="N314" s="196"/>
      <c r="O314" s="139"/>
      <c r="P314" s="22"/>
      <c r="Q314" s="15"/>
    </row>
    <row r="315" spans="1:17" s="23" customFormat="1" ht="14.1" customHeight="1" x14ac:dyDescent="0.2">
      <c r="A315" s="203">
        <f ca="1">IF($H315="UNIDADE CONSTRUTIVA",OFFSET(A315,-1,0)+1,LARGE(A$3:A314,1))</f>
        <v>0</v>
      </c>
      <c r="B315" s="203">
        <f t="shared" ca="1" si="22"/>
        <v>3</v>
      </c>
      <c r="C315" s="203">
        <f t="shared" ca="1" si="23"/>
        <v>1</v>
      </c>
      <c r="D315" s="204">
        <f t="shared" ca="1" si="24"/>
        <v>1</v>
      </c>
      <c r="E315" s="204">
        <f t="shared" ca="1" si="25"/>
        <v>15</v>
      </c>
      <c r="F315" s="34"/>
      <c r="J315" s="15"/>
      <c r="K315" s="21"/>
      <c r="L315" s="103"/>
      <c r="M315" s="103"/>
      <c r="N315" s="196"/>
      <c r="O315" s="139"/>
      <c r="P315" s="22"/>
      <c r="Q315" s="15"/>
    </row>
    <row r="316" spans="1:17" s="23" customFormat="1" ht="14.1" customHeight="1" x14ac:dyDescent="0.2">
      <c r="A316" s="203">
        <f ca="1">IF($H316="UNIDADE CONSTRUTIVA",OFFSET(A316,-1,0)+1,LARGE(A$3:A315,1))</f>
        <v>0</v>
      </c>
      <c r="B316" s="203">
        <f t="shared" ca="1" si="22"/>
        <v>3</v>
      </c>
      <c r="C316" s="203">
        <f t="shared" ca="1" si="23"/>
        <v>1</v>
      </c>
      <c r="D316" s="204">
        <f t="shared" ca="1" si="24"/>
        <v>1</v>
      </c>
      <c r="E316" s="204">
        <f t="shared" ca="1" si="25"/>
        <v>15</v>
      </c>
      <c r="F316" s="34"/>
      <c r="J316" s="15"/>
      <c r="K316" s="21"/>
      <c r="L316" s="103"/>
      <c r="M316" s="103"/>
      <c r="N316" s="196"/>
      <c r="O316" s="139"/>
      <c r="P316" s="22"/>
      <c r="Q316" s="15"/>
    </row>
    <row r="317" spans="1:17" s="23" customFormat="1" ht="14.1" customHeight="1" x14ac:dyDescent="0.2">
      <c r="A317" s="203">
        <f ca="1">IF($H317="UNIDADE CONSTRUTIVA",OFFSET(A317,-1,0)+1,LARGE(A$3:A316,1))</f>
        <v>0</v>
      </c>
      <c r="B317" s="203">
        <f t="shared" ca="1" si="22"/>
        <v>3</v>
      </c>
      <c r="C317" s="203">
        <f t="shared" ca="1" si="23"/>
        <v>1</v>
      </c>
      <c r="D317" s="204">
        <f t="shared" ca="1" si="24"/>
        <v>1</v>
      </c>
      <c r="E317" s="204">
        <f t="shared" ca="1" si="25"/>
        <v>15</v>
      </c>
      <c r="F317" s="34"/>
      <c r="J317" s="15"/>
      <c r="K317" s="21"/>
      <c r="L317" s="103"/>
      <c r="M317" s="103"/>
      <c r="N317" s="196"/>
      <c r="O317" s="139"/>
      <c r="P317" s="22"/>
      <c r="Q317" s="15"/>
    </row>
    <row r="318" spans="1:17" s="23" customFormat="1" ht="14.1" customHeight="1" x14ac:dyDescent="0.2">
      <c r="A318" s="203">
        <f ca="1">IF($H318="UNIDADE CONSTRUTIVA",OFFSET(A318,-1,0)+1,LARGE(A$3:A317,1))</f>
        <v>0</v>
      </c>
      <c r="B318" s="203">
        <f t="shared" ca="1" si="22"/>
        <v>3</v>
      </c>
      <c r="C318" s="203">
        <f t="shared" ca="1" si="23"/>
        <v>1</v>
      </c>
      <c r="D318" s="204">
        <f t="shared" ca="1" si="24"/>
        <v>1</v>
      </c>
      <c r="E318" s="204">
        <f t="shared" ca="1" si="25"/>
        <v>15</v>
      </c>
      <c r="F318" s="34"/>
      <c r="J318" s="15"/>
      <c r="K318" s="21"/>
      <c r="L318" s="103"/>
      <c r="M318" s="103"/>
      <c r="N318" s="196"/>
      <c r="O318" s="139"/>
      <c r="P318" s="22"/>
      <c r="Q318" s="15"/>
    </row>
    <row r="319" spans="1:17" s="23" customFormat="1" ht="14.1" customHeight="1" x14ac:dyDescent="0.2">
      <c r="A319" s="203">
        <f ca="1">IF($H319="UNIDADE CONSTRUTIVA",OFFSET(A319,-1,0)+1,LARGE(A$3:A318,1))</f>
        <v>0</v>
      </c>
      <c r="B319" s="203">
        <f t="shared" ca="1" si="22"/>
        <v>3</v>
      </c>
      <c r="C319" s="203">
        <f t="shared" ca="1" si="23"/>
        <v>1</v>
      </c>
      <c r="D319" s="204">
        <f t="shared" ca="1" si="24"/>
        <v>1</v>
      </c>
      <c r="E319" s="204">
        <f t="shared" ca="1" si="25"/>
        <v>15</v>
      </c>
      <c r="F319" s="34"/>
      <c r="J319" s="15"/>
      <c r="K319" s="21"/>
      <c r="L319" s="103"/>
      <c r="M319" s="103"/>
      <c r="N319" s="196"/>
      <c r="O319" s="139"/>
      <c r="P319" s="22"/>
      <c r="Q319" s="15"/>
    </row>
    <row r="320" spans="1:17" s="23" customFormat="1" ht="14.1" customHeight="1" x14ac:dyDescent="0.2">
      <c r="A320" s="203">
        <f ca="1">IF($H320="UNIDADE CONSTRUTIVA",OFFSET(A320,-1,0)+1,LARGE(A$3:A319,1))</f>
        <v>0</v>
      </c>
      <c r="B320" s="203">
        <f t="shared" ca="1" si="22"/>
        <v>3</v>
      </c>
      <c r="C320" s="203">
        <f t="shared" ca="1" si="23"/>
        <v>1</v>
      </c>
      <c r="D320" s="204">
        <f t="shared" ca="1" si="24"/>
        <v>1</v>
      </c>
      <c r="E320" s="204">
        <f t="shared" ca="1" si="25"/>
        <v>15</v>
      </c>
      <c r="F320" s="34"/>
      <c r="J320" s="15"/>
      <c r="K320" s="21"/>
      <c r="L320" s="103"/>
      <c r="M320" s="103"/>
      <c r="N320" s="196"/>
      <c r="O320" s="139"/>
      <c r="P320" s="22"/>
      <c r="Q320" s="15"/>
    </row>
    <row r="321" spans="1:17" s="23" customFormat="1" ht="14.1" customHeight="1" x14ac:dyDescent="0.2">
      <c r="A321" s="203">
        <f ca="1">IF($H321="UNIDADE CONSTRUTIVA",OFFSET(A321,-1,0)+1,LARGE(A$3:A320,1))</f>
        <v>0</v>
      </c>
      <c r="B321" s="203">
        <f t="shared" ca="1" si="22"/>
        <v>3</v>
      </c>
      <c r="C321" s="203">
        <f t="shared" ca="1" si="23"/>
        <v>1</v>
      </c>
      <c r="D321" s="204">
        <f t="shared" ca="1" si="24"/>
        <v>1</v>
      </c>
      <c r="E321" s="204">
        <f t="shared" ca="1" si="25"/>
        <v>15</v>
      </c>
      <c r="F321" s="34"/>
      <c r="J321" s="15"/>
      <c r="K321" s="21"/>
      <c r="L321" s="103"/>
      <c r="M321" s="103"/>
      <c r="N321" s="196"/>
      <c r="O321" s="139"/>
      <c r="P321" s="22"/>
      <c r="Q321" s="15"/>
    </row>
    <row r="322" spans="1:17" s="23" customFormat="1" ht="14.1" customHeight="1" x14ac:dyDescent="0.2">
      <c r="A322" s="203">
        <f ca="1">IF($H322="UNIDADE CONSTRUTIVA",OFFSET(A322,-1,0)+1,LARGE(A$3:A321,1))</f>
        <v>0</v>
      </c>
      <c r="B322" s="203">
        <f t="shared" ca="1" si="22"/>
        <v>3</v>
      </c>
      <c r="C322" s="203">
        <f t="shared" ca="1" si="23"/>
        <v>1</v>
      </c>
      <c r="D322" s="204">
        <f t="shared" ca="1" si="24"/>
        <v>1</v>
      </c>
      <c r="E322" s="204">
        <f t="shared" ca="1" si="25"/>
        <v>15</v>
      </c>
      <c r="F322" s="34"/>
      <c r="J322" s="15"/>
      <c r="K322" s="21"/>
      <c r="L322" s="103"/>
      <c r="M322" s="103"/>
      <c r="N322" s="196"/>
      <c r="O322" s="139"/>
      <c r="P322" s="22"/>
      <c r="Q322" s="15"/>
    </row>
    <row r="323" spans="1:17" s="23" customFormat="1" ht="14.1" customHeight="1" x14ac:dyDescent="0.2">
      <c r="A323" s="203">
        <f ca="1">IF($H323="UNIDADE CONSTRUTIVA",OFFSET(A323,-1,0)+1,LARGE(A$3:A322,1))</f>
        <v>0</v>
      </c>
      <c r="B323" s="203">
        <f t="shared" ca="1" si="22"/>
        <v>3</v>
      </c>
      <c r="C323" s="203">
        <f t="shared" ca="1" si="23"/>
        <v>1</v>
      </c>
      <c r="D323" s="204">
        <f t="shared" ca="1" si="24"/>
        <v>1</v>
      </c>
      <c r="E323" s="204">
        <f t="shared" ca="1" si="25"/>
        <v>15</v>
      </c>
      <c r="F323" s="34"/>
      <c r="J323" s="15"/>
      <c r="K323" s="21"/>
      <c r="L323" s="103"/>
      <c r="M323" s="103"/>
      <c r="N323" s="196"/>
      <c r="O323" s="139"/>
      <c r="P323" s="22"/>
      <c r="Q323" s="15"/>
    </row>
    <row r="324" spans="1:17" s="23" customFormat="1" ht="14.1" customHeight="1" x14ac:dyDescent="0.2">
      <c r="A324" s="203">
        <f ca="1">IF($H324="UNIDADE CONSTRUTIVA",OFFSET(A324,-1,0)+1,LARGE(A$3:A323,1))</f>
        <v>0</v>
      </c>
      <c r="B324" s="203">
        <f t="shared" ca="1" si="22"/>
        <v>3</v>
      </c>
      <c r="C324" s="203">
        <f t="shared" ca="1" si="23"/>
        <v>1</v>
      </c>
      <c r="D324" s="204">
        <f t="shared" ca="1" si="24"/>
        <v>1</v>
      </c>
      <c r="E324" s="204">
        <f t="shared" ca="1" si="25"/>
        <v>15</v>
      </c>
      <c r="F324" s="34"/>
      <c r="J324" s="15"/>
      <c r="K324" s="21"/>
      <c r="L324" s="103"/>
      <c r="M324" s="103"/>
      <c r="N324" s="196"/>
      <c r="O324" s="139"/>
      <c r="P324" s="22"/>
      <c r="Q324" s="15"/>
    </row>
    <row r="325" spans="1:17" s="23" customFormat="1" ht="14.1" customHeight="1" x14ac:dyDescent="0.2">
      <c r="A325" s="203">
        <f ca="1">IF($H325="UNIDADE CONSTRUTIVA",OFFSET(A325,-1,0)+1,LARGE(A$3:A324,1))</f>
        <v>0</v>
      </c>
      <c r="B325" s="203">
        <f t="shared" ca="1" si="22"/>
        <v>3</v>
      </c>
      <c r="C325" s="203">
        <f t="shared" ca="1" si="23"/>
        <v>1</v>
      </c>
      <c r="D325" s="204">
        <f t="shared" ca="1" si="24"/>
        <v>1</v>
      </c>
      <c r="E325" s="204">
        <f t="shared" ca="1" si="25"/>
        <v>15</v>
      </c>
      <c r="F325" s="34"/>
      <c r="J325" s="15"/>
      <c r="K325" s="21"/>
      <c r="L325" s="103"/>
      <c r="M325" s="103"/>
      <c r="N325" s="196"/>
      <c r="O325" s="139"/>
      <c r="P325" s="22"/>
      <c r="Q325" s="15"/>
    </row>
    <row r="326" spans="1:17" s="23" customFormat="1" ht="14.1" customHeight="1" x14ac:dyDescent="0.2">
      <c r="A326" s="203">
        <f ca="1">IF($H326="UNIDADE CONSTRUTIVA",OFFSET(A326,-1,0)+1,LARGE(A$3:A325,1))</f>
        <v>0</v>
      </c>
      <c r="B326" s="203">
        <f t="shared" ca="1" si="22"/>
        <v>3</v>
      </c>
      <c r="C326" s="203">
        <f t="shared" ca="1" si="23"/>
        <v>1</v>
      </c>
      <c r="D326" s="204">
        <f t="shared" ca="1" si="24"/>
        <v>1</v>
      </c>
      <c r="E326" s="204">
        <f t="shared" ca="1" si="25"/>
        <v>15</v>
      </c>
      <c r="F326" s="34"/>
      <c r="J326" s="15"/>
      <c r="K326" s="21"/>
      <c r="L326" s="103"/>
      <c r="M326" s="103"/>
      <c r="N326" s="196"/>
      <c r="O326" s="139"/>
      <c r="P326" s="22"/>
      <c r="Q326" s="15"/>
    </row>
    <row r="327" spans="1:17" s="23" customFormat="1" ht="14.1" customHeight="1" x14ac:dyDescent="0.2">
      <c r="A327" s="203">
        <f ca="1">IF($H327="UNIDADE CONSTRUTIVA",OFFSET(A327,-1,0)+1,LARGE(A$3:A326,1))</f>
        <v>0</v>
      </c>
      <c r="B327" s="203">
        <f t="shared" ca="1" si="22"/>
        <v>3</v>
      </c>
      <c r="C327" s="203">
        <f t="shared" ca="1" si="23"/>
        <v>1</v>
      </c>
      <c r="D327" s="204">
        <f t="shared" ca="1" si="24"/>
        <v>1</v>
      </c>
      <c r="E327" s="204">
        <f t="shared" ca="1" si="25"/>
        <v>15</v>
      </c>
      <c r="F327" s="34"/>
      <c r="J327" s="15"/>
      <c r="K327" s="21"/>
      <c r="L327" s="103"/>
      <c r="M327" s="103"/>
      <c r="N327" s="196"/>
      <c r="O327" s="139"/>
      <c r="P327" s="22"/>
      <c r="Q327" s="15"/>
    </row>
    <row r="328" spans="1:17" s="23" customFormat="1" ht="14.1" customHeight="1" x14ac:dyDescent="0.2">
      <c r="A328" s="203">
        <f ca="1">IF($H328="UNIDADE CONSTRUTIVA",OFFSET(A328,-1,0)+1,LARGE(A$3:A327,1))</f>
        <v>0</v>
      </c>
      <c r="B328" s="203">
        <f t="shared" ca="1" si="22"/>
        <v>3</v>
      </c>
      <c r="C328" s="203">
        <f t="shared" ca="1" si="23"/>
        <v>1</v>
      </c>
      <c r="D328" s="204">
        <f t="shared" ca="1" si="24"/>
        <v>1</v>
      </c>
      <c r="E328" s="204">
        <f t="shared" ca="1" si="25"/>
        <v>15</v>
      </c>
      <c r="F328" s="34"/>
      <c r="J328" s="15"/>
      <c r="K328" s="21"/>
      <c r="L328" s="103"/>
      <c r="M328" s="103"/>
      <c r="N328" s="196"/>
      <c r="O328" s="139"/>
      <c r="P328" s="22"/>
      <c r="Q328" s="15"/>
    </row>
    <row r="329" spans="1:17" s="23" customFormat="1" ht="14.1" customHeight="1" x14ac:dyDescent="0.2">
      <c r="A329" s="203">
        <f ca="1">IF($H329="UNIDADE CONSTRUTIVA",OFFSET(A329,-1,0)+1,LARGE(A$3:A328,1))</f>
        <v>0</v>
      </c>
      <c r="B329" s="203">
        <f t="shared" ca="1" si="22"/>
        <v>3</v>
      </c>
      <c r="C329" s="203">
        <f t="shared" ca="1" si="23"/>
        <v>1</v>
      </c>
      <c r="D329" s="204">
        <f t="shared" ca="1" si="24"/>
        <v>1</v>
      </c>
      <c r="E329" s="204">
        <f t="shared" ca="1" si="25"/>
        <v>15</v>
      </c>
      <c r="F329" s="34"/>
      <c r="J329" s="15"/>
      <c r="K329" s="21"/>
      <c r="L329" s="103"/>
      <c r="M329" s="103"/>
      <c r="N329" s="196"/>
      <c r="O329" s="139"/>
      <c r="P329" s="22"/>
      <c r="Q329" s="15"/>
    </row>
    <row r="330" spans="1:17" s="23" customFormat="1" ht="14.1" customHeight="1" x14ac:dyDescent="0.2">
      <c r="A330" s="203">
        <f ca="1">IF($H330="UNIDADE CONSTRUTIVA",OFFSET(A330,-1,0)+1,LARGE(A$3:A329,1))</f>
        <v>0</v>
      </c>
      <c r="B330" s="203">
        <f t="shared" ca="1" si="22"/>
        <v>3</v>
      </c>
      <c r="C330" s="203">
        <f t="shared" ca="1" si="23"/>
        <v>1</v>
      </c>
      <c r="D330" s="204">
        <f t="shared" ca="1" si="24"/>
        <v>1</v>
      </c>
      <c r="E330" s="204">
        <f t="shared" ca="1" si="25"/>
        <v>15</v>
      </c>
      <c r="F330" s="34"/>
      <c r="J330" s="15"/>
      <c r="K330" s="21"/>
      <c r="L330" s="103"/>
      <c r="M330" s="103"/>
      <c r="N330" s="196"/>
      <c r="O330" s="139"/>
      <c r="P330" s="22"/>
      <c r="Q330" s="15"/>
    </row>
    <row r="331" spans="1:17" s="23" customFormat="1" ht="14.1" customHeight="1" x14ac:dyDescent="0.2">
      <c r="A331" s="203">
        <f ca="1">IF($H331="UNIDADE CONSTRUTIVA",OFFSET(A331,-1,0)+1,LARGE(A$3:A330,1))</f>
        <v>0</v>
      </c>
      <c r="B331" s="203">
        <f t="shared" ca="1" si="22"/>
        <v>3</v>
      </c>
      <c r="C331" s="203">
        <f t="shared" ca="1" si="23"/>
        <v>1</v>
      </c>
      <c r="D331" s="204">
        <f t="shared" ca="1" si="24"/>
        <v>1</v>
      </c>
      <c r="E331" s="204">
        <f t="shared" ca="1" si="25"/>
        <v>15</v>
      </c>
      <c r="F331" s="34"/>
      <c r="J331" s="15"/>
      <c r="K331" s="21"/>
      <c r="L331" s="103"/>
      <c r="M331" s="103"/>
      <c r="N331" s="196"/>
      <c r="O331" s="139"/>
      <c r="P331" s="22"/>
      <c r="Q331" s="15"/>
    </row>
    <row r="332" spans="1:17" s="23" customFormat="1" ht="14.1" customHeight="1" x14ac:dyDescent="0.2">
      <c r="A332" s="203">
        <f ca="1">IF($H332="UNIDADE CONSTRUTIVA",OFFSET(A332,-1,0)+1,LARGE(A$3:A331,1))</f>
        <v>0</v>
      </c>
      <c r="B332" s="203">
        <f t="shared" ca="1" si="22"/>
        <v>3</v>
      </c>
      <c r="C332" s="203">
        <f t="shared" ca="1" si="23"/>
        <v>1</v>
      </c>
      <c r="D332" s="204">
        <f t="shared" ca="1" si="24"/>
        <v>1</v>
      </c>
      <c r="E332" s="204">
        <f t="shared" ca="1" si="25"/>
        <v>15</v>
      </c>
      <c r="F332" s="34"/>
      <c r="J332" s="15"/>
      <c r="K332" s="21"/>
      <c r="L332" s="103"/>
      <c r="M332" s="103"/>
      <c r="N332" s="196"/>
      <c r="O332" s="139"/>
      <c r="P332" s="22"/>
      <c r="Q332" s="15"/>
    </row>
    <row r="333" spans="1:17" s="23" customFormat="1" ht="14.1" customHeight="1" x14ac:dyDescent="0.2">
      <c r="A333" s="203">
        <f ca="1">IF($H333="UNIDADE CONSTRUTIVA",OFFSET(A333,-1,0)+1,LARGE(A$3:A332,1))</f>
        <v>0</v>
      </c>
      <c r="B333" s="203">
        <f t="shared" ref="B333:B396" ca="1" si="26">IF(H333="UNIDADE CONSTRUTIVA",0,IF(H333="CÉLULA CONSTRUTIVA",OFFSET(B333,-1,0)+1,OFFSET(B333,-1,0)))</f>
        <v>3</v>
      </c>
      <c r="C333" s="203">
        <f t="shared" ref="C333:C396" ca="1" si="27">IF(H333="CÉLULA CONSTRUTIVA",0,IF(H333="ETAPA",OFFSET(C333,-1,0)+1,OFFSET(C333,-1,0)))</f>
        <v>1</v>
      </c>
      <c r="D333" s="204">
        <f t="shared" ref="D333:D396" ca="1" si="28">IF(H333="ETAPA",0,IF(H333="SUBETAPA",OFFSET(D333,-1,0)+1,OFFSET(D333,-1,0)))</f>
        <v>1</v>
      </c>
      <c r="E333" s="204">
        <f t="shared" ref="E333:E396" ca="1" si="29">IF(H333="Subetapa",0,IF(H333="serviço",OFFSET(E333,-1,0)+1,OFFSET(E333,-1,0)))</f>
        <v>15</v>
      </c>
      <c r="F333" s="34"/>
      <c r="J333" s="15"/>
      <c r="K333" s="21"/>
      <c r="L333" s="103"/>
      <c r="M333" s="103"/>
      <c r="N333" s="196"/>
      <c r="O333" s="139"/>
      <c r="P333" s="22"/>
      <c r="Q333" s="15"/>
    </row>
    <row r="334" spans="1:17" s="23" customFormat="1" ht="14.1" customHeight="1" x14ac:dyDescent="0.2">
      <c r="A334" s="203">
        <f ca="1">IF($H334="UNIDADE CONSTRUTIVA",OFFSET(A334,-1,0)+1,LARGE(A$3:A333,1))</f>
        <v>0</v>
      </c>
      <c r="B334" s="203">
        <f t="shared" ca="1" si="26"/>
        <v>3</v>
      </c>
      <c r="C334" s="203">
        <f t="shared" ca="1" si="27"/>
        <v>1</v>
      </c>
      <c r="D334" s="204">
        <f t="shared" ca="1" si="28"/>
        <v>1</v>
      </c>
      <c r="E334" s="204">
        <f t="shared" ca="1" si="29"/>
        <v>15</v>
      </c>
      <c r="F334" s="34"/>
      <c r="J334" s="15"/>
      <c r="K334" s="21"/>
      <c r="L334" s="103"/>
      <c r="M334" s="103"/>
      <c r="N334" s="196"/>
      <c r="O334" s="139"/>
      <c r="P334" s="22"/>
      <c r="Q334" s="15"/>
    </row>
    <row r="335" spans="1:17" s="23" customFormat="1" ht="14.1" customHeight="1" x14ac:dyDescent="0.2">
      <c r="A335" s="203">
        <f ca="1">IF($H335="UNIDADE CONSTRUTIVA",OFFSET(A335,-1,0)+1,LARGE(A$3:A334,1))</f>
        <v>0</v>
      </c>
      <c r="B335" s="203">
        <f t="shared" ca="1" si="26"/>
        <v>3</v>
      </c>
      <c r="C335" s="203">
        <f t="shared" ca="1" si="27"/>
        <v>1</v>
      </c>
      <c r="D335" s="204">
        <f t="shared" ca="1" si="28"/>
        <v>1</v>
      </c>
      <c r="E335" s="204">
        <f t="shared" ca="1" si="29"/>
        <v>15</v>
      </c>
      <c r="F335" s="34"/>
      <c r="J335" s="15"/>
      <c r="K335" s="21"/>
      <c r="L335" s="103"/>
      <c r="M335" s="103"/>
      <c r="N335" s="196"/>
      <c r="O335" s="139"/>
      <c r="P335" s="22"/>
      <c r="Q335" s="15"/>
    </row>
    <row r="336" spans="1:17" s="23" customFormat="1" ht="14.1" customHeight="1" x14ac:dyDescent="0.2">
      <c r="A336" s="203">
        <f ca="1">IF($H336="UNIDADE CONSTRUTIVA",OFFSET(A336,-1,0)+1,LARGE(A$3:A335,1))</f>
        <v>0</v>
      </c>
      <c r="B336" s="203">
        <f t="shared" ca="1" si="26"/>
        <v>3</v>
      </c>
      <c r="C336" s="203">
        <f t="shared" ca="1" si="27"/>
        <v>1</v>
      </c>
      <c r="D336" s="204">
        <f t="shared" ca="1" si="28"/>
        <v>1</v>
      </c>
      <c r="E336" s="204">
        <f t="shared" ca="1" si="29"/>
        <v>15</v>
      </c>
      <c r="F336" s="34"/>
      <c r="J336" s="15"/>
      <c r="K336" s="21"/>
      <c r="L336" s="103"/>
      <c r="M336" s="103"/>
      <c r="N336" s="196"/>
      <c r="O336" s="139"/>
      <c r="P336" s="22"/>
      <c r="Q336" s="15"/>
    </row>
    <row r="337" spans="1:17" s="23" customFormat="1" ht="14.1" customHeight="1" x14ac:dyDescent="0.2">
      <c r="A337" s="203">
        <f ca="1">IF($H337="UNIDADE CONSTRUTIVA",OFFSET(A337,-1,0)+1,LARGE(A$3:A336,1))</f>
        <v>0</v>
      </c>
      <c r="B337" s="203">
        <f t="shared" ca="1" si="26"/>
        <v>3</v>
      </c>
      <c r="C337" s="203">
        <f t="shared" ca="1" si="27"/>
        <v>1</v>
      </c>
      <c r="D337" s="204">
        <f t="shared" ca="1" si="28"/>
        <v>1</v>
      </c>
      <c r="E337" s="204">
        <f t="shared" ca="1" si="29"/>
        <v>15</v>
      </c>
      <c r="F337" s="34"/>
      <c r="J337" s="15"/>
      <c r="K337" s="21"/>
      <c r="L337" s="103"/>
      <c r="M337" s="103"/>
      <c r="N337" s="196"/>
      <c r="O337" s="139"/>
      <c r="P337" s="22"/>
      <c r="Q337" s="15"/>
    </row>
    <row r="338" spans="1:17" s="23" customFormat="1" ht="14.1" customHeight="1" x14ac:dyDescent="0.2">
      <c r="A338" s="203">
        <f ca="1">IF($H338="UNIDADE CONSTRUTIVA",OFFSET(A338,-1,0)+1,LARGE(A$3:A337,1))</f>
        <v>0</v>
      </c>
      <c r="B338" s="203">
        <f t="shared" ca="1" si="26"/>
        <v>3</v>
      </c>
      <c r="C338" s="203">
        <f t="shared" ca="1" si="27"/>
        <v>1</v>
      </c>
      <c r="D338" s="204">
        <f t="shared" ca="1" si="28"/>
        <v>1</v>
      </c>
      <c r="E338" s="204">
        <f t="shared" ca="1" si="29"/>
        <v>15</v>
      </c>
      <c r="F338" s="34"/>
      <c r="J338" s="15"/>
      <c r="K338" s="21"/>
      <c r="L338" s="103"/>
      <c r="M338" s="103"/>
      <c r="N338" s="196"/>
      <c r="O338" s="139"/>
      <c r="P338" s="22"/>
      <c r="Q338" s="15"/>
    </row>
    <row r="339" spans="1:17" s="23" customFormat="1" ht="14.1" customHeight="1" x14ac:dyDescent="0.2">
      <c r="A339" s="203">
        <f ca="1">IF($H339="UNIDADE CONSTRUTIVA",OFFSET(A339,-1,0)+1,LARGE(A$3:A338,1))</f>
        <v>0</v>
      </c>
      <c r="B339" s="203">
        <f t="shared" ca="1" si="26"/>
        <v>3</v>
      </c>
      <c r="C339" s="203">
        <f t="shared" ca="1" si="27"/>
        <v>1</v>
      </c>
      <c r="D339" s="204">
        <f t="shared" ca="1" si="28"/>
        <v>1</v>
      </c>
      <c r="E339" s="204">
        <f t="shared" ca="1" si="29"/>
        <v>15</v>
      </c>
      <c r="F339" s="34"/>
      <c r="J339" s="15"/>
      <c r="K339" s="21"/>
      <c r="L339" s="103"/>
      <c r="M339" s="103"/>
      <c r="N339" s="196"/>
      <c r="O339" s="139"/>
      <c r="P339" s="22"/>
      <c r="Q339" s="15"/>
    </row>
    <row r="340" spans="1:17" s="23" customFormat="1" ht="14.1" customHeight="1" x14ac:dyDescent="0.2">
      <c r="A340" s="203">
        <f ca="1">IF($H340="UNIDADE CONSTRUTIVA",OFFSET(A340,-1,0)+1,LARGE(A$3:A339,1))</f>
        <v>0</v>
      </c>
      <c r="B340" s="203">
        <f t="shared" ca="1" si="26"/>
        <v>3</v>
      </c>
      <c r="C340" s="203">
        <f t="shared" ca="1" si="27"/>
        <v>1</v>
      </c>
      <c r="D340" s="204">
        <f t="shared" ca="1" si="28"/>
        <v>1</v>
      </c>
      <c r="E340" s="204">
        <f t="shared" ca="1" si="29"/>
        <v>15</v>
      </c>
      <c r="F340" s="34"/>
      <c r="J340" s="15"/>
      <c r="K340" s="21"/>
      <c r="L340" s="103"/>
      <c r="M340" s="103"/>
      <c r="N340" s="196"/>
      <c r="O340" s="139"/>
      <c r="P340" s="22"/>
      <c r="Q340" s="15"/>
    </row>
    <row r="341" spans="1:17" s="23" customFormat="1" ht="14.1" customHeight="1" x14ac:dyDescent="0.2">
      <c r="A341" s="203">
        <f ca="1">IF($H341="UNIDADE CONSTRUTIVA",OFFSET(A341,-1,0)+1,LARGE(A$3:A340,1))</f>
        <v>0</v>
      </c>
      <c r="B341" s="203">
        <f t="shared" ca="1" si="26"/>
        <v>3</v>
      </c>
      <c r="C341" s="203">
        <f t="shared" ca="1" si="27"/>
        <v>1</v>
      </c>
      <c r="D341" s="204">
        <f t="shared" ca="1" si="28"/>
        <v>1</v>
      </c>
      <c r="E341" s="204">
        <f t="shared" ca="1" si="29"/>
        <v>15</v>
      </c>
      <c r="F341" s="34"/>
      <c r="J341" s="15"/>
      <c r="K341" s="21"/>
      <c r="L341" s="103"/>
      <c r="M341" s="103"/>
      <c r="N341" s="196"/>
      <c r="O341" s="139"/>
      <c r="P341" s="22"/>
      <c r="Q341" s="15"/>
    </row>
    <row r="342" spans="1:17" s="23" customFormat="1" ht="14.1" customHeight="1" x14ac:dyDescent="0.2">
      <c r="A342" s="203">
        <f ca="1">IF($H342="UNIDADE CONSTRUTIVA",OFFSET(A342,-1,0)+1,LARGE(A$3:A341,1))</f>
        <v>0</v>
      </c>
      <c r="B342" s="203">
        <f t="shared" ca="1" si="26"/>
        <v>3</v>
      </c>
      <c r="C342" s="203">
        <f t="shared" ca="1" si="27"/>
        <v>1</v>
      </c>
      <c r="D342" s="204">
        <f t="shared" ca="1" si="28"/>
        <v>1</v>
      </c>
      <c r="E342" s="204">
        <f t="shared" ca="1" si="29"/>
        <v>15</v>
      </c>
      <c r="F342" s="34"/>
      <c r="J342" s="15"/>
      <c r="K342" s="21"/>
      <c r="L342" s="103"/>
      <c r="M342" s="103"/>
      <c r="N342" s="196"/>
      <c r="O342" s="139"/>
      <c r="P342" s="22"/>
      <c r="Q342" s="15"/>
    </row>
    <row r="343" spans="1:17" s="23" customFormat="1" ht="14.1" customHeight="1" x14ac:dyDescent="0.2">
      <c r="A343" s="203">
        <f ca="1">IF($H343="UNIDADE CONSTRUTIVA",OFFSET(A343,-1,0)+1,LARGE(A$3:A342,1))</f>
        <v>0</v>
      </c>
      <c r="B343" s="203">
        <f t="shared" ca="1" si="26"/>
        <v>3</v>
      </c>
      <c r="C343" s="203">
        <f t="shared" ca="1" si="27"/>
        <v>1</v>
      </c>
      <c r="D343" s="204">
        <f t="shared" ca="1" si="28"/>
        <v>1</v>
      </c>
      <c r="E343" s="204">
        <f t="shared" ca="1" si="29"/>
        <v>15</v>
      </c>
      <c r="F343" s="34"/>
      <c r="J343" s="15"/>
      <c r="K343" s="21"/>
      <c r="L343" s="103"/>
      <c r="M343" s="103"/>
      <c r="N343" s="196"/>
      <c r="O343" s="139"/>
      <c r="P343" s="22"/>
      <c r="Q343" s="15"/>
    </row>
    <row r="344" spans="1:17" s="23" customFormat="1" ht="14.1" customHeight="1" x14ac:dyDescent="0.2">
      <c r="A344" s="203">
        <f ca="1">IF($H344="UNIDADE CONSTRUTIVA",OFFSET(A344,-1,0)+1,LARGE(A$3:A343,1))</f>
        <v>0</v>
      </c>
      <c r="B344" s="203">
        <f t="shared" ca="1" si="26"/>
        <v>3</v>
      </c>
      <c r="C344" s="203">
        <f t="shared" ca="1" si="27"/>
        <v>1</v>
      </c>
      <c r="D344" s="204">
        <f t="shared" ca="1" si="28"/>
        <v>1</v>
      </c>
      <c r="E344" s="204">
        <f t="shared" ca="1" si="29"/>
        <v>15</v>
      </c>
      <c r="F344" s="34"/>
      <c r="J344" s="15"/>
      <c r="K344" s="21"/>
      <c r="L344" s="103"/>
      <c r="M344" s="103"/>
      <c r="N344" s="196"/>
      <c r="O344" s="139"/>
      <c r="P344" s="22"/>
      <c r="Q344" s="15"/>
    </row>
    <row r="345" spans="1:17" s="23" customFormat="1" ht="14.1" customHeight="1" x14ac:dyDescent="0.2">
      <c r="A345" s="203">
        <f ca="1">IF($H345="UNIDADE CONSTRUTIVA",OFFSET(A345,-1,0)+1,LARGE(A$3:A344,1))</f>
        <v>0</v>
      </c>
      <c r="B345" s="203">
        <f t="shared" ca="1" si="26"/>
        <v>3</v>
      </c>
      <c r="C345" s="203">
        <f t="shared" ca="1" si="27"/>
        <v>1</v>
      </c>
      <c r="D345" s="204">
        <f t="shared" ca="1" si="28"/>
        <v>1</v>
      </c>
      <c r="E345" s="204">
        <f t="shared" ca="1" si="29"/>
        <v>15</v>
      </c>
      <c r="F345" s="34"/>
      <c r="J345" s="15"/>
      <c r="K345" s="21"/>
      <c r="L345" s="103"/>
      <c r="M345" s="103"/>
      <c r="N345" s="196"/>
      <c r="O345" s="139"/>
      <c r="P345" s="22"/>
      <c r="Q345" s="15"/>
    </row>
    <row r="346" spans="1:17" s="23" customFormat="1" ht="14.1" customHeight="1" x14ac:dyDescent="0.2">
      <c r="A346" s="203">
        <f ca="1">IF($H346="UNIDADE CONSTRUTIVA",OFFSET(A346,-1,0)+1,LARGE(A$3:A345,1))</f>
        <v>0</v>
      </c>
      <c r="B346" s="203">
        <f t="shared" ca="1" si="26"/>
        <v>3</v>
      </c>
      <c r="C346" s="203">
        <f t="shared" ca="1" si="27"/>
        <v>1</v>
      </c>
      <c r="D346" s="204">
        <f t="shared" ca="1" si="28"/>
        <v>1</v>
      </c>
      <c r="E346" s="204">
        <f t="shared" ca="1" si="29"/>
        <v>15</v>
      </c>
      <c r="F346" s="34"/>
      <c r="J346" s="15"/>
      <c r="K346" s="21"/>
      <c r="L346" s="103"/>
      <c r="M346" s="103"/>
      <c r="N346" s="196"/>
      <c r="O346" s="139"/>
      <c r="P346" s="22"/>
      <c r="Q346" s="15"/>
    </row>
    <row r="347" spans="1:17" s="23" customFormat="1" ht="14.1" customHeight="1" x14ac:dyDescent="0.2">
      <c r="A347" s="203">
        <f ca="1">IF($H347="UNIDADE CONSTRUTIVA",OFFSET(A347,-1,0)+1,LARGE(A$3:A346,1))</f>
        <v>0</v>
      </c>
      <c r="B347" s="203">
        <f t="shared" ca="1" si="26"/>
        <v>3</v>
      </c>
      <c r="C347" s="203">
        <f t="shared" ca="1" si="27"/>
        <v>1</v>
      </c>
      <c r="D347" s="204">
        <f t="shared" ca="1" si="28"/>
        <v>1</v>
      </c>
      <c r="E347" s="204">
        <f t="shared" ca="1" si="29"/>
        <v>15</v>
      </c>
      <c r="F347" s="34"/>
      <c r="J347" s="15"/>
      <c r="K347" s="21"/>
      <c r="L347" s="103"/>
      <c r="M347" s="103"/>
      <c r="N347" s="196"/>
      <c r="O347" s="139"/>
      <c r="P347" s="22"/>
      <c r="Q347" s="15"/>
    </row>
    <row r="348" spans="1:17" s="23" customFormat="1" ht="14.1" customHeight="1" x14ac:dyDescent="0.2">
      <c r="A348" s="203">
        <f ca="1">IF($H348="UNIDADE CONSTRUTIVA",OFFSET(A348,-1,0)+1,LARGE(A$3:A347,1))</f>
        <v>0</v>
      </c>
      <c r="B348" s="203">
        <f t="shared" ca="1" si="26"/>
        <v>3</v>
      </c>
      <c r="C348" s="203">
        <f t="shared" ca="1" si="27"/>
        <v>1</v>
      </c>
      <c r="D348" s="204">
        <f t="shared" ca="1" si="28"/>
        <v>1</v>
      </c>
      <c r="E348" s="204">
        <f t="shared" ca="1" si="29"/>
        <v>15</v>
      </c>
      <c r="F348" s="34"/>
      <c r="J348" s="15"/>
      <c r="K348" s="21"/>
      <c r="L348" s="103"/>
      <c r="M348" s="103"/>
      <c r="N348" s="196"/>
      <c r="O348" s="139"/>
      <c r="P348" s="22"/>
      <c r="Q348" s="15"/>
    </row>
    <row r="349" spans="1:17" s="23" customFormat="1" ht="14.1" customHeight="1" x14ac:dyDescent="0.2">
      <c r="A349" s="203">
        <f ca="1">IF($H349="UNIDADE CONSTRUTIVA",OFFSET(A349,-1,0)+1,LARGE(A$3:A348,1))</f>
        <v>0</v>
      </c>
      <c r="B349" s="203">
        <f t="shared" ca="1" si="26"/>
        <v>3</v>
      </c>
      <c r="C349" s="203">
        <f t="shared" ca="1" si="27"/>
        <v>1</v>
      </c>
      <c r="D349" s="204">
        <f t="shared" ca="1" si="28"/>
        <v>1</v>
      </c>
      <c r="E349" s="204">
        <f t="shared" ca="1" si="29"/>
        <v>15</v>
      </c>
      <c r="F349" s="34"/>
      <c r="J349" s="15"/>
      <c r="K349" s="21"/>
      <c r="L349" s="103"/>
      <c r="M349" s="103"/>
      <c r="N349" s="196"/>
      <c r="O349" s="139"/>
      <c r="P349" s="22"/>
      <c r="Q349" s="15"/>
    </row>
    <row r="350" spans="1:17" s="23" customFormat="1" ht="14.1" customHeight="1" x14ac:dyDescent="0.2">
      <c r="A350" s="203">
        <f ca="1">IF($H350="UNIDADE CONSTRUTIVA",OFFSET(A350,-1,0)+1,LARGE(A$3:A349,1))</f>
        <v>0</v>
      </c>
      <c r="B350" s="203">
        <f t="shared" ca="1" si="26"/>
        <v>3</v>
      </c>
      <c r="C350" s="203">
        <f t="shared" ca="1" si="27"/>
        <v>1</v>
      </c>
      <c r="D350" s="204">
        <f t="shared" ca="1" si="28"/>
        <v>1</v>
      </c>
      <c r="E350" s="204">
        <f t="shared" ca="1" si="29"/>
        <v>15</v>
      </c>
      <c r="F350" s="34"/>
      <c r="J350" s="15"/>
      <c r="K350" s="21"/>
      <c r="L350" s="103"/>
      <c r="M350" s="103"/>
      <c r="N350" s="196"/>
      <c r="O350" s="139"/>
      <c r="P350" s="22"/>
      <c r="Q350" s="15"/>
    </row>
    <row r="351" spans="1:17" s="23" customFormat="1" ht="14.1" customHeight="1" x14ac:dyDescent="0.2">
      <c r="A351" s="203">
        <f ca="1">IF($H351="UNIDADE CONSTRUTIVA",OFFSET(A351,-1,0)+1,LARGE(A$3:A350,1))</f>
        <v>0</v>
      </c>
      <c r="B351" s="203">
        <f t="shared" ca="1" si="26"/>
        <v>3</v>
      </c>
      <c r="C351" s="203">
        <f t="shared" ca="1" si="27"/>
        <v>1</v>
      </c>
      <c r="D351" s="204">
        <f t="shared" ca="1" si="28"/>
        <v>1</v>
      </c>
      <c r="E351" s="204">
        <f t="shared" ca="1" si="29"/>
        <v>15</v>
      </c>
      <c r="F351" s="34"/>
      <c r="J351" s="15"/>
      <c r="K351" s="21"/>
      <c r="L351" s="103"/>
      <c r="M351" s="103"/>
      <c r="N351" s="196"/>
      <c r="O351" s="139"/>
      <c r="P351" s="22"/>
      <c r="Q351" s="15"/>
    </row>
    <row r="352" spans="1:17" s="23" customFormat="1" ht="14.1" customHeight="1" x14ac:dyDescent="0.2">
      <c r="A352" s="203">
        <f ca="1">IF($H352="UNIDADE CONSTRUTIVA",OFFSET(A352,-1,0)+1,LARGE(A$3:A351,1))</f>
        <v>0</v>
      </c>
      <c r="B352" s="203">
        <f t="shared" ca="1" si="26"/>
        <v>3</v>
      </c>
      <c r="C352" s="203">
        <f t="shared" ca="1" si="27"/>
        <v>1</v>
      </c>
      <c r="D352" s="204">
        <f t="shared" ca="1" si="28"/>
        <v>1</v>
      </c>
      <c r="E352" s="204">
        <f t="shared" ca="1" si="29"/>
        <v>15</v>
      </c>
      <c r="F352" s="34"/>
      <c r="J352" s="15"/>
      <c r="K352" s="21"/>
      <c r="L352" s="103"/>
      <c r="M352" s="103"/>
      <c r="N352" s="196"/>
      <c r="O352" s="139"/>
      <c r="P352" s="22"/>
      <c r="Q352" s="15"/>
    </row>
    <row r="353" spans="1:17" s="23" customFormat="1" ht="14.1" customHeight="1" x14ac:dyDescent="0.2">
      <c r="A353" s="203">
        <f ca="1">IF($H353="UNIDADE CONSTRUTIVA",OFFSET(A353,-1,0)+1,LARGE(A$3:A352,1))</f>
        <v>0</v>
      </c>
      <c r="B353" s="203">
        <f t="shared" ca="1" si="26"/>
        <v>3</v>
      </c>
      <c r="C353" s="203">
        <f t="shared" ca="1" si="27"/>
        <v>1</v>
      </c>
      <c r="D353" s="204">
        <f t="shared" ca="1" si="28"/>
        <v>1</v>
      </c>
      <c r="E353" s="204">
        <f t="shared" ca="1" si="29"/>
        <v>15</v>
      </c>
      <c r="F353" s="34"/>
      <c r="J353" s="15"/>
      <c r="K353" s="21"/>
      <c r="L353" s="103"/>
      <c r="M353" s="103"/>
      <c r="N353" s="196"/>
      <c r="O353" s="139"/>
      <c r="P353" s="22"/>
      <c r="Q353" s="15"/>
    </row>
    <row r="354" spans="1:17" s="23" customFormat="1" ht="14.1" customHeight="1" x14ac:dyDescent="0.2">
      <c r="A354" s="203">
        <f ca="1">IF($H354="UNIDADE CONSTRUTIVA",OFFSET(A354,-1,0)+1,LARGE(A$3:A353,1))</f>
        <v>0</v>
      </c>
      <c r="B354" s="203">
        <f t="shared" ca="1" si="26"/>
        <v>3</v>
      </c>
      <c r="C354" s="203">
        <f t="shared" ca="1" si="27"/>
        <v>1</v>
      </c>
      <c r="D354" s="204">
        <f t="shared" ca="1" si="28"/>
        <v>1</v>
      </c>
      <c r="E354" s="204">
        <f t="shared" ca="1" si="29"/>
        <v>15</v>
      </c>
      <c r="F354" s="34"/>
      <c r="J354" s="15"/>
      <c r="K354" s="21"/>
      <c r="L354" s="103"/>
      <c r="M354" s="103"/>
      <c r="N354" s="196"/>
      <c r="O354" s="139"/>
      <c r="P354" s="22"/>
      <c r="Q354" s="15"/>
    </row>
    <row r="355" spans="1:17" s="23" customFormat="1" ht="14.1" customHeight="1" x14ac:dyDescent="0.2">
      <c r="A355" s="203">
        <f ca="1">IF($H355="UNIDADE CONSTRUTIVA",OFFSET(A355,-1,0)+1,LARGE(A$3:A354,1))</f>
        <v>0</v>
      </c>
      <c r="B355" s="203">
        <f t="shared" ca="1" si="26"/>
        <v>3</v>
      </c>
      <c r="C355" s="203">
        <f t="shared" ca="1" si="27"/>
        <v>1</v>
      </c>
      <c r="D355" s="204">
        <f t="shared" ca="1" si="28"/>
        <v>1</v>
      </c>
      <c r="E355" s="204">
        <f t="shared" ca="1" si="29"/>
        <v>15</v>
      </c>
      <c r="F355" s="34"/>
      <c r="J355" s="15"/>
      <c r="K355" s="21"/>
      <c r="L355" s="103"/>
      <c r="M355" s="103"/>
      <c r="N355" s="196"/>
      <c r="O355" s="139"/>
      <c r="P355" s="22"/>
      <c r="Q355" s="15"/>
    </row>
    <row r="356" spans="1:17" s="23" customFormat="1" ht="14.1" customHeight="1" x14ac:dyDescent="0.2">
      <c r="A356" s="203">
        <f ca="1">IF($H356="UNIDADE CONSTRUTIVA",OFFSET(A356,-1,0)+1,LARGE(A$3:A355,1))</f>
        <v>0</v>
      </c>
      <c r="B356" s="203">
        <f t="shared" ca="1" si="26"/>
        <v>3</v>
      </c>
      <c r="C356" s="203">
        <f t="shared" ca="1" si="27"/>
        <v>1</v>
      </c>
      <c r="D356" s="204">
        <f t="shared" ca="1" si="28"/>
        <v>1</v>
      </c>
      <c r="E356" s="204">
        <f t="shared" ca="1" si="29"/>
        <v>15</v>
      </c>
      <c r="F356" s="34"/>
      <c r="J356" s="15"/>
      <c r="K356" s="21"/>
      <c r="L356" s="103"/>
      <c r="M356" s="103"/>
      <c r="N356" s="196"/>
      <c r="O356" s="139"/>
      <c r="P356" s="22"/>
      <c r="Q356" s="15"/>
    </row>
    <row r="357" spans="1:17" s="23" customFormat="1" ht="14.1" customHeight="1" x14ac:dyDescent="0.2">
      <c r="A357" s="203">
        <f ca="1">IF($H357="UNIDADE CONSTRUTIVA",OFFSET(A357,-1,0)+1,LARGE(A$3:A356,1))</f>
        <v>0</v>
      </c>
      <c r="B357" s="203">
        <f t="shared" ca="1" si="26"/>
        <v>3</v>
      </c>
      <c r="C357" s="203">
        <f t="shared" ca="1" si="27"/>
        <v>1</v>
      </c>
      <c r="D357" s="204">
        <f t="shared" ca="1" si="28"/>
        <v>1</v>
      </c>
      <c r="E357" s="204">
        <f t="shared" ca="1" si="29"/>
        <v>15</v>
      </c>
      <c r="F357" s="34"/>
      <c r="J357" s="15"/>
      <c r="K357" s="21"/>
      <c r="L357" s="103"/>
      <c r="M357" s="103"/>
      <c r="N357" s="196"/>
      <c r="O357" s="139"/>
      <c r="P357" s="22"/>
      <c r="Q357" s="15"/>
    </row>
    <row r="358" spans="1:17" s="23" customFormat="1" ht="14.1" customHeight="1" x14ac:dyDescent="0.2">
      <c r="A358" s="203">
        <f ca="1">IF($H358="UNIDADE CONSTRUTIVA",OFFSET(A358,-1,0)+1,LARGE(A$3:A357,1))</f>
        <v>0</v>
      </c>
      <c r="B358" s="203">
        <f t="shared" ca="1" si="26"/>
        <v>3</v>
      </c>
      <c r="C358" s="203">
        <f t="shared" ca="1" si="27"/>
        <v>1</v>
      </c>
      <c r="D358" s="204">
        <f t="shared" ca="1" si="28"/>
        <v>1</v>
      </c>
      <c r="E358" s="204">
        <f t="shared" ca="1" si="29"/>
        <v>15</v>
      </c>
      <c r="F358" s="34"/>
      <c r="J358" s="15"/>
      <c r="K358" s="21"/>
      <c r="L358" s="103"/>
      <c r="M358" s="103"/>
      <c r="N358" s="196"/>
      <c r="O358" s="139"/>
      <c r="P358" s="22"/>
      <c r="Q358" s="15"/>
    </row>
    <row r="359" spans="1:17" s="23" customFormat="1" ht="14.1" customHeight="1" x14ac:dyDescent="0.2">
      <c r="A359" s="203">
        <f ca="1">IF($H359="UNIDADE CONSTRUTIVA",OFFSET(A359,-1,0)+1,LARGE(A$3:A358,1))</f>
        <v>0</v>
      </c>
      <c r="B359" s="203">
        <f t="shared" ca="1" si="26"/>
        <v>3</v>
      </c>
      <c r="C359" s="203">
        <f t="shared" ca="1" si="27"/>
        <v>1</v>
      </c>
      <c r="D359" s="204">
        <f t="shared" ca="1" si="28"/>
        <v>1</v>
      </c>
      <c r="E359" s="204">
        <f t="shared" ca="1" si="29"/>
        <v>15</v>
      </c>
      <c r="F359" s="34"/>
      <c r="J359" s="15"/>
      <c r="K359" s="21"/>
      <c r="L359" s="103"/>
      <c r="M359" s="103"/>
      <c r="N359" s="196"/>
      <c r="O359" s="139"/>
      <c r="P359" s="22"/>
      <c r="Q359" s="15"/>
    </row>
    <row r="360" spans="1:17" s="23" customFormat="1" ht="14.1" customHeight="1" x14ac:dyDescent="0.2">
      <c r="A360" s="203">
        <f ca="1">IF($H360="UNIDADE CONSTRUTIVA",OFFSET(A360,-1,0)+1,LARGE(A$3:A359,1))</f>
        <v>0</v>
      </c>
      <c r="B360" s="203">
        <f t="shared" ca="1" si="26"/>
        <v>3</v>
      </c>
      <c r="C360" s="203">
        <f t="shared" ca="1" si="27"/>
        <v>1</v>
      </c>
      <c r="D360" s="204">
        <f t="shared" ca="1" si="28"/>
        <v>1</v>
      </c>
      <c r="E360" s="204">
        <f t="shared" ca="1" si="29"/>
        <v>15</v>
      </c>
      <c r="F360" s="34"/>
      <c r="J360" s="15"/>
      <c r="K360" s="21"/>
      <c r="L360" s="103"/>
      <c r="M360" s="103"/>
      <c r="N360" s="196"/>
      <c r="O360" s="139"/>
      <c r="P360" s="22"/>
      <c r="Q360" s="15"/>
    </row>
    <row r="361" spans="1:17" s="23" customFormat="1" ht="14.1" customHeight="1" x14ac:dyDescent="0.2">
      <c r="A361" s="203">
        <f ca="1">IF($H361="UNIDADE CONSTRUTIVA",OFFSET(A361,-1,0)+1,LARGE(A$3:A360,1))</f>
        <v>0</v>
      </c>
      <c r="B361" s="203">
        <f t="shared" ca="1" si="26"/>
        <v>3</v>
      </c>
      <c r="C361" s="203">
        <f t="shared" ca="1" si="27"/>
        <v>1</v>
      </c>
      <c r="D361" s="204">
        <f t="shared" ca="1" si="28"/>
        <v>1</v>
      </c>
      <c r="E361" s="204">
        <f t="shared" ca="1" si="29"/>
        <v>15</v>
      </c>
      <c r="F361" s="34"/>
      <c r="J361" s="15"/>
      <c r="K361" s="21"/>
      <c r="L361" s="103"/>
      <c r="M361" s="103"/>
      <c r="N361" s="196"/>
      <c r="O361" s="139"/>
      <c r="P361" s="22"/>
      <c r="Q361" s="15"/>
    </row>
    <row r="362" spans="1:17" s="23" customFormat="1" ht="14.1" customHeight="1" x14ac:dyDescent="0.2">
      <c r="A362" s="203">
        <f ca="1">IF($H362="UNIDADE CONSTRUTIVA",OFFSET(A362,-1,0)+1,LARGE(A$3:A361,1))</f>
        <v>0</v>
      </c>
      <c r="B362" s="203">
        <f t="shared" ca="1" si="26"/>
        <v>3</v>
      </c>
      <c r="C362" s="203">
        <f t="shared" ca="1" si="27"/>
        <v>1</v>
      </c>
      <c r="D362" s="204">
        <f t="shared" ca="1" si="28"/>
        <v>1</v>
      </c>
      <c r="E362" s="204">
        <f t="shared" ca="1" si="29"/>
        <v>15</v>
      </c>
      <c r="F362" s="34"/>
      <c r="J362" s="15"/>
      <c r="K362" s="21"/>
      <c r="L362" s="103"/>
      <c r="M362" s="103"/>
      <c r="N362" s="196"/>
      <c r="O362" s="139"/>
      <c r="P362" s="22"/>
      <c r="Q362" s="15"/>
    </row>
    <row r="363" spans="1:17" s="23" customFormat="1" ht="14.1" customHeight="1" x14ac:dyDescent="0.2">
      <c r="A363" s="203">
        <f ca="1">IF($H363="UNIDADE CONSTRUTIVA",OFFSET(A363,-1,0)+1,LARGE(A$3:A362,1))</f>
        <v>0</v>
      </c>
      <c r="B363" s="203">
        <f t="shared" ca="1" si="26"/>
        <v>3</v>
      </c>
      <c r="C363" s="203">
        <f t="shared" ca="1" si="27"/>
        <v>1</v>
      </c>
      <c r="D363" s="204">
        <f t="shared" ca="1" si="28"/>
        <v>1</v>
      </c>
      <c r="E363" s="204">
        <f t="shared" ca="1" si="29"/>
        <v>15</v>
      </c>
      <c r="F363" s="34"/>
      <c r="J363" s="15"/>
      <c r="K363" s="21"/>
      <c r="L363" s="103"/>
      <c r="M363" s="103"/>
      <c r="N363" s="196"/>
      <c r="O363" s="139"/>
      <c r="P363" s="22"/>
      <c r="Q363" s="15"/>
    </row>
    <row r="364" spans="1:17" s="23" customFormat="1" ht="14.1" customHeight="1" x14ac:dyDescent="0.2">
      <c r="A364" s="203">
        <f ca="1">IF($H364="UNIDADE CONSTRUTIVA",OFFSET(A364,-1,0)+1,LARGE(A$3:A363,1))</f>
        <v>0</v>
      </c>
      <c r="B364" s="203">
        <f t="shared" ca="1" si="26"/>
        <v>3</v>
      </c>
      <c r="C364" s="203">
        <f t="shared" ca="1" si="27"/>
        <v>1</v>
      </c>
      <c r="D364" s="204">
        <f t="shared" ca="1" si="28"/>
        <v>1</v>
      </c>
      <c r="E364" s="204">
        <f t="shared" ca="1" si="29"/>
        <v>15</v>
      </c>
      <c r="F364" s="34"/>
      <c r="J364" s="15"/>
      <c r="K364" s="21"/>
      <c r="L364" s="103"/>
      <c r="M364" s="103"/>
      <c r="N364" s="196"/>
      <c r="O364" s="139"/>
      <c r="P364" s="22"/>
      <c r="Q364" s="15"/>
    </row>
    <row r="365" spans="1:17" s="23" customFormat="1" ht="14.1" customHeight="1" x14ac:dyDescent="0.2">
      <c r="A365" s="203">
        <f ca="1">IF($H365="UNIDADE CONSTRUTIVA",OFFSET(A365,-1,0)+1,LARGE(A$3:A364,1))</f>
        <v>0</v>
      </c>
      <c r="B365" s="203">
        <f t="shared" ca="1" si="26"/>
        <v>3</v>
      </c>
      <c r="C365" s="203">
        <f t="shared" ca="1" si="27"/>
        <v>1</v>
      </c>
      <c r="D365" s="204">
        <f t="shared" ca="1" si="28"/>
        <v>1</v>
      </c>
      <c r="E365" s="204">
        <f t="shared" ca="1" si="29"/>
        <v>15</v>
      </c>
      <c r="F365" s="34"/>
      <c r="J365" s="15"/>
      <c r="K365" s="21"/>
      <c r="L365" s="103"/>
      <c r="M365" s="103"/>
      <c r="N365" s="196"/>
      <c r="O365" s="139"/>
      <c r="P365" s="22"/>
      <c r="Q365" s="15"/>
    </row>
    <row r="366" spans="1:17" s="23" customFormat="1" ht="14.1" customHeight="1" x14ac:dyDescent="0.2">
      <c r="A366" s="203">
        <f ca="1">IF($H366="UNIDADE CONSTRUTIVA",OFFSET(A366,-1,0)+1,LARGE(A$3:A365,1))</f>
        <v>0</v>
      </c>
      <c r="B366" s="203">
        <f t="shared" ca="1" si="26"/>
        <v>3</v>
      </c>
      <c r="C366" s="203">
        <f t="shared" ca="1" si="27"/>
        <v>1</v>
      </c>
      <c r="D366" s="204">
        <f t="shared" ca="1" si="28"/>
        <v>1</v>
      </c>
      <c r="E366" s="204">
        <f t="shared" ca="1" si="29"/>
        <v>15</v>
      </c>
      <c r="F366" s="34"/>
      <c r="J366" s="15"/>
      <c r="K366" s="21"/>
      <c r="L366" s="103"/>
      <c r="M366" s="103"/>
      <c r="N366" s="196"/>
      <c r="O366" s="139"/>
      <c r="P366" s="22"/>
      <c r="Q366" s="15"/>
    </row>
    <row r="367" spans="1:17" s="23" customFormat="1" ht="14.1" customHeight="1" x14ac:dyDescent="0.2">
      <c r="A367" s="203">
        <f ca="1">IF($H367="UNIDADE CONSTRUTIVA",OFFSET(A367,-1,0)+1,LARGE(A$3:A366,1))</f>
        <v>0</v>
      </c>
      <c r="B367" s="203">
        <f t="shared" ca="1" si="26"/>
        <v>3</v>
      </c>
      <c r="C367" s="203">
        <f t="shared" ca="1" si="27"/>
        <v>1</v>
      </c>
      <c r="D367" s="204">
        <f t="shared" ca="1" si="28"/>
        <v>1</v>
      </c>
      <c r="E367" s="204">
        <f t="shared" ca="1" si="29"/>
        <v>15</v>
      </c>
      <c r="F367" s="34"/>
      <c r="J367" s="15"/>
      <c r="K367" s="21"/>
      <c r="L367" s="103"/>
      <c r="M367" s="103"/>
      <c r="N367" s="196"/>
      <c r="O367" s="139"/>
      <c r="P367" s="22"/>
      <c r="Q367" s="15"/>
    </row>
    <row r="368" spans="1:17" s="23" customFormat="1" ht="14.1" customHeight="1" x14ac:dyDescent="0.2">
      <c r="A368" s="203">
        <f ca="1">IF($H368="UNIDADE CONSTRUTIVA",OFFSET(A368,-1,0)+1,LARGE(A$3:A367,1))</f>
        <v>0</v>
      </c>
      <c r="B368" s="203">
        <f t="shared" ca="1" si="26"/>
        <v>3</v>
      </c>
      <c r="C368" s="203">
        <f t="shared" ca="1" si="27"/>
        <v>1</v>
      </c>
      <c r="D368" s="204">
        <f t="shared" ca="1" si="28"/>
        <v>1</v>
      </c>
      <c r="E368" s="204">
        <f t="shared" ca="1" si="29"/>
        <v>15</v>
      </c>
      <c r="F368" s="34"/>
      <c r="J368" s="15"/>
      <c r="K368" s="21"/>
      <c r="L368" s="103"/>
      <c r="M368" s="103"/>
      <c r="N368" s="196"/>
      <c r="O368" s="139"/>
      <c r="P368" s="22"/>
      <c r="Q368" s="15"/>
    </row>
    <row r="369" spans="1:17" s="23" customFormat="1" ht="14.1" customHeight="1" x14ac:dyDescent="0.2">
      <c r="A369" s="203">
        <f ca="1">IF($H369="UNIDADE CONSTRUTIVA",OFFSET(A369,-1,0)+1,LARGE(A$3:A368,1))</f>
        <v>0</v>
      </c>
      <c r="B369" s="203">
        <f t="shared" ca="1" si="26"/>
        <v>3</v>
      </c>
      <c r="C369" s="203">
        <f t="shared" ca="1" si="27"/>
        <v>1</v>
      </c>
      <c r="D369" s="204">
        <f t="shared" ca="1" si="28"/>
        <v>1</v>
      </c>
      <c r="E369" s="204">
        <f t="shared" ca="1" si="29"/>
        <v>15</v>
      </c>
      <c r="F369" s="34"/>
      <c r="J369" s="15"/>
      <c r="K369" s="21"/>
      <c r="L369" s="103"/>
      <c r="M369" s="103"/>
      <c r="N369" s="196"/>
      <c r="O369" s="139"/>
      <c r="P369" s="22"/>
      <c r="Q369" s="15"/>
    </row>
    <row r="370" spans="1:17" s="23" customFormat="1" ht="14.1" customHeight="1" x14ac:dyDescent="0.2">
      <c r="A370" s="203">
        <f ca="1">IF($H370="UNIDADE CONSTRUTIVA",OFFSET(A370,-1,0)+1,LARGE(A$3:A369,1))</f>
        <v>0</v>
      </c>
      <c r="B370" s="203">
        <f t="shared" ca="1" si="26"/>
        <v>3</v>
      </c>
      <c r="C370" s="203">
        <f t="shared" ca="1" si="27"/>
        <v>1</v>
      </c>
      <c r="D370" s="204">
        <f t="shared" ca="1" si="28"/>
        <v>1</v>
      </c>
      <c r="E370" s="204">
        <f t="shared" ca="1" si="29"/>
        <v>15</v>
      </c>
      <c r="F370" s="34"/>
      <c r="J370" s="15"/>
      <c r="K370" s="21"/>
      <c r="L370" s="103"/>
      <c r="M370" s="103"/>
      <c r="N370" s="196"/>
      <c r="O370" s="139"/>
      <c r="P370" s="22"/>
      <c r="Q370" s="15"/>
    </row>
    <row r="371" spans="1:17" s="23" customFormat="1" ht="14.1" customHeight="1" x14ac:dyDescent="0.2">
      <c r="A371" s="203">
        <f ca="1">IF($H371="UNIDADE CONSTRUTIVA",OFFSET(A371,-1,0)+1,LARGE(A$3:A370,1))</f>
        <v>0</v>
      </c>
      <c r="B371" s="203">
        <f t="shared" ca="1" si="26"/>
        <v>3</v>
      </c>
      <c r="C371" s="203">
        <f t="shared" ca="1" si="27"/>
        <v>1</v>
      </c>
      <c r="D371" s="204">
        <f t="shared" ca="1" si="28"/>
        <v>1</v>
      </c>
      <c r="E371" s="204">
        <f t="shared" ca="1" si="29"/>
        <v>15</v>
      </c>
      <c r="F371" s="34"/>
      <c r="J371" s="15"/>
      <c r="K371" s="21"/>
      <c r="L371" s="103"/>
      <c r="M371" s="103"/>
      <c r="N371" s="196"/>
      <c r="O371" s="139"/>
      <c r="P371" s="22"/>
      <c r="Q371" s="15"/>
    </row>
    <row r="372" spans="1:17" s="23" customFormat="1" ht="14.1" customHeight="1" x14ac:dyDescent="0.2">
      <c r="A372" s="203">
        <f ca="1">IF($H372="UNIDADE CONSTRUTIVA",OFFSET(A372,-1,0)+1,LARGE(A$3:A371,1))</f>
        <v>0</v>
      </c>
      <c r="B372" s="203">
        <f t="shared" ca="1" si="26"/>
        <v>3</v>
      </c>
      <c r="C372" s="203">
        <f t="shared" ca="1" si="27"/>
        <v>1</v>
      </c>
      <c r="D372" s="204">
        <f t="shared" ca="1" si="28"/>
        <v>1</v>
      </c>
      <c r="E372" s="204">
        <f t="shared" ca="1" si="29"/>
        <v>15</v>
      </c>
      <c r="F372" s="34"/>
      <c r="J372" s="15"/>
      <c r="K372" s="21"/>
      <c r="L372" s="103"/>
      <c r="M372" s="103"/>
      <c r="N372" s="196"/>
      <c r="O372" s="139"/>
      <c r="P372" s="22"/>
      <c r="Q372" s="15"/>
    </row>
    <row r="373" spans="1:17" s="23" customFormat="1" ht="14.1" customHeight="1" x14ac:dyDescent="0.2">
      <c r="A373" s="203">
        <f ca="1">IF($H373="UNIDADE CONSTRUTIVA",OFFSET(A373,-1,0)+1,LARGE(A$3:A372,1))</f>
        <v>0</v>
      </c>
      <c r="B373" s="203">
        <f t="shared" ca="1" si="26"/>
        <v>3</v>
      </c>
      <c r="C373" s="203">
        <f t="shared" ca="1" si="27"/>
        <v>1</v>
      </c>
      <c r="D373" s="204">
        <f t="shared" ca="1" si="28"/>
        <v>1</v>
      </c>
      <c r="E373" s="204">
        <f t="shared" ca="1" si="29"/>
        <v>15</v>
      </c>
      <c r="F373" s="34"/>
      <c r="J373" s="15"/>
      <c r="K373" s="21"/>
      <c r="L373" s="103"/>
      <c r="M373" s="103"/>
      <c r="N373" s="196"/>
      <c r="O373" s="139"/>
      <c r="P373" s="22"/>
      <c r="Q373" s="15"/>
    </row>
    <row r="374" spans="1:17" s="23" customFormat="1" ht="14.1" customHeight="1" x14ac:dyDescent="0.2">
      <c r="A374" s="203">
        <f ca="1">IF($H374="UNIDADE CONSTRUTIVA",OFFSET(A374,-1,0)+1,LARGE(A$3:A373,1))</f>
        <v>0</v>
      </c>
      <c r="B374" s="203">
        <f t="shared" ca="1" si="26"/>
        <v>3</v>
      </c>
      <c r="C374" s="203">
        <f t="shared" ca="1" si="27"/>
        <v>1</v>
      </c>
      <c r="D374" s="204">
        <f t="shared" ca="1" si="28"/>
        <v>1</v>
      </c>
      <c r="E374" s="204">
        <f t="shared" ca="1" si="29"/>
        <v>15</v>
      </c>
      <c r="F374" s="34"/>
      <c r="J374" s="15"/>
      <c r="K374" s="21"/>
      <c r="L374" s="103"/>
      <c r="M374" s="103"/>
      <c r="N374" s="196"/>
      <c r="O374" s="139"/>
      <c r="P374" s="22"/>
      <c r="Q374" s="15"/>
    </row>
    <row r="375" spans="1:17" s="23" customFormat="1" ht="14.1" customHeight="1" x14ac:dyDescent="0.2">
      <c r="A375" s="203">
        <f ca="1">IF($H375="UNIDADE CONSTRUTIVA",OFFSET(A375,-1,0)+1,LARGE(A$3:A374,1))</f>
        <v>0</v>
      </c>
      <c r="B375" s="203">
        <f t="shared" ca="1" si="26"/>
        <v>3</v>
      </c>
      <c r="C375" s="203">
        <f t="shared" ca="1" si="27"/>
        <v>1</v>
      </c>
      <c r="D375" s="204">
        <f t="shared" ca="1" si="28"/>
        <v>1</v>
      </c>
      <c r="E375" s="204">
        <f t="shared" ca="1" si="29"/>
        <v>15</v>
      </c>
      <c r="F375" s="34"/>
      <c r="J375" s="15"/>
      <c r="K375" s="21"/>
      <c r="L375" s="103"/>
      <c r="M375" s="103"/>
      <c r="N375" s="196"/>
      <c r="O375" s="139"/>
      <c r="P375" s="22"/>
      <c r="Q375" s="15"/>
    </row>
    <row r="376" spans="1:17" s="23" customFormat="1" ht="14.1" customHeight="1" x14ac:dyDescent="0.2">
      <c r="A376" s="203">
        <f ca="1">IF($H376="UNIDADE CONSTRUTIVA",OFFSET(A376,-1,0)+1,LARGE(A$3:A375,1))</f>
        <v>0</v>
      </c>
      <c r="B376" s="203">
        <f t="shared" ca="1" si="26"/>
        <v>3</v>
      </c>
      <c r="C376" s="203">
        <f t="shared" ca="1" si="27"/>
        <v>1</v>
      </c>
      <c r="D376" s="204">
        <f t="shared" ca="1" si="28"/>
        <v>1</v>
      </c>
      <c r="E376" s="204">
        <f t="shared" ca="1" si="29"/>
        <v>15</v>
      </c>
      <c r="F376" s="34"/>
      <c r="J376" s="15"/>
      <c r="K376" s="21"/>
      <c r="L376" s="103"/>
      <c r="M376" s="103"/>
      <c r="N376" s="196"/>
      <c r="O376" s="139"/>
      <c r="P376" s="22"/>
      <c r="Q376" s="15"/>
    </row>
    <row r="377" spans="1:17" s="23" customFormat="1" ht="14.1" customHeight="1" x14ac:dyDescent="0.2">
      <c r="A377" s="203">
        <f ca="1">IF($H377="UNIDADE CONSTRUTIVA",OFFSET(A377,-1,0)+1,LARGE(A$3:A376,1))</f>
        <v>0</v>
      </c>
      <c r="B377" s="203">
        <f t="shared" ca="1" si="26"/>
        <v>3</v>
      </c>
      <c r="C377" s="203">
        <f t="shared" ca="1" si="27"/>
        <v>1</v>
      </c>
      <c r="D377" s="204">
        <f t="shared" ca="1" si="28"/>
        <v>1</v>
      </c>
      <c r="E377" s="204">
        <f t="shared" ca="1" si="29"/>
        <v>15</v>
      </c>
      <c r="F377" s="34"/>
      <c r="J377" s="15"/>
      <c r="K377" s="21"/>
      <c r="L377" s="103"/>
      <c r="M377" s="103"/>
      <c r="N377" s="196"/>
      <c r="O377" s="139"/>
      <c r="P377" s="22"/>
      <c r="Q377" s="15"/>
    </row>
    <row r="378" spans="1:17" s="23" customFormat="1" ht="14.1" customHeight="1" x14ac:dyDescent="0.2">
      <c r="A378" s="203">
        <f ca="1">IF($H378="UNIDADE CONSTRUTIVA",OFFSET(A378,-1,0)+1,LARGE(A$3:A377,1))</f>
        <v>0</v>
      </c>
      <c r="B378" s="203">
        <f t="shared" ca="1" si="26"/>
        <v>3</v>
      </c>
      <c r="C378" s="203">
        <f t="shared" ca="1" si="27"/>
        <v>1</v>
      </c>
      <c r="D378" s="204">
        <f t="shared" ca="1" si="28"/>
        <v>1</v>
      </c>
      <c r="E378" s="204">
        <f t="shared" ca="1" si="29"/>
        <v>15</v>
      </c>
      <c r="F378" s="34"/>
      <c r="J378" s="15"/>
      <c r="K378" s="21"/>
      <c r="L378" s="103"/>
      <c r="M378" s="103"/>
      <c r="N378" s="196"/>
      <c r="O378" s="139"/>
      <c r="P378" s="22"/>
      <c r="Q378" s="15"/>
    </row>
    <row r="379" spans="1:17" s="23" customFormat="1" ht="14.1" customHeight="1" x14ac:dyDescent="0.2">
      <c r="A379" s="203">
        <f ca="1">IF($H379="UNIDADE CONSTRUTIVA",OFFSET(A379,-1,0)+1,LARGE(A$3:A378,1))</f>
        <v>0</v>
      </c>
      <c r="B379" s="203">
        <f t="shared" ca="1" si="26"/>
        <v>3</v>
      </c>
      <c r="C379" s="203">
        <f t="shared" ca="1" si="27"/>
        <v>1</v>
      </c>
      <c r="D379" s="204">
        <f t="shared" ca="1" si="28"/>
        <v>1</v>
      </c>
      <c r="E379" s="204">
        <f t="shared" ca="1" si="29"/>
        <v>15</v>
      </c>
      <c r="F379" s="34"/>
      <c r="J379" s="15"/>
      <c r="K379" s="21"/>
      <c r="L379" s="103"/>
      <c r="M379" s="103"/>
      <c r="N379" s="196"/>
      <c r="O379" s="139"/>
      <c r="P379" s="22"/>
      <c r="Q379" s="15"/>
    </row>
    <row r="380" spans="1:17" s="23" customFormat="1" ht="14.1" customHeight="1" x14ac:dyDescent="0.2">
      <c r="A380" s="203">
        <f ca="1">IF($H380="UNIDADE CONSTRUTIVA",OFFSET(A380,-1,0)+1,LARGE(A$3:A379,1))</f>
        <v>0</v>
      </c>
      <c r="B380" s="203">
        <f t="shared" ca="1" si="26"/>
        <v>3</v>
      </c>
      <c r="C380" s="203">
        <f t="shared" ca="1" si="27"/>
        <v>1</v>
      </c>
      <c r="D380" s="204">
        <f t="shared" ca="1" si="28"/>
        <v>1</v>
      </c>
      <c r="E380" s="204">
        <f t="shared" ca="1" si="29"/>
        <v>15</v>
      </c>
      <c r="F380" s="34"/>
      <c r="J380" s="15"/>
      <c r="K380" s="21"/>
      <c r="L380" s="103"/>
      <c r="M380" s="103"/>
      <c r="N380" s="196"/>
      <c r="O380" s="139"/>
      <c r="P380" s="22"/>
      <c r="Q380" s="15"/>
    </row>
    <row r="381" spans="1:17" s="23" customFormat="1" ht="14.1" customHeight="1" x14ac:dyDescent="0.2">
      <c r="A381" s="203">
        <f ca="1">IF($H381="UNIDADE CONSTRUTIVA",OFFSET(A381,-1,0)+1,LARGE(A$3:A380,1))</f>
        <v>0</v>
      </c>
      <c r="B381" s="203">
        <f t="shared" ca="1" si="26"/>
        <v>3</v>
      </c>
      <c r="C381" s="203">
        <f t="shared" ca="1" si="27"/>
        <v>1</v>
      </c>
      <c r="D381" s="204">
        <f t="shared" ca="1" si="28"/>
        <v>1</v>
      </c>
      <c r="E381" s="204">
        <f t="shared" ca="1" si="29"/>
        <v>15</v>
      </c>
      <c r="F381" s="34"/>
      <c r="J381" s="15"/>
      <c r="K381" s="21"/>
      <c r="L381" s="103"/>
      <c r="M381" s="103"/>
      <c r="N381" s="196"/>
      <c r="O381" s="139"/>
      <c r="P381" s="22"/>
      <c r="Q381" s="15"/>
    </row>
    <row r="382" spans="1:17" s="23" customFormat="1" ht="14.1" customHeight="1" x14ac:dyDescent="0.2">
      <c r="A382" s="203">
        <f ca="1">IF($H382="UNIDADE CONSTRUTIVA",OFFSET(A382,-1,0)+1,LARGE(A$3:A381,1))</f>
        <v>0</v>
      </c>
      <c r="B382" s="203">
        <f t="shared" ca="1" si="26"/>
        <v>3</v>
      </c>
      <c r="C382" s="203">
        <f t="shared" ca="1" si="27"/>
        <v>1</v>
      </c>
      <c r="D382" s="204">
        <f t="shared" ca="1" si="28"/>
        <v>1</v>
      </c>
      <c r="E382" s="204">
        <f t="shared" ca="1" si="29"/>
        <v>15</v>
      </c>
      <c r="F382" s="34"/>
      <c r="J382" s="15"/>
      <c r="K382" s="21"/>
      <c r="L382" s="103"/>
      <c r="M382" s="103"/>
      <c r="N382" s="196"/>
      <c r="O382" s="139"/>
      <c r="P382" s="22"/>
      <c r="Q382" s="15"/>
    </row>
    <row r="383" spans="1:17" s="23" customFormat="1" ht="14.1" customHeight="1" x14ac:dyDescent="0.2">
      <c r="A383" s="203">
        <f ca="1">IF($H383="UNIDADE CONSTRUTIVA",OFFSET(A383,-1,0)+1,LARGE(A$3:A382,1))</f>
        <v>0</v>
      </c>
      <c r="B383" s="203">
        <f t="shared" ca="1" si="26"/>
        <v>3</v>
      </c>
      <c r="C383" s="203">
        <f t="shared" ca="1" si="27"/>
        <v>1</v>
      </c>
      <c r="D383" s="204">
        <f t="shared" ca="1" si="28"/>
        <v>1</v>
      </c>
      <c r="E383" s="204">
        <f t="shared" ca="1" si="29"/>
        <v>15</v>
      </c>
      <c r="F383" s="34"/>
      <c r="J383" s="15"/>
      <c r="K383" s="21"/>
      <c r="L383" s="103"/>
      <c r="M383" s="103"/>
      <c r="N383" s="196"/>
      <c r="O383" s="139"/>
      <c r="P383" s="22"/>
      <c r="Q383" s="15"/>
    </row>
    <row r="384" spans="1:17" s="23" customFormat="1" ht="14.1" customHeight="1" x14ac:dyDescent="0.2">
      <c r="A384" s="203">
        <f ca="1">IF($H384="UNIDADE CONSTRUTIVA",OFFSET(A384,-1,0)+1,LARGE(A$3:A383,1))</f>
        <v>0</v>
      </c>
      <c r="B384" s="203">
        <f t="shared" ca="1" si="26"/>
        <v>3</v>
      </c>
      <c r="C384" s="203">
        <f t="shared" ca="1" si="27"/>
        <v>1</v>
      </c>
      <c r="D384" s="204">
        <f t="shared" ca="1" si="28"/>
        <v>1</v>
      </c>
      <c r="E384" s="204">
        <f t="shared" ca="1" si="29"/>
        <v>15</v>
      </c>
      <c r="F384" s="34"/>
      <c r="J384" s="15"/>
      <c r="K384" s="21"/>
      <c r="L384" s="103"/>
      <c r="M384" s="103"/>
      <c r="N384" s="196"/>
      <c r="O384" s="139"/>
      <c r="P384" s="22"/>
      <c r="Q384" s="15"/>
    </row>
    <row r="385" spans="1:17" s="23" customFormat="1" ht="14.1" customHeight="1" x14ac:dyDescent="0.2">
      <c r="A385" s="203">
        <f ca="1">IF($H385="UNIDADE CONSTRUTIVA",OFFSET(A385,-1,0)+1,LARGE(A$3:A384,1))</f>
        <v>0</v>
      </c>
      <c r="B385" s="203">
        <f t="shared" ca="1" si="26"/>
        <v>3</v>
      </c>
      <c r="C385" s="203">
        <f t="shared" ca="1" si="27"/>
        <v>1</v>
      </c>
      <c r="D385" s="204">
        <f t="shared" ca="1" si="28"/>
        <v>1</v>
      </c>
      <c r="E385" s="204">
        <f t="shared" ca="1" si="29"/>
        <v>15</v>
      </c>
      <c r="F385" s="34"/>
      <c r="J385" s="15"/>
      <c r="K385" s="21"/>
      <c r="L385" s="103"/>
      <c r="M385" s="103"/>
      <c r="N385" s="196"/>
      <c r="O385" s="139"/>
      <c r="P385" s="22"/>
      <c r="Q385" s="15"/>
    </row>
    <row r="386" spans="1:17" s="23" customFormat="1" ht="14.1" customHeight="1" x14ac:dyDescent="0.2">
      <c r="A386" s="203">
        <f ca="1">IF($H386="UNIDADE CONSTRUTIVA",OFFSET(A386,-1,0)+1,LARGE(A$3:A385,1))</f>
        <v>0</v>
      </c>
      <c r="B386" s="203">
        <f t="shared" ca="1" si="26"/>
        <v>3</v>
      </c>
      <c r="C386" s="203">
        <f t="shared" ca="1" si="27"/>
        <v>1</v>
      </c>
      <c r="D386" s="204">
        <f t="shared" ca="1" si="28"/>
        <v>1</v>
      </c>
      <c r="E386" s="204">
        <f t="shared" ca="1" si="29"/>
        <v>15</v>
      </c>
      <c r="F386" s="34"/>
      <c r="J386" s="15"/>
      <c r="K386" s="21"/>
      <c r="L386" s="103"/>
      <c r="M386" s="103"/>
      <c r="N386" s="196"/>
      <c r="O386" s="139"/>
      <c r="P386" s="22"/>
      <c r="Q386" s="15"/>
    </row>
    <row r="387" spans="1:17" s="23" customFormat="1" ht="14.1" customHeight="1" x14ac:dyDescent="0.2">
      <c r="A387" s="203">
        <f ca="1">IF($H387="UNIDADE CONSTRUTIVA",OFFSET(A387,-1,0)+1,LARGE(A$3:A386,1))</f>
        <v>0</v>
      </c>
      <c r="B387" s="203">
        <f t="shared" ca="1" si="26"/>
        <v>3</v>
      </c>
      <c r="C387" s="203">
        <f t="shared" ca="1" si="27"/>
        <v>1</v>
      </c>
      <c r="D387" s="204">
        <f t="shared" ca="1" si="28"/>
        <v>1</v>
      </c>
      <c r="E387" s="204">
        <f t="shared" ca="1" si="29"/>
        <v>15</v>
      </c>
      <c r="F387" s="34"/>
      <c r="J387" s="15"/>
      <c r="K387" s="21"/>
      <c r="L387" s="103"/>
      <c r="M387" s="103"/>
      <c r="N387" s="196"/>
      <c r="O387" s="139"/>
      <c r="P387" s="22"/>
      <c r="Q387" s="15"/>
    </row>
    <row r="388" spans="1:17" s="23" customFormat="1" ht="14.1" customHeight="1" x14ac:dyDescent="0.2">
      <c r="A388" s="203">
        <f ca="1">IF($H388="UNIDADE CONSTRUTIVA",OFFSET(A388,-1,0)+1,LARGE(A$3:A387,1))</f>
        <v>0</v>
      </c>
      <c r="B388" s="203">
        <f t="shared" ca="1" si="26"/>
        <v>3</v>
      </c>
      <c r="C388" s="203">
        <f t="shared" ca="1" si="27"/>
        <v>1</v>
      </c>
      <c r="D388" s="204">
        <f t="shared" ca="1" si="28"/>
        <v>1</v>
      </c>
      <c r="E388" s="204">
        <f t="shared" ca="1" si="29"/>
        <v>15</v>
      </c>
      <c r="F388" s="34"/>
      <c r="J388" s="15"/>
      <c r="K388" s="21"/>
      <c r="L388" s="103"/>
      <c r="M388" s="103"/>
      <c r="N388" s="196"/>
      <c r="O388" s="139"/>
      <c r="P388" s="22"/>
      <c r="Q388" s="15"/>
    </row>
    <row r="389" spans="1:17" s="23" customFormat="1" ht="14.1" customHeight="1" x14ac:dyDescent="0.2">
      <c r="A389" s="203">
        <f ca="1">IF($H389="UNIDADE CONSTRUTIVA",OFFSET(A389,-1,0)+1,LARGE(A$3:A388,1))</f>
        <v>0</v>
      </c>
      <c r="B389" s="203">
        <f t="shared" ca="1" si="26"/>
        <v>3</v>
      </c>
      <c r="C389" s="203">
        <f t="shared" ca="1" si="27"/>
        <v>1</v>
      </c>
      <c r="D389" s="204">
        <f t="shared" ca="1" si="28"/>
        <v>1</v>
      </c>
      <c r="E389" s="204">
        <f t="shared" ca="1" si="29"/>
        <v>15</v>
      </c>
      <c r="F389" s="34"/>
      <c r="J389" s="15"/>
      <c r="K389" s="21"/>
      <c r="L389" s="103"/>
      <c r="M389" s="103"/>
      <c r="N389" s="196"/>
      <c r="O389" s="139"/>
      <c r="P389" s="22"/>
      <c r="Q389" s="15"/>
    </row>
    <row r="390" spans="1:17" s="23" customFormat="1" ht="14.1" customHeight="1" x14ac:dyDescent="0.2">
      <c r="A390" s="203">
        <f ca="1">IF($H390="UNIDADE CONSTRUTIVA",OFFSET(A390,-1,0)+1,LARGE(A$3:A389,1))</f>
        <v>0</v>
      </c>
      <c r="B390" s="203">
        <f t="shared" ca="1" si="26"/>
        <v>3</v>
      </c>
      <c r="C390" s="203">
        <f t="shared" ca="1" si="27"/>
        <v>1</v>
      </c>
      <c r="D390" s="204">
        <f t="shared" ca="1" si="28"/>
        <v>1</v>
      </c>
      <c r="E390" s="204">
        <f t="shared" ca="1" si="29"/>
        <v>15</v>
      </c>
      <c r="F390" s="34"/>
      <c r="J390" s="15"/>
      <c r="K390" s="21"/>
      <c r="L390" s="103"/>
      <c r="M390" s="103"/>
      <c r="N390" s="196"/>
      <c r="O390" s="139"/>
      <c r="P390" s="22"/>
      <c r="Q390" s="15"/>
    </row>
    <row r="391" spans="1:17" s="23" customFormat="1" ht="14.1" customHeight="1" x14ac:dyDescent="0.2">
      <c r="A391" s="203">
        <f ca="1">IF($H391="UNIDADE CONSTRUTIVA",OFFSET(A391,-1,0)+1,LARGE(A$3:A390,1))</f>
        <v>0</v>
      </c>
      <c r="B391" s="203">
        <f t="shared" ca="1" si="26"/>
        <v>3</v>
      </c>
      <c r="C391" s="203">
        <f t="shared" ca="1" si="27"/>
        <v>1</v>
      </c>
      <c r="D391" s="204">
        <f t="shared" ca="1" si="28"/>
        <v>1</v>
      </c>
      <c r="E391" s="204">
        <f t="shared" ca="1" si="29"/>
        <v>15</v>
      </c>
      <c r="F391" s="34"/>
      <c r="J391" s="15"/>
      <c r="K391" s="21"/>
      <c r="L391" s="103"/>
      <c r="M391" s="103"/>
      <c r="N391" s="196"/>
      <c r="O391" s="139"/>
      <c r="P391" s="22"/>
      <c r="Q391" s="15"/>
    </row>
    <row r="392" spans="1:17" s="23" customFormat="1" ht="14.1" customHeight="1" x14ac:dyDescent="0.2">
      <c r="A392" s="203">
        <f ca="1">IF($H392="UNIDADE CONSTRUTIVA",OFFSET(A392,-1,0)+1,LARGE(A$3:A391,1))</f>
        <v>0</v>
      </c>
      <c r="B392" s="203">
        <f t="shared" ca="1" si="26"/>
        <v>3</v>
      </c>
      <c r="C392" s="203">
        <f t="shared" ca="1" si="27"/>
        <v>1</v>
      </c>
      <c r="D392" s="204">
        <f t="shared" ca="1" si="28"/>
        <v>1</v>
      </c>
      <c r="E392" s="204">
        <f t="shared" ca="1" si="29"/>
        <v>15</v>
      </c>
      <c r="F392" s="34"/>
      <c r="J392" s="15"/>
      <c r="K392" s="21"/>
      <c r="L392" s="103"/>
      <c r="M392" s="103"/>
      <c r="N392" s="196"/>
      <c r="O392" s="139"/>
      <c r="P392" s="22"/>
      <c r="Q392" s="15"/>
    </row>
    <row r="393" spans="1:17" s="23" customFormat="1" ht="14.1" customHeight="1" x14ac:dyDescent="0.2">
      <c r="A393" s="203">
        <f ca="1">IF($H393="UNIDADE CONSTRUTIVA",OFFSET(A393,-1,0)+1,LARGE(A$3:A392,1))</f>
        <v>0</v>
      </c>
      <c r="B393" s="203">
        <f t="shared" ca="1" si="26"/>
        <v>3</v>
      </c>
      <c r="C393" s="203">
        <f t="shared" ca="1" si="27"/>
        <v>1</v>
      </c>
      <c r="D393" s="204">
        <f t="shared" ca="1" si="28"/>
        <v>1</v>
      </c>
      <c r="E393" s="204">
        <f t="shared" ca="1" si="29"/>
        <v>15</v>
      </c>
      <c r="F393" s="34"/>
      <c r="J393" s="15"/>
      <c r="K393" s="21"/>
      <c r="L393" s="103"/>
      <c r="M393" s="103"/>
      <c r="N393" s="196"/>
      <c r="O393" s="139"/>
      <c r="P393" s="22"/>
      <c r="Q393" s="15"/>
    </row>
    <row r="394" spans="1:17" s="23" customFormat="1" ht="14.1" customHeight="1" x14ac:dyDescent="0.2">
      <c r="A394" s="203">
        <f ca="1">IF($H394="UNIDADE CONSTRUTIVA",OFFSET(A394,-1,0)+1,LARGE(A$3:A393,1))</f>
        <v>0</v>
      </c>
      <c r="B394" s="203">
        <f t="shared" ca="1" si="26"/>
        <v>3</v>
      </c>
      <c r="C394" s="203">
        <f t="shared" ca="1" si="27"/>
        <v>1</v>
      </c>
      <c r="D394" s="204">
        <f t="shared" ca="1" si="28"/>
        <v>1</v>
      </c>
      <c r="E394" s="204">
        <f t="shared" ca="1" si="29"/>
        <v>15</v>
      </c>
      <c r="F394" s="34"/>
      <c r="J394" s="15"/>
      <c r="K394" s="21"/>
      <c r="L394" s="103"/>
      <c r="M394" s="103"/>
      <c r="N394" s="196"/>
      <c r="O394" s="139"/>
      <c r="P394" s="22"/>
      <c r="Q394" s="15"/>
    </row>
    <row r="395" spans="1:17" s="23" customFormat="1" ht="14.1" customHeight="1" x14ac:dyDescent="0.2">
      <c r="A395" s="203">
        <f ca="1">IF($H395="UNIDADE CONSTRUTIVA",OFFSET(A395,-1,0)+1,LARGE(A$3:A394,1))</f>
        <v>0</v>
      </c>
      <c r="B395" s="203">
        <f t="shared" ca="1" si="26"/>
        <v>3</v>
      </c>
      <c r="C395" s="203">
        <f t="shared" ca="1" si="27"/>
        <v>1</v>
      </c>
      <c r="D395" s="204">
        <f t="shared" ca="1" si="28"/>
        <v>1</v>
      </c>
      <c r="E395" s="204">
        <f t="shared" ca="1" si="29"/>
        <v>15</v>
      </c>
      <c r="F395" s="34"/>
      <c r="J395" s="15"/>
      <c r="K395" s="21"/>
      <c r="L395" s="103"/>
      <c r="M395" s="103"/>
      <c r="N395" s="196"/>
      <c r="O395" s="139"/>
      <c r="P395" s="22"/>
      <c r="Q395" s="15"/>
    </row>
    <row r="396" spans="1:17" s="23" customFormat="1" ht="14.1" customHeight="1" x14ac:dyDescent="0.2">
      <c r="A396" s="203">
        <f ca="1">IF($H396="UNIDADE CONSTRUTIVA",OFFSET(A396,-1,0)+1,LARGE(A$3:A395,1))</f>
        <v>0</v>
      </c>
      <c r="B396" s="203">
        <f t="shared" ca="1" si="26"/>
        <v>3</v>
      </c>
      <c r="C396" s="203">
        <f t="shared" ca="1" si="27"/>
        <v>1</v>
      </c>
      <c r="D396" s="204">
        <f t="shared" ca="1" si="28"/>
        <v>1</v>
      </c>
      <c r="E396" s="204">
        <f t="shared" ca="1" si="29"/>
        <v>15</v>
      </c>
      <c r="F396" s="34"/>
      <c r="J396" s="15"/>
      <c r="K396" s="21"/>
      <c r="L396" s="103"/>
      <c r="M396" s="103"/>
      <c r="N396" s="196"/>
      <c r="O396" s="139"/>
      <c r="P396" s="22"/>
      <c r="Q396" s="15"/>
    </row>
    <row r="397" spans="1:17" s="23" customFormat="1" ht="14.1" customHeight="1" x14ac:dyDescent="0.2">
      <c r="A397" s="203">
        <f ca="1">IF($H397="UNIDADE CONSTRUTIVA",OFFSET(A397,-1,0)+1,LARGE(A$3:A396,1))</f>
        <v>0</v>
      </c>
      <c r="B397" s="203">
        <f t="shared" ref="B397:B460" ca="1" si="30">IF(H397="UNIDADE CONSTRUTIVA",0,IF(H397="CÉLULA CONSTRUTIVA",OFFSET(B397,-1,0)+1,OFFSET(B397,-1,0)))</f>
        <v>3</v>
      </c>
      <c r="C397" s="203">
        <f t="shared" ref="C397:C460" ca="1" si="31">IF(H397="CÉLULA CONSTRUTIVA",0,IF(H397="ETAPA",OFFSET(C397,-1,0)+1,OFFSET(C397,-1,0)))</f>
        <v>1</v>
      </c>
      <c r="D397" s="204">
        <f t="shared" ref="D397:D460" ca="1" si="32">IF(H397="ETAPA",0,IF(H397="SUBETAPA",OFFSET(D397,-1,0)+1,OFFSET(D397,-1,0)))</f>
        <v>1</v>
      </c>
      <c r="E397" s="204">
        <f t="shared" ref="E397:E460" ca="1" si="33">IF(H397="Subetapa",0,IF(H397="serviço",OFFSET(E397,-1,0)+1,OFFSET(E397,-1,0)))</f>
        <v>15</v>
      </c>
      <c r="F397" s="34"/>
      <c r="J397" s="15"/>
      <c r="K397" s="21"/>
      <c r="L397" s="103"/>
      <c r="M397" s="103"/>
      <c r="N397" s="196"/>
      <c r="O397" s="139"/>
      <c r="P397" s="22"/>
      <c r="Q397" s="15"/>
    </row>
    <row r="398" spans="1:17" s="23" customFormat="1" ht="14.1" customHeight="1" x14ac:dyDescent="0.2">
      <c r="A398" s="203">
        <f ca="1">IF($H398="UNIDADE CONSTRUTIVA",OFFSET(A398,-1,0)+1,LARGE(A$3:A397,1))</f>
        <v>0</v>
      </c>
      <c r="B398" s="203">
        <f t="shared" ca="1" si="30"/>
        <v>3</v>
      </c>
      <c r="C398" s="203">
        <f t="shared" ca="1" si="31"/>
        <v>1</v>
      </c>
      <c r="D398" s="204">
        <f t="shared" ca="1" si="32"/>
        <v>1</v>
      </c>
      <c r="E398" s="204">
        <f t="shared" ca="1" si="33"/>
        <v>15</v>
      </c>
      <c r="F398" s="34"/>
      <c r="J398" s="15"/>
      <c r="K398" s="21"/>
      <c r="L398" s="103"/>
      <c r="M398" s="103"/>
      <c r="N398" s="196"/>
      <c r="O398" s="139"/>
      <c r="P398" s="22"/>
      <c r="Q398" s="15"/>
    </row>
    <row r="399" spans="1:17" s="23" customFormat="1" ht="14.1" customHeight="1" x14ac:dyDescent="0.2">
      <c r="A399" s="203">
        <f ca="1">IF($H399="UNIDADE CONSTRUTIVA",OFFSET(A399,-1,0)+1,LARGE(A$3:A398,1))</f>
        <v>0</v>
      </c>
      <c r="B399" s="203">
        <f t="shared" ca="1" si="30"/>
        <v>3</v>
      </c>
      <c r="C399" s="203">
        <f t="shared" ca="1" si="31"/>
        <v>1</v>
      </c>
      <c r="D399" s="204">
        <f t="shared" ca="1" si="32"/>
        <v>1</v>
      </c>
      <c r="E399" s="204">
        <f t="shared" ca="1" si="33"/>
        <v>15</v>
      </c>
      <c r="F399" s="34"/>
      <c r="J399" s="15"/>
      <c r="K399" s="21"/>
      <c r="L399" s="103"/>
      <c r="M399" s="103"/>
      <c r="N399" s="196"/>
      <c r="O399" s="139"/>
      <c r="P399" s="22"/>
      <c r="Q399" s="15"/>
    </row>
    <row r="400" spans="1:17" s="23" customFormat="1" ht="14.1" customHeight="1" x14ac:dyDescent="0.2">
      <c r="A400" s="203">
        <f ca="1">IF($H400="UNIDADE CONSTRUTIVA",OFFSET(A400,-1,0)+1,LARGE(A$3:A399,1))</f>
        <v>0</v>
      </c>
      <c r="B400" s="203">
        <f t="shared" ca="1" si="30"/>
        <v>3</v>
      </c>
      <c r="C400" s="203">
        <f t="shared" ca="1" si="31"/>
        <v>1</v>
      </c>
      <c r="D400" s="204">
        <f t="shared" ca="1" si="32"/>
        <v>1</v>
      </c>
      <c r="E400" s="204">
        <f t="shared" ca="1" si="33"/>
        <v>15</v>
      </c>
      <c r="F400" s="34"/>
      <c r="J400" s="15"/>
      <c r="K400" s="21"/>
      <c r="L400" s="103"/>
      <c r="M400" s="103"/>
      <c r="N400" s="196"/>
      <c r="O400" s="139"/>
      <c r="P400" s="22"/>
      <c r="Q400" s="15"/>
    </row>
    <row r="401" spans="1:17" s="23" customFormat="1" ht="14.1" customHeight="1" x14ac:dyDescent="0.2">
      <c r="A401" s="203">
        <f ca="1">IF($H401="UNIDADE CONSTRUTIVA",OFFSET(A401,-1,0)+1,LARGE(A$3:A400,1))</f>
        <v>0</v>
      </c>
      <c r="B401" s="203">
        <f t="shared" ca="1" si="30"/>
        <v>3</v>
      </c>
      <c r="C401" s="203">
        <f t="shared" ca="1" si="31"/>
        <v>1</v>
      </c>
      <c r="D401" s="204">
        <f t="shared" ca="1" si="32"/>
        <v>1</v>
      </c>
      <c r="E401" s="204">
        <f t="shared" ca="1" si="33"/>
        <v>15</v>
      </c>
      <c r="F401" s="34"/>
      <c r="J401" s="15"/>
      <c r="K401" s="21"/>
      <c r="L401" s="103"/>
      <c r="M401" s="103"/>
      <c r="N401" s="196"/>
      <c r="O401" s="139"/>
      <c r="P401" s="22"/>
      <c r="Q401" s="15"/>
    </row>
    <row r="402" spans="1:17" s="23" customFormat="1" ht="14.1" customHeight="1" x14ac:dyDescent="0.2">
      <c r="A402" s="203">
        <f ca="1">IF($H402="UNIDADE CONSTRUTIVA",OFFSET(A402,-1,0)+1,LARGE(A$3:A401,1))</f>
        <v>0</v>
      </c>
      <c r="B402" s="203">
        <f t="shared" ca="1" si="30"/>
        <v>3</v>
      </c>
      <c r="C402" s="203">
        <f t="shared" ca="1" si="31"/>
        <v>1</v>
      </c>
      <c r="D402" s="204">
        <f t="shared" ca="1" si="32"/>
        <v>1</v>
      </c>
      <c r="E402" s="204">
        <f t="shared" ca="1" si="33"/>
        <v>15</v>
      </c>
      <c r="F402" s="34"/>
      <c r="J402" s="15"/>
      <c r="K402" s="21"/>
      <c r="L402" s="103"/>
      <c r="M402" s="103"/>
      <c r="N402" s="196"/>
      <c r="O402" s="139"/>
      <c r="P402" s="22"/>
      <c r="Q402" s="15"/>
    </row>
    <row r="403" spans="1:17" s="23" customFormat="1" ht="14.1" customHeight="1" x14ac:dyDescent="0.2">
      <c r="A403" s="203">
        <f ca="1">IF($H403="UNIDADE CONSTRUTIVA",OFFSET(A403,-1,0)+1,LARGE(A$3:A402,1))</f>
        <v>0</v>
      </c>
      <c r="B403" s="203">
        <f t="shared" ca="1" si="30"/>
        <v>3</v>
      </c>
      <c r="C403" s="203">
        <f t="shared" ca="1" si="31"/>
        <v>1</v>
      </c>
      <c r="D403" s="204">
        <f t="shared" ca="1" si="32"/>
        <v>1</v>
      </c>
      <c r="E403" s="204">
        <f t="shared" ca="1" si="33"/>
        <v>15</v>
      </c>
      <c r="F403" s="34"/>
      <c r="J403" s="15"/>
      <c r="K403" s="21"/>
      <c r="L403" s="103"/>
      <c r="M403" s="103"/>
      <c r="N403" s="196"/>
      <c r="O403" s="139"/>
      <c r="P403" s="22"/>
      <c r="Q403" s="15"/>
    </row>
    <row r="404" spans="1:17" s="23" customFormat="1" ht="14.1" customHeight="1" x14ac:dyDescent="0.2">
      <c r="A404" s="203">
        <f ca="1">IF($H404="UNIDADE CONSTRUTIVA",OFFSET(A404,-1,0)+1,LARGE(A$3:A403,1))</f>
        <v>0</v>
      </c>
      <c r="B404" s="203">
        <f t="shared" ca="1" si="30"/>
        <v>3</v>
      </c>
      <c r="C404" s="203">
        <f t="shared" ca="1" si="31"/>
        <v>1</v>
      </c>
      <c r="D404" s="204">
        <f t="shared" ca="1" si="32"/>
        <v>1</v>
      </c>
      <c r="E404" s="204">
        <f t="shared" ca="1" si="33"/>
        <v>15</v>
      </c>
      <c r="F404" s="34"/>
      <c r="J404" s="15"/>
      <c r="K404" s="21"/>
      <c r="L404" s="103"/>
      <c r="M404" s="103"/>
      <c r="N404" s="196"/>
      <c r="O404" s="139"/>
      <c r="P404" s="22"/>
      <c r="Q404" s="15"/>
    </row>
    <row r="405" spans="1:17" s="23" customFormat="1" ht="14.1" customHeight="1" x14ac:dyDescent="0.2">
      <c r="A405" s="203">
        <f ca="1">IF($H405="UNIDADE CONSTRUTIVA",OFFSET(A405,-1,0)+1,LARGE(A$3:A404,1))</f>
        <v>0</v>
      </c>
      <c r="B405" s="203">
        <f t="shared" ca="1" si="30"/>
        <v>3</v>
      </c>
      <c r="C405" s="203">
        <f t="shared" ca="1" si="31"/>
        <v>1</v>
      </c>
      <c r="D405" s="204">
        <f t="shared" ca="1" si="32"/>
        <v>1</v>
      </c>
      <c r="E405" s="204">
        <f t="shared" ca="1" si="33"/>
        <v>15</v>
      </c>
      <c r="F405" s="34"/>
      <c r="J405" s="15"/>
      <c r="K405" s="21"/>
      <c r="L405" s="103"/>
      <c r="M405" s="103"/>
      <c r="N405" s="196"/>
      <c r="O405" s="139"/>
      <c r="P405" s="22"/>
      <c r="Q405" s="15"/>
    </row>
    <row r="406" spans="1:17" s="23" customFormat="1" ht="14.1" customHeight="1" x14ac:dyDescent="0.2">
      <c r="A406" s="203">
        <f ca="1">IF($H406="UNIDADE CONSTRUTIVA",OFFSET(A406,-1,0)+1,LARGE(A$3:A405,1))</f>
        <v>0</v>
      </c>
      <c r="B406" s="203">
        <f t="shared" ca="1" si="30"/>
        <v>3</v>
      </c>
      <c r="C406" s="203">
        <f t="shared" ca="1" si="31"/>
        <v>1</v>
      </c>
      <c r="D406" s="204">
        <f t="shared" ca="1" si="32"/>
        <v>1</v>
      </c>
      <c r="E406" s="204">
        <f t="shared" ca="1" si="33"/>
        <v>15</v>
      </c>
      <c r="F406" s="34"/>
      <c r="J406" s="15"/>
      <c r="K406" s="21"/>
      <c r="L406" s="103"/>
      <c r="M406" s="103"/>
      <c r="N406" s="196"/>
      <c r="O406" s="139"/>
      <c r="P406" s="22"/>
      <c r="Q406" s="15"/>
    </row>
    <row r="407" spans="1:17" s="23" customFormat="1" ht="14.1" customHeight="1" x14ac:dyDescent="0.2">
      <c r="A407" s="203">
        <f ca="1">IF($H407="UNIDADE CONSTRUTIVA",OFFSET(A407,-1,0)+1,LARGE(A$3:A406,1))</f>
        <v>0</v>
      </c>
      <c r="B407" s="203">
        <f t="shared" ca="1" si="30"/>
        <v>3</v>
      </c>
      <c r="C407" s="203">
        <f t="shared" ca="1" si="31"/>
        <v>1</v>
      </c>
      <c r="D407" s="204">
        <f t="shared" ca="1" si="32"/>
        <v>1</v>
      </c>
      <c r="E407" s="204">
        <f t="shared" ca="1" si="33"/>
        <v>15</v>
      </c>
      <c r="F407" s="34"/>
      <c r="J407" s="15"/>
      <c r="K407" s="21"/>
      <c r="L407" s="103"/>
      <c r="M407" s="103"/>
      <c r="N407" s="196"/>
      <c r="O407" s="139"/>
      <c r="P407" s="22"/>
      <c r="Q407" s="15"/>
    </row>
    <row r="408" spans="1:17" s="23" customFormat="1" ht="14.1" customHeight="1" x14ac:dyDescent="0.2">
      <c r="A408" s="203">
        <f ca="1">IF($H408="UNIDADE CONSTRUTIVA",OFFSET(A408,-1,0)+1,LARGE(A$3:A407,1))</f>
        <v>0</v>
      </c>
      <c r="B408" s="203">
        <f t="shared" ca="1" si="30"/>
        <v>3</v>
      </c>
      <c r="C408" s="203">
        <f t="shared" ca="1" si="31"/>
        <v>1</v>
      </c>
      <c r="D408" s="204">
        <f t="shared" ca="1" si="32"/>
        <v>1</v>
      </c>
      <c r="E408" s="204">
        <f t="shared" ca="1" si="33"/>
        <v>15</v>
      </c>
      <c r="F408" s="34"/>
      <c r="J408" s="15"/>
      <c r="K408" s="21"/>
      <c r="L408" s="103"/>
      <c r="M408" s="103"/>
      <c r="N408" s="196"/>
      <c r="O408" s="139"/>
      <c r="P408" s="22"/>
      <c r="Q408" s="15"/>
    </row>
    <row r="409" spans="1:17" s="23" customFormat="1" ht="14.1" customHeight="1" x14ac:dyDescent="0.2">
      <c r="A409" s="203">
        <f ca="1">IF($H409="UNIDADE CONSTRUTIVA",OFFSET(A409,-1,0)+1,LARGE(A$3:A408,1))</f>
        <v>0</v>
      </c>
      <c r="B409" s="203">
        <f t="shared" ca="1" si="30"/>
        <v>3</v>
      </c>
      <c r="C409" s="203">
        <f t="shared" ca="1" si="31"/>
        <v>1</v>
      </c>
      <c r="D409" s="204">
        <f t="shared" ca="1" si="32"/>
        <v>1</v>
      </c>
      <c r="E409" s="204">
        <f t="shared" ca="1" si="33"/>
        <v>15</v>
      </c>
      <c r="F409" s="34"/>
      <c r="J409" s="15"/>
      <c r="K409" s="21"/>
      <c r="L409" s="103"/>
      <c r="M409" s="103"/>
      <c r="N409" s="196"/>
      <c r="O409" s="139"/>
      <c r="P409" s="22"/>
      <c r="Q409" s="15"/>
    </row>
    <row r="410" spans="1:17" s="23" customFormat="1" ht="14.1" customHeight="1" x14ac:dyDescent="0.2">
      <c r="A410" s="203">
        <f ca="1">IF($H410="UNIDADE CONSTRUTIVA",OFFSET(A410,-1,0)+1,LARGE(A$3:A409,1))</f>
        <v>0</v>
      </c>
      <c r="B410" s="203">
        <f t="shared" ca="1" si="30"/>
        <v>3</v>
      </c>
      <c r="C410" s="203">
        <f t="shared" ca="1" si="31"/>
        <v>1</v>
      </c>
      <c r="D410" s="204">
        <f t="shared" ca="1" si="32"/>
        <v>1</v>
      </c>
      <c r="E410" s="204">
        <f t="shared" ca="1" si="33"/>
        <v>15</v>
      </c>
      <c r="F410" s="34"/>
      <c r="J410" s="15"/>
      <c r="K410" s="21"/>
      <c r="L410" s="103"/>
      <c r="M410" s="103"/>
      <c r="N410" s="196"/>
      <c r="O410" s="139"/>
      <c r="P410" s="22"/>
      <c r="Q410" s="15"/>
    </row>
    <row r="411" spans="1:17" s="23" customFormat="1" ht="14.1" customHeight="1" x14ac:dyDescent="0.2">
      <c r="A411" s="203">
        <f ca="1">IF($H411="UNIDADE CONSTRUTIVA",OFFSET(A411,-1,0)+1,LARGE(A$3:A410,1))</f>
        <v>0</v>
      </c>
      <c r="B411" s="203">
        <f t="shared" ca="1" si="30"/>
        <v>3</v>
      </c>
      <c r="C411" s="203">
        <f t="shared" ca="1" si="31"/>
        <v>1</v>
      </c>
      <c r="D411" s="204">
        <f t="shared" ca="1" si="32"/>
        <v>1</v>
      </c>
      <c r="E411" s="204">
        <f t="shared" ca="1" si="33"/>
        <v>15</v>
      </c>
      <c r="F411" s="34"/>
      <c r="J411" s="15"/>
      <c r="K411" s="21"/>
      <c r="L411" s="103"/>
      <c r="M411" s="103"/>
      <c r="N411" s="196"/>
      <c r="O411" s="139"/>
      <c r="P411" s="22"/>
      <c r="Q411" s="15"/>
    </row>
    <row r="412" spans="1:17" s="23" customFormat="1" ht="14.1" customHeight="1" x14ac:dyDescent="0.2">
      <c r="A412" s="203">
        <f ca="1">IF($H412="UNIDADE CONSTRUTIVA",OFFSET(A412,-1,0)+1,LARGE(A$3:A411,1))</f>
        <v>0</v>
      </c>
      <c r="B412" s="203">
        <f t="shared" ca="1" si="30"/>
        <v>3</v>
      </c>
      <c r="C412" s="203">
        <f t="shared" ca="1" si="31"/>
        <v>1</v>
      </c>
      <c r="D412" s="204">
        <f t="shared" ca="1" si="32"/>
        <v>1</v>
      </c>
      <c r="E412" s="204">
        <f t="shared" ca="1" si="33"/>
        <v>15</v>
      </c>
      <c r="F412" s="34"/>
      <c r="J412" s="15"/>
      <c r="K412" s="21"/>
      <c r="L412" s="103"/>
      <c r="M412" s="103"/>
      <c r="N412" s="196"/>
      <c r="O412" s="139"/>
      <c r="P412" s="22"/>
      <c r="Q412" s="15"/>
    </row>
    <row r="413" spans="1:17" s="23" customFormat="1" ht="14.1" customHeight="1" x14ac:dyDescent="0.2">
      <c r="A413" s="203">
        <f ca="1">IF($H413="UNIDADE CONSTRUTIVA",OFFSET(A413,-1,0)+1,LARGE(A$3:A412,1))</f>
        <v>0</v>
      </c>
      <c r="B413" s="203">
        <f t="shared" ca="1" si="30"/>
        <v>3</v>
      </c>
      <c r="C413" s="203">
        <f t="shared" ca="1" si="31"/>
        <v>1</v>
      </c>
      <c r="D413" s="204">
        <f t="shared" ca="1" si="32"/>
        <v>1</v>
      </c>
      <c r="E413" s="204">
        <f t="shared" ca="1" si="33"/>
        <v>15</v>
      </c>
      <c r="F413" s="34"/>
      <c r="J413" s="15"/>
      <c r="K413" s="21"/>
      <c r="L413" s="103"/>
      <c r="M413" s="103"/>
      <c r="N413" s="196"/>
      <c r="O413" s="139"/>
      <c r="P413" s="22"/>
      <c r="Q413" s="15"/>
    </row>
    <row r="414" spans="1:17" s="23" customFormat="1" ht="14.1" customHeight="1" x14ac:dyDescent="0.2">
      <c r="A414" s="203">
        <f ca="1">IF($H414="UNIDADE CONSTRUTIVA",OFFSET(A414,-1,0)+1,LARGE(A$3:A413,1))</f>
        <v>0</v>
      </c>
      <c r="B414" s="203">
        <f t="shared" ca="1" si="30"/>
        <v>3</v>
      </c>
      <c r="C414" s="203">
        <f t="shared" ca="1" si="31"/>
        <v>1</v>
      </c>
      <c r="D414" s="204">
        <f t="shared" ca="1" si="32"/>
        <v>1</v>
      </c>
      <c r="E414" s="204">
        <f t="shared" ca="1" si="33"/>
        <v>15</v>
      </c>
      <c r="F414" s="34"/>
      <c r="J414" s="15"/>
      <c r="K414" s="21"/>
      <c r="L414" s="103"/>
      <c r="M414" s="103"/>
      <c r="N414" s="196"/>
      <c r="O414" s="139"/>
      <c r="P414" s="22"/>
      <c r="Q414" s="15"/>
    </row>
    <row r="415" spans="1:17" s="23" customFormat="1" ht="14.1" customHeight="1" x14ac:dyDescent="0.2">
      <c r="A415" s="203">
        <f ca="1">IF($H415="UNIDADE CONSTRUTIVA",OFFSET(A415,-1,0)+1,LARGE(A$3:A414,1))</f>
        <v>0</v>
      </c>
      <c r="B415" s="203">
        <f t="shared" ca="1" si="30"/>
        <v>3</v>
      </c>
      <c r="C415" s="203">
        <f t="shared" ca="1" si="31"/>
        <v>1</v>
      </c>
      <c r="D415" s="204">
        <f t="shared" ca="1" si="32"/>
        <v>1</v>
      </c>
      <c r="E415" s="204">
        <f t="shared" ca="1" si="33"/>
        <v>15</v>
      </c>
      <c r="F415" s="34"/>
      <c r="J415" s="15"/>
      <c r="K415" s="21"/>
      <c r="L415" s="103"/>
      <c r="M415" s="103"/>
      <c r="N415" s="196"/>
      <c r="O415" s="139"/>
      <c r="P415" s="22"/>
      <c r="Q415" s="15"/>
    </row>
    <row r="416" spans="1:17" s="23" customFormat="1" ht="14.1" customHeight="1" x14ac:dyDescent="0.2">
      <c r="A416" s="203">
        <f ca="1">IF($H416="UNIDADE CONSTRUTIVA",OFFSET(A416,-1,0)+1,LARGE(A$3:A415,1))</f>
        <v>0</v>
      </c>
      <c r="B416" s="203">
        <f t="shared" ca="1" si="30"/>
        <v>3</v>
      </c>
      <c r="C416" s="203">
        <f t="shared" ca="1" si="31"/>
        <v>1</v>
      </c>
      <c r="D416" s="204">
        <f t="shared" ca="1" si="32"/>
        <v>1</v>
      </c>
      <c r="E416" s="204">
        <f t="shared" ca="1" si="33"/>
        <v>15</v>
      </c>
      <c r="F416" s="34"/>
      <c r="J416" s="15"/>
      <c r="K416" s="21"/>
      <c r="L416" s="103"/>
      <c r="M416" s="103"/>
      <c r="N416" s="196"/>
      <c r="O416" s="139"/>
      <c r="P416" s="22"/>
      <c r="Q416" s="15"/>
    </row>
    <row r="417" spans="1:17" s="23" customFormat="1" ht="14.1" customHeight="1" x14ac:dyDescent="0.2">
      <c r="A417" s="203">
        <f ca="1">IF($H417="UNIDADE CONSTRUTIVA",OFFSET(A417,-1,0)+1,LARGE(A$3:A416,1))</f>
        <v>0</v>
      </c>
      <c r="B417" s="203">
        <f t="shared" ca="1" si="30"/>
        <v>3</v>
      </c>
      <c r="C417" s="203">
        <f t="shared" ca="1" si="31"/>
        <v>1</v>
      </c>
      <c r="D417" s="204">
        <f t="shared" ca="1" si="32"/>
        <v>1</v>
      </c>
      <c r="E417" s="204">
        <f t="shared" ca="1" si="33"/>
        <v>15</v>
      </c>
      <c r="F417" s="34"/>
      <c r="J417" s="15"/>
      <c r="K417" s="21"/>
      <c r="L417" s="103"/>
      <c r="M417" s="103"/>
      <c r="N417" s="196"/>
      <c r="O417" s="139"/>
      <c r="P417" s="22"/>
      <c r="Q417" s="15"/>
    </row>
    <row r="418" spans="1:17" s="23" customFormat="1" ht="14.1" customHeight="1" x14ac:dyDescent="0.2">
      <c r="A418" s="203">
        <f ca="1">IF($H418="UNIDADE CONSTRUTIVA",OFFSET(A418,-1,0)+1,LARGE(A$3:A417,1))</f>
        <v>0</v>
      </c>
      <c r="B418" s="203">
        <f t="shared" ca="1" si="30"/>
        <v>3</v>
      </c>
      <c r="C418" s="203">
        <f t="shared" ca="1" si="31"/>
        <v>1</v>
      </c>
      <c r="D418" s="204">
        <f t="shared" ca="1" si="32"/>
        <v>1</v>
      </c>
      <c r="E418" s="204">
        <f t="shared" ca="1" si="33"/>
        <v>15</v>
      </c>
      <c r="F418" s="34"/>
      <c r="J418" s="15"/>
      <c r="K418" s="21"/>
      <c r="L418" s="103"/>
      <c r="M418" s="103"/>
      <c r="N418" s="196"/>
      <c r="O418" s="139"/>
      <c r="P418" s="22"/>
      <c r="Q418" s="15"/>
    </row>
    <row r="419" spans="1:17" s="23" customFormat="1" ht="14.1" customHeight="1" x14ac:dyDescent="0.2">
      <c r="A419" s="203">
        <f ca="1">IF($H419="UNIDADE CONSTRUTIVA",OFFSET(A419,-1,0)+1,LARGE(A$3:A418,1))</f>
        <v>0</v>
      </c>
      <c r="B419" s="203">
        <f t="shared" ca="1" si="30"/>
        <v>3</v>
      </c>
      <c r="C419" s="203">
        <f t="shared" ca="1" si="31"/>
        <v>1</v>
      </c>
      <c r="D419" s="204">
        <f t="shared" ca="1" si="32"/>
        <v>1</v>
      </c>
      <c r="E419" s="204">
        <f t="shared" ca="1" si="33"/>
        <v>15</v>
      </c>
      <c r="F419" s="34"/>
      <c r="J419" s="15"/>
      <c r="K419" s="21"/>
      <c r="L419" s="103"/>
      <c r="M419" s="103"/>
      <c r="N419" s="196"/>
      <c r="O419" s="139"/>
      <c r="P419" s="22"/>
      <c r="Q419" s="15"/>
    </row>
    <row r="420" spans="1:17" s="23" customFormat="1" ht="14.1" customHeight="1" x14ac:dyDescent="0.2">
      <c r="A420" s="203">
        <f ca="1">IF($H420="UNIDADE CONSTRUTIVA",OFFSET(A420,-1,0)+1,LARGE(A$3:A419,1))</f>
        <v>0</v>
      </c>
      <c r="B420" s="203">
        <f t="shared" ca="1" si="30"/>
        <v>3</v>
      </c>
      <c r="C420" s="203">
        <f t="shared" ca="1" si="31"/>
        <v>1</v>
      </c>
      <c r="D420" s="204">
        <f t="shared" ca="1" si="32"/>
        <v>1</v>
      </c>
      <c r="E420" s="204">
        <f t="shared" ca="1" si="33"/>
        <v>15</v>
      </c>
      <c r="F420" s="34"/>
      <c r="J420" s="15"/>
      <c r="K420" s="21"/>
      <c r="L420" s="103"/>
      <c r="M420" s="103"/>
      <c r="N420" s="196"/>
      <c r="O420" s="139"/>
      <c r="P420" s="22"/>
      <c r="Q420" s="15"/>
    </row>
    <row r="421" spans="1:17" s="23" customFormat="1" ht="14.1" customHeight="1" x14ac:dyDescent="0.2">
      <c r="A421" s="203">
        <f ca="1">IF($H421="UNIDADE CONSTRUTIVA",OFFSET(A421,-1,0)+1,LARGE(A$3:A420,1))</f>
        <v>0</v>
      </c>
      <c r="B421" s="203">
        <f t="shared" ca="1" si="30"/>
        <v>3</v>
      </c>
      <c r="C421" s="203">
        <f t="shared" ca="1" si="31"/>
        <v>1</v>
      </c>
      <c r="D421" s="204">
        <f t="shared" ca="1" si="32"/>
        <v>1</v>
      </c>
      <c r="E421" s="204">
        <f t="shared" ca="1" si="33"/>
        <v>15</v>
      </c>
      <c r="F421" s="34"/>
      <c r="J421" s="15"/>
      <c r="K421" s="21"/>
      <c r="L421" s="103"/>
      <c r="M421" s="103"/>
      <c r="N421" s="196"/>
      <c r="O421" s="139"/>
      <c r="P421" s="22"/>
      <c r="Q421" s="15"/>
    </row>
    <row r="422" spans="1:17" s="23" customFormat="1" ht="14.1" customHeight="1" x14ac:dyDescent="0.2">
      <c r="A422" s="203">
        <f ca="1">IF($H422="UNIDADE CONSTRUTIVA",OFFSET(A422,-1,0)+1,LARGE(A$3:A421,1))</f>
        <v>0</v>
      </c>
      <c r="B422" s="203">
        <f t="shared" ca="1" si="30"/>
        <v>3</v>
      </c>
      <c r="C422" s="203">
        <f t="shared" ca="1" si="31"/>
        <v>1</v>
      </c>
      <c r="D422" s="204">
        <f t="shared" ca="1" si="32"/>
        <v>1</v>
      </c>
      <c r="E422" s="204">
        <f t="shared" ca="1" si="33"/>
        <v>15</v>
      </c>
      <c r="F422" s="34"/>
      <c r="J422" s="15"/>
      <c r="K422" s="21"/>
      <c r="L422" s="103"/>
      <c r="M422" s="103"/>
      <c r="N422" s="196"/>
      <c r="O422" s="139"/>
      <c r="P422" s="22"/>
      <c r="Q422" s="15"/>
    </row>
    <row r="423" spans="1:17" s="23" customFormat="1" ht="14.1" customHeight="1" x14ac:dyDescent="0.2">
      <c r="A423" s="203">
        <f ca="1">IF($H423="UNIDADE CONSTRUTIVA",OFFSET(A423,-1,0)+1,LARGE(A$3:A422,1))</f>
        <v>0</v>
      </c>
      <c r="B423" s="203">
        <f t="shared" ca="1" si="30"/>
        <v>3</v>
      </c>
      <c r="C423" s="203">
        <f t="shared" ca="1" si="31"/>
        <v>1</v>
      </c>
      <c r="D423" s="204">
        <f t="shared" ca="1" si="32"/>
        <v>1</v>
      </c>
      <c r="E423" s="204">
        <f t="shared" ca="1" si="33"/>
        <v>15</v>
      </c>
      <c r="F423" s="34"/>
      <c r="J423" s="15"/>
      <c r="K423" s="21"/>
      <c r="L423" s="103"/>
      <c r="M423" s="103"/>
      <c r="N423" s="196"/>
      <c r="O423" s="139"/>
      <c r="P423" s="22"/>
      <c r="Q423" s="15"/>
    </row>
    <row r="424" spans="1:17" s="23" customFormat="1" ht="14.1" customHeight="1" x14ac:dyDescent="0.2">
      <c r="A424" s="203">
        <f ca="1">IF($H424="UNIDADE CONSTRUTIVA",OFFSET(A424,-1,0)+1,LARGE(A$3:A423,1))</f>
        <v>0</v>
      </c>
      <c r="B424" s="203">
        <f t="shared" ca="1" si="30"/>
        <v>3</v>
      </c>
      <c r="C424" s="203">
        <f t="shared" ca="1" si="31"/>
        <v>1</v>
      </c>
      <c r="D424" s="204">
        <f t="shared" ca="1" si="32"/>
        <v>1</v>
      </c>
      <c r="E424" s="204">
        <f t="shared" ca="1" si="33"/>
        <v>15</v>
      </c>
      <c r="F424" s="34"/>
      <c r="J424" s="15"/>
      <c r="K424" s="21"/>
      <c r="L424" s="103"/>
      <c r="M424" s="103"/>
      <c r="N424" s="196"/>
      <c r="O424" s="139"/>
      <c r="P424" s="22"/>
      <c r="Q424" s="15"/>
    </row>
    <row r="425" spans="1:17" s="23" customFormat="1" ht="14.1" customHeight="1" x14ac:dyDescent="0.2">
      <c r="A425" s="203">
        <f ca="1">IF($H425="UNIDADE CONSTRUTIVA",OFFSET(A425,-1,0)+1,LARGE(A$3:A424,1))</f>
        <v>0</v>
      </c>
      <c r="B425" s="203">
        <f t="shared" ca="1" si="30"/>
        <v>3</v>
      </c>
      <c r="C425" s="203">
        <f t="shared" ca="1" si="31"/>
        <v>1</v>
      </c>
      <c r="D425" s="204">
        <f t="shared" ca="1" si="32"/>
        <v>1</v>
      </c>
      <c r="E425" s="204">
        <f t="shared" ca="1" si="33"/>
        <v>15</v>
      </c>
      <c r="F425" s="34"/>
      <c r="J425" s="15"/>
      <c r="K425" s="21"/>
      <c r="L425" s="103"/>
      <c r="M425" s="103"/>
      <c r="N425" s="196"/>
      <c r="O425" s="139"/>
      <c r="P425" s="22"/>
      <c r="Q425" s="15"/>
    </row>
    <row r="426" spans="1:17" s="23" customFormat="1" ht="14.1" customHeight="1" x14ac:dyDescent="0.2">
      <c r="A426" s="203">
        <f ca="1">IF($H426="UNIDADE CONSTRUTIVA",OFFSET(A426,-1,0)+1,LARGE(A$3:A425,1))</f>
        <v>0</v>
      </c>
      <c r="B426" s="203">
        <f t="shared" ca="1" si="30"/>
        <v>3</v>
      </c>
      <c r="C426" s="203">
        <f t="shared" ca="1" si="31"/>
        <v>1</v>
      </c>
      <c r="D426" s="204">
        <f t="shared" ca="1" si="32"/>
        <v>1</v>
      </c>
      <c r="E426" s="204">
        <f t="shared" ca="1" si="33"/>
        <v>15</v>
      </c>
      <c r="F426" s="34"/>
      <c r="J426" s="15"/>
      <c r="K426" s="21"/>
      <c r="L426" s="103"/>
      <c r="M426" s="103"/>
      <c r="N426" s="196"/>
      <c r="O426" s="139"/>
      <c r="P426" s="22"/>
      <c r="Q426" s="15"/>
    </row>
    <row r="427" spans="1:17" s="23" customFormat="1" ht="14.1" customHeight="1" x14ac:dyDescent="0.2">
      <c r="A427" s="203">
        <f ca="1">IF($H427="UNIDADE CONSTRUTIVA",OFFSET(A427,-1,0)+1,LARGE(A$3:A426,1))</f>
        <v>0</v>
      </c>
      <c r="B427" s="203">
        <f t="shared" ca="1" si="30"/>
        <v>3</v>
      </c>
      <c r="C427" s="203">
        <f t="shared" ca="1" si="31"/>
        <v>1</v>
      </c>
      <c r="D427" s="204">
        <f t="shared" ca="1" si="32"/>
        <v>1</v>
      </c>
      <c r="E427" s="204">
        <f t="shared" ca="1" si="33"/>
        <v>15</v>
      </c>
      <c r="F427" s="34"/>
      <c r="J427" s="15"/>
      <c r="K427" s="21"/>
      <c r="L427" s="103"/>
      <c r="M427" s="103"/>
      <c r="N427" s="196"/>
      <c r="O427" s="139"/>
      <c r="P427" s="22"/>
      <c r="Q427" s="15"/>
    </row>
    <row r="428" spans="1:17" s="23" customFormat="1" ht="14.1" customHeight="1" x14ac:dyDescent="0.2">
      <c r="A428" s="203">
        <f ca="1">IF($H428="UNIDADE CONSTRUTIVA",OFFSET(A428,-1,0)+1,LARGE(A$3:A427,1))</f>
        <v>0</v>
      </c>
      <c r="B428" s="203">
        <f t="shared" ca="1" si="30"/>
        <v>3</v>
      </c>
      <c r="C428" s="203">
        <f t="shared" ca="1" si="31"/>
        <v>1</v>
      </c>
      <c r="D428" s="204">
        <f t="shared" ca="1" si="32"/>
        <v>1</v>
      </c>
      <c r="E428" s="204">
        <f t="shared" ca="1" si="33"/>
        <v>15</v>
      </c>
      <c r="F428" s="34"/>
      <c r="J428" s="15"/>
      <c r="K428" s="21"/>
      <c r="L428" s="103"/>
      <c r="M428" s="103"/>
      <c r="N428" s="196"/>
      <c r="O428" s="139"/>
      <c r="P428" s="22"/>
      <c r="Q428" s="15"/>
    </row>
    <row r="429" spans="1:17" s="23" customFormat="1" ht="14.1" customHeight="1" x14ac:dyDescent="0.2">
      <c r="A429" s="203">
        <f ca="1">IF($H429="UNIDADE CONSTRUTIVA",OFFSET(A429,-1,0)+1,LARGE(A$3:A428,1))</f>
        <v>0</v>
      </c>
      <c r="B429" s="203">
        <f t="shared" ca="1" si="30"/>
        <v>3</v>
      </c>
      <c r="C429" s="203">
        <f t="shared" ca="1" si="31"/>
        <v>1</v>
      </c>
      <c r="D429" s="204">
        <f t="shared" ca="1" si="32"/>
        <v>1</v>
      </c>
      <c r="E429" s="204">
        <f t="shared" ca="1" si="33"/>
        <v>15</v>
      </c>
      <c r="F429" s="34"/>
      <c r="J429" s="15"/>
      <c r="K429" s="21"/>
      <c r="L429" s="103"/>
      <c r="M429" s="103"/>
      <c r="N429" s="196"/>
      <c r="O429" s="139"/>
      <c r="P429" s="22"/>
      <c r="Q429" s="15"/>
    </row>
    <row r="430" spans="1:17" s="23" customFormat="1" ht="14.1" customHeight="1" x14ac:dyDescent="0.2">
      <c r="A430" s="203">
        <f ca="1">IF($H430="UNIDADE CONSTRUTIVA",OFFSET(A430,-1,0)+1,LARGE(A$3:A429,1))</f>
        <v>0</v>
      </c>
      <c r="B430" s="203">
        <f t="shared" ca="1" si="30"/>
        <v>3</v>
      </c>
      <c r="C430" s="203">
        <f t="shared" ca="1" si="31"/>
        <v>1</v>
      </c>
      <c r="D430" s="204">
        <f t="shared" ca="1" si="32"/>
        <v>1</v>
      </c>
      <c r="E430" s="204">
        <f t="shared" ca="1" si="33"/>
        <v>15</v>
      </c>
      <c r="F430" s="34"/>
      <c r="J430" s="15"/>
      <c r="K430" s="21"/>
      <c r="L430" s="103"/>
      <c r="M430" s="103"/>
      <c r="N430" s="196"/>
      <c r="O430" s="139"/>
      <c r="P430" s="22"/>
      <c r="Q430" s="15"/>
    </row>
    <row r="431" spans="1:17" s="23" customFormat="1" ht="14.1" customHeight="1" x14ac:dyDescent="0.2">
      <c r="A431" s="203">
        <f ca="1">IF($H431="UNIDADE CONSTRUTIVA",OFFSET(A431,-1,0)+1,LARGE(A$3:A430,1))</f>
        <v>0</v>
      </c>
      <c r="B431" s="203">
        <f t="shared" ca="1" si="30"/>
        <v>3</v>
      </c>
      <c r="C431" s="203">
        <f t="shared" ca="1" si="31"/>
        <v>1</v>
      </c>
      <c r="D431" s="204">
        <f t="shared" ca="1" si="32"/>
        <v>1</v>
      </c>
      <c r="E431" s="204">
        <f t="shared" ca="1" si="33"/>
        <v>15</v>
      </c>
      <c r="F431" s="34"/>
      <c r="J431" s="15"/>
      <c r="K431" s="21"/>
      <c r="L431" s="103"/>
      <c r="M431" s="103"/>
      <c r="N431" s="196"/>
      <c r="O431" s="139"/>
      <c r="P431" s="22"/>
      <c r="Q431" s="15"/>
    </row>
    <row r="432" spans="1:17" s="23" customFormat="1" ht="14.1" customHeight="1" x14ac:dyDescent="0.2">
      <c r="A432" s="203">
        <f ca="1">IF($H432="UNIDADE CONSTRUTIVA",OFFSET(A432,-1,0)+1,LARGE(A$3:A431,1))</f>
        <v>0</v>
      </c>
      <c r="B432" s="203">
        <f t="shared" ca="1" si="30"/>
        <v>3</v>
      </c>
      <c r="C432" s="203">
        <f t="shared" ca="1" si="31"/>
        <v>1</v>
      </c>
      <c r="D432" s="204">
        <f t="shared" ca="1" si="32"/>
        <v>1</v>
      </c>
      <c r="E432" s="204">
        <f t="shared" ca="1" si="33"/>
        <v>15</v>
      </c>
      <c r="F432" s="34"/>
      <c r="J432" s="15"/>
      <c r="K432" s="21"/>
      <c r="L432" s="103"/>
      <c r="M432" s="103"/>
      <c r="N432" s="196"/>
      <c r="O432" s="139"/>
      <c r="P432" s="22"/>
      <c r="Q432" s="15"/>
    </row>
    <row r="433" spans="1:17" s="23" customFormat="1" ht="14.1" customHeight="1" x14ac:dyDescent="0.2">
      <c r="A433" s="203">
        <f ca="1">IF($H433="UNIDADE CONSTRUTIVA",OFFSET(A433,-1,0)+1,LARGE(A$3:A432,1))</f>
        <v>0</v>
      </c>
      <c r="B433" s="203">
        <f t="shared" ca="1" si="30"/>
        <v>3</v>
      </c>
      <c r="C433" s="203">
        <f t="shared" ca="1" si="31"/>
        <v>1</v>
      </c>
      <c r="D433" s="204">
        <f t="shared" ca="1" si="32"/>
        <v>1</v>
      </c>
      <c r="E433" s="204">
        <f t="shared" ca="1" si="33"/>
        <v>15</v>
      </c>
      <c r="F433" s="34"/>
      <c r="J433" s="15"/>
      <c r="K433" s="21"/>
      <c r="L433" s="103"/>
      <c r="M433" s="103"/>
      <c r="N433" s="196"/>
      <c r="O433" s="139"/>
      <c r="P433" s="22"/>
      <c r="Q433" s="15"/>
    </row>
    <row r="434" spans="1:17" s="23" customFormat="1" ht="14.1" customHeight="1" x14ac:dyDescent="0.2">
      <c r="A434" s="203">
        <f ca="1">IF($H434="UNIDADE CONSTRUTIVA",OFFSET(A434,-1,0)+1,LARGE(A$3:A433,1))</f>
        <v>0</v>
      </c>
      <c r="B434" s="203">
        <f t="shared" ca="1" si="30"/>
        <v>3</v>
      </c>
      <c r="C434" s="203">
        <f t="shared" ca="1" si="31"/>
        <v>1</v>
      </c>
      <c r="D434" s="204">
        <f t="shared" ca="1" si="32"/>
        <v>1</v>
      </c>
      <c r="E434" s="204">
        <f t="shared" ca="1" si="33"/>
        <v>15</v>
      </c>
      <c r="F434" s="34"/>
      <c r="J434" s="15"/>
      <c r="K434" s="21"/>
      <c r="L434" s="103"/>
      <c r="M434" s="103"/>
      <c r="N434" s="196"/>
      <c r="O434" s="139"/>
      <c r="P434" s="22"/>
      <c r="Q434" s="15"/>
    </row>
    <row r="435" spans="1:17" s="23" customFormat="1" ht="14.1" customHeight="1" x14ac:dyDescent="0.2">
      <c r="A435" s="203">
        <f ca="1">IF($H435="UNIDADE CONSTRUTIVA",OFFSET(A435,-1,0)+1,LARGE(A$3:A434,1))</f>
        <v>0</v>
      </c>
      <c r="B435" s="203">
        <f t="shared" ca="1" si="30"/>
        <v>3</v>
      </c>
      <c r="C435" s="203">
        <f t="shared" ca="1" si="31"/>
        <v>1</v>
      </c>
      <c r="D435" s="204">
        <f t="shared" ca="1" si="32"/>
        <v>1</v>
      </c>
      <c r="E435" s="204">
        <f t="shared" ca="1" si="33"/>
        <v>15</v>
      </c>
      <c r="F435" s="34"/>
      <c r="J435" s="15"/>
      <c r="K435" s="21"/>
      <c r="L435" s="103"/>
      <c r="M435" s="103"/>
      <c r="N435" s="196"/>
      <c r="O435" s="139"/>
      <c r="P435" s="22"/>
      <c r="Q435" s="15"/>
    </row>
    <row r="436" spans="1:17" s="23" customFormat="1" ht="14.1" customHeight="1" x14ac:dyDescent="0.2">
      <c r="A436" s="203">
        <f ca="1">IF($H436="UNIDADE CONSTRUTIVA",OFFSET(A436,-1,0)+1,LARGE(A$3:A435,1))</f>
        <v>0</v>
      </c>
      <c r="B436" s="203">
        <f t="shared" ca="1" si="30"/>
        <v>3</v>
      </c>
      <c r="C436" s="203">
        <f t="shared" ca="1" si="31"/>
        <v>1</v>
      </c>
      <c r="D436" s="204">
        <f t="shared" ca="1" si="32"/>
        <v>1</v>
      </c>
      <c r="E436" s="204">
        <f t="shared" ca="1" si="33"/>
        <v>15</v>
      </c>
      <c r="F436" s="34"/>
      <c r="J436" s="15"/>
      <c r="K436" s="21"/>
      <c r="L436" s="103"/>
      <c r="M436" s="103"/>
      <c r="N436" s="196"/>
      <c r="O436" s="139"/>
      <c r="P436" s="22"/>
      <c r="Q436" s="15"/>
    </row>
    <row r="437" spans="1:17" s="23" customFormat="1" ht="14.1" customHeight="1" x14ac:dyDescent="0.2">
      <c r="A437" s="203">
        <f ca="1">IF($H437="UNIDADE CONSTRUTIVA",OFFSET(A437,-1,0)+1,LARGE(A$3:A436,1))</f>
        <v>0</v>
      </c>
      <c r="B437" s="203">
        <f t="shared" ca="1" si="30"/>
        <v>3</v>
      </c>
      <c r="C437" s="203">
        <f t="shared" ca="1" si="31"/>
        <v>1</v>
      </c>
      <c r="D437" s="204">
        <f t="shared" ca="1" si="32"/>
        <v>1</v>
      </c>
      <c r="E437" s="204">
        <f t="shared" ca="1" si="33"/>
        <v>15</v>
      </c>
      <c r="F437" s="34"/>
      <c r="J437" s="15"/>
      <c r="K437" s="21"/>
      <c r="L437" s="103"/>
      <c r="M437" s="103"/>
      <c r="N437" s="196"/>
      <c r="O437" s="139"/>
      <c r="P437" s="22"/>
      <c r="Q437" s="15"/>
    </row>
    <row r="438" spans="1:17" s="23" customFormat="1" ht="14.1" customHeight="1" x14ac:dyDescent="0.2">
      <c r="A438" s="203">
        <f ca="1">IF($H438="UNIDADE CONSTRUTIVA",OFFSET(A438,-1,0)+1,LARGE(A$3:A437,1))</f>
        <v>0</v>
      </c>
      <c r="B438" s="203">
        <f t="shared" ca="1" si="30"/>
        <v>3</v>
      </c>
      <c r="C438" s="203">
        <f t="shared" ca="1" si="31"/>
        <v>1</v>
      </c>
      <c r="D438" s="204">
        <f t="shared" ca="1" si="32"/>
        <v>1</v>
      </c>
      <c r="E438" s="204">
        <f t="shared" ca="1" si="33"/>
        <v>15</v>
      </c>
      <c r="F438" s="34"/>
      <c r="J438" s="15"/>
      <c r="K438" s="21"/>
      <c r="L438" s="103"/>
      <c r="M438" s="103"/>
      <c r="N438" s="196"/>
      <c r="O438" s="139"/>
      <c r="P438" s="22"/>
      <c r="Q438" s="15"/>
    </row>
    <row r="439" spans="1:17" s="23" customFormat="1" ht="14.1" customHeight="1" x14ac:dyDescent="0.2">
      <c r="A439" s="203">
        <f ca="1">IF($H439="UNIDADE CONSTRUTIVA",OFFSET(A439,-1,0)+1,LARGE(A$3:A438,1))</f>
        <v>0</v>
      </c>
      <c r="B439" s="203">
        <f t="shared" ca="1" si="30"/>
        <v>3</v>
      </c>
      <c r="C439" s="203">
        <f t="shared" ca="1" si="31"/>
        <v>1</v>
      </c>
      <c r="D439" s="204">
        <f t="shared" ca="1" si="32"/>
        <v>1</v>
      </c>
      <c r="E439" s="204">
        <f t="shared" ca="1" si="33"/>
        <v>15</v>
      </c>
      <c r="F439" s="34"/>
      <c r="J439" s="15"/>
      <c r="K439" s="21"/>
      <c r="L439" s="103"/>
      <c r="M439" s="103"/>
      <c r="N439" s="196"/>
      <c r="O439" s="139"/>
      <c r="P439" s="22"/>
      <c r="Q439" s="15"/>
    </row>
    <row r="440" spans="1:17" s="23" customFormat="1" ht="14.1" customHeight="1" x14ac:dyDescent="0.2">
      <c r="A440" s="203">
        <f ca="1">IF($H440="UNIDADE CONSTRUTIVA",OFFSET(A440,-1,0)+1,LARGE(A$3:A439,1))</f>
        <v>0</v>
      </c>
      <c r="B440" s="203">
        <f t="shared" ca="1" si="30"/>
        <v>3</v>
      </c>
      <c r="C440" s="203">
        <f t="shared" ca="1" si="31"/>
        <v>1</v>
      </c>
      <c r="D440" s="204">
        <f t="shared" ca="1" si="32"/>
        <v>1</v>
      </c>
      <c r="E440" s="204">
        <f t="shared" ca="1" si="33"/>
        <v>15</v>
      </c>
      <c r="F440" s="34"/>
      <c r="J440" s="15"/>
      <c r="K440" s="21"/>
      <c r="L440" s="103"/>
      <c r="M440" s="103"/>
      <c r="N440" s="196"/>
      <c r="O440" s="139"/>
      <c r="P440" s="22"/>
      <c r="Q440" s="15"/>
    </row>
    <row r="441" spans="1:17" s="23" customFormat="1" ht="14.1" customHeight="1" x14ac:dyDescent="0.2">
      <c r="A441" s="203">
        <f ca="1">IF($H441="UNIDADE CONSTRUTIVA",OFFSET(A441,-1,0)+1,LARGE(A$3:A440,1))</f>
        <v>0</v>
      </c>
      <c r="B441" s="203">
        <f t="shared" ca="1" si="30"/>
        <v>3</v>
      </c>
      <c r="C441" s="203">
        <f t="shared" ca="1" si="31"/>
        <v>1</v>
      </c>
      <c r="D441" s="204">
        <f t="shared" ca="1" si="32"/>
        <v>1</v>
      </c>
      <c r="E441" s="204">
        <f t="shared" ca="1" si="33"/>
        <v>15</v>
      </c>
      <c r="F441" s="34"/>
      <c r="J441" s="15"/>
      <c r="K441" s="21"/>
      <c r="L441" s="103"/>
      <c r="M441" s="103"/>
      <c r="N441" s="196"/>
      <c r="O441" s="139"/>
      <c r="P441" s="22"/>
      <c r="Q441" s="15"/>
    </row>
    <row r="442" spans="1:17" s="23" customFormat="1" ht="14.1" customHeight="1" x14ac:dyDescent="0.2">
      <c r="A442" s="203">
        <f ca="1">IF($H442="UNIDADE CONSTRUTIVA",OFFSET(A442,-1,0)+1,LARGE(A$3:A441,1))</f>
        <v>0</v>
      </c>
      <c r="B442" s="203">
        <f t="shared" ca="1" si="30"/>
        <v>3</v>
      </c>
      <c r="C442" s="203">
        <f t="shared" ca="1" si="31"/>
        <v>1</v>
      </c>
      <c r="D442" s="204">
        <f t="shared" ca="1" si="32"/>
        <v>1</v>
      </c>
      <c r="E442" s="204">
        <f t="shared" ca="1" si="33"/>
        <v>15</v>
      </c>
      <c r="F442" s="34"/>
      <c r="J442" s="15"/>
      <c r="K442" s="21"/>
      <c r="L442" s="103"/>
      <c r="M442" s="103"/>
      <c r="N442" s="196"/>
      <c r="O442" s="139"/>
      <c r="P442" s="22"/>
      <c r="Q442" s="15"/>
    </row>
    <row r="443" spans="1:17" s="23" customFormat="1" ht="14.1" customHeight="1" x14ac:dyDescent="0.2">
      <c r="A443" s="203">
        <f ca="1">IF($H443="UNIDADE CONSTRUTIVA",OFFSET(A443,-1,0)+1,LARGE(A$3:A442,1))</f>
        <v>0</v>
      </c>
      <c r="B443" s="203">
        <f t="shared" ca="1" si="30"/>
        <v>3</v>
      </c>
      <c r="C443" s="203">
        <f t="shared" ca="1" si="31"/>
        <v>1</v>
      </c>
      <c r="D443" s="204">
        <f t="shared" ca="1" si="32"/>
        <v>1</v>
      </c>
      <c r="E443" s="204">
        <f t="shared" ca="1" si="33"/>
        <v>15</v>
      </c>
      <c r="F443" s="34"/>
      <c r="J443" s="15"/>
      <c r="K443" s="21"/>
      <c r="L443" s="103"/>
      <c r="M443" s="103"/>
      <c r="N443" s="196"/>
      <c r="O443" s="139"/>
      <c r="P443" s="22"/>
      <c r="Q443" s="15"/>
    </row>
    <row r="444" spans="1:17" s="23" customFormat="1" ht="14.1" customHeight="1" x14ac:dyDescent="0.2">
      <c r="A444" s="203">
        <f ca="1">IF($H444="UNIDADE CONSTRUTIVA",OFFSET(A444,-1,0)+1,LARGE(A$3:A443,1))</f>
        <v>0</v>
      </c>
      <c r="B444" s="203">
        <f t="shared" ca="1" si="30"/>
        <v>3</v>
      </c>
      <c r="C444" s="203">
        <f t="shared" ca="1" si="31"/>
        <v>1</v>
      </c>
      <c r="D444" s="204">
        <f t="shared" ca="1" si="32"/>
        <v>1</v>
      </c>
      <c r="E444" s="204">
        <f t="shared" ca="1" si="33"/>
        <v>15</v>
      </c>
      <c r="F444" s="34"/>
      <c r="J444" s="15"/>
      <c r="K444" s="21"/>
      <c r="L444" s="103"/>
      <c r="M444" s="103"/>
      <c r="N444" s="196"/>
      <c r="O444" s="139"/>
      <c r="P444" s="22"/>
      <c r="Q444" s="15"/>
    </row>
    <row r="445" spans="1:17" s="23" customFormat="1" ht="14.1" customHeight="1" x14ac:dyDescent="0.2">
      <c r="A445" s="203">
        <f ca="1">IF($H445="UNIDADE CONSTRUTIVA",OFFSET(A445,-1,0)+1,LARGE(A$3:A444,1))</f>
        <v>0</v>
      </c>
      <c r="B445" s="203">
        <f t="shared" ca="1" si="30"/>
        <v>3</v>
      </c>
      <c r="C445" s="203">
        <f t="shared" ca="1" si="31"/>
        <v>1</v>
      </c>
      <c r="D445" s="204">
        <f t="shared" ca="1" si="32"/>
        <v>1</v>
      </c>
      <c r="E445" s="204">
        <f t="shared" ca="1" si="33"/>
        <v>15</v>
      </c>
      <c r="F445" s="34"/>
      <c r="J445" s="15"/>
      <c r="K445" s="21"/>
      <c r="L445" s="103"/>
      <c r="M445" s="103"/>
      <c r="N445" s="196"/>
      <c r="O445" s="139"/>
      <c r="P445" s="22"/>
      <c r="Q445" s="15"/>
    </row>
    <row r="446" spans="1:17" s="23" customFormat="1" ht="14.1" customHeight="1" x14ac:dyDescent="0.2">
      <c r="A446" s="203">
        <f ca="1">IF($H446="UNIDADE CONSTRUTIVA",OFFSET(A446,-1,0)+1,LARGE(A$3:A445,1))</f>
        <v>0</v>
      </c>
      <c r="B446" s="203">
        <f t="shared" ca="1" si="30"/>
        <v>3</v>
      </c>
      <c r="C446" s="203">
        <f t="shared" ca="1" si="31"/>
        <v>1</v>
      </c>
      <c r="D446" s="204">
        <f t="shared" ca="1" si="32"/>
        <v>1</v>
      </c>
      <c r="E446" s="204">
        <f t="shared" ca="1" si="33"/>
        <v>15</v>
      </c>
      <c r="F446" s="34"/>
      <c r="J446" s="15"/>
      <c r="K446" s="21"/>
      <c r="L446" s="103"/>
      <c r="M446" s="103"/>
      <c r="N446" s="196"/>
      <c r="O446" s="139"/>
      <c r="P446" s="22"/>
      <c r="Q446" s="15"/>
    </row>
    <row r="447" spans="1:17" s="23" customFormat="1" ht="14.1" customHeight="1" x14ac:dyDescent="0.2">
      <c r="A447" s="203">
        <f ca="1">IF($H447="UNIDADE CONSTRUTIVA",OFFSET(A447,-1,0)+1,LARGE(A$3:A446,1))</f>
        <v>0</v>
      </c>
      <c r="B447" s="203">
        <f t="shared" ca="1" si="30"/>
        <v>3</v>
      </c>
      <c r="C447" s="203">
        <f t="shared" ca="1" si="31"/>
        <v>1</v>
      </c>
      <c r="D447" s="204">
        <f t="shared" ca="1" si="32"/>
        <v>1</v>
      </c>
      <c r="E447" s="204">
        <f t="shared" ca="1" si="33"/>
        <v>15</v>
      </c>
      <c r="F447" s="34"/>
      <c r="J447" s="15"/>
      <c r="K447" s="21"/>
      <c r="L447" s="103"/>
      <c r="M447" s="103"/>
      <c r="N447" s="196"/>
      <c r="O447" s="139"/>
      <c r="P447" s="22"/>
      <c r="Q447" s="15"/>
    </row>
    <row r="448" spans="1:17" s="23" customFormat="1" ht="14.1" customHeight="1" x14ac:dyDescent="0.2">
      <c r="A448" s="203">
        <f ca="1">IF($H448="UNIDADE CONSTRUTIVA",OFFSET(A448,-1,0)+1,LARGE(A$3:A447,1))</f>
        <v>0</v>
      </c>
      <c r="B448" s="203">
        <f t="shared" ca="1" si="30"/>
        <v>3</v>
      </c>
      <c r="C448" s="203">
        <f t="shared" ca="1" si="31"/>
        <v>1</v>
      </c>
      <c r="D448" s="204">
        <f t="shared" ca="1" si="32"/>
        <v>1</v>
      </c>
      <c r="E448" s="204">
        <f t="shared" ca="1" si="33"/>
        <v>15</v>
      </c>
      <c r="F448" s="34"/>
      <c r="J448" s="15"/>
      <c r="K448" s="21"/>
      <c r="L448" s="103"/>
      <c r="M448" s="103"/>
      <c r="N448" s="196"/>
      <c r="O448" s="139"/>
      <c r="P448" s="22"/>
      <c r="Q448" s="15"/>
    </row>
    <row r="449" spans="1:17" s="23" customFormat="1" ht="14.1" customHeight="1" x14ac:dyDescent="0.2">
      <c r="A449" s="203">
        <f ca="1">IF($H449="UNIDADE CONSTRUTIVA",OFFSET(A449,-1,0)+1,LARGE(A$3:A448,1))</f>
        <v>0</v>
      </c>
      <c r="B449" s="203">
        <f t="shared" ca="1" si="30"/>
        <v>3</v>
      </c>
      <c r="C449" s="203">
        <f t="shared" ca="1" si="31"/>
        <v>1</v>
      </c>
      <c r="D449" s="204">
        <f t="shared" ca="1" si="32"/>
        <v>1</v>
      </c>
      <c r="E449" s="204">
        <f t="shared" ca="1" si="33"/>
        <v>15</v>
      </c>
      <c r="F449" s="34"/>
      <c r="J449" s="15"/>
      <c r="K449" s="21"/>
      <c r="L449" s="103"/>
      <c r="M449" s="103"/>
      <c r="N449" s="196"/>
      <c r="O449" s="139"/>
      <c r="P449" s="22"/>
      <c r="Q449" s="15"/>
    </row>
    <row r="450" spans="1:17" s="23" customFormat="1" ht="14.1" customHeight="1" x14ac:dyDescent="0.2">
      <c r="A450" s="203">
        <f ca="1">IF($H450="UNIDADE CONSTRUTIVA",OFFSET(A450,-1,0)+1,LARGE(A$3:A449,1))</f>
        <v>0</v>
      </c>
      <c r="B450" s="203">
        <f t="shared" ca="1" si="30"/>
        <v>3</v>
      </c>
      <c r="C450" s="203">
        <f t="shared" ca="1" si="31"/>
        <v>1</v>
      </c>
      <c r="D450" s="204">
        <f t="shared" ca="1" si="32"/>
        <v>1</v>
      </c>
      <c r="E450" s="204">
        <f t="shared" ca="1" si="33"/>
        <v>15</v>
      </c>
      <c r="F450" s="34"/>
      <c r="J450" s="15"/>
      <c r="K450" s="21"/>
      <c r="L450" s="103"/>
      <c r="M450" s="103"/>
      <c r="N450" s="196"/>
      <c r="O450" s="139"/>
      <c r="P450" s="22"/>
      <c r="Q450" s="15"/>
    </row>
    <row r="451" spans="1:17" s="23" customFormat="1" ht="14.1" customHeight="1" x14ac:dyDescent="0.2">
      <c r="A451" s="203">
        <f ca="1">IF($H451="UNIDADE CONSTRUTIVA",OFFSET(A451,-1,0)+1,LARGE(A$3:A450,1))</f>
        <v>0</v>
      </c>
      <c r="B451" s="203">
        <f t="shared" ca="1" si="30"/>
        <v>3</v>
      </c>
      <c r="C451" s="203">
        <f t="shared" ca="1" si="31"/>
        <v>1</v>
      </c>
      <c r="D451" s="204">
        <f t="shared" ca="1" si="32"/>
        <v>1</v>
      </c>
      <c r="E451" s="204">
        <f t="shared" ca="1" si="33"/>
        <v>15</v>
      </c>
      <c r="F451" s="34"/>
      <c r="J451" s="15"/>
      <c r="K451" s="21"/>
      <c r="L451" s="103"/>
      <c r="M451" s="103"/>
      <c r="N451" s="196"/>
      <c r="O451" s="139"/>
      <c r="P451" s="22"/>
      <c r="Q451" s="15"/>
    </row>
    <row r="452" spans="1:17" s="23" customFormat="1" ht="14.1" customHeight="1" x14ac:dyDescent="0.2">
      <c r="A452" s="203">
        <f ca="1">IF($H452="UNIDADE CONSTRUTIVA",OFFSET(A452,-1,0)+1,LARGE(A$3:A451,1))</f>
        <v>0</v>
      </c>
      <c r="B452" s="203">
        <f t="shared" ca="1" si="30"/>
        <v>3</v>
      </c>
      <c r="C452" s="203">
        <f t="shared" ca="1" si="31"/>
        <v>1</v>
      </c>
      <c r="D452" s="204">
        <f t="shared" ca="1" si="32"/>
        <v>1</v>
      </c>
      <c r="E452" s="204">
        <f t="shared" ca="1" si="33"/>
        <v>15</v>
      </c>
      <c r="F452" s="34"/>
      <c r="J452" s="15"/>
      <c r="K452" s="21"/>
      <c r="L452" s="103"/>
      <c r="M452" s="103"/>
      <c r="N452" s="196"/>
      <c r="O452" s="139"/>
      <c r="P452" s="22"/>
      <c r="Q452" s="15"/>
    </row>
    <row r="453" spans="1:17" s="23" customFormat="1" ht="14.1" customHeight="1" x14ac:dyDescent="0.2">
      <c r="A453" s="203">
        <f ca="1">IF($H453="UNIDADE CONSTRUTIVA",OFFSET(A453,-1,0)+1,LARGE(A$3:A452,1))</f>
        <v>0</v>
      </c>
      <c r="B453" s="203">
        <f t="shared" ca="1" si="30"/>
        <v>3</v>
      </c>
      <c r="C453" s="203">
        <f t="shared" ca="1" si="31"/>
        <v>1</v>
      </c>
      <c r="D453" s="204">
        <f t="shared" ca="1" si="32"/>
        <v>1</v>
      </c>
      <c r="E453" s="204">
        <f t="shared" ca="1" si="33"/>
        <v>15</v>
      </c>
      <c r="F453" s="34"/>
      <c r="J453" s="15"/>
      <c r="K453" s="21"/>
      <c r="L453" s="103"/>
      <c r="M453" s="103"/>
      <c r="N453" s="196"/>
      <c r="O453" s="139"/>
      <c r="P453" s="22"/>
      <c r="Q453" s="15"/>
    </row>
    <row r="454" spans="1:17" s="23" customFormat="1" ht="14.1" customHeight="1" x14ac:dyDescent="0.2">
      <c r="A454" s="203">
        <f ca="1">IF($H454="UNIDADE CONSTRUTIVA",OFFSET(A454,-1,0)+1,LARGE(A$3:A453,1))</f>
        <v>0</v>
      </c>
      <c r="B454" s="203">
        <f t="shared" ca="1" si="30"/>
        <v>3</v>
      </c>
      <c r="C454" s="203">
        <f t="shared" ca="1" si="31"/>
        <v>1</v>
      </c>
      <c r="D454" s="204">
        <f t="shared" ca="1" si="32"/>
        <v>1</v>
      </c>
      <c r="E454" s="204">
        <f t="shared" ca="1" si="33"/>
        <v>15</v>
      </c>
      <c r="F454" s="34"/>
      <c r="J454" s="15"/>
      <c r="K454" s="21"/>
      <c r="L454" s="103"/>
      <c r="M454" s="103"/>
      <c r="N454" s="196"/>
      <c r="O454" s="139"/>
      <c r="P454" s="22"/>
      <c r="Q454" s="15"/>
    </row>
    <row r="455" spans="1:17" s="23" customFormat="1" ht="14.1" customHeight="1" x14ac:dyDescent="0.2">
      <c r="A455" s="203">
        <f ca="1">IF($H455="UNIDADE CONSTRUTIVA",OFFSET(A455,-1,0)+1,LARGE(A$3:A454,1))</f>
        <v>0</v>
      </c>
      <c r="B455" s="203">
        <f t="shared" ca="1" si="30"/>
        <v>3</v>
      </c>
      <c r="C455" s="203">
        <f t="shared" ca="1" si="31"/>
        <v>1</v>
      </c>
      <c r="D455" s="204">
        <f t="shared" ca="1" si="32"/>
        <v>1</v>
      </c>
      <c r="E455" s="204">
        <f t="shared" ca="1" si="33"/>
        <v>15</v>
      </c>
      <c r="F455" s="34"/>
      <c r="J455" s="15"/>
      <c r="K455" s="21"/>
      <c r="L455" s="103"/>
      <c r="M455" s="103"/>
      <c r="N455" s="196"/>
      <c r="O455" s="139"/>
      <c r="P455" s="22"/>
      <c r="Q455" s="15"/>
    </row>
    <row r="456" spans="1:17" s="23" customFormat="1" ht="14.1" customHeight="1" x14ac:dyDescent="0.2">
      <c r="A456" s="203">
        <f ca="1">IF($H456="UNIDADE CONSTRUTIVA",OFFSET(A456,-1,0)+1,LARGE(A$3:A455,1))</f>
        <v>0</v>
      </c>
      <c r="B456" s="203">
        <f t="shared" ca="1" si="30"/>
        <v>3</v>
      </c>
      <c r="C456" s="203">
        <f t="shared" ca="1" si="31"/>
        <v>1</v>
      </c>
      <c r="D456" s="204">
        <f t="shared" ca="1" si="32"/>
        <v>1</v>
      </c>
      <c r="E456" s="204">
        <f t="shared" ca="1" si="33"/>
        <v>15</v>
      </c>
      <c r="F456" s="34"/>
      <c r="J456" s="15"/>
      <c r="K456" s="21"/>
      <c r="L456" s="103"/>
      <c r="M456" s="103"/>
      <c r="N456" s="196"/>
      <c r="O456" s="139"/>
      <c r="P456" s="22"/>
      <c r="Q456" s="15"/>
    </row>
    <row r="457" spans="1:17" s="23" customFormat="1" ht="14.1" customHeight="1" x14ac:dyDescent="0.2">
      <c r="A457" s="203">
        <f ca="1">IF($H457="UNIDADE CONSTRUTIVA",OFFSET(A457,-1,0)+1,LARGE(A$3:A456,1))</f>
        <v>0</v>
      </c>
      <c r="B457" s="203">
        <f t="shared" ca="1" si="30"/>
        <v>3</v>
      </c>
      <c r="C457" s="203">
        <f t="shared" ca="1" si="31"/>
        <v>1</v>
      </c>
      <c r="D457" s="204">
        <f t="shared" ca="1" si="32"/>
        <v>1</v>
      </c>
      <c r="E457" s="204">
        <f t="shared" ca="1" si="33"/>
        <v>15</v>
      </c>
      <c r="F457" s="34"/>
      <c r="J457" s="15"/>
      <c r="K457" s="21"/>
      <c r="L457" s="103"/>
      <c r="M457" s="103"/>
      <c r="N457" s="196"/>
      <c r="O457" s="139"/>
      <c r="P457" s="22"/>
      <c r="Q457" s="15"/>
    </row>
    <row r="458" spans="1:17" s="23" customFormat="1" ht="14.1" customHeight="1" x14ac:dyDescent="0.2">
      <c r="A458" s="203">
        <f ca="1">IF($H458="UNIDADE CONSTRUTIVA",OFFSET(A458,-1,0)+1,LARGE(A$3:A457,1))</f>
        <v>0</v>
      </c>
      <c r="B458" s="203">
        <f t="shared" ca="1" si="30"/>
        <v>3</v>
      </c>
      <c r="C458" s="203">
        <f t="shared" ca="1" si="31"/>
        <v>1</v>
      </c>
      <c r="D458" s="204">
        <f t="shared" ca="1" si="32"/>
        <v>1</v>
      </c>
      <c r="E458" s="204">
        <f t="shared" ca="1" si="33"/>
        <v>15</v>
      </c>
      <c r="F458" s="34"/>
      <c r="J458" s="15"/>
      <c r="K458" s="21"/>
      <c r="L458" s="103"/>
      <c r="M458" s="103"/>
      <c r="N458" s="196"/>
      <c r="O458" s="139"/>
      <c r="P458" s="22"/>
      <c r="Q458" s="15"/>
    </row>
    <row r="459" spans="1:17" s="23" customFormat="1" ht="14.1" customHeight="1" x14ac:dyDescent="0.2">
      <c r="A459" s="203">
        <f ca="1">IF($H459="UNIDADE CONSTRUTIVA",OFFSET(A459,-1,0)+1,LARGE(A$3:A458,1))</f>
        <v>0</v>
      </c>
      <c r="B459" s="203">
        <f t="shared" ca="1" si="30"/>
        <v>3</v>
      </c>
      <c r="C459" s="203">
        <f t="shared" ca="1" si="31"/>
        <v>1</v>
      </c>
      <c r="D459" s="204">
        <f t="shared" ca="1" si="32"/>
        <v>1</v>
      </c>
      <c r="E459" s="204">
        <f t="shared" ca="1" si="33"/>
        <v>15</v>
      </c>
      <c r="F459" s="34"/>
      <c r="J459" s="15"/>
      <c r="K459" s="21"/>
      <c r="L459" s="103"/>
      <c r="M459" s="103"/>
      <c r="N459" s="196"/>
      <c r="O459" s="139"/>
      <c r="P459" s="22"/>
      <c r="Q459" s="15"/>
    </row>
    <row r="460" spans="1:17" s="23" customFormat="1" ht="14.1" customHeight="1" x14ac:dyDescent="0.2">
      <c r="A460" s="203">
        <f ca="1">IF($H460="UNIDADE CONSTRUTIVA",OFFSET(A460,-1,0)+1,LARGE(A$3:A459,1))</f>
        <v>0</v>
      </c>
      <c r="B460" s="203">
        <f t="shared" ca="1" si="30"/>
        <v>3</v>
      </c>
      <c r="C460" s="203">
        <f t="shared" ca="1" si="31"/>
        <v>1</v>
      </c>
      <c r="D460" s="204">
        <f t="shared" ca="1" si="32"/>
        <v>1</v>
      </c>
      <c r="E460" s="204">
        <f t="shared" ca="1" si="33"/>
        <v>15</v>
      </c>
      <c r="F460" s="34"/>
      <c r="J460" s="15"/>
      <c r="K460" s="21"/>
      <c r="L460" s="103"/>
      <c r="M460" s="103"/>
      <c r="N460" s="196"/>
      <c r="O460" s="139"/>
      <c r="P460" s="22"/>
      <c r="Q460" s="15"/>
    </row>
    <row r="461" spans="1:17" s="23" customFormat="1" ht="14.1" customHeight="1" x14ac:dyDescent="0.2">
      <c r="A461" s="203">
        <f ca="1">IF($H461="UNIDADE CONSTRUTIVA",OFFSET(A461,-1,0)+1,LARGE(A$3:A460,1))</f>
        <v>0</v>
      </c>
      <c r="B461" s="203">
        <f t="shared" ref="B461:B524" ca="1" si="34">IF(H461="UNIDADE CONSTRUTIVA",0,IF(H461="CÉLULA CONSTRUTIVA",OFFSET(B461,-1,0)+1,OFFSET(B461,-1,0)))</f>
        <v>3</v>
      </c>
      <c r="C461" s="203">
        <f t="shared" ref="C461:C524" ca="1" si="35">IF(H461="CÉLULA CONSTRUTIVA",0,IF(H461="ETAPA",OFFSET(C461,-1,0)+1,OFFSET(C461,-1,0)))</f>
        <v>1</v>
      </c>
      <c r="D461" s="204">
        <f t="shared" ref="D461:D524" ca="1" si="36">IF(H461="ETAPA",0,IF(H461="SUBETAPA",OFFSET(D461,-1,0)+1,OFFSET(D461,-1,0)))</f>
        <v>1</v>
      </c>
      <c r="E461" s="204">
        <f t="shared" ref="E461:E524" ca="1" si="37">IF(H461="Subetapa",0,IF(H461="serviço",OFFSET(E461,-1,0)+1,OFFSET(E461,-1,0)))</f>
        <v>15</v>
      </c>
      <c r="F461" s="34"/>
      <c r="J461" s="15"/>
      <c r="K461" s="21"/>
      <c r="L461" s="103"/>
      <c r="M461" s="103"/>
      <c r="N461" s="196"/>
      <c r="O461" s="139"/>
      <c r="P461" s="22"/>
      <c r="Q461" s="15"/>
    </row>
    <row r="462" spans="1:17" s="23" customFormat="1" ht="14.1" customHeight="1" x14ac:dyDescent="0.2">
      <c r="A462" s="203">
        <f ca="1">IF($H462="UNIDADE CONSTRUTIVA",OFFSET(A462,-1,0)+1,LARGE(A$3:A461,1))</f>
        <v>0</v>
      </c>
      <c r="B462" s="203">
        <f t="shared" ca="1" si="34"/>
        <v>3</v>
      </c>
      <c r="C462" s="203">
        <f t="shared" ca="1" si="35"/>
        <v>1</v>
      </c>
      <c r="D462" s="204">
        <f t="shared" ca="1" si="36"/>
        <v>1</v>
      </c>
      <c r="E462" s="204">
        <f t="shared" ca="1" si="37"/>
        <v>15</v>
      </c>
      <c r="F462" s="34"/>
      <c r="J462" s="15"/>
      <c r="K462" s="21"/>
      <c r="L462" s="103"/>
      <c r="M462" s="103"/>
      <c r="N462" s="196"/>
      <c r="O462" s="139"/>
      <c r="P462" s="22"/>
      <c r="Q462" s="15"/>
    </row>
    <row r="463" spans="1:17" s="23" customFormat="1" ht="14.1" customHeight="1" x14ac:dyDescent="0.2">
      <c r="A463" s="203">
        <f ca="1">IF($H463="UNIDADE CONSTRUTIVA",OFFSET(A463,-1,0)+1,LARGE(A$3:A462,1))</f>
        <v>0</v>
      </c>
      <c r="B463" s="203">
        <f t="shared" ca="1" si="34"/>
        <v>3</v>
      </c>
      <c r="C463" s="203">
        <f t="shared" ca="1" si="35"/>
        <v>1</v>
      </c>
      <c r="D463" s="204">
        <f t="shared" ca="1" si="36"/>
        <v>1</v>
      </c>
      <c r="E463" s="204">
        <f t="shared" ca="1" si="37"/>
        <v>15</v>
      </c>
      <c r="F463" s="34"/>
      <c r="J463" s="15"/>
      <c r="K463" s="21"/>
      <c r="L463" s="103"/>
      <c r="M463" s="103"/>
      <c r="N463" s="196"/>
      <c r="O463" s="139"/>
      <c r="P463" s="22"/>
      <c r="Q463" s="15"/>
    </row>
    <row r="464" spans="1:17" s="23" customFormat="1" ht="14.1" customHeight="1" x14ac:dyDescent="0.2">
      <c r="A464" s="203">
        <f ca="1">IF($H464="UNIDADE CONSTRUTIVA",OFFSET(A464,-1,0)+1,LARGE(A$3:A463,1))</f>
        <v>0</v>
      </c>
      <c r="B464" s="203">
        <f t="shared" ca="1" si="34"/>
        <v>3</v>
      </c>
      <c r="C464" s="203">
        <f t="shared" ca="1" si="35"/>
        <v>1</v>
      </c>
      <c r="D464" s="204">
        <f t="shared" ca="1" si="36"/>
        <v>1</v>
      </c>
      <c r="E464" s="204">
        <f t="shared" ca="1" si="37"/>
        <v>15</v>
      </c>
      <c r="F464" s="34"/>
      <c r="J464" s="15"/>
      <c r="K464" s="21"/>
      <c r="L464" s="103"/>
      <c r="M464" s="103"/>
      <c r="N464" s="196"/>
      <c r="O464" s="139"/>
      <c r="P464" s="22"/>
      <c r="Q464" s="15"/>
    </row>
    <row r="465" spans="1:17" s="23" customFormat="1" ht="14.1" customHeight="1" x14ac:dyDescent="0.2">
      <c r="A465" s="203">
        <f ca="1">IF($H465="UNIDADE CONSTRUTIVA",OFFSET(A465,-1,0)+1,LARGE(A$3:A464,1))</f>
        <v>0</v>
      </c>
      <c r="B465" s="203">
        <f t="shared" ca="1" si="34"/>
        <v>3</v>
      </c>
      <c r="C465" s="203">
        <f t="shared" ca="1" si="35"/>
        <v>1</v>
      </c>
      <c r="D465" s="204">
        <f t="shared" ca="1" si="36"/>
        <v>1</v>
      </c>
      <c r="E465" s="204">
        <f t="shared" ca="1" si="37"/>
        <v>15</v>
      </c>
      <c r="F465" s="34"/>
      <c r="J465" s="15"/>
      <c r="K465" s="21"/>
      <c r="L465" s="103"/>
      <c r="M465" s="103"/>
      <c r="N465" s="196"/>
      <c r="O465" s="139"/>
      <c r="P465" s="22"/>
      <c r="Q465" s="15"/>
    </row>
    <row r="466" spans="1:17" s="23" customFormat="1" ht="14.1" customHeight="1" x14ac:dyDescent="0.2">
      <c r="A466" s="203">
        <f ca="1">IF($H466="UNIDADE CONSTRUTIVA",OFFSET(A466,-1,0)+1,LARGE(A$3:A465,1))</f>
        <v>0</v>
      </c>
      <c r="B466" s="203">
        <f t="shared" ca="1" si="34"/>
        <v>3</v>
      </c>
      <c r="C466" s="203">
        <f t="shared" ca="1" si="35"/>
        <v>1</v>
      </c>
      <c r="D466" s="204">
        <f t="shared" ca="1" si="36"/>
        <v>1</v>
      </c>
      <c r="E466" s="204">
        <f t="shared" ca="1" si="37"/>
        <v>15</v>
      </c>
      <c r="F466" s="34"/>
      <c r="J466" s="15"/>
      <c r="K466" s="21"/>
      <c r="L466" s="103"/>
      <c r="M466" s="103"/>
      <c r="N466" s="196"/>
      <c r="O466" s="139"/>
      <c r="P466" s="22"/>
      <c r="Q466" s="15"/>
    </row>
    <row r="467" spans="1:17" s="23" customFormat="1" ht="14.1" customHeight="1" x14ac:dyDescent="0.2">
      <c r="A467" s="203">
        <f ca="1">IF($H467="UNIDADE CONSTRUTIVA",OFFSET(A467,-1,0)+1,LARGE(A$3:A466,1))</f>
        <v>0</v>
      </c>
      <c r="B467" s="203">
        <f t="shared" ca="1" si="34"/>
        <v>3</v>
      </c>
      <c r="C467" s="203">
        <f t="shared" ca="1" si="35"/>
        <v>1</v>
      </c>
      <c r="D467" s="204">
        <f t="shared" ca="1" si="36"/>
        <v>1</v>
      </c>
      <c r="E467" s="204">
        <f t="shared" ca="1" si="37"/>
        <v>15</v>
      </c>
      <c r="F467" s="34"/>
      <c r="J467" s="15"/>
      <c r="K467" s="21"/>
      <c r="L467" s="103"/>
      <c r="M467" s="103"/>
      <c r="N467" s="196"/>
      <c r="O467" s="139"/>
      <c r="P467" s="22"/>
      <c r="Q467" s="15"/>
    </row>
    <row r="468" spans="1:17" s="23" customFormat="1" ht="14.1" customHeight="1" x14ac:dyDescent="0.2">
      <c r="A468" s="203">
        <f ca="1">IF($H468="UNIDADE CONSTRUTIVA",OFFSET(A468,-1,0)+1,LARGE(A$3:A467,1))</f>
        <v>0</v>
      </c>
      <c r="B468" s="203">
        <f t="shared" ca="1" si="34"/>
        <v>3</v>
      </c>
      <c r="C468" s="203">
        <f t="shared" ca="1" si="35"/>
        <v>1</v>
      </c>
      <c r="D468" s="204">
        <f t="shared" ca="1" si="36"/>
        <v>1</v>
      </c>
      <c r="E468" s="204">
        <f t="shared" ca="1" si="37"/>
        <v>15</v>
      </c>
      <c r="F468" s="34"/>
      <c r="J468" s="15"/>
      <c r="K468" s="21"/>
      <c r="L468" s="103"/>
      <c r="M468" s="103"/>
      <c r="N468" s="196"/>
      <c r="O468" s="139"/>
      <c r="P468" s="22"/>
      <c r="Q468" s="15"/>
    </row>
    <row r="469" spans="1:17" s="23" customFormat="1" ht="14.1" customHeight="1" x14ac:dyDescent="0.2">
      <c r="A469" s="203">
        <f ca="1">IF($H469="UNIDADE CONSTRUTIVA",OFFSET(A469,-1,0)+1,LARGE(A$3:A468,1))</f>
        <v>0</v>
      </c>
      <c r="B469" s="203">
        <f t="shared" ca="1" si="34"/>
        <v>3</v>
      </c>
      <c r="C469" s="203">
        <f t="shared" ca="1" si="35"/>
        <v>1</v>
      </c>
      <c r="D469" s="204">
        <f t="shared" ca="1" si="36"/>
        <v>1</v>
      </c>
      <c r="E469" s="204">
        <f t="shared" ca="1" si="37"/>
        <v>15</v>
      </c>
      <c r="F469" s="34"/>
      <c r="J469" s="15"/>
      <c r="K469" s="21"/>
      <c r="L469" s="103"/>
      <c r="M469" s="103"/>
      <c r="N469" s="196"/>
      <c r="O469" s="139"/>
      <c r="P469" s="22"/>
      <c r="Q469" s="15"/>
    </row>
    <row r="470" spans="1:17" s="23" customFormat="1" ht="14.1" customHeight="1" x14ac:dyDescent="0.2">
      <c r="A470" s="203">
        <f ca="1">IF($H470="UNIDADE CONSTRUTIVA",OFFSET(A470,-1,0)+1,LARGE(A$3:A469,1))</f>
        <v>0</v>
      </c>
      <c r="B470" s="203">
        <f t="shared" ca="1" si="34"/>
        <v>3</v>
      </c>
      <c r="C470" s="203">
        <f t="shared" ca="1" si="35"/>
        <v>1</v>
      </c>
      <c r="D470" s="204">
        <f t="shared" ca="1" si="36"/>
        <v>1</v>
      </c>
      <c r="E470" s="204">
        <f t="shared" ca="1" si="37"/>
        <v>15</v>
      </c>
      <c r="F470" s="34"/>
      <c r="J470" s="15"/>
      <c r="K470" s="21"/>
      <c r="L470" s="103"/>
      <c r="M470" s="103"/>
      <c r="N470" s="196"/>
      <c r="O470" s="139"/>
      <c r="P470" s="22"/>
      <c r="Q470" s="15"/>
    </row>
    <row r="471" spans="1:17" s="23" customFormat="1" ht="14.1" customHeight="1" x14ac:dyDescent="0.2">
      <c r="A471" s="203">
        <f ca="1">IF($H471="UNIDADE CONSTRUTIVA",OFFSET(A471,-1,0)+1,LARGE(A$3:A470,1))</f>
        <v>0</v>
      </c>
      <c r="B471" s="203">
        <f t="shared" ca="1" si="34"/>
        <v>3</v>
      </c>
      <c r="C471" s="203">
        <f t="shared" ca="1" si="35"/>
        <v>1</v>
      </c>
      <c r="D471" s="204">
        <f t="shared" ca="1" si="36"/>
        <v>1</v>
      </c>
      <c r="E471" s="204">
        <f t="shared" ca="1" si="37"/>
        <v>15</v>
      </c>
      <c r="F471" s="34"/>
      <c r="J471" s="15"/>
      <c r="K471" s="21"/>
      <c r="L471" s="103"/>
      <c r="M471" s="103"/>
      <c r="N471" s="196"/>
      <c r="O471" s="139"/>
      <c r="P471" s="22"/>
      <c r="Q471" s="15"/>
    </row>
    <row r="472" spans="1:17" s="23" customFormat="1" ht="14.1" customHeight="1" x14ac:dyDescent="0.2">
      <c r="A472" s="203">
        <f ca="1">IF($H472="UNIDADE CONSTRUTIVA",OFFSET(A472,-1,0)+1,LARGE(A$3:A471,1))</f>
        <v>0</v>
      </c>
      <c r="B472" s="203">
        <f t="shared" ca="1" si="34"/>
        <v>3</v>
      </c>
      <c r="C472" s="203">
        <f t="shared" ca="1" si="35"/>
        <v>1</v>
      </c>
      <c r="D472" s="204">
        <f t="shared" ca="1" si="36"/>
        <v>1</v>
      </c>
      <c r="E472" s="204">
        <f t="shared" ca="1" si="37"/>
        <v>15</v>
      </c>
      <c r="F472" s="34"/>
      <c r="J472" s="15"/>
      <c r="K472" s="21"/>
      <c r="L472" s="103"/>
      <c r="M472" s="103"/>
      <c r="N472" s="196"/>
      <c r="O472" s="139"/>
      <c r="P472" s="22"/>
      <c r="Q472" s="15"/>
    </row>
    <row r="473" spans="1:17" s="23" customFormat="1" ht="14.1" customHeight="1" x14ac:dyDescent="0.2">
      <c r="A473" s="203">
        <f ca="1">IF($H473="UNIDADE CONSTRUTIVA",OFFSET(A473,-1,0)+1,LARGE(A$3:A472,1))</f>
        <v>0</v>
      </c>
      <c r="B473" s="203">
        <f t="shared" ca="1" si="34"/>
        <v>3</v>
      </c>
      <c r="C473" s="203">
        <f t="shared" ca="1" si="35"/>
        <v>1</v>
      </c>
      <c r="D473" s="204">
        <f t="shared" ca="1" si="36"/>
        <v>1</v>
      </c>
      <c r="E473" s="204">
        <f t="shared" ca="1" si="37"/>
        <v>15</v>
      </c>
      <c r="F473" s="34"/>
      <c r="J473" s="15"/>
      <c r="K473" s="21"/>
      <c r="L473" s="103"/>
      <c r="M473" s="103"/>
      <c r="N473" s="196"/>
      <c r="O473" s="139"/>
      <c r="P473" s="22"/>
      <c r="Q473" s="15"/>
    </row>
    <row r="474" spans="1:17" s="23" customFormat="1" ht="14.1" customHeight="1" x14ac:dyDescent="0.2">
      <c r="A474" s="203">
        <f ca="1">IF($H474="UNIDADE CONSTRUTIVA",OFFSET(A474,-1,0)+1,LARGE(A$3:A473,1))</f>
        <v>0</v>
      </c>
      <c r="B474" s="203">
        <f t="shared" ca="1" si="34"/>
        <v>3</v>
      </c>
      <c r="C474" s="203">
        <f t="shared" ca="1" si="35"/>
        <v>1</v>
      </c>
      <c r="D474" s="204">
        <f t="shared" ca="1" si="36"/>
        <v>1</v>
      </c>
      <c r="E474" s="204">
        <f t="shared" ca="1" si="37"/>
        <v>15</v>
      </c>
      <c r="F474" s="34"/>
      <c r="J474" s="15"/>
      <c r="K474" s="21"/>
      <c r="L474" s="103"/>
      <c r="M474" s="103"/>
      <c r="N474" s="196"/>
      <c r="O474" s="139"/>
      <c r="P474" s="22"/>
      <c r="Q474" s="15"/>
    </row>
    <row r="475" spans="1:17" s="23" customFormat="1" ht="14.1" customHeight="1" x14ac:dyDescent="0.2">
      <c r="A475" s="203">
        <f ca="1">IF($H475="UNIDADE CONSTRUTIVA",OFFSET(A475,-1,0)+1,LARGE(A$3:A474,1))</f>
        <v>0</v>
      </c>
      <c r="B475" s="203">
        <f t="shared" ca="1" si="34"/>
        <v>3</v>
      </c>
      <c r="C475" s="203">
        <f t="shared" ca="1" si="35"/>
        <v>1</v>
      </c>
      <c r="D475" s="204">
        <f t="shared" ca="1" si="36"/>
        <v>1</v>
      </c>
      <c r="E475" s="204">
        <f t="shared" ca="1" si="37"/>
        <v>15</v>
      </c>
      <c r="F475" s="34"/>
      <c r="J475" s="15"/>
      <c r="K475" s="21"/>
      <c r="L475" s="103"/>
      <c r="M475" s="103"/>
      <c r="N475" s="196"/>
      <c r="O475" s="139"/>
      <c r="P475" s="22"/>
      <c r="Q475" s="15"/>
    </row>
    <row r="476" spans="1:17" s="23" customFormat="1" ht="14.1" customHeight="1" x14ac:dyDescent="0.2">
      <c r="A476" s="203">
        <f ca="1">IF($H476="UNIDADE CONSTRUTIVA",OFFSET(A476,-1,0)+1,LARGE(A$3:A475,1))</f>
        <v>0</v>
      </c>
      <c r="B476" s="203">
        <f t="shared" ca="1" si="34"/>
        <v>3</v>
      </c>
      <c r="C476" s="203">
        <f t="shared" ca="1" si="35"/>
        <v>1</v>
      </c>
      <c r="D476" s="204">
        <f t="shared" ca="1" si="36"/>
        <v>1</v>
      </c>
      <c r="E476" s="204">
        <f t="shared" ca="1" si="37"/>
        <v>15</v>
      </c>
      <c r="F476" s="34"/>
      <c r="J476" s="15"/>
      <c r="K476" s="21"/>
      <c r="L476" s="103"/>
      <c r="M476" s="103"/>
      <c r="N476" s="196"/>
      <c r="O476" s="139"/>
      <c r="P476" s="22"/>
      <c r="Q476" s="15"/>
    </row>
    <row r="477" spans="1:17" s="23" customFormat="1" ht="14.1" customHeight="1" x14ac:dyDescent="0.2">
      <c r="A477" s="203">
        <f ca="1">IF($H477="UNIDADE CONSTRUTIVA",OFFSET(A477,-1,0)+1,LARGE(A$3:A476,1))</f>
        <v>0</v>
      </c>
      <c r="B477" s="203">
        <f t="shared" ca="1" si="34"/>
        <v>3</v>
      </c>
      <c r="C477" s="203">
        <f t="shared" ca="1" si="35"/>
        <v>1</v>
      </c>
      <c r="D477" s="204">
        <f t="shared" ca="1" si="36"/>
        <v>1</v>
      </c>
      <c r="E477" s="204">
        <f t="shared" ca="1" si="37"/>
        <v>15</v>
      </c>
      <c r="F477" s="34"/>
      <c r="J477" s="15"/>
      <c r="K477" s="21"/>
      <c r="L477" s="103"/>
      <c r="M477" s="103"/>
      <c r="N477" s="196"/>
      <c r="O477" s="139"/>
      <c r="P477" s="22"/>
      <c r="Q477" s="15"/>
    </row>
    <row r="478" spans="1:17" s="23" customFormat="1" ht="14.1" customHeight="1" x14ac:dyDescent="0.2">
      <c r="A478" s="203">
        <f ca="1">IF($H478="UNIDADE CONSTRUTIVA",OFFSET(A478,-1,0)+1,LARGE(A$3:A477,1))</f>
        <v>0</v>
      </c>
      <c r="B478" s="203">
        <f t="shared" ca="1" si="34"/>
        <v>3</v>
      </c>
      <c r="C478" s="203">
        <f t="shared" ca="1" si="35"/>
        <v>1</v>
      </c>
      <c r="D478" s="204">
        <f t="shared" ca="1" si="36"/>
        <v>1</v>
      </c>
      <c r="E478" s="204">
        <f t="shared" ca="1" si="37"/>
        <v>15</v>
      </c>
      <c r="F478" s="34"/>
      <c r="J478" s="15"/>
      <c r="K478" s="21"/>
      <c r="L478" s="103"/>
      <c r="M478" s="103"/>
      <c r="N478" s="196"/>
      <c r="O478" s="139"/>
      <c r="P478" s="22"/>
      <c r="Q478" s="15"/>
    </row>
    <row r="479" spans="1:17" s="23" customFormat="1" ht="14.1" customHeight="1" x14ac:dyDescent="0.2">
      <c r="A479" s="203">
        <f ca="1">IF($H479="UNIDADE CONSTRUTIVA",OFFSET(A479,-1,0)+1,LARGE(A$3:A478,1))</f>
        <v>0</v>
      </c>
      <c r="B479" s="203">
        <f t="shared" ca="1" si="34"/>
        <v>3</v>
      </c>
      <c r="C479" s="203">
        <f t="shared" ca="1" si="35"/>
        <v>1</v>
      </c>
      <c r="D479" s="204">
        <f t="shared" ca="1" si="36"/>
        <v>1</v>
      </c>
      <c r="E479" s="204">
        <f t="shared" ca="1" si="37"/>
        <v>15</v>
      </c>
      <c r="F479" s="34"/>
      <c r="J479" s="15"/>
      <c r="K479" s="21"/>
      <c r="L479" s="103"/>
      <c r="M479" s="103"/>
      <c r="N479" s="196"/>
      <c r="O479" s="139"/>
      <c r="P479" s="22"/>
      <c r="Q479" s="15"/>
    </row>
    <row r="480" spans="1:17" s="23" customFormat="1" ht="14.1" customHeight="1" x14ac:dyDescent="0.2">
      <c r="A480" s="203">
        <f ca="1">IF($H480="UNIDADE CONSTRUTIVA",OFFSET(A480,-1,0)+1,LARGE(A$3:A479,1))</f>
        <v>0</v>
      </c>
      <c r="B480" s="203">
        <f t="shared" ca="1" si="34"/>
        <v>3</v>
      </c>
      <c r="C480" s="203">
        <f t="shared" ca="1" si="35"/>
        <v>1</v>
      </c>
      <c r="D480" s="204">
        <f t="shared" ca="1" si="36"/>
        <v>1</v>
      </c>
      <c r="E480" s="204">
        <f t="shared" ca="1" si="37"/>
        <v>15</v>
      </c>
      <c r="F480" s="34"/>
      <c r="J480" s="15"/>
      <c r="K480" s="21"/>
      <c r="L480" s="103"/>
      <c r="M480" s="103"/>
      <c r="N480" s="196"/>
      <c r="O480" s="139"/>
      <c r="P480" s="22"/>
      <c r="Q480" s="15"/>
    </row>
    <row r="481" spans="1:17" s="23" customFormat="1" ht="14.1" customHeight="1" x14ac:dyDescent="0.2">
      <c r="A481" s="203">
        <f ca="1">IF($H481="UNIDADE CONSTRUTIVA",OFFSET(A481,-1,0)+1,LARGE(A$3:A480,1))</f>
        <v>0</v>
      </c>
      <c r="B481" s="203">
        <f t="shared" ca="1" si="34"/>
        <v>3</v>
      </c>
      <c r="C481" s="203">
        <f t="shared" ca="1" si="35"/>
        <v>1</v>
      </c>
      <c r="D481" s="204">
        <f t="shared" ca="1" si="36"/>
        <v>1</v>
      </c>
      <c r="E481" s="204">
        <f t="shared" ca="1" si="37"/>
        <v>15</v>
      </c>
      <c r="F481" s="34"/>
      <c r="J481" s="15"/>
      <c r="K481" s="21"/>
      <c r="L481" s="103"/>
      <c r="M481" s="103"/>
      <c r="N481" s="196"/>
      <c r="O481" s="139"/>
      <c r="P481" s="22"/>
      <c r="Q481" s="15"/>
    </row>
    <row r="482" spans="1:17" s="23" customFormat="1" ht="14.1" customHeight="1" x14ac:dyDescent="0.2">
      <c r="A482" s="203">
        <f ca="1">IF($H482="UNIDADE CONSTRUTIVA",OFFSET(A482,-1,0)+1,LARGE(A$3:A481,1))</f>
        <v>0</v>
      </c>
      <c r="B482" s="203">
        <f t="shared" ca="1" si="34"/>
        <v>3</v>
      </c>
      <c r="C482" s="203">
        <f t="shared" ca="1" si="35"/>
        <v>1</v>
      </c>
      <c r="D482" s="204">
        <f t="shared" ca="1" si="36"/>
        <v>1</v>
      </c>
      <c r="E482" s="204">
        <f t="shared" ca="1" si="37"/>
        <v>15</v>
      </c>
      <c r="F482" s="34"/>
      <c r="J482" s="15"/>
      <c r="K482" s="21"/>
      <c r="L482" s="103"/>
      <c r="M482" s="103"/>
      <c r="N482" s="196"/>
      <c r="O482" s="139"/>
      <c r="P482" s="22"/>
      <c r="Q482" s="15"/>
    </row>
    <row r="483" spans="1:17" s="23" customFormat="1" ht="14.1" customHeight="1" x14ac:dyDescent="0.2">
      <c r="A483" s="203">
        <f ca="1">IF($H483="UNIDADE CONSTRUTIVA",OFFSET(A483,-1,0)+1,LARGE(A$3:A482,1))</f>
        <v>0</v>
      </c>
      <c r="B483" s="203">
        <f t="shared" ca="1" si="34"/>
        <v>3</v>
      </c>
      <c r="C483" s="203">
        <f t="shared" ca="1" si="35"/>
        <v>1</v>
      </c>
      <c r="D483" s="204">
        <f t="shared" ca="1" si="36"/>
        <v>1</v>
      </c>
      <c r="E483" s="204">
        <f t="shared" ca="1" si="37"/>
        <v>15</v>
      </c>
      <c r="F483" s="34"/>
      <c r="J483" s="15"/>
      <c r="K483" s="21"/>
      <c r="L483" s="103"/>
      <c r="M483" s="103"/>
      <c r="N483" s="196"/>
      <c r="O483" s="139"/>
      <c r="P483" s="22"/>
      <c r="Q483" s="15"/>
    </row>
    <row r="484" spans="1:17" s="23" customFormat="1" ht="14.1" customHeight="1" x14ac:dyDescent="0.2">
      <c r="A484" s="203">
        <f ca="1">IF($H484="UNIDADE CONSTRUTIVA",OFFSET(A484,-1,0)+1,LARGE(A$3:A483,1))</f>
        <v>0</v>
      </c>
      <c r="B484" s="203">
        <f t="shared" ca="1" si="34"/>
        <v>3</v>
      </c>
      <c r="C484" s="203">
        <f t="shared" ca="1" si="35"/>
        <v>1</v>
      </c>
      <c r="D484" s="204">
        <f t="shared" ca="1" si="36"/>
        <v>1</v>
      </c>
      <c r="E484" s="204">
        <f t="shared" ca="1" si="37"/>
        <v>15</v>
      </c>
      <c r="F484" s="34"/>
      <c r="J484" s="15"/>
      <c r="K484" s="21"/>
      <c r="L484" s="103"/>
      <c r="M484" s="103"/>
      <c r="N484" s="196"/>
      <c r="O484" s="139"/>
      <c r="P484" s="22"/>
      <c r="Q484" s="15"/>
    </row>
    <row r="485" spans="1:17" s="23" customFormat="1" ht="14.1" customHeight="1" x14ac:dyDescent="0.2">
      <c r="A485" s="203">
        <f ca="1">IF($H485="UNIDADE CONSTRUTIVA",OFFSET(A485,-1,0)+1,LARGE(A$3:A484,1))</f>
        <v>0</v>
      </c>
      <c r="B485" s="203">
        <f t="shared" ca="1" si="34"/>
        <v>3</v>
      </c>
      <c r="C485" s="203">
        <f t="shared" ca="1" si="35"/>
        <v>1</v>
      </c>
      <c r="D485" s="204">
        <f t="shared" ca="1" si="36"/>
        <v>1</v>
      </c>
      <c r="E485" s="204">
        <f t="shared" ca="1" si="37"/>
        <v>15</v>
      </c>
      <c r="F485" s="34"/>
      <c r="J485" s="15"/>
      <c r="K485" s="21"/>
      <c r="L485" s="103"/>
      <c r="M485" s="103"/>
      <c r="N485" s="196"/>
      <c r="O485" s="139"/>
      <c r="P485" s="22"/>
      <c r="Q485" s="15"/>
    </row>
    <row r="486" spans="1:17" s="23" customFormat="1" ht="14.1" customHeight="1" x14ac:dyDescent="0.2">
      <c r="A486" s="203">
        <f ca="1">IF($H486="UNIDADE CONSTRUTIVA",OFFSET(A486,-1,0)+1,LARGE(A$3:A485,1))</f>
        <v>0</v>
      </c>
      <c r="B486" s="203">
        <f t="shared" ca="1" si="34"/>
        <v>3</v>
      </c>
      <c r="C486" s="203">
        <f t="shared" ca="1" si="35"/>
        <v>1</v>
      </c>
      <c r="D486" s="204">
        <f t="shared" ca="1" si="36"/>
        <v>1</v>
      </c>
      <c r="E486" s="204">
        <f t="shared" ca="1" si="37"/>
        <v>15</v>
      </c>
      <c r="F486" s="34"/>
      <c r="J486" s="15"/>
      <c r="K486" s="21"/>
      <c r="L486" s="103"/>
      <c r="M486" s="103"/>
      <c r="N486" s="196"/>
      <c r="O486" s="139"/>
      <c r="P486" s="22"/>
      <c r="Q486" s="15"/>
    </row>
    <row r="487" spans="1:17" s="23" customFormat="1" ht="14.1" customHeight="1" x14ac:dyDescent="0.2">
      <c r="A487" s="203">
        <f ca="1">IF($H487="UNIDADE CONSTRUTIVA",OFFSET(A487,-1,0)+1,LARGE(A$3:A486,1))</f>
        <v>0</v>
      </c>
      <c r="B487" s="203">
        <f t="shared" ca="1" si="34"/>
        <v>3</v>
      </c>
      <c r="C487" s="203">
        <f t="shared" ca="1" si="35"/>
        <v>1</v>
      </c>
      <c r="D487" s="204">
        <f t="shared" ca="1" si="36"/>
        <v>1</v>
      </c>
      <c r="E487" s="204">
        <f t="shared" ca="1" si="37"/>
        <v>15</v>
      </c>
      <c r="F487" s="34"/>
      <c r="J487" s="15"/>
      <c r="K487" s="21"/>
      <c r="L487" s="103"/>
      <c r="M487" s="103"/>
      <c r="N487" s="196"/>
      <c r="O487" s="139"/>
      <c r="P487" s="22"/>
      <c r="Q487" s="15"/>
    </row>
    <row r="488" spans="1:17" s="23" customFormat="1" ht="14.1" customHeight="1" x14ac:dyDescent="0.2">
      <c r="A488" s="203">
        <f ca="1">IF($H488="UNIDADE CONSTRUTIVA",OFFSET(A488,-1,0)+1,LARGE(A$3:A487,1))</f>
        <v>0</v>
      </c>
      <c r="B488" s="203">
        <f t="shared" ca="1" si="34"/>
        <v>3</v>
      </c>
      <c r="C488" s="203">
        <f t="shared" ca="1" si="35"/>
        <v>1</v>
      </c>
      <c r="D488" s="204">
        <f t="shared" ca="1" si="36"/>
        <v>1</v>
      </c>
      <c r="E488" s="204">
        <f t="shared" ca="1" si="37"/>
        <v>15</v>
      </c>
      <c r="F488" s="34"/>
      <c r="J488" s="15"/>
      <c r="K488" s="21"/>
      <c r="L488" s="103"/>
      <c r="M488" s="103"/>
      <c r="N488" s="196"/>
      <c r="O488" s="139"/>
      <c r="P488" s="22"/>
      <c r="Q488" s="15"/>
    </row>
    <row r="489" spans="1:17" s="23" customFormat="1" ht="14.1" customHeight="1" x14ac:dyDescent="0.2">
      <c r="A489" s="203">
        <f ca="1">IF($H489="UNIDADE CONSTRUTIVA",OFFSET(A489,-1,0)+1,LARGE(A$3:A488,1))</f>
        <v>0</v>
      </c>
      <c r="B489" s="203">
        <f t="shared" ca="1" si="34"/>
        <v>3</v>
      </c>
      <c r="C489" s="203">
        <f t="shared" ca="1" si="35"/>
        <v>1</v>
      </c>
      <c r="D489" s="204">
        <f t="shared" ca="1" si="36"/>
        <v>1</v>
      </c>
      <c r="E489" s="204">
        <f t="shared" ca="1" si="37"/>
        <v>15</v>
      </c>
      <c r="F489" s="34"/>
      <c r="J489" s="15"/>
      <c r="K489" s="21"/>
      <c r="L489" s="103"/>
      <c r="M489" s="103"/>
      <c r="N489" s="196"/>
      <c r="O489" s="139"/>
      <c r="P489" s="22"/>
      <c r="Q489" s="15"/>
    </row>
    <row r="490" spans="1:17" s="23" customFormat="1" ht="14.1" customHeight="1" x14ac:dyDescent="0.2">
      <c r="A490" s="203">
        <f ca="1">IF($H490="UNIDADE CONSTRUTIVA",OFFSET(A490,-1,0)+1,LARGE(A$3:A489,1))</f>
        <v>0</v>
      </c>
      <c r="B490" s="203">
        <f t="shared" ca="1" si="34"/>
        <v>3</v>
      </c>
      <c r="C490" s="203">
        <f t="shared" ca="1" si="35"/>
        <v>1</v>
      </c>
      <c r="D490" s="204">
        <f t="shared" ca="1" si="36"/>
        <v>1</v>
      </c>
      <c r="E490" s="204">
        <f t="shared" ca="1" si="37"/>
        <v>15</v>
      </c>
      <c r="F490" s="34"/>
      <c r="J490" s="15"/>
      <c r="K490" s="21"/>
      <c r="L490" s="103"/>
      <c r="M490" s="103"/>
      <c r="N490" s="196"/>
      <c r="O490" s="139"/>
      <c r="P490" s="22"/>
      <c r="Q490" s="15"/>
    </row>
    <row r="491" spans="1:17" s="23" customFormat="1" ht="14.1" customHeight="1" x14ac:dyDescent="0.2">
      <c r="A491" s="203">
        <f ca="1">IF($H491="UNIDADE CONSTRUTIVA",OFFSET(A491,-1,0)+1,LARGE(A$3:A490,1))</f>
        <v>0</v>
      </c>
      <c r="B491" s="203">
        <f t="shared" ca="1" si="34"/>
        <v>3</v>
      </c>
      <c r="C491" s="203">
        <f t="shared" ca="1" si="35"/>
        <v>1</v>
      </c>
      <c r="D491" s="204">
        <f t="shared" ca="1" si="36"/>
        <v>1</v>
      </c>
      <c r="E491" s="204">
        <f t="shared" ca="1" si="37"/>
        <v>15</v>
      </c>
      <c r="F491" s="34"/>
      <c r="J491" s="15"/>
      <c r="K491" s="21"/>
      <c r="L491" s="103"/>
      <c r="M491" s="103"/>
      <c r="N491" s="196"/>
      <c r="O491" s="139"/>
      <c r="P491" s="22"/>
      <c r="Q491" s="15"/>
    </row>
    <row r="492" spans="1:17" s="23" customFormat="1" ht="14.1" customHeight="1" x14ac:dyDescent="0.2">
      <c r="A492" s="203">
        <f ca="1">IF($H492="UNIDADE CONSTRUTIVA",OFFSET(A492,-1,0)+1,LARGE(A$3:A491,1))</f>
        <v>0</v>
      </c>
      <c r="B492" s="203">
        <f t="shared" ca="1" si="34"/>
        <v>3</v>
      </c>
      <c r="C492" s="203">
        <f t="shared" ca="1" si="35"/>
        <v>1</v>
      </c>
      <c r="D492" s="204">
        <f t="shared" ca="1" si="36"/>
        <v>1</v>
      </c>
      <c r="E492" s="204">
        <f t="shared" ca="1" si="37"/>
        <v>15</v>
      </c>
      <c r="F492" s="34"/>
      <c r="J492" s="15"/>
      <c r="K492" s="21"/>
      <c r="L492" s="103"/>
      <c r="M492" s="103"/>
      <c r="N492" s="196"/>
      <c r="O492" s="139"/>
      <c r="P492" s="22"/>
      <c r="Q492" s="15"/>
    </row>
    <row r="493" spans="1:17" s="23" customFormat="1" ht="14.1" customHeight="1" x14ac:dyDescent="0.2">
      <c r="A493" s="203">
        <f ca="1">IF($H493="UNIDADE CONSTRUTIVA",OFFSET(A493,-1,0)+1,LARGE(A$3:A492,1))</f>
        <v>0</v>
      </c>
      <c r="B493" s="203">
        <f t="shared" ca="1" si="34"/>
        <v>3</v>
      </c>
      <c r="C493" s="203">
        <f t="shared" ca="1" si="35"/>
        <v>1</v>
      </c>
      <c r="D493" s="204">
        <f t="shared" ca="1" si="36"/>
        <v>1</v>
      </c>
      <c r="E493" s="204">
        <f t="shared" ca="1" si="37"/>
        <v>15</v>
      </c>
      <c r="F493" s="34"/>
      <c r="J493" s="15"/>
      <c r="K493" s="21"/>
      <c r="L493" s="103"/>
      <c r="M493" s="103"/>
      <c r="N493" s="196"/>
      <c r="O493" s="139"/>
      <c r="P493" s="22"/>
      <c r="Q493" s="15"/>
    </row>
    <row r="494" spans="1:17" s="23" customFormat="1" ht="14.1" customHeight="1" x14ac:dyDescent="0.2">
      <c r="A494" s="203">
        <f ca="1">IF($H494="UNIDADE CONSTRUTIVA",OFFSET(A494,-1,0)+1,LARGE(A$3:A493,1))</f>
        <v>0</v>
      </c>
      <c r="B494" s="203">
        <f t="shared" ca="1" si="34"/>
        <v>3</v>
      </c>
      <c r="C494" s="203">
        <f t="shared" ca="1" si="35"/>
        <v>1</v>
      </c>
      <c r="D494" s="204">
        <f t="shared" ca="1" si="36"/>
        <v>1</v>
      </c>
      <c r="E494" s="204">
        <f t="shared" ca="1" si="37"/>
        <v>15</v>
      </c>
      <c r="F494" s="34"/>
      <c r="J494" s="15"/>
      <c r="K494" s="21"/>
      <c r="L494" s="103"/>
      <c r="M494" s="103"/>
      <c r="N494" s="196"/>
      <c r="O494" s="139"/>
      <c r="P494" s="22"/>
      <c r="Q494" s="15"/>
    </row>
    <row r="495" spans="1:17" s="23" customFormat="1" ht="14.1" customHeight="1" x14ac:dyDescent="0.2">
      <c r="A495" s="203">
        <f ca="1">IF($H495="UNIDADE CONSTRUTIVA",OFFSET(A495,-1,0)+1,LARGE(A$3:A494,1))</f>
        <v>0</v>
      </c>
      <c r="B495" s="203">
        <f t="shared" ca="1" si="34"/>
        <v>3</v>
      </c>
      <c r="C495" s="203">
        <f t="shared" ca="1" si="35"/>
        <v>1</v>
      </c>
      <c r="D495" s="204">
        <f t="shared" ca="1" si="36"/>
        <v>1</v>
      </c>
      <c r="E495" s="204">
        <f t="shared" ca="1" si="37"/>
        <v>15</v>
      </c>
      <c r="F495" s="34"/>
      <c r="J495" s="15"/>
      <c r="K495" s="21"/>
      <c r="L495" s="103"/>
      <c r="M495" s="103"/>
      <c r="N495" s="196"/>
      <c r="O495" s="139"/>
      <c r="P495" s="22"/>
      <c r="Q495" s="15"/>
    </row>
    <row r="496" spans="1:17" s="23" customFormat="1" ht="14.1" customHeight="1" x14ac:dyDescent="0.2">
      <c r="A496" s="203">
        <f ca="1">IF($H496="UNIDADE CONSTRUTIVA",OFFSET(A496,-1,0)+1,LARGE(A$3:A495,1))</f>
        <v>0</v>
      </c>
      <c r="B496" s="203">
        <f t="shared" ca="1" si="34"/>
        <v>3</v>
      </c>
      <c r="C496" s="203">
        <f t="shared" ca="1" si="35"/>
        <v>1</v>
      </c>
      <c r="D496" s="204">
        <f t="shared" ca="1" si="36"/>
        <v>1</v>
      </c>
      <c r="E496" s="204">
        <f t="shared" ca="1" si="37"/>
        <v>15</v>
      </c>
      <c r="F496" s="34"/>
      <c r="J496" s="15"/>
      <c r="K496" s="21"/>
      <c r="L496" s="103"/>
      <c r="M496" s="103"/>
      <c r="N496" s="196"/>
      <c r="O496" s="139"/>
      <c r="P496" s="22"/>
      <c r="Q496" s="15"/>
    </row>
    <row r="497" spans="1:17" s="23" customFormat="1" ht="14.1" customHeight="1" x14ac:dyDescent="0.2">
      <c r="A497" s="203">
        <f ca="1">IF($H497="UNIDADE CONSTRUTIVA",OFFSET(A497,-1,0)+1,LARGE(A$3:A496,1))</f>
        <v>0</v>
      </c>
      <c r="B497" s="203">
        <f t="shared" ca="1" si="34"/>
        <v>3</v>
      </c>
      <c r="C497" s="203">
        <f t="shared" ca="1" si="35"/>
        <v>1</v>
      </c>
      <c r="D497" s="204">
        <f t="shared" ca="1" si="36"/>
        <v>1</v>
      </c>
      <c r="E497" s="204">
        <f t="shared" ca="1" si="37"/>
        <v>15</v>
      </c>
      <c r="F497" s="34"/>
      <c r="J497" s="15"/>
      <c r="K497" s="21"/>
      <c r="L497" s="103"/>
      <c r="M497" s="103"/>
      <c r="N497" s="196"/>
      <c r="O497" s="139"/>
      <c r="P497" s="22"/>
      <c r="Q497" s="15"/>
    </row>
    <row r="498" spans="1:17" s="23" customFormat="1" ht="14.1" customHeight="1" x14ac:dyDescent="0.2">
      <c r="A498" s="203">
        <f ca="1">IF($H498="UNIDADE CONSTRUTIVA",OFFSET(A498,-1,0)+1,LARGE(A$3:A497,1))</f>
        <v>0</v>
      </c>
      <c r="B498" s="203">
        <f t="shared" ca="1" si="34"/>
        <v>3</v>
      </c>
      <c r="C498" s="203">
        <f t="shared" ca="1" si="35"/>
        <v>1</v>
      </c>
      <c r="D498" s="204">
        <f t="shared" ca="1" si="36"/>
        <v>1</v>
      </c>
      <c r="E498" s="204">
        <f t="shared" ca="1" si="37"/>
        <v>15</v>
      </c>
      <c r="F498" s="34"/>
      <c r="J498" s="15"/>
      <c r="K498" s="21"/>
      <c r="L498" s="103"/>
      <c r="M498" s="103"/>
      <c r="N498" s="196"/>
      <c r="O498" s="139"/>
      <c r="P498" s="22"/>
      <c r="Q498" s="15"/>
    </row>
    <row r="499" spans="1:17" s="23" customFormat="1" ht="14.1" customHeight="1" x14ac:dyDescent="0.2">
      <c r="A499" s="203">
        <f ca="1">IF($H499="UNIDADE CONSTRUTIVA",OFFSET(A499,-1,0)+1,LARGE(A$3:A498,1))</f>
        <v>0</v>
      </c>
      <c r="B499" s="203">
        <f t="shared" ca="1" si="34"/>
        <v>3</v>
      </c>
      <c r="C499" s="203">
        <f t="shared" ca="1" si="35"/>
        <v>1</v>
      </c>
      <c r="D499" s="204">
        <f t="shared" ca="1" si="36"/>
        <v>1</v>
      </c>
      <c r="E499" s="204">
        <f t="shared" ca="1" si="37"/>
        <v>15</v>
      </c>
      <c r="F499" s="34"/>
      <c r="J499" s="15"/>
      <c r="K499" s="21"/>
      <c r="L499" s="103"/>
      <c r="M499" s="103"/>
      <c r="N499" s="196"/>
      <c r="O499" s="139"/>
      <c r="P499" s="22"/>
      <c r="Q499" s="15"/>
    </row>
    <row r="500" spans="1:17" s="23" customFormat="1" ht="14.1" customHeight="1" x14ac:dyDescent="0.2">
      <c r="A500" s="203">
        <f ca="1">IF($H500="UNIDADE CONSTRUTIVA",OFFSET(A500,-1,0)+1,LARGE(A$3:A499,1))</f>
        <v>0</v>
      </c>
      <c r="B500" s="203">
        <f t="shared" ca="1" si="34"/>
        <v>3</v>
      </c>
      <c r="C500" s="203">
        <f t="shared" ca="1" si="35"/>
        <v>1</v>
      </c>
      <c r="D500" s="204">
        <f t="shared" ca="1" si="36"/>
        <v>1</v>
      </c>
      <c r="E500" s="204">
        <f t="shared" ca="1" si="37"/>
        <v>15</v>
      </c>
      <c r="F500" s="34"/>
      <c r="J500" s="15"/>
      <c r="K500" s="21"/>
      <c r="L500" s="103"/>
      <c r="M500" s="103"/>
      <c r="N500" s="196"/>
      <c r="O500" s="139"/>
      <c r="P500" s="22"/>
      <c r="Q500" s="15"/>
    </row>
    <row r="501" spans="1:17" s="23" customFormat="1" ht="14.1" customHeight="1" x14ac:dyDescent="0.2">
      <c r="A501" s="203">
        <f ca="1">IF($H501="UNIDADE CONSTRUTIVA",OFFSET(A501,-1,0)+1,LARGE(A$3:A500,1))</f>
        <v>0</v>
      </c>
      <c r="B501" s="203">
        <f t="shared" ca="1" si="34"/>
        <v>3</v>
      </c>
      <c r="C501" s="203">
        <f t="shared" ca="1" si="35"/>
        <v>1</v>
      </c>
      <c r="D501" s="204">
        <f t="shared" ca="1" si="36"/>
        <v>1</v>
      </c>
      <c r="E501" s="204">
        <f t="shared" ca="1" si="37"/>
        <v>15</v>
      </c>
      <c r="F501" s="34"/>
      <c r="J501" s="15"/>
      <c r="K501" s="21"/>
      <c r="L501" s="103"/>
      <c r="M501" s="103"/>
      <c r="N501" s="196"/>
      <c r="O501" s="139"/>
      <c r="P501" s="22"/>
      <c r="Q501" s="15"/>
    </row>
    <row r="502" spans="1:17" s="23" customFormat="1" ht="14.1" customHeight="1" x14ac:dyDescent="0.2">
      <c r="A502" s="203">
        <f ca="1">IF($H502="UNIDADE CONSTRUTIVA",OFFSET(A502,-1,0)+1,LARGE(A$3:A501,1))</f>
        <v>0</v>
      </c>
      <c r="B502" s="203">
        <f t="shared" ca="1" si="34"/>
        <v>3</v>
      </c>
      <c r="C502" s="203">
        <f t="shared" ca="1" si="35"/>
        <v>1</v>
      </c>
      <c r="D502" s="204">
        <f t="shared" ca="1" si="36"/>
        <v>1</v>
      </c>
      <c r="E502" s="204">
        <f t="shared" ca="1" si="37"/>
        <v>15</v>
      </c>
      <c r="F502" s="34"/>
      <c r="J502" s="15"/>
      <c r="K502" s="21"/>
      <c r="L502" s="103"/>
      <c r="M502" s="103"/>
      <c r="N502" s="196"/>
      <c r="O502" s="139"/>
      <c r="P502" s="22"/>
      <c r="Q502" s="15"/>
    </row>
    <row r="503" spans="1:17" s="23" customFormat="1" ht="14.1" customHeight="1" x14ac:dyDescent="0.2">
      <c r="A503" s="203">
        <f ca="1">IF($H503="UNIDADE CONSTRUTIVA",OFFSET(A503,-1,0)+1,LARGE(A$3:A502,1))</f>
        <v>0</v>
      </c>
      <c r="B503" s="203">
        <f t="shared" ca="1" si="34"/>
        <v>3</v>
      </c>
      <c r="C503" s="203">
        <f t="shared" ca="1" si="35"/>
        <v>1</v>
      </c>
      <c r="D503" s="204">
        <f t="shared" ca="1" si="36"/>
        <v>1</v>
      </c>
      <c r="E503" s="204">
        <f t="shared" ca="1" si="37"/>
        <v>15</v>
      </c>
      <c r="F503" s="34"/>
      <c r="J503" s="15"/>
      <c r="K503" s="21"/>
      <c r="L503" s="103"/>
      <c r="M503" s="103"/>
      <c r="N503" s="196"/>
      <c r="O503" s="139"/>
      <c r="P503" s="22"/>
      <c r="Q503" s="15"/>
    </row>
    <row r="504" spans="1:17" s="23" customFormat="1" ht="14.1" customHeight="1" x14ac:dyDescent="0.2">
      <c r="A504" s="203">
        <f ca="1">IF($H504="UNIDADE CONSTRUTIVA",OFFSET(A504,-1,0)+1,LARGE(A$3:A503,1))</f>
        <v>0</v>
      </c>
      <c r="B504" s="203">
        <f t="shared" ca="1" si="34"/>
        <v>3</v>
      </c>
      <c r="C504" s="203">
        <f t="shared" ca="1" si="35"/>
        <v>1</v>
      </c>
      <c r="D504" s="204">
        <f t="shared" ca="1" si="36"/>
        <v>1</v>
      </c>
      <c r="E504" s="204">
        <f t="shared" ca="1" si="37"/>
        <v>15</v>
      </c>
      <c r="F504" s="34"/>
      <c r="J504" s="15"/>
      <c r="K504" s="21"/>
      <c r="L504" s="103"/>
      <c r="M504" s="103"/>
      <c r="N504" s="196"/>
      <c r="O504" s="139"/>
      <c r="P504" s="22"/>
      <c r="Q504" s="15"/>
    </row>
    <row r="505" spans="1:17" s="23" customFormat="1" ht="14.1" customHeight="1" x14ac:dyDescent="0.2">
      <c r="A505" s="203">
        <f ca="1">IF($H505="UNIDADE CONSTRUTIVA",OFFSET(A505,-1,0)+1,LARGE(A$3:A504,1))</f>
        <v>0</v>
      </c>
      <c r="B505" s="203">
        <f t="shared" ca="1" si="34"/>
        <v>3</v>
      </c>
      <c r="C505" s="203">
        <f t="shared" ca="1" si="35"/>
        <v>1</v>
      </c>
      <c r="D505" s="204">
        <f t="shared" ca="1" si="36"/>
        <v>1</v>
      </c>
      <c r="E505" s="204">
        <f t="shared" ca="1" si="37"/>
        <v>15</v>
      </c>
      <c r="F505" s="34"/>
      <c r="J505" s="15"/>
      <c r="K505" s="21"/>
      <c r="L505" s="103"/>
      <c r="M505" s="103"/>
      <c r="N505" s="196"/>
      <c r="O505" s="139"/>
      <c r="P505" s="22"/>
      <c r="Q505" s="15"/>
    </row>
    <row r="506" spans="1:17" s="23" customFormat="1" ht="14.1" customHeight="1" x14ac:dyDescent="0.2">
      <c r="A506" s="203">
        <f ca="1">IF($H506="UNIDADE CONSTRUTIVA",OFFSET(A506,-1,0)+1,LARGE(A$3:A505,1))</f>
        <v>0</v>
      </c>
      <c r="B506" s="203">
        <f t="shared" ca="1" si="34"/>
        <v>3</v>
      </c>
      <c r="C506" s="203">
        <f t="shared" ca="1" si="35"/>
        <v>1</v>
      </c>
      <c r="D506" s="204">
        <f t="shared" ca="1" si="36"/>
        <v>1</v>
      </c>
      <c r="E506" s="204">
        <f t="shared" ca="1" si="37"/>
        <v>15</v>
      </c>
      <c r="F506" s="34"/>
      <c r="J506" s="15"/>
      <c r="K506" s="21"/>
      <c r="L506" s="103"/>
      <c r="M506" s="103"/>
      <c r="N506" s="196"/>
      <c r="O506" s="139"/>
      <c r="P506" s="22"/>
      <c r="Q506" s="15"/>
    </row>
    <row r="507" spans="1:17" s="23" customFormat="1" ht="14.1" customHeight="1" x14ac:dyDescent="0.2">
      <c r="A507" s="203">
        <f ca="1">IF($H507="UNIDADE CONSTRUTIVA",OFFSET(A507,-1,0)+1,LARGE(A$3:A506,1))</f>
        <v>0</v>
      </c>
      <c r="B507" s="203">
        <f t="shared" ca="1" si="34"/>
        <v>3</v>
      </c>
      <c r="C507" s="203">
        <f t="shared" ca="1" si="35"/>
        <v>1</v>
      </c>
      <c r="D507" s="204">
        <f t="shared" ca="1" si="36"/>
        <v>1</v>
      </c>
      <c r="E507" s="204">
        <f t="shared" ca="1" si="37"/>
        <v>15</v>
      </c>
      <c r="F507" s="34"/>
      <c r="J507" s="15"/>
      <c r="K507" s="21"/>
      <c r="L507" s="103"/>
      <c r="M507" s="103"/>
      <c r="N507" s="196"/>
      <c r="O507" s="139"/>
      <c r="P507" s="22"/>
      <c r="Q507" s="15"/>
    </row>
    <row r="508" spans="1:17" s="23" customFormat="1" ht="14.1" customHeight="1" x14ac:dyDescent="0.2">
      <c r="A508" s="203">
        <f ca="1">IF($H508="UNIDADE CONSTRUTIVA",OFFSET(A508,-1,0)+1,LARGE(A$3:A507,1))</f>
        <v>0</v>
      </c>
      <c r="B508" s="203">
        <f t="shared" ca="1" si="34"/>
        <v>3</v>
      </c>
      <c r="C508" s="203">
        <f t="shared" ca="1" si="35"/>
        <v>1</v>
      </c>
      <c r="D508" s="204">
        <f t="shared" ca="1" si="36"/>
        <v>1</v>
      </c>
      <c r="E508" s="204">
        <f t="shared" ca="1" si="37"/>
        <v>15</v>
      </c>
      <c r="F508" s="34"/>
      <c r="J508" s="15"/>
      <c r="K508" s="21"/>
      <c r="L508" s="103"/>
      <c r="M508" s="103"/>
      <c r="N508" s="196"/>
      <c r="O508" s="139"/>
      <c r="P508" s="22"/>
      <c r="Q508" s="15"/>
    </row>
    <row r="509" spans="1:17" s="23" customFormat="1" ht="14.1" customHeight="1" x14ac:dyDescent="0.2">
      <c r="A509" s="203">
        <f ca="1">IF($H509="UNIDADE CONSTRUTIVA",OFFSET(A509,-1,0)+1,LARGE(A$3:A508,1))</f>
        <v>0</v>
      </c>
      <c r="B509" s="203">
        <f t="shared" ca="1" si="34"/>
        <v>3</v>
      </c>
      <c r="C509" s="203">
        <f t="shared" ca="1" si="35"/>
        <v>1</v>
      </c>
      <c r="D509" s="204">
        <f t="shared" ca="1" si="36"/>
        <v>1</v>
      </c>
      <c r="E509" s="204">
        <f t="shared" ca="1" si="37"/>
        <v>15</v>
      </c>
      <c r="F509" s="34"/>
      <c r="J509" s="15"/>
      <c r="K509" s="21"/>
      <c r="L509" s="103"/>
      <c r="M509" s="103"/>
      <c r="N509" s="196"/>
      <c r="O509" s="139"/>
      <c r="P509" s="22"/>
      <c r="Q509" s="15"/>
    </row>
    <row r="510" spans="1:17" s="23" customFormat="1" ht="14.1" customHeight="1" x14ac:dyDescent="0.2">
      <c r="A510" s="203">
        <f ca="1">IF($H510="UNIDADE CONSTRUTIVA",OFFSET(A510,-1,0)+1,LARGE(A$3:A509,1))</f>
        <v>0</v>
      </c>
      <c r="B510" s="203">
        <f t="shared" ca="1" si="34"/>
        <v>3</v>
      </c>
      <c r="C510" s="203">
        <f t="shared" ca="1" si="35"/>
        <v>1</v>
      </c>
      <c r="D510" s="204">
        <f t="shared" ca="1" si="36"/>
        <v>1</v>
      </c>
      <c r="E510" s="204">
        <f t="shared" ca="1" si="37"/>
        <v>15</v>
      </c>
      <c r="F510" s="34"/>
      <c r="J510" s="15"/>
      <c r="K510" s="21"/>
      <c r="L510" s="103"/>
      <c r="M510" s="103"/>
      <c r="N510" s="196"/>
      <c r="O510" s="139"/>
      <c r="P510" s="22"/>
      <c r="Q510" s="15"/>
    </row>
    <row r="511" spans="1:17" s="23" customFormat="1" ht="14.1" customHeight="1" x14ac:dyDescent="0.2">
      <c r="A511" s="203">
        <f ca="1">IF($H511="UNIDADE CONSTRUTIVA",OFFSET(A511,-1,0)+1,LARGE(A$3:A510,1))</f>
        <v>0</v>
      </c>
      <c r="B511" s="203">
        <f t="shared" ca="1" si="34"/>
        <v>3</v>
      </c>
      <c r="C511" s="203">
        <f t="shared" ca="1" si="35"/>
        <v>1</v>
      </c>
      <c r="D511" s="204">
        <f t="shared" ca="1" si="36"/>
        <v>1</v>
      </c>
      <c r="E511" s="204">
        <f t="shared" ca="1" si="37"/>
        <v>15</v>
      </c>
      <c r="F511" s="34"/>
      <c r="J511" s="15"/>
      <c r="K511" s="21"/>
      <c r="L511" s="103"/>
      <c r="M511" s="103"/>
      <c r="N511" s="196"/>
      <c r="O511" s="139"/>
      <c r="P511" s="22"/>
      <c r="Q511" s="15"/>
    </row>
    <row r="512" spans="1:17" s="23" customFormat="1" ht="14.1" customHeight="1" x14ac:dyDescent="0.2">
      <c r="A512" s="203">
        <f ca="1">IF($H512="UNIDADE CONSTRUTIVA",OFFSET(A512,-1,0)+1,LARGE(A$3:A511,1))</f>
        <v>0</v>
      </c>
      <c r="B512" s="203">
        <f t="shared" ca="1" si="34"/>
        <v>3</v>
      </c>
      <c r="C512" s="203">
        <f t="shared" ca="1" si="35"/>
        <v>1</v>
      </c>
      <c r="D512" s="204">
        <f t="shared" ca="1" si="36"/>
        <v>1</v>
      </c>
      <c r="E512" s="204">
        <f t="shared" ca="1" si="37"/>
        <v>15</v>
      </c>
      <c r="F512" s="34"/>
      <c r="J512" s="15"/>
      <c r="K512" s="21"/>
      <c r="L512" s="103"/>
      <c r="M512" s="103"/>
      <c r="N512" s="196"/>
      <c r="O512" s="139"/>
      <c r="P512" s="22"/>
      <c r="Q512" s="15"/>
    </row>
    <row r="513" spans="1:17" s="23" customFormat="1" ht="14.1" customHeight="1" x14ac:dyDescent="0.2">
      <c r="A513" s="203">
        <f ca="1">IF($H513="UNIDADE CONSTRUTIVA",OFFSET(A513,-1,0)+1,LARGE(A$3:A512,1))</f>
        <v>0</v>
      </c>
      <c r="B513" s="203">
        <f t="shared" ca="1" si="34"/>
        <v>3</v>
      </c>
      <c r="C513" s="203">
        <f t="shared" ca="1" si="35"/>
        <v>1</v>
      </c>
      <c r="D513" s="204">
        <f t="shared" ca="1" si="36"/>
        <v>1</v>
      </c>
      <c r="E513" s="204">
        <f t="shared" ca="1" si="37"/>
        <v>15</v>
      </c>
      <c r="F513" s="34"/>
      <c r="J513" s="15"/>
      <c r="K513" s="21"/>
      <c r="L513" s="103"/>
      <c r="M513" s="103"/>
      <c r="N513" s="196"/>
      <c r="O513" s="139"/>
      <c r="P513" s="22"/>
      <c r="Q513" s="15"/>
    </row>
    <row r="514" spans="1:17" s="23" customFormat="1" ht="14.1" customHeight="1" x14ac:dyDescent="0.2">
      <c r="A514" s="203">
        <f ca="1">IF($H514="UNIDADE CONSTRUTIVA",OFFSET(A514,-1,0)+1,LARGE(A$3:A513,1))</f>
        <v>0</v>
      </c>
      <c r="B514" s="203">
        <f t="shared" ca="1" si="34"/>
        <v>3</v>
      </c>
      <c r="C514" s="203">
        <f t="shared" ca="1" si="35"/>
        <v>1</v>
      </c>
      <c r="D514" s="204">
        <f t="shared" ca="1" si="36"/>
        <v>1</v>
      </c>
      <c r="E514" s="204">
        <f t="shared" ca="1" si="37"/>
        <v>15</v>
      </c>
      <c r="F514" s="34"/>
      <c r="J514" s="15"/>
      <c r="K514" s="21"/>
      <c r="L514" s="103"/>
      <c r="M514" s="103"/>
      <c r="N514" s="196"/>
      <c r="O514" s="139"/>
      <c r="P514" s="22"/>
      <c r="Q514" s="15"/>
    </row>
    <row r="515" spans="1:17" s="23" customFormat="1" ht="14.1" customHeight="1" x14ac:dyDescent="0.2">
      <c r="A515" s="203">
        <f ca="1">IF($H515="UNIDADE CONSTRUTIVA",OFFSET(A515,-1,0)+1,LARGE(A$3:A514,1))</f>
        <v>0</v>
      </c>
      <c r="B515" s="203">
        <f t="shared" ca="1" si="34"/>
        <v>3</v>
      </c>
      <c r="C515" s="203">
        <f t="shared" ca="1" si="35"/>
        <v>1</v>
      </c>
      <c r="D515" s="204">
        <f t="shared" ca="1" si="36"/>
        <v>1</v>
      </c>
      <c r="E515" s="204">
        <f t="shared" ca="1" si="37"/>
        <v>15</v>
      </c>
      <c r="F515" s="34"/>
      <c r="J515" s="15"/>
      <c r="K515" s="21"/>
      <c r="L515" s="103"/>
      <c r="M515" s="103"/>
      <c r="N515" s="196"/>
      <c r="O515" s="139"/>
      <c r="P515" s="22"/>
      <c r="Q515" s="15"/>
    </row>
    <row r="516" spans="1:17" s="23" customFormat="1" ht="14.1" customHeight="1" x14ac:dyDescent="0.2">
      <c r="A516" s="203">
        <f ca="1">IF($H516="UNIDADE CONSTRUTIVA",OFFSET(A516,-1,0)+1,LARGE(A$3:A515,1))</f>
        <v>0</v>
      </c>
      <c r="B516" s="203">
        <f t="shared" ca="1" si="34"/>
        <v>3</v>
      </c>
      <c r="C516" s="203">
        <f t="shared" ca="1" si="35"/>
        <v>1</v>
      </c>
      <c r="D516" s="204">
        <f t="shared" ca="1" si="36"/>
        <v>1</v>
      </c>
      <c r="E516" s="204">
        <f t="shared" ca="1" si="37"/>
        <v>15</v>
      </c>
      <c r="F516" s="34"/>
      <c r="J516" s="15"/>
      <c r="K516" s="21"/>
      <c r="L516" s="103"/>
      <c r="M516" s="103"/>
      <c r="N516" s="196"/>
      <c r="O516" s="139"/>
      <c r="P516" s="22"/>
      <c r="Q516" s="15"/>
    </row>
    <row r="517" spans="1:17" s="23" customFormat="1" ht="14.1" customHeight="1" x14ac:dyDescent="0.2">
      <c r="A517" s="203">
        <f ca="1">IF($H517="UNIDADE CONSTRUTIVA",OFFSET(A517,-1,0)+1,LARGE(A$3:A516,1))</f>
        <v>0</v>
      </c>
      <c r="B517" s="203">
        <f t="shared" ca="1" si="34"/>
        <v>3</v>
      </c>
      <c r="C517" s="203">
        <f t="shared" ca="1" si="35"/>
        <v>1</v>
      </c>
      <c r="D517" s="204">
        <f t="shared" ca="1" si="36"/>
        <v>1</v>
      </c>
      <c r="E517" s="204">
        <f t="shared" ca="1" si="37"/>
        <v>15</v>
      </c>
      <c r="F517" s="34"/>
      <c r="J517" s="15"/>
      <c r="K517" s="21"/>
      <c r="L517" s="103"/>
      <c r="M517" s="103"/>
      <c r="N517" s="196"/>
      <c r="O517" s="139"/>
      <c r="P517" s="22"/>
      <c r="Q517" s="15"/>
    </row>
    <row r="518" spans="1:17" s="23" customFormat="1" ht="14.1" customHeight="1" x14ac:dyDescent="0.2">
      <c r="A518" s="203">
        <f ca="1">IF($H518="UNIDADE CONSTRUTIVA",OFFSET(A518,-1,0)+1,LARGE(A$3:A517,1))</f>
        <v>0</v>
      </c>
      <c r="B518" s="203">
        <f t="shared" ca="1" si="34"/>
        <v>3</v>
      </c>
      <c r="C518" s="203">
        <f t="shared" ca="1" si="35"/>
        <v>1</v>
      </c>
      <c r="D518" s="204">
        <f t="shared" ca="1" si="36"/>
        <v>1</v>
      </c>
      <c r="E518" s="204">
        <f t="shared" ca="1" si="37"/>
        <v>15</v>
      </c>
      <c r="F518" s="34"/>
      <c r="J518" s="15"/>
      <c r="K518" s="21"/>
      <c r="L518" s="103"/>
      <c r="M518" s="103"/>
      <c r="N518" s="196"/>
      <c r="O518" s="139"/>
      <c r="P518" s="22"/>
      <c r="Q518" s="15"/>
    </row>
    <row r="519" spans="1:17" s="23" customFormat="1" ht="14.1" customHeight="1" x14ac:dyDescent="0.2">
      <c r="A519" s="203">
        <f ca="1">IF($H519="UNIDADE CONSTRUTIVA",OFFSET(A519,-1,0)+1,LARGE(A$3:A518,1))</f>
        <v>0</v>
      </c>
      <c r="B519" s="203">
        <f t="shared" ca="1" si="34"/>
        <v>3</v>
      </c>
      <c r="C519" s="203">
        <f t="shared" ca="1" si="35"/>
        <v>1</v>
      </c>
      <c r="D519" s="204">
        <f t="shared" ca="1" si="36"/>
        <v>1</v>
      </c>
      <c r="E519" s="204">
        <f t="shared" ca="1" si="37"/>
        <v>15</v>
      </c>
      <c r="F519" s="34"/>
      <c r="J519" s="15"/>
      <c r="K519" s="21"/>
      <c r="L519" s="103"/>
      <c r="M519" s="103"/>
      <c r="N519" s="196"/>
      <c r="O519" s="139"/>
      <c r="P519" s="22"/>
      <c r="Q519" s="15"/>
    </row>
    <row r="520" spans="1:17" s="23" customFormat="1" ht="14.1" customHeight="1" x14ac:dyDescent="0.2">
      <c r="A520" s="203">
        <f ca="1">IF($H520="UNIDADE CONSTRUTIVA",OFFSET(A520,-1,0)+1,LARGE(A$3:A519,1))</f>
        <v>0</v>
      </c>
      <c r="B520" s="203">
        <f t="shared" ca="1" si="34"/>
        <v>3</v>
      </c>
      <c r="C520" s="203">
        <f t="shared" ca="1" si="35"/>
        <v>1</v>
      </c>
      <c r="D520" s="204">
        <f t="shared" ca="1" si="36"/>
        <v>1</v>
      </c>
      <c r="E520" s="204">
        <f t="shared" ca="1" si="37"/>
        <v>15</v>
      </c>
      <c r="F520" s="34"/>
      <c r="J520" s="15"/>
      <c r="K520" s="21"/>
      <c r="L520" s="103"/>
      <c r="M520" s="103"/>
      <c r="N520" s="196"/>
      <c r="O520" s="139"/>
      <c r="P520" s="22"/>
      <c r="Q520" s="15"/>
    </row>
    <row r="521" spans="1:17" s="23" customFormat="1" ht="14.1" customHeight="1" x14ac:dyDescent="0.2">
      <c r="A521" s="203">
        <f ca="1">IF($H521="UNIDADE CONSTRUTIVA",OFFSET(A521,-1,0)+1,LARGE(A$3:A520,1))</f>
        <v>0</v>
      </c>
      <c r="B521" s="203">
        <f t="shared" ca="1" si="34"/>
        <v>3</v>
      </c>
      <c r="C521" s="203">
        <f t="shared" ca="1" si="35"/>
        <v>1</v>
      </c>
      <c r="D521" s="204">
        <f t="shared" ca="1" si="36"/>
        <v>1</v>
      </c>
      <c r="E521" s="204">
        <f t="shared" ca="1" si="37"/>
        <v>15</v>
      </c>
      <c r="F521" s="34"/>
      <c r="J521" s="15"/>
      <c r="K521" s="21"/>
      <c r="L521" s="103"/>
      <c r="M521" s="103"/>
      <c r="N521" s="196"/>
      <c r="O521" s="139"/>
      <c r="P521" s="22"/>
      <c r="Q521" s="15"/>
    </row>
    <row r="522" spans="1:17" s="23" customFormat="1" ht="14.1" customHeight="1" x14ac:dyDescent="0.2">
      <c r="A522" s="203">
        <f ca="1">IF($H522="UNIDADE CONSTRUTIVA",OFFSET(A522,-1,0)+1,LARGE(A$3:A521,1))</f>
        <v>0</v>
      </c>
      <c r="B522" s="203">
        <f t="shared" ca="1" si="34"/>
        <v>3</v>
      </c>
      <c r="C522" s="203">
        <f t="shared" ca="1" si="35"/>
        <v>1</v>
      </c>
      <c r="D522" s="204">
        <f t="shared" ca="1" si="36"/>
        <v>1</v>
      </c>
      <c r="E522" s="204">
        <f t="shared" ca="1" si="37"/>
        <v>15</v>
      </c>
      <c r="F522" s="34"/>
      <c r="J522" s="15"/>
      <c r="K522" s="21"/>
      <c r="L522" s="103"/>
      <c r="M522" s="103"/>
      <c r="N522" s="196"/>
      <c r="O522" s="139"/>
      <c r="P522" s="22"/>
      <c r="Q522" s="15"/>
    </row>
    <row r="523" spans="1:17" s="23" customFormat="1" ht="14.1" customHeight="1" x14ac:dyDescent="0.2">
      <c r="A523" s="203">
        <f ca="1">IF($H523="UNIDADE CONSTRUTIVA",OFFSET(A523,-1,0)+1,LARGE(A$3:A522,1))</f>
        <v>0</v>
      </c>
      <c r="B523" s="203">
        <f t="shared" ca="1" si="34"/>
        <v>3</v>
      </c>
      <c r="C523" s="203">
        <f t="shared" ca="1" si="35"/>
        <v>1</v>
      </c>
      <c r="D523" s="204">
        <f t="shared" ca="1" si="36"/>
        <v>1</v>
      </c>
      <c r="E523" s="204">
        <f t="shared" ca="1" si="37"/>
        <v>15</v>
      </c>
      <c r="F523" s="34"/>
      <c r="J523" s="15"/>
      <c r="K523" s="21"/>
      <c r="L523" s="103"/>
      <c r="M523" s="103"/>
      <c r="N523" s="196"/>
      <c r="O523" s="139"/>
      <c r="P523" s="22"/>
      <c r="Q523" s="15"/>
    </row>
    <row r="524" spans="1:17" s="23" customFormat="1" ht="14.1" customHeight="1" x14ac:dyDescent="0.2">
      <c r="A524" s="203">
        <f ca="1">IF($H524="UNIDADE CONSTRUTIVA",OFFSET(A524,-1,0)+1,LARGE(A$3:A523,1))</f>
        <v>0</v>
      </c>
      <c r="B524" s="203">
        <f t="shared" ca="1" si="34"/>
        <v>3</v>
      </c>
      <c r="C524" s="203">
        <f t="shared" ca="1" si="35"/>
        <v>1</v>
      </c>
      <c r="D524" s="204">
        <f t="shared" ca="1" si="36"/>
        <v>1</v>
      </c>
      <c r="E524" s="204">
        <f t="shared" ca="1" si="37"/>
        <v>15</v>
      </c>
      <c r="F524" s="34"/>
      <c r="J524" s="15"/>
      <c r="K524" s="21"/>
      <c r="L524" s="103"/>
      <c r="M524" s="103"/>
      <c r="N524" s="196"/>
      <c r="O524" s="139"/>
      <c r="P524" s="22"/>
      <c r="Q524" s="15"/>
    </row>
    <row r="525" spans="1:17" s="23" customFormat="1" ht="14.1" customHeight="1" x14ac:dyDescent="0.2">
      <c r="A525" s="203">
        <f ca="1">IF($H525="UNIDADE CONSTRUTIVA",OFFSET(A525,-1,0)+1,LARGE(A$3:A524,1))</f>
        <v>0</v>
      </c>
      <c r="B525" s="203">
        <f t="shared" ref="B525:B588" ca="1" si="38">IF(H525="UNIDADE CONSTRUTIVA",0,IF(H525="CÉLULA CONSTRUTIVA",OFFSET(B525,-1,0)+1,OFFSET(B525,-1,0)))</f>
        <v>3</v>
      </c>
      <c r="C525" s="203">
        <f t="shared" ref="C525:C588" ca="1" si="39">IF(H525="CÉLULA CONSTRUTIVA",0,IF(H525="ETAPA",OFFSET(C525,-1,0)+1,OFFSET(C525,-1,0)))</f>
        <v>1</v>
      </c>
      <c r="D525" s="204">
        <f t="shared" ref="D525:D588" ca="1" si="40">IF(H525="ETAPA",0,IF(H525="SUBETAPA",OFFSET(D525,-1,0)+1,OFFSET(D525,-1,0)))</f>
        <v>1</v>
      </c>
      <c r="E525" s="204">
        <f t="shared" ref="E525:E588" ca="1" si="41">IF(H525="Subetapa",0,IF(H525="serviço",OFFSET(E525,-1,0)+1,OFFSET(E525,-1,0)))</f>
        <v>15</v>
      </c>
      <c r="F525" s="34"/>
      <c r="J525" s="15"/>
      <c r="K525" s="21"/>
      <c r="L525" s="103"/>
      <c r="M525" s="103"/>
      <c r="N525" s="196"/>
      <c r="O525" s="139"/>
      <c r="P525" s="22"/>
      <c r="Q525" s="15"/>
    </row>
    <row r="526" spans="1:17" s="23" customFormat="1" ht="14.1" customHeight="1" x14ac:dyDescent="0.2">
      <c r="A526" s="203">
        <f ca="1">IF($H526="UNIDADE CONSTRUTIVA",OFFSET(A526,-1,0)+1,LARGE(A$3:A525,1))</f>
        <v>0</v>
      </c>
      <c r="B526" s="203">
        <f t="shared" ca="1" si="38"/>
        <v>3</v>
      </c>
      <c r="C526" s="203">
        <f t="shared" ca="1" si="39"/>
        <v>1</v>
      </c>
      <c r="D526" s="204">
        <f t="shared" ca="1" si="40"/>
        <v>1</v>
      </c>
      <c r="E526" s="204">
        <f t="shared" ca="1" si="41"/>
        <v>15</v>
      </c>
      <c r="F526" s="34"/>
      <c r="J526" s="15"/>
      <c r="K526" s="21"/>
      <c r="L526" s="103"/>
      <c r="M526" s="103"/>
      <c r="N526" s="196"/>
      <c r="O526" s="139"/>
      <c r="P526" s="22"/>
      <c r="Q526" s="15"/>
    </row>
    <row r="527" spans="1:17" s="23" customFormat="1" ht="14.1" customHeight="1" x14ac:dyDescent="0.2">
      <c r="A527" s="203">
        <f ca="1">IF($H527="UNIDADE CONSTRUTIVA",OFFSET(A527,-1,0)+1,LARGE(A$3:A526,1))</f>
        <v>0</v>
      </c>
      <c r="B527" s="203">
        <f t="shared" ca="1" si="38"/>
        <v>3</v>
      </c>
      <c r="C527" s="203">
        <f t="shared" ca="1" si="39"/>
        <v>1</v>
      </c>
      <c r="D527" s="204">
        <f t="shared" ca="1" si="40"/>
        <v>1</v>
      </c>
      <c r="E527" s="204">
        <f t="shared" ca="1" si="41"/>
        <v>15</v>
      </c>
      <c r="F527" s="34"/>
      <c r="J527" s="15"/>
      <c r="K527" s="21"/>
      <c r="L527" s="103"/>
      <c r="M527" s="103"/>
      <c r="N527" s="196"/>
      <c r="O527" s="139"/>
      <c r="P527" s="22"/>
      <c r="Q527" s="15"/>
    </row>
    <row r="528" spans="1:17" s="23" customFormat="1" ht="14.1" customHeight="1" x14ac:dyDescent="0.2">
      <c r="A528" s="203">
        <f ca="1">IF($H528="UNIDADE CONSTRUTIVA",OFFSET(A528,-1,0)+1,LARGE(A$3:A527,1))</f>
        <v>0</v>
      </c>
      <c r="B528" s="203">
        <f t="shared" ca="1" si="38"/>
        <v>3</v>
      </c>
      <c r="C528" s="203">
        <f t="shared" ca="1" si="39"/>
        <v>1</v>
      </c>
      <c r="D528" s="204">
        <f t="shared" ca="1" si="40"/>
        <v>1</v>
      </c>
      <c r="E528" s="204">
        <f t="shared" ca="1" si="41"/>
        <v>15</v>
      </c>
      <c r="F528" s="34"/>
      <c r="J528" s="15"/>
      <c r="K528" s="21"/>
      <c r="L528" s="103"/>
      <c r="M528" s="103"/>
      <c r="N528" s="196"/>
      <c r="O528" s="139"/>
      <c r="P528" s="22"/>
      <c r="Q528" s="15"/>
    </row>
    <row r="529" spans="1:17" s="23" customFormat="1" ht="14.1" customHeight="1" x14ac:dyDescent="0.2">
      <c r="A529" s="203">
        <f ca="1">IF($H529="UNIDADE CONSTRUTIVA",OFFSET(A529,-1,0)+1,LARGE(A$3:A528,1))</f>
        <v>0</v>
      </c>
      <c r="B529" s="203">
        <f t="shared" ca="1" si="38"/>
        <v>3</v>
      </c>
      <c r="C529" s="203">
        <f t="shared" ca="1" si="39"/>
        <v>1</v>
      </c>
      <c r="D529" s="204">
        <f t="shared" ca="1" si="40"/>
        <v>1</v>
      </c>
      <c r="E529" s="204">
        <f t="shared" ca="1" si="41"/>
        <v>15</v>
      </c>
      <c r="F529" s="34"/>
      <c r="J529" s="15"/>
      <c r="K529" s="21"/>
      <c r="L529" s="103"/>
      <c r="M529" s="103"/>
      <c r="N529" s="196"/>
      <c r="O529" s="139"/>
      <c r="P529" s="22"/>
      <c r="Q529" s="15"/>
    </row>
    <row r="530" spans="1:17" s="23" customFormat="1" ht="14.1" customHeight="1" x14ac:dyDescent="0.2">
      <c r="A530" s="203">
        <f ca="1">IF($H530="UNIDADE CONSTRUTIVA",OFFSET(A530,-1,0)+1,LARGE(A$3:A529,1))</f>
        <v>0</v>
      </c>
      <c r="B530" s="203">
        <f t="shared" ca="1" si="38"/>
        <v>3</v>
      </c>
      <c r="C530" s="203">
        <f t="shared" ca="1" si="39"/>
        <v>1</v>
      </c>
      <c r="D530" s="204">
        <f t="shared" ca="1" si="40"/>
        <v>1</v>
      </c>
      <c r="E530" s="204">
        <f t="shared" ca="1" si="41"/>
        <v>15</v>
      </c>
      <c r="F530" s="34"/>
      <c r="J530" s="15"/>
      <c r="K530" s="21"/>
      <c r="L530" s="103"/>
      <c r="M530" s="103"/>
      <c r="N530" s="196"/>
      <c r="O530" s="139"/>
      <c r="P530" s="22"/>
      <c r="Q530" s="15"/>
    </row>
    <row r="531" spans="1:17" s="23" customFormat="1" ht="14.1" customHeight="1" x14ac:dyDescent="0.2">
      <c r="A531" s="203">
        <f ca="1">IF($H531="UNIDADE CONSTRUTIVA",OFFSET(A531,-1,0)+1,LARGE(A$3:A530,1))</f>
        <v>0</v>
      </c>
      <c r="B531" s="203">
        <f t="shared" ca="1" si="38"/>
        <v>3</v>
      </c>
      <c r="C531" s="203">
        <f t="shared" ca="1" si="39"/>
        <v>1</v>
      </c>
      <c r="D531" s="204">
        <f t="shared" ca="1" si="40"/>
        <v>1</v>
      </c>
      <c r="E531" s="204">
        <f t="shared" ca="1" si="41"/>
        <v>15</v>
      </c>
      <c r="F531" s="34"/>
      <c r="J531" s="15"/>
      <c r="K531" s="21"/>
      <c r="L531" s="103"/>
      <c r="M531" s="103"/>
      <c r="N531" s="196"/>
      <c r="O531" s="139"/>
      <c r="P531" s="22"/>
      <c r="Q531" s="15"/>
    </row>
    <row r="532" spans="1:17" s="23" customFormat="1" ht="14.1" customHeight="1" x14ac:dyDescent="0.2">
      <c r="A532" s="203">
        <f ca="1">IF($H532="UNIDADE CONSTRUTIVA",OFFSET(A532,-1,0)+1,LARGE(A$3:A531,1))</f>
        <v>0</v>
      </c>
      <c r="B532" s="203">
        <f t="shared" ca="1" si="38"/>
        <v>3</v>
      </c>
      <c r="C532" s="203">
        <f t="shared" ca="1" si="39"/>
        <v>1</v>
      </c>
      <c r="D532" s="204">
        <f t="shared" ca="1" si="40"/>
        <v>1</v>
      </c>
      <c r="E532" s="204">
        <f t="shared" ca="1" si="41"/>
        <v>15</v>
      </c>
      <c r="F532" s="34"/>
      <c r="J532" s="15"/>
      <c r="K532" s="21"/>
      <c r="L532" s="103"/>
      <c r="M532" s="103"/>
      <c r="N532" s="196"/>
      <c r="O532" s="139"/>
      <c r="P532" s="22"/>
      <c r="Q532" s="15"/>
    </row>
    <row r="533" spans="1:17" s="23" customFormat="1" ht="14.1" customHeight="1" x14ac:dyDescent="0.2">
      <c r="A533" s="203">
        <f ca="1">IF($H533="UNIDADE CONSTRUTIVA",OFFSET(A533,-1,0)+1,LARGE(A$3:A532,1))</f>
        <v>0</v>
      </c>
      <c r="B533" s="203">
        <f t="shared" ca="1" si="38"/>
        <v>3</v>
      </c>
      <c r="C533" s="203">
        <f t="shared" ca="1" si="39"/>
        <v>1</v>
      </c>
      <c r="D533" s="204">
        <f t="shared" ca="1" si="40"/>
        <v>1</v>
      </c>
      <c r="E533" s="204">
        <f t="shared" ca="1" si="41"/>
        <v>15</v>
      </c>
      <c r="F533" s="34"/>
      <c r="J533" s="15"/>
      <c r="K533" s="21"/>
      <c r="L533" s="103"/>
      <c r="M533" s="103"/>
      <c r="N533" s="196"/>
      <c r="O533" s="139"/>
      <c r="P533" s="22"/>
      <c r="Q533" s="15"/>
    </row>
    <row r="534" spans="1:17" s="23" customFormat="1" ht="14.1" customHeight="1" x14ac:dyDescent="0.2">
      <c r="A534" s="203">
        <f ca="1">IF($H534="UNIDADE CONSTRUTIVA",OFFSET(A534,-1,0)+1,LARGE(A$3:A533,1))</f>
        <v>0</v>
      </c>
      <c r="B534" s="203">
        <f t="shared" ca="1" si="38"/>
        <v>3</v>
      </c>
      <c r="C534" s="203">
        <f t="shared" ca="1" si="39"/>
        <v>1</v>
      </c>
      <c r="D534" s="204">
        <f t="shared" ca="1" si="40"/>
        <v>1</v>
      </c>
      <c r="E534" s="204">
        <f t="shared" ca="1" si="41"/>
        <v>15</v>
      </c>
      <c r="F534" s="34"/>
      <c r="J534" s="15"/>
      <c r="K534" s="21"/>
      <c r="L534" s="103"/>
      <c r="M534" s="103"/>
      <c r="N534" s="196"/>
      <c r="O534" s="139"/>
      <c r="P534" s="22"/>
      <c r="Q534" s="15"/>
    </row>
    <row r="535" spans="1:17" s="23" customFormat="1" ht="14.1" customHeight="1" x14ac:dyDescent="0.2">
      <c r="A535" s="203">
        <f ca="1">IF($H535="UNIDADE CONSTRUTIVA",OFFSET(A535,-1,0)+1,LARGE(A$3:A534,1))</f>
        <v>0</v>
      </c>
      <c r="B535" s="203">
        <f t="shared" ca="1" si="38"/>
        <v>3</v>
      </c>
      <c r="C535" s="203">
        <f t="shared" ca="1" si="39"/>
        <v>1</v>
      </c>
      <c r="D535" s="204">
        <f t="shared" ca="1" si="40"/>
        <v>1</v>
      </c>
      <c r="E535" s="204">
        <f t="shared" ca="1" si="41"/>
        <v>15</v>
      </c>
      <c r="F535" s="34"/>
      <c r="J535" s="15"/>
      <c r="K535" s="21"/>
      <c r="L535" s="103"/>
      <c r="M535" s="103"/>
      <c r="N535" s="196"/>
      <c r="O535" s="139"/>
      <c r="P535" s="22"/>
      <c r="Q535" s="15"/>
    </row>
    <row r="536" spans="1:17" s="23" customFormat="1" ht="14.1" customHeight="1" x14ac:dyDescent="0.2">
      <c r="A536" s="203">
        <f ca="1">IF($H536="UNIDADE CONSTRUTIVA",OFFSET(A536,-1,0)+1,LARGE(A$3:A535,1))</f>
        <v>0</v>
      </c>
      <c r="B536" s="203">
        <f t="shared" ca="1" si="38"/>
        <v>3</v>
      </c>
      <c r="C536" s="203">
        <f t="shared" ca="1" si="39"/>
        <v>1</v>
      </c>
      <c r="D536" s="204">
        <f t="shared" ca="1" si="40"/>
        <v>1</v>
      </c>
      <c r="E536" s="204">
        <f t="shared" ca="1" si="41"/>
        <v>15</v>
      </c>
      <c r="F536" s="34"/>
      <c r="J536" s="15"/>
      <c r="K536" s="21"/>
      <c r="L536" s="103"/>
      <c r="M536" s="103"/>
      <c r="N536" s="196"/>
      <c r="O536" s="139"/>
      <c r="P536" s="22"/>
      <c r="Q536" s="15"/>
    </row>
    <row r="537" spans="1:17" s="23" customFormat="1" ht="14.1" customHeight="1" x14ac:dyDescent="0.2">
      <c r="A537" s="203">
        <f ca="1">IF($H537="UNIDADE CONSTRUTIVA",OFFSET(A537,-1,0)+1,LARGE(A$3:A536,1))</f>
        <v>0</v>
      </c>
      <c r="B537" s="203">
        <f t="shared" ca="1" si="38"/>
        <v>3</v>
      </c>
      <c r="C537" s="203">
        <f t="shared" ca="1" si="39"/>
        <v>1</v>
      </c>
      <c r="D537" s="204">
        <f t="shared" ca="1" si="40"/>
        <v>1</v>
      </c>
      <c r="E537" s="204">
        <f t="shared" ca="1" si="41"/>
        <v>15</v>
      </c>
      <c r="F537" s="34"/>
      <c r="J537" s="15"/>
      <c r="K537" s="21"/>
      <c r="L537" s="103"/>
      <c r="M537" s="103"/>
      <c r="N537" s="196"/>
      <c r="O537" s="139"/>
      <c r="P537" s="22"/>
      <c r="Q537" s="15"/>
    </row>
    <row r="538" spans="1:17" s="23" customFormat="1" ht="14.1" customHeight="1" x14ac:dyDescent="0.2">
      <c r="A538" s="203">
        <f ca="1">IF($H538="UNIDADE CONSTRUTIVA",OFFSET(A538,-1,0)+1,LARGE(A$3:A537,1))</f>
        <v>0</v>
      </c>
      <c r="B538" s="203">
        <f t="shared" ca="1" si="38"/>
        <v>3</v>
      </c>
      <c r="C538" s="203">
        <f t="shared" ca="1" si="39"/>
        <v>1</v>
      </c>
      <c r="D538" s="204">
        <f t="shared" ca="1" si="40"/>
        <v>1</v>
      </c>
      <c r="E538" s="204">
        <f t="shared" ca="1" si="41"/>
        <v>15</v>
      </c>
      <c r="F538" s="34"/>
      <c r="J538" s="15"/>
      <c r="K538" s="21"/>
      <c r="L538" s="103"/>
      <c r="M538" s="103"/>
      <c r="N538" s="196"/>
      <c r="O538" s="139"/>
      <c r="P538" s="22"/>
      <c r="Q538" s="15"/>
    </row>
    <row r="539" spans="1:17" s="23" customFormat="1" ht="14.1" customHeight="1" x14ac:dyDescent="0.2">
      <c r="A539" s="203">
        <f ca="1">IF($H539="UNIDADE CONSTRUTIVA",OFFSET(A539,-1,0)+1,LARGE(A$3:A538,1))</f>
        <v>0</v>
      </c>
      <c r="B539" s="203">
        <f t="shared" ca="1" si="38"/>
        <v>3</v>
      </c>
      <c r="C539" s="203">
        <f t="shared" ca="1" si="39"/>
        <v>1</v>
      </c>
      <c r="D539" s="204">
        <f t="shared" ca="1" si="40"/>
        <v>1</v>
      </c>
      <c r="E539" s="204">
        <f t="shared" ca="1" si="41"/>
        <v>15</v>
      </c>
      <c r="F539" s="34"/>
      <c r="J539" s="15"/>
      <c r="K539" s="21"/>
      <c r="L539" s="103"/>
      <c r="M539" s="103"/>
      <c r="N539" s="196"/>
      <c r="O539" s="139"/>
      <c r="P539" s="22"/>
      <c r="Q539" s="15"/>
    </row>
    <row r="540" spans="1:17" s="23" customFormat="1" ht="14.1" customHeight="1" x14ac:dyDescent="0.2">
      <c r="A540" s="203">
        <f ca="1">IF($H540="UNIDADE CONSTRUTIVA",OFFSET(A540,-1,0)+1,LARGE(A$3:A539,1))</f>
        <v>0</v>
      </c>
      <c r="B540" s="203">
        <f t="shared" ca="1" si="38"/>
        <v>3</v>
      </c>
      <c r="C540" s="203">
        <f t="shared" ca="1" si="39"/>
        <v>1</v>
      </c>
      <c r="D540" s="204">
        <f t="shared" ca="1" si="40"/>
        <v>1</v>
      </c>
      <c r="E540" s="204">
        <f t="shared" ca="1" si="41"/>
        <v>15</v>
      </c>
      <c r="F540" s="34"/>
      <c r="J540" s="15"/>
      <c r="K540" s="21"/>
      <c r="L540" s="103"/>
      <c r="M540" s="103"/>
      <c r="N540" s="196"/>
      <c r="O540" s="139"/>
      <c r="P540" s="22"/>
      <c r="Q540" s="15"/>
    </row>
    <row r="541" spans="1:17" s="23" customFormat="1" ht="14.1" customHeight="1" x14ac:dyDescent="0.2">
      <c r="A541" s="203">
        <f ca="1">IF($H541="UNIDADE CONSTRUTIVA",OFFSET(A541,-1,0)+1,LARGE(A$3:A540,1))</f>
        <v>0</v>
      </c>
      <c r="B541" s="203">
        <f t="shared" ca="1" si="38"/>
        <v>3</v>
      </c>
      <c r="C541" s="203">
        <f t="shared" ca="1" si="39"/>
        <v>1</v>
      </c>
      <c r="D541" s="204">
        <f t="shared" ca="1" si="40"/>
        <v>1</v>
      </c>
      <c r="E541" s="204">
        <f t="shared" ca="1" si="41"/>
        <v>15</v>
      </c>
      <c r="F541" s="34"/>
      <c r="J541" s="15"/>
      <c r="K541" s="21"/>
      <c r="L541" s="103"/>
      <c r="M541" s="103"/>
      <c r="N541" s="196"/>
      <c r="O541" s="139"/>
      <c r="P541" s="22"/>
      <c r="Q541" s="15"/>
    </row>
    <row r="542" spans="1:17" s="23" customFormat="1" ht="14.1" customHeight="1" x14ac:dyDescent="0.2">
      <c r="A542" s="203">
        <f ca="1">IF($H542="UNIDADE CONSTRUTIVA",OFFSET(A542,-1,0)+1,LARGE(A$3:A541,1))</f>
        <v>0</v>
      </c>
      <c r="B542" s="203">
        <f t="shared" ca="1" si="38"/>
        <v>3</v>
      </c>
      <c r="C542" s="203">
        <f t="shared" ca="1" si="39"/>
        <v>1</v>
      </c>
      <c r="D542" s="204">
        <f t="shared" ca="1" si="40"/>
        <v>1</v>
      </c>
      <c r="E542" s="204">
        <f t="shared" ca="1" si="41"/>
        <v>15</v>
      </c>
      <c r="F542" s="34"/>
      <c r="J542" s="15"/>
      <c r="K542" s="21"/>
      <c r="L542" s="103"/>
      <c r="M542" s="103"/>
      <c r="N542" s="196"/>
      <c r="O542" s="139"/>
      <c r="P542" s="22"/>
      <c r="Q542" s="15"/>
    </row>
    <row r="543" spans="1:17" s="23" customFormat="1" ht="14.1" customHeight="1" x14ac:dyDescent="0.2">
      <c r="A543" s="203">
        <f ca="1">IF($H543="UNIDADE CONSTRUTIVA",OFFSET(A543,-1,0)+1,LARGE(A$3:A542,1))</f>
        <v>0</v>
      </c>
      <c r="B543" s="203">
        <f t="shared" ca="1" si="38"/>
        <v>3</v>
      </c>
      <c r="C543" s="203">
        <f t="shared" ca="1" si="39"/>
        <v>1</v>
      </c>
      <c r="D543" s="204">
        <f t="shared" ca="1" si="40"/>
        <v>1</v>
      </c>
      <c r="E543" s="204">
        <f t="shared" ca="1" si="41"/>
        <v>15</v>
      </c>
      <c r="F543" s="34"/>
      <c r="J543" s="15"/>
      <c r="K543" s="21"/>
      <c r="L543" s="103"/>
      <c r="M543" s="103"/>
      <c r="N543" s="196"/>
      <c r="O543" s="139"/>
      <c r="P543" s="22"/>
      <c r="Q543" s="15"/>
    </row>
    <row r="544" spans="1:17" s="23" customFormat="1" ht="14.1" customHeight="1" x14ac:dyDescent="0.2">
      <c r="A544" s="203">
        <f ca="1">IF($H544="UNIDADE CONSTRUTIVA",OFFSET(A544,-1,0)+1,LARGE(A$3:A543,1))</f>
        <v>0</v>
      </c>
      <c r="B544" s="203">
        <f t="shared" ca="1" si="38"/>
        <v>3</v>
      </c>
      <c r="C544" s="203">
        <f t="shared" ca="1" si="39"/>
        <v>1</v>
      </c>
      <c r="D544" s="204">
        <f t="shared" ca="1" si="40"/>
        <v>1</v>
      </c>
      <c r="E544" s="204">
        <f t="shared" ca="1" si="41"/>
        <v>15</v>
      </c>
      <c r="F544" s="34"/>
      <c r="J544" s="15"/>
      <c r="K544" s="21"/>
      <c r="L544" s="103"/>
      <c r="M544" s="103"/>
      <c r="N544" s="196"/>
      <c r="O544" s="139"/>
      <c r="P544" s="22"/>
      <c r="Q544" s="15"/>
    </row>
    <row r="545" spans="1:17" s="23" customFormat="1" ht="14.1" customHeight="1" x14ac:dyDescent="0.2">
      <c r="A545" s="203">
        <f ca="1">IF($H545="UNIDADE CONSTRUTIVA",OFFSET(A545,-1,0)+1,LARGE(A$3:A544,1))</f>
        <v>0</v>
      </c>
      <c r="B545" s="203">
        <f t="shared" ca="1" si="38"/>
        <v>3</v>
      </c>
      <c r="C545" s="203">
        <f t="shared" ca="1" si="39"/>
        <v>1</v>
      </c>
      <c r="D545" s="204">
        <f t="shared" ca="1" si="40"/>
        <v>1</v>
      </c>
      <c r="E545" s="204">
        <f t="shared" ca="1" si="41"/>
        <v>15</v>
      </c>
      <c r="F545" s="34"/>
      <c r="J545" s="15"/>
      <c r="K545" s="21"/>
      <c r="L545" s="103"/>
      <c r="M545" s="103"/>
      <c r="N545" s="196"/>
      <c r="O545" s="139"/>
      <c r="P545" s="22"/>
      <c r="Q545" s="15"/>
    </row>
    <row r="546" spans="1:17" s="23" customFormat="1" ht="14.1" customHeight="1" x14ac:dyDescent="0.2">
      <c r="A546" s="203">
        <f ca="1">IF($H546="UNIDADE CONSTRUTIVA",OFFSET(A546,-1,0)+1,LARGE(A$3:A545,1))</f>
        <v>0</v>
      </c>
      <c r="B546" s="203">
        <f t="shared" ca="1" si="38"/>
        <v>3</v>
      </c>
      <c r="C546" s="203">
        <f t="shared" ca="1" si="39"/>
        <v>1</v>
      </c>
      <c r="D546" s="204">
        <f t="shared" ca="1" si="40"/>
        <v>1</v>
      </c>
      <c r="E546" s="204">
        <f t="shared" ca="1" si="41"/>
        <v>15</v>
      </c>
      <c r="F546" s="34"/>
      <c r="J546" s="15"/>
      <c r="K546" s="21"/>
      <c r="L546" s="103"/>
      <c r="M546" s="103"/>
      <c r="N546" s="196"/>
      <c r="O546" s="139"/>
      <c r="P546" s="22"/>
      <c r="Q546" s="15"/>
    </row>
    <row r="547" spans="1:17" s="23" customFormat="1" ht="14.1" customHeight="1" x14ac:dyDescent="0.2">
      <c r="A547" s="203">
        <f ca="1">IF($H547="UNIDADE CONSTRUTIVA",OFFSET(A547,-1,0)+1,LARGE(A$3:A546,1))</f>
        <v>0</v>
      </c>
      <c r="B547" s="203">
        <f t="shared" ca="1" si="38"/>
        <v>3</v>
      </c>
      <c r="C547" s="203">
        <f t="shared" ca="1" si="39"/>
        <v>1</v>
      </c>
      <c r="D547" s="204">
        <f t="shared" ca="1" si="40"/>
        <v>1</v>
      </c>
      <c r="E547" s="204">
        <f t="shared" ca="1" si="41"/>
        <v>15</v>
      </c>
      <c r="F547" s="34"/>
      <c r="J547" s="15"/>
      <c r="K547" s="21"/>
      <c r="L547" s="103"/>
      <c r="M547" s="103"/>
      <c r="N547" s="196"/>
      <c r="O547" s="139"/>
      <c r="P547" s="22"/>
      <c r="Q547" s="15"/>
    </row>
    <row r="548" spans="1:17" s="23" customFormat="1" ht="14.1" customHeight="1" x14ac:dyDescent="0.2">
      <c r="A548" s="203">
        <f ca="1">IF($H548="UNIDADE CONSTRUTIVA",OFFSET(A548,-1,0)+1,LARGE(A$3:A547,1))</f>
        <v>0</v>
      </c>
      <c r="B548" s="203">
        <f t="shared" ca="1" si="38"/>
        <v>3</v>
      </c>
      <c r="C548" s="203">
        <f t="shared" ca="1" si="39"/>
        <v>1</v>
      </c>
      <c r="D548" s="204">
        <f t="shared" ca="1" si="40"/>
        <v>1</v>
      </c>
      <c r="E548" s="204">
        <f t="shared" ca="1" si="41"/>
        <v>15</v>
      </c>
      <c r="F548" s="34"/>
      <c r="J548" s="15"/>
      <c r="K548" s="21"/>
      <c r="L548" s="103"/>
      <c r="M548" s="103"/>
      <c r="N548" s="196"/>
      <c r="O548" s="139"/>
      <c r="P548" s="22"/>
      <c r="Q548" s="15"/>
    </row>
    <row r="549" spans="1:17" s="23" customFormat="1" ht="14.1" customHeight="1" x14ac:dyDescent="0.2">
      <c r="A549" s="203">
        <f ca="1">IF($H549="UNIDADE CONSTRUTIVA",OFFSET(A549,-1,0)+1,LARGE(A$3:A548,1))</f>
        <v>0</v>
      </c>
      <c r="B549" s="203">
        <f t="shared" ca="1" si="38"/>
        <v>3</v>
      </c>
      <c r="C549" s="203">
        <f t="shared" ca="1" si="39"/>
        <v>1</v>
      </c>
      <c r="D549" s="204">
        <f t="shared" ca="1" si="40"/>
        <v>1</v>
      </c>
      <c r="E549" s="204">
        <f t="shared" ca="1" si="41"/>
        <v>15</v>
      </c>
      <c r="F549" s="34"/>
      <c r="J549" s="15"/>
      <c r="K549" s="21"/>
      <c r="L549" s="103"/>
      <c r="M549" s="103"/>
      <c r="N549" s="196"/>
      <c r="O549" s="139"/>
      <c r="P549" s="22"/>
      <c r="Q549" s="15"/>
    </row>
    <row r="550" spans="1:17" s="23" customFormat="1" ht="14.1" customHeight="1" x14ac:dyDescent="0.2">
      <c r="A550" s="203">
        <f ca="1">IF($H550="UNIDADE CONSTRUTIVA",OFFSET(A550,-1,0)+1,LARGE(A$3:A549,1))</f>
        <v>0</v>
      </c>
      <c r="B550" s="203">
        <f t="shared" ca="1" si="38"/>
        <v>3</v>
      </c>
      <c r="C550" s="203">
        <f t="shared" ca="1" si="39"/>
        <v>1</v>
      </c>
      <c r="D550" s="204">
        <f t="shared" ca="1" si="40"/>
        <v>1</v>
      </c>
      <c r="E550" s="204">
        <f t="shared" ca="1" si="41"/>
        <v>15</v>
      </c>
      <c r="F550" s="34"/>
      <c r="J550" s="15"/>
      <c r="K550" s="21"/>
      <c r="L550" s="103"/>
      <c r="M550" s="103"/>
      <c r="N550" s="196"/>
      <c r="O550" s="139"/>
      <c r="P550" s="22"/>
      <c r="Q550" s="15"/>
    </row>
    <row r="551" spans="1:17" s="23" customFormat="1" ht="14.1" customHeight="1" x14ac:dyDescent="0.2">
      <c r="A551" s="203">
        <f ca="1">IF($H551="UNIDADE CONSTRUTIVA",OFFSET(A551,-1,0)+1,LARGE(A$3:A550,1))</f>
        <v>0</v>
      </c>
      <c r="B551" s="203">
        <f t="shared" ca="1" si="38"/>
        <v>3</v>
      </c>
      <c r="C551" s="203">
        <f t="shared" ca="1" si="39"/>
        <v>1</v>
      </c>
      <c r="D551" s="204">
        <f t="shared" ca="1" si="40"/>
        <v>1</v>
      </c>
      <c r="E551" s="204">
        <f t="shared" ca="1" si="41"/>
        <v>15</v>
      </c>
      <c r="F551" s="34"/>
      <c r="J551" s="15"/>
      <c r="K551" s="21"/>
      <c r="L551" s="103"/>
      <c r="M551" s="103"/>
      <c r="N551" s="196"/>
      <c r="O551" s="139"/>
      <c r="P551" s="22"/>
      <c r="Q551" s="15"/>
    </row>
    <row r="552" spans="1:17" s="23" customFormat="1" ht="14.1" customHeight="1" x14ac:dyDescent="0.2">
      <c r="A552" s="203">
        <f ca="1">IF($H552="UNIDADE CONSTRUTIVA",OFFSET(A552,-1,0)+1,LARGE(A$3:A551,1))</f>
        <v>0</v>
      </c>
      <c r="B552" s="203">
        <f t="shared" ca="1" si="38"/>
        <v>3</v>
      </c>
      <c r="C552" s="203">
        <f t="shared" ca="1" si="39"/>
        <v>1</v>
      </c>
      <c r="D552" s="204">
        <f t="shared" ca="1" si="40"/>
        <v>1</v>
      </c>
      <c r="E552" s="204">
        <f t="shared" ca="1" si="41"/>
        <v>15</v>
      </c>
      <c r="F552" s="34"/>
      <c r="J552" s="15"/>
      <c r="K552" s="21"/>
      <c r="L552" s="103"/>
      <c r="M552" s="103"/>
      <c r="N552" s="196"/>
      <c r="O552" s="139"/>
      <c r="P552" s="22"/>
      <c r="Q552" s="15"/>
    </row>
    <row r="553" spans="1:17" s="23" customFormat="1" ht="14.1" customHeight="1" x14ac:dyDescent="0.2">
      <c r="A553" s="203">
        <f ca="1">IF($H553="UNIDADE CONSTRUTIVA",OFFSET(A553,-1,0)+1,LARGE(A$3:A552,1))</f>
        <v>0</v>
      </c>
      <c r="B553" s="203">
        <f t="shared" ca="1" si="38"/>
        <v>3</v>
      </c>
      <c r="C553" s="203">
        <f t="shared" ca="1" si="39"/>
        <v>1</v>
      </c>
      <c r="D553" s="204">
        <f t="shared" ca="1" si="40"/>
        <v>1</v>
      </c>
      <c r="E553" s="204">
        <f t="shared" ca="1" si="41"/>
        <v>15</v>
      </c>
      <c r="F553" s="34"/>
      <c r="J553" s="15"/>
      <c r="K553" s="21"/>
      <c r="L553" s="103"/>
      <c r="M553" s="103"/>
      <c r="N553" s="196"/>
      <c r="O553" s="139"/>
      <c r="P553" s="22"/>
      <c r="Q553" s="15"/>
    </row>
    <row r="554" spans="1:17" s="23" customFormat="1" ht="14.1" customHeight="1" x14ac:dyDescent="0.2">
      <c r="A554" s="203">
        <f ca="1">IF($H554="UNIDADE CONSTRUTIVA",OFFSET(A554,-1,0)+1,LARGE(A$3:A553,1))</f>
        <v>0</v>
      </c>
      <c r="B554" s="203">
        <f t="shared" ca="1" si="38"/>
        <v>3</v>
      </c>
      <c r="C554" s="203">
        <f t="shared" ca="1" si="39"/>
        <v>1</v>
      </c>
      <c r="D554" s="204">
        <f t="shared" ca="1" si="40"/>
        <v>1</v>
      </c>
      <c r="E554" s="204">
        <f t="shared" ca="1" si="41"/>
        <v>15</v>
      </c>
      <c r="F554" s="34"/>
      <c r="J554" s="15"/>
      <c r="K554" s="21"/>
      <c r="L554" s="103"/>
      <c r="M554" s="103"/>
      <c r="N554" s="196"/>
      <c r="O554" s="139"/>
      <c r="P554" s="22"/>
      <c r="Q554" s="15"/>
    </row>
    <row r="555" spans="1:17" s="23" customFormat="1" ht="14.1" customHeight="1" x14ac:dyDescent="0.2">
      <c r="A555" s="203">
        <f ca="1">IF($H555="UNIDADE CONSTRUTIVA",OFFSET(A555,-1,0)+1,LARGE(A$3:A554,1))</f>
        <v>0</v>
      </c>
      <c r="B555" s="203">
        <f t="shared" ca="1" si="38"/>
        <v>3</v>
      </c>
      <c r="C555" s="203">
        <f t="shared" ca="1" si="39"/>
        <v>1</v>
      </c>
      <c r="D555" s="204">
        <f t="shared" ca="1" si="40"/>
        <v>1</v>
      </c>
      <c r="E555" s="204">
        <f t="shared" ca="1" si="41"/>
        <v>15</v>
      </c>
      <c r="F555" s="34"/>
      <c r="J555" s="15"/>
      <c r="K555" s="21"/>
      <c r="L555" s="103"/>
      <c r="M555" s="103"/>
      <c r="N555" s="196"/>
      <c r="O555" s="139"/>
      <c r="P555" s="22"/>
      <c r="Q555" s="15"/>
    </row>
    <row r="556" spans="1:17" s="23" customFormat="1" ht="14.1" customHeight="1" x14ac:dyDescent="0.2">
      <c r="A556" s="203">
        <f ca="1">IF($H556="UNIDADE CONSTRUTIVA",OFFSET(A556,-1,0)+1,LARGE(A$3:A555,1))</f>
        <v>0</v>
      </c>
      <c r="B556" s="203">
        <f t="shared" ca="1" si="38"/>
        <v>3</v>
      </c>
      <c r="C556" s="203">
        <f t="shared" ca="1" si="39"/>
        <v>1</v>
      </c>
      <c r="D556" s="204">
        <f t="shared" ca="1" si="40"/>
        <v>1</v>
      </c>
      <c r="E556" s="204">
        <f t="shared" ca="1" si="41"/>
        <v>15</v>
      </c>
      <c r="F556" s="34"/>
      <c r="J556" s="15"/>
      <c r="K556" s="21"/>
      <c r="L556" s="103"/>
      <c r="M556" s="103"/>
      <c r="N556" s="196"/>
      <c r="O556" s="139"/>
      <c r="P556" s="22"/>
      <c r="Q556" s="15"/>
    </row>
    <row r="557" spans="1:17" s="23" customFormat="1" ht="14.1" customHeight="1" x14ac:dyDescent="0.2">
      <c r="A557" s="203">
        <f ca="1">IF($H557="UNIDADE CONSTRUTIVA",OFFSET(A557,-1,0)+1,LARGE(A$3:A556,1))</f>
        <v>0</v>
      </c>
      <c r="B557" s="203">
        <f t="shared" ca="1" si="38"/>
        <v>3</v>
      </c>
      <c r="C557" s="203">
        <f t="shared" ca="1" si="39"/>
        <v>1</v>
      </c>
      <c r="D557" s="204">
        <f t="shared" ca="1" si="40"/>
        <v>1</v>
      </c>
      <c r="E557" s="204">
        <f t="shared" ca="1" si="41"/>
        <v>15</v>
      </c>
      <c r="F557" s="34"/>
      <c r="J557" s="15"/>
      <c r="K557" s="21"/>
      <c r="L557" s="103"/>
      <c r="M557" s="103"/>
      <c r="N557" s="196"/>
      <c r="O557" s="139"/>
      <c r="P557" s="22"/>
      <c r="Q557" s="15"/>
    </row>
    <row r="558" spans="1:17" s="23" customFormat="1" ht="14.1" customHeight="1" x14ac:dyDescent="0.2">
      <c r="A558" s="203">
        <f ca="1">IF($H558="UNIDADE CONSTRUTIVA",OFFSET(A558,-1,0)+1,LARGE(A$3:A557,1))</f>
        <v>0</v>
      </c>
      <c r="B558" s="203">
        <f t="shared" ca="1" si="38"/>
        <v>3</v>
      </c>
      <c r="C558" s="203">
        <f t="shared" ca="1" si="39"/>
        <v>1</v>
      </c>
      <c r="D558" s="204">
        <f t="shared" ca="1" si="40"/>
        <v>1</v>
      </c>
      <c r="E558" s="204">
        <f t="shared" ca="1" si="41"/>
        <v>15</v>
      </c>
      <c r="F558" s="34"/>
      <c r="J558" s="15"/>
      <c r="K558" s="21"/>
      <c r="L558" s="103"/>
      <c r="M558" s="103"/>
      <c r="N558" s="196"/>
      <c r="O558" s="139"/>
      <c r="P558" s="22"/>
      <c r="Q558" s="15"/>
    </row>
    <row r="559" spans="1:17" s="23" customFormat="1" ht="14.1" customHeight="1" x14ac:dyDescent="0.2">
      <c r="A559" s="203">
        <f ca="1">IF($H559="UNIDADE CONSTRUTIVA",OFFSET(A559,-1,0)+1,LARGE(A$3:A558,1))</f>
        <v>0</v>
      </c>
      <c r="B559" s="203">
        <f t="shared" ca="1" si="38"/>
        <v>3</v>
      </c>
      <c r="C559" s="203">
        <f t="shared" ca="1" si="39"/>
        <v>1</v>
      </c>
      <c r="D559" s="204">
        <f t="shared" ca="1" si="40"/>
        <v>1</v>
      </c>
      <c r="E559" s="204">
        <f t="shared" ca="1" si="41"/>
        <v>15</v>
      </c>
      <c r="F559" s="34"/>
      <c r="J559" s="15"/>
      <c r="K559" s="21"/>
      <c r="L559" s="103"/>
      <c r="M559" s="103"/>
      <c r="N559" s="196"/>
      <c r="O559" s="139"/>
      <c r="P559" s="22"/>
      <c r="Q559" s="15"/>
    </row>
    <row r="560" spans="1:17" s="23" customFormat="1" ht="14.1" customHeight="1" x14ac:dyDescent="0.2">
      <c r="A560" s="203">
        <f ca="1">IF($H560="UNIDADE CONSTRUTIVA",OFFSET(A560,-1,0)+1,LARGE(A$3:A559,1))</f>
        <v>0</v>
      </c>
      <c r="B560" s="203">
        <f t="shared" ca="1" si="38"/>
        <v>3</v>
      </c>
      <c r="C560" s="203">
        <f t="shared" ca="1" si="39"/>
        <v>1</v>
      </c>
      <c r="D560" s="204">
        <f t="shared" ca="1" si="40"/>
        <v>1</v>
      </c>
      <c r="E560" s="204">
        <f t="shared" ca="1" si="41"/>
        <v>15</v>
      </c>
      <c r="F560" s="34"/>
      <c r="J560" s="15"/>
      <c r="K560" s="21"/>
      <c r="L560" s="103"/>
      <c r="M560" s="103"/>
      <c r="N560" s="196"/>
      <c r="O560" s="139"/>
      <c r="P560" s="22"/>
      <c r="Q560" s="15"/>
    </row>
    <row r="561" spans="1:17" s="23" customFormat="1" ht="14.1" customHeight="1" x14ac:dyDescent="0.2">
      <c r="A561" s="203">
        <f ca="1">IF($H561="UNIDADE CONSTRUTIVA",OFFSET(A561,-1,0)+1,LARGE(A$3:A560,1))</f>
        <v>0</v>
      </c>
      <c r="B561" s="203">
        <f t="shared" ca="1" si="38"/>
        <v>3</v>
      </c>
      <c r="C561" s="203">
        <f t="shared" ca="1" si="39"/>
        <v>1</v>
      </c>
      <c r="D561" s="204">
        <f t="shared" ca="1" si="40"/>
        <v>1</v>
      </c>
      <c r="E561" s="204">
        <f t="shared" ca="1" si="41"/>
        <v>15</v>
      </c>
      <c r="F561" s="34"/>
      <c r="J561" s="15"/>
      <c r="K561" s="21"/>
      <c r="L561" s="103"/>
      <c r="M561" s="103"/>
      <c r="N561" s="196"/>
      <c r="O561" s="139"/>
      <c r="P561" s="22"/>
      <c r="Q561" s="15"/>
    </row>
    <row r="562" spans="1:17" s="23" customFormat="1" ht="14.1" customHeight="1" x14ac:dyDescent="0.2">
      <c r="A562" s="203">
        <f ca="1">IF($H562="UNIDADE CONSTRUTIVA",OFFSET(A562,-1,0)+1,LARGE(A$3:A561,1))</f>
        <v>0</v>
      </c>
      <c r="B562" s="203">
        <f t="shared" ca="1" si="38"/>
        <v>3</v>
      </c>
      <c r="C562" s="203">
        <f t="shared" ca="1" si="39"/>
        <v>1</v>
      </c>
      <c r="D562" s="204">
        <f t="shared" ca="1" si="40"/>
        <v>1</v>
      </c>
      <c r="E562" s="204">
        <f t="shared" ca="1" si="41"/>
        <v>15</v>
      </c>
      <c r="F562" s="34"/>
      <c r="J562" s="15"/>
      <c r="K562" s="21"/>
      <c r="L562" s="103"/>
      <c r="M562" s="103"/>
      <c r="N562" s="196"/>
      <c r="O562" s="139"/>
      <c r="P562" s="22"/>
      <c r="Q562" s="15"/>
    </row>
    <row r="563" spans="1:17" s="23" customFormat="1" ht="14.1" customHeight="1" x14ac:dyDescent="0.2">
      <c r="A563" s="203">
        <f ca="1">IF($H563="UNIDADE CONSTRUTIVA",OFFSET(A563,-1,0)+1,LARGE(A$3:A562,1))</f>
        <v>0</v>
      </c>
      <c r="B563" s="203">
        <f t="shared" ca="1" si="38"/>
        <v>3</v>
      </c>
      <c r="C563" s="203">
        <f t="shared" ca="1" si="39"/>
        <v>1</v>
      </c>
      <c r="D563" s="204">
        <f t="shared" ca="1" si="40"/>
        <v>1</v>
      </c>
      <c r="E563" s="204">
        <f t="shared" ca="1" si="41"/>
        <v>15</v>
      </c>
      <c r="F563" s="34"/>
      <c r="J563" s="15"/>
      <c r="K563" s="21"/>
      <c r="L563" s="103"/>
      <c r="M563" s="103"/>
      <c r="N563" s="196"/>
      <c r="O563" s="139"/>
      <c r="P563" s="22"/>
      <c r="Q563" s="15"/>
    </row>
    <row r="564" spans="1:17" s="23" customFormat="1" ht="14.1" customHeight="1" x14ac:dyDescent="0.2">
      <c r="A564" s="203">
        <f ca="1">IF($H564="UNIDADE CONSTRUTIVA",OFFSET(A564,-1,0)+1,LARGE(A$3:A563,1))</f>
        <v>0</v>
      </c>
      <c r="B564" s="203">
        <f t="shared" ca="1" si="38"/>
        <v>3</v>
      </c>
      <c r="C564" s="203">
        <f t="shared" ca="1" si="39"/>
        <v>1</v>
      </c>
      <c r="D564" s="204">
        <f t="shared" ca="1" si="40"/>
        <v>1</v>
      </c>
      <c r="E564" s="204">
        <f t="shared" ca="1" si="41"/>
        <v>15</v>
      </c>
      <c r="F564" s="34"/>
      <c r="J564" s="15"/>
      <c r="K564" s="21"/>
      <c r="L564" s="103"/>
      <c r="M564" s="103"/>
      <c r="N564" s="196"/>
      <c r="O564" s="139"/>
      <c r="P564" s="22"/>
      <c r="Q564" s="15"/>
    </row>
    <row r="565" spans="1:17" s="23" customFormat="1" ht="14.1" customHeight="1" x14ac:dyDescent="0.2">
      <c r="A565" s="203">
        <f ca="1">IF($H565="UNIDADE CONSTRUTIVA",OFFSET(A565,-1,0)+1,LARGE(A$3:A564,1))</f>
        <v>0</v>
      </c>
      <c r="B565" s="203">
        <f t="shared" ca="1" si="38"/>
        <v>3</v>
      </c>
      <c r="C565" s="203">
        <f t="shared" ca="1" si="39"/>
        <v>1</v>
      </c>
      <c r="D565" s="204">
        <f t="shared" ca="1" si="40"/>
        <v>1</v>
      </c>
      <c r="E565" s="204">
        <f t="shared" ca="1" si="41"/>
        <v>15</v>
      </c>
      <c r="F565" s="34"/>
      <c r="J565" s="15"/>
      <c r="K565" s="21"/>
      <c r="L565" s="103"/>
      <c r="M565" s="103"/>
      <c r="N565" s="196"/>
      <c r="O565" s="139"/>
      <c r="P565" s="22"/>
      <c r="Q565" s="15"/>
    </row>
    <row r="566" spans="1:17" s="23" customFormat="1" ht="14.1" customHeight="1" x14ac:dyDescent="0.2">
      <c r="A566" s="203">
        <f ca="1">IF($H566="UNIDADE CONSTRUTIVA",OFFSET(A566,-1,0)+1,LARGE(A$3:A565,1))</f>
        <v>0</v>
      </c>
      <c r="B566" s="203">
        <f t="shared" ca="1" si="38"/>
        <v>3</v>
      </c>
      <c r="C566" s="203">
        <f t="shared" ca="1" si="39"/>
        <v>1</v>
      </c>
      <c r="D566" s="204">
        <f t="shared" ca="1" si="40"/>
        <v>1</v>
      </c>
      <c r="E566" s="204">
        <f t="shared" ca="1" si="41"/>
        <v>15</v>
      </c>
      <c r="F566" s="34"/>
      <c r="J566" s="15"/>
      <c r="K566" s="21"/>
      <c r="L566" s="103"/>
      <c r="M566" s="103"/>
      <c r="N566" s="196"/>
      <c r="O566" s="139"/>
      <c r="P566" s="22"/>
      <c r="Q566" s="15"/>
    </row>
    <row r="567" spans="1:17" s="23" customFormat="1" ht="14.1" customHeight="1" x14ac:dyDescent="0.2">
      <c r="A567" s="203">
        <f ca="1">IF($H567="UNIDADE CONSTRUTIVA",OFFSET(A567,-1,0)+1,LARGE(A$3:A566,1))</f>
        <v>0</v>
      </c>
      <c r="B567" s="203">
        <f t="shared" ca="1" si="38"/>
        <v>3</v>
      </c>
      <c r="C567" s="203">
        <f t="shared" ca="1" si="39"/>
        <v>1</v>
      </c>
      <c r="D567" s="204">
        <f t="shared" ca="1" si="40"/>
        <v>1</v>
      </c>
      <c r="E567" s="204">
        <f t="shared" ca="1" si="41"/>
        <v>15</v>
      </c>
      <c r="F567" s="34"/>
      <c r="J567" s="15"/>
      <c r="K567" s="21"/>
      <c r="L567" s="103"/>
      <c r="M567" s="103"/>
      <c r="N567" s="196"/>
      <c r="O567" s="139"/>
      <c r="P567" s="22"/>
      <c r="Q567" s="15"/>
    </row>
    <row r="568" spans="1:17" s="23" customFormat="1" ht="14.1" customHeight="1" x14ac:dyDescent="0.2">
      <c r="A568" s="203">
        <f ca="1">IF($H568="UNIDADE CONSTRUTIVA",OFFSET(A568,-1,0)+1,LARGE(A$3:A567,1))</f>
        <v>0</v>
      </c>
      <c r="B568" s="203">
        <f t="shared" ca="1" si="38"/>
        <v>3</v>
      </c>
      <c r="C568" s="203">
        <f t="shared" ca="1" si="39"/>
        <v>1</v>
      </c>
      <c r="D568" s="204">
        <f t="shared" ca="1" si="40"/>
        <v>1</v>
      </c>
      <c r="E568" s="204">
        <f t="shared" ca="1" si="41"/>
        <v>15</v>
      </c>
      <c r="F568" s="34"/>
      <c r="J568" s="15"/>
      <c r="K568" s="21"/>
      <c r="L568" s="103"/>
      <c r="M568" s="103"/>
      <c r="N568" s="196"/>
      <c r="O568" s="139"/>
      <c r="P568" s="22"/>
      <c r="Q568" s="15"/>
    </row>
    <row r="569" spans="1:17" s="23" customFormat="1" ht="14.1" customHeight="1" x14ac:dyDescent="0.2">
      <c r="A569" s="203">
        <f ca="1">IF($H569="UNIDADE CONSTRUTIVA",OFFSET(A569,-1,0)+1,LARGE(A$3:A568,1))</f>
        <v>0</v>
      </c>
      <c r="B569" s="203">
        <f t="shared" ca="1" si="38"/>
        <v>3</v>
      </c>
      <c r="C569" s="203">
        <f t="shared" ca="1" si="39"/>
        <v>1</v>
      </c>
      <c r="D569" s="204">
        <f t="shared" ca="1" si="40"/>
        <v>1</v>
      </c>
      <c r="E569" s="204">
        <f t="shared" ca="1" si="41"/>
        <v>15</v>
      </c>
      <c r="F569" s="34"/>
      <c r="J569" s="15"/>
      <c r="K569" s="21"/>
      <c r="L569" s="103"/>
      <c r="M569" s="103"/>
      <c r="N569" s="196"/>
      <c r="O569" s="139"/>
      <c r="P569" s="22"/>
      <c r="Q569" s="15"/>
    </row>
    <row r="570" spans="1:17" s="23" customFormat="1" ht="14.1" customHeight="1" x14ac:dyDescent="0.2">
      <c r="A570" s="203">
        <f ca="1">IF($H570="UNIDADE CONSTRUTIVA",OFFSET(A570,-1,0)+1,LARGE(A$3:A569,1))</f>
        <v>0</v>
      </c>
      <c r="B570" s="203">
        <f t="shared" ca="1" si="38"/>
        <v>3</v>
      </c>
      <c r="C570" s="203">
        <f t="shared" ca="1" si="39"/>
        <v>1</v>
      </c>
      <c r="D570" s="204">
        <f t="shared" ca="1" si="40"/>
        <v>1</v>
      </c>
      <c r="E570" s="204">
        <f t="shared" ca="1" si="41"/>
        <v>15</v>
      </c>
      <c r="F570" s="34"/>
      <c r="J570" s="15"/>
      <c r="K570" s="21"/>
      <c r="L570" s="103"/>
      <c r="M570" s="103"/>
      <c r="N570" s="196"/>
      <c r="O570" s="139"/>
      <c r="P570" s="22"/>
      <c r="Q570" s="15"/>
    </row>
    <row r="571" spans="1:17" s="23" customFormat="1" ht="14.1" customHeight="1" x14ac:dyDescent="0.2">
      <c r="A571" s="203">
        <f ca="1">IF($H571="UNIDADE CONSTRUTIVA",OFFSET(A571,-1,0)+1,LARGE(A$3:A570,1))</f>
        <v>0</v>
      </c>
      <c r="B571" s="203">
        <f t="shared" ca="1" si="38"/>
        <v>3</v>
      </c>
      <c r="C571" s="203">
        <f t="shared" ca="1" si="39"/>
        <v>1</v>
      </c>
      <c r="D571" s="204">
        <f t="shared" ca="1" si="40"/>
        <v>1</v>
      </c>
      <c r="E571" s="204">
        <f t="shared" ca="1" si="41"/>
        <v>15</v>
      </c>
      <c r="F571" s="34"/>
      <c r="J571" s="15"/>
      <c r="K571" s="21"/>
      <c r="L571" s="103"/>
      <c r="M571" s="103"/>
      <c r="N571" s="196"/>
      <c r="O571" s="139"/>
      <c r="P571" s="22"/>
      <c r="Q571" s="15"/>
    </row>
    <row r="572" spans="1:17" s="23" customFormat="1" ht="14.1" customHeight="1" x14ac:dyDescent="0.2">
      <c r="A572" s="203">
        <f ca="1">IF($H572="UNIDADE CONSTRUTIVA",OFFSET(A572,-1,0)+1,LARGE(A$3:A571,1))</f>
        <v>0</v>
      </c>
      <c r="B572" s="203">
        <f t="shared" ca="1" si="38"/>
        <v>3</v>
      </c>
      <c r="C572" s="203">
        <f t="shared" ca="1" si="39"/>
        <v>1</v>
      </c>
      <c r="D572" s="204">
        <f t="shared" ca="1" si="40"/>
        <v>1</v>
      </c>
      <c r="E572" s="204">
        <f t="shared" ca="1" si="41"/>
        <v>15</v>
      </c>
      <c r="F572" s="34"/>
      <c r="J572" s="15"/>
      <c r="K572" s="21"/>
      <c r="L572" s="103"/>
      <c r="M572" s="103"/>
      <c r="N572" s="196"/>
      <c r="O572" s="139"/>
      <c r="P572" s="22"/>
      <c r="Q572" s="15"/>
    </row>
    <row r="573" spans="1:17" s="23" customFormat="1" ht="14.1" customHeight="1" x14ac:dyDescent="0.2">
      <c r="A573" s="203">
        <f ca="1">IF($H573="UNIDADE CONSTRUTIVA",OFFSET(A573,-1,0)+1,LARGE(A$3:A572,1))</f>
        <v>0</v>
      </c>
      <c r="B573" s="203">
        <f t="shared" ca="1" si="38"/>
        <v>3</v>
      </c>
      <c r="C573" s="203">
        <f t="shared" ca="1" si="39"/>
        <v>1</v>
      </c>
      <c r="D573" s="204">
        <f t="shared" ca="1" si="40"/>
        <v>1</v>
      </c>
      <c r="E573" s="204">
        <f t="shared" ca="1" si="41"/>
        <v>15</v>
      </c>
      <c r="F573" s="34"/>
      <c r="J573" s="15"/>
      <c r="K573" s="21"/>
      <c r="L573" s="103"/>
      <c r="M573" s="103"/>
      <c r="N573" s="196"/>
      <c r="O573" s="139"/>
      <c r="P573" s="22"/>
      <c r="Q573" s="15"/>
    </row>
    <row r="574" spans="1:17" s="23" customFormat="1" ht="14.1" customHeight="1" x14ac:dyDescent="0.2">
      <c r="A574" s="203">
        <f ca="1">IF($H574="UNIDADE CONSTRUTIVA",OFFSET(A574,-1,0)+1,LARGE(A$3:A573,1))</f>
        <v>0</v>
      </c>
      <c r="B574" s="203">
        <f t="shared" ca="1" si="38"/>
        <v>3</v>
      </c>
      <c r="C574" s="203">
        <f t="shared" ca="1" si="39"/>
        <v>1</v>
      </c>
      <c r="D574" s="204">
        <f t="shared" ca="1" si="40"/>
        <v>1</v>
      </c>
      <c r="E574" s="204">
        <f t="shared" ca="1" si="41"/>
        <v>15</v>
      </c>
      <c r="F574" s="34"/>
      <c r="J574" s="15"/>
      <c r="K574" s="21"/>
      <c r="L574" s="103"/>
      <c r="M574" s="103"/>
      <c r="N574" s="196"/>
      <c r="O574" s="139"/>
      <c r="P574" s="22"/>
      <c r="Q574" s="15"/>
    </row>
    <row r="575" spans="1:17" s="23" customFormat="1" ht="14.1" customHeight="1" x14ac:dyDescent="0.2">
      <c r="A575" s="203">
        <f ca="1">IF($H575="UNIDADE CONSTRUTIVA",OFFSET(A575,-1,0)+1,LARGE(A$3:A574,1))</f>
        <v>0</v>
      </c>
      <c r="B575" s="203">
        <f t="shared" ca="1" si="38"/>
        <v>3</v>
      </c>
      <c r="C575" s="203">
        <f t="shared" ca="1" si="39"/>
        <v>1</v>
      </c>
      <c r="D575" s="204">
        <f t="shared" ca="1" si="40"/>
        <v>1</v>
      </c>
      <c r="E575" s="204">
        <f t="shared" ca="1" si="41"/>
        <v>15</v>
      </c>
      <c r="F575" s="34"/>
      <c r="J575" s="15"/>
      <c r="K575" s="21"/>
      <c r="L575" s="103"/>
      <c r="M575" s="103"/>
      <c r="N575" s="196"/>
      <c r="O575" s="139"/>
      <c r="P575" s="22"/>
      <c r="Q575" s="15"/>
    </row>
    <row r="576" spans="1:17" s="23" customFormat="1" ht="14.1" customHeight="1" x14ac:dyDescent="0.2">
      <c r="A576" s="203">
        <f ca="1">IF($H576="UNIDADE CONSTRUTIVA",OFFSET(A576,-1,0)+1,LARGE(A$3:A575,1))</f>
        <v>0</v>
      </c>
      <c r="B576" s="203">
        <f t="shared" ca="1" si="38"/>
        <v>3</v>
      </c>
      <c r="C576" s="203">
        <f t="shared" ca="1" si="39"/>
        <v>1</v>
      </c>
      <c r="D576" s="204">
        <f t="shared" ca="1" si="40"/>
        <v>1</v>
      </c>
      <c r="E576" s="204">
        <f t="shared" ca="1" si="41"/>
        <v>15</v>
      </c>
      <c r="F576" s="34"/>
      <c r="J576" s="15"/>
      <c r="K576" s="21"/>
      <c r="L576" s="103"/>
      <c r="M576" s="103"/>
      <c r="N576" s="196"/>
      <c r="O576" s="139"/>
      <c r="P576" s="22"/>
      <c r="Q576" s="15"/>
    </row>
    <row r="577" spans="1:17" s="23" customFormat="1" ht="14.1" customHeight="1" x14ac:dyDescent="0.2">
      <c r="A577" s="203">
        <f ca="1">IF($H577="UNIDADE CONSTRUTIVA",OFFSET(A577,-1,0)+1,LARGE(A$3:A576,1))</f>
        <v>0</v>
      </c>
      <c r="B577" s="203">
        <f t="shared" ca="1" si="38"/>
        <v>3</v>
      </c>
      <c r="C577" s="203">
        <f t="shared" ca="1" si="39"/>
        <v>1</v>
      </c>
      <c r="D577" s="204">
        <f t="shared" ca="1" si="40"/>
        <v>1</v>
      </c>
      <c r="E577" s="204">
        <f t="shared" ca="1" si="41"/>
        <v>15</v>
      </c>
      <c r="F577" s="34"/>
      <c r="J577" s="15"/>
      <c r="K577" s="21"/>
      <c r="L577" s="103"/>
      <c r="M577" s="103"/>
      <c r="N577" s="196"/>
      <c r="O577" s="139"/>
      <c r="P577" s="22"/>
      <c r="Q577" s="15"/>
    </row>
    <row r="578" spans="1:17" s="23" customFormat="1" ht="14.1" customHeight="1" x14ac:dyDescent="0.2">
      <c r="A578" s="203">
        <f ca="1">IF($H578="UNIDADE CONSTRUTIVA",OFFSET(A578,-1,0)+1,LARGE(A$3:A577,1))</f>
        <v>0</v>
      </c>
      <c r="B578" s="203">
        <f t="shared" ca="1" si="38"/>
        <v>3</v>
      </c>
      <c r="C578" s="203">
        <f t="shared" ca="1" si="39"/>
        <v>1</v>
      </c>
      <c r="D578" s="204">
        <f t="shared" ca="1" si="40"/>
        <v>1</v>
      </c>
      <c r="E578" s="204">
        <f t="shared" ca="1" si="41"/>
        <v>15</v>
      </c>
      <c r="F578" s="34"/>
      <c r="J578" s="15"/>
      <c r="K578" s="21"/>
      <c r="L578" s="103"/>
      <c r="M578" s="103"/>
      <c r="N578" s="196"/>
      <c r="O578" s="139"/>
      <c r="P578" s="22"/>
      <c r="Q578" s="15"/>
    </row>
    <row r="579" spans="1:17" s="23" customFormat="1" ht="14.1" customHeight="1" x14ac:dyDescent="0.2">
      <c r="A579" s="203">
        <f ca="1">IF($H579="UNIDADE CONSTRUTIVA",OFFSET(A579,-1,0)+1,LARGE(A$3:A578,1))</f>
        <v>0</v>
      </c>
      <c r="B579" s="203">
        <f t="shared" ca="1" si="38"/>
        <v>3</v>
      </c>
      <c r="C579" s="203">
        <f t="shared" ca="1" si="39"/>
        <v>1</v>
      </c>
      <c r="D579" s="204">
        <f t="shared" ca="1" si="40"/>
        <v>1</v>
      </c>
      <c r="E579" s="204">
        <f t="shared" ca="1" si="41"/>
        <v>15</v>
      </c>
      <c r="F579" s="34"/>
      <c r="J579" s="15"/>
      <c r="K579" s="21"/>
      <c r="L579" s="103"/>
      <c r="M579" s="103"/>
      <c r="N579" s="196"/>
      <c r="O579" s="139"/>
      <c r="P579" s="22"/>
      <c r="Q579" s="15"/>
    </row>
    <row r="580" spans="1:17" s="23" customFormat="1" ht="14.1" customHeight="1" x14ac:dyDescent="0.2">
      <c r="A580" s="203">
        <f ca="1">IF($H580="UNIDADE CONSTRUTIVA",OFFSET(A580,-1,0)+1,LARGE(A$3:A579,1))</f>
        <v>0</v>
      </c>
      <c r="B580" s="203">
        <f t="shared" ca="1" si="38"/>
        <v>3</v>
      </c>
      <c r="C580" s="203">
        <f t="shared" ca="1" si="39"/>
        <v>1</v>
      </c>
      <c r="D580" s="204">
        <f t="shared" ca="1" si="40"/>
        <v>1</v>
      </c>
      <c r="E580" s="204">
        <f t="shared" ca="1" si="41"/>
        <v>15</v>
      </c>
      <c r="F580" s="34"/>
      <c r="J580" s="15"/>
      <c r="K580" s="21"/>
      <c r="L580" s="103"/>
      <c r="M580" s="103"/>
      <c r="N580" s="196"/>
      <c r="O580" s="139"/>
      <c r="P580" s="22"/>
      <c r="Q580" s="15"/>
    </row>
    <row r="581" spans="1:17" s="23" customFormat="1" ht="14.1" customHeight="1" x14ac:dyDescent="0.2">
      <c r="A581" s="203">
        <f ca="1">IF($H581="UNIDADE CONSTRUTIVA",OFFSET(A581,-1,0)+1,LARGE(A$3:A580,1))</f>
        <v>0</v>
      </c>
      <c r="B581" s="203">
        <f t="shared" ca="1" si="38"/>
        <v>3</v>
      </c>
      <c r="C581" s="203">
        <f t="shared" ca="1" si="39"/>
        <v>1</v>
      </c>
      <c r="D581" s="204">
        <f t="shared" ca="1" si="40"/>
        <v>1</v>
      </c>
      <c r="E581" s="204">
        <f t="shared" ca="1" si="41"/>
        <v>15</v>
      </c>
      <c r="F581" s="34"/>
      <c r="J581" s="15"/>
      <c r="K581" s="21"/>
      <c r="L581" s="103"/>
      <c r="M581" s="103"/>
      <c r="N581" s="196"/>
      <c r="O581" s="139"/>
      <c r="P581" s="22"/>
      <c r="Q581" s="15"/>
    </row>
    <row r="582" spans="1:17" s="23" customFormat="1" ht="14.1" customHeight="1" x14ac:dyDescent="0.2">
      <c r="A582" s="203">
        <f ca="1">IF($H582="UNIDADE CONSTRUTIVA",OFFSET(A582,-1,0)+1,LARGE(A$3:A581,1))</f>
        <v>0</v>
      </c>
      <c r="B582" s="203">
        <f t="shared" ca="1" si="38"/>
        <v>3</v>
      </c>
      <c r="C582" s="203">
        <f t="shared" ca="1" si="39"/>
        <v>1</v>
      </c>
      <c r="D582" s="204">
        <f t="shared" ca="1" si="40"/>
        <v>1</v>
      </c>
      <c r="E582" s="204">
        <f t="shared" ca="1" si="41"/>
        <v>15</v>
      </c>
      <c r="F582" s="34"/>
      <c r="J582" s="15"/>
      <c r="K582" s="21"/>
      <c r="L582" s="103"/>
      <c r="M582" s="103"/>
      <c r="N582" s="196"/>
      <c r="O582" s="139"/>
      <c r="P582" s="22"/>
      <c r="Q582" s="15"/>
    </row>
    <row r="583" spans="1:17" s="23" customFormat="1" ht="14.1" customHeight="1" x14ac:dyDescent="0.2">
      <c r="A583" s="203">
        <f ca="1">IF($H583="UNIDADE CONSTRUTIVA",OFFSET(A583,-1,0)+1,LARGE(A$3:A582,1))</f>
        <v>0</v>
      </c>
      <c r="B583" s="203">
        <f t="shared" ca="1" si="38"/>
        <v>3</v>
      </c>
      <c r="C583" s="203">
        <f t="shared" ca="1" si="39"/>
        <v>1</v>
      </c>
      <c r="D583" s="204">
        <f t="shared" ca="1" si="40"/>
        <v>1</v>
      </c>
      <c r="E583" s="204">
        <f t="shared" ca="1" si="41"/>
        <v>15</v>
      </c>
      <c r="F583" s="34"/>
      <c r="J583" s="15"/>
      <c r="K583" s="21"/>
      <c r="L583" s="103"/>
      <c r="M583" s="103"/>
      <c r="N583" s="196"/>
      <c r="O583" s="139"/>
      <c r="P583" s="22"/>
      <c r="Q583" s="15"/>
    </row>
    <row r="584" spans="1:17" s="23" customFormat="1" ht="14.1" customHeight="1" x14ac:dyDescent="0.2">
      <c r="A584" s="203">
        <f ca="1">IF($H584="UNIDADE CONSTRUTIVA",OFFSET(A584,-1,0)+1,LARGE(A$3:A583,1))</f>
        <v>0</v>
      </c>
      <c r="B584" s="203">
        <f t="shared" ca="1" si="38"/>
        <v>3</v>
      </c>
      <c r="C584" s="203">
        <f t="shared" ca="1" si="39"/>
        <v>1</v>
      </c>
      <c r="D584" s="204">
        <f t="shared" ca="1" si="40"/>
        <v>1</v>
      </c>
      <c r="E584" s="204">
        <f t="shared" ca="1" si="41"/>
        <v>15</v>
      </c>
      <c r="F584" s="34"/>
      <c r="J584" s="15"/>
      <c r="K584" s="21"/>
      <c r="L584" s="103"/>
      <c r="M584" s="103"/>
      <c r="N584" s="196"/>
      <c r="O584" s="139"/>
      <c r="P584" s="22"/>
      <c r="Q584" s="15"/>
    </row>
    <row r="585" spans="1:17" s="23" customFormat="1" ht="14.1" customHeight="1" x14ac:dyDescent="0.2">
      <c r="A585" s="203">
        <f ca="1">IF($H585="UNIDADE CONSTRUTIVA",OFFSET(A585,-1,0)+1,LARGE(A$3:A584,1))</f>
        <v>0</v>
      </c>
      <c r="B585" s="203">
        <f t="shared" ca="1" si="38"/>
        <v>3</v>
      </c>
      <c r="C585" s="203">
        <f t="shared" ca="1" si="39"/>
        <v>1</v>
      </c>
      <c r="D585" s="204">
        <f t="shared" ca="1" si="40"/>
        <v>1</v>
      </c>
      <c r="E585" s="204">
        <f t="shared" ca="1" si="41"/>
        <v>15</v>
      </c>
      <c r="F585" s="34"/>
      <c r="J585" s="15"/>
      <c r="K585" s="21"/>
      <c r="L585" s="103"/>
      <c r="M585" s="103"/>
      <c r="N585" s="196"/>
      <c r="O585" s="139"/>
      <c r="P585" s="22"/>
      <c r="Q585" s="15"/>
    </row>
    <row r="586" spans="1:17" s="23" customFormat="1" ht="14.1" customHeight="1" x14ac:dyDescent="0.2">
      <c r="A586" s="203">
        <f ca="1">IF($H586="UNIDADE CONSTRUTIVA",OFFSET(A586,-1,0)+1,LARGE(A$3:A585,1))</f>
        <v>0</v>
      </c>
      <c r="B586" s="203">
        <f t="shared" ca="1" si="38"/>
        <v>3</v>
      </c>
      <c r="C586" s="203">
        <f t="shared" ca="1" si="39"/>
        <v>1</v>
      </c>
      <c r="D586" s="204">
        <f t="shared" ca="1" si="40"/>
        <v>1</v>
      </c>
      <c r="E586" s="204">
        <f t="shared" ca="1" si="41"/>
        <v>15</v>
      </c>
      <c r="F586" s="34"/>
      <c r="J586" s="15"/>
      <c r="K586" s="21"/>
      <c r="L586" s="103"/>
      <c r="M586" s="103"/>
      <c r="N586" s="196"/>
      <c r="O586" s="139"/>
      <c r="P586" s="22"/>
      <c r="Q586" s="15"/>
    </row>
    <row r="587" spans="1:17" s="23" customFormat="1" ht="14.1" customHeight="1" x14ac:dyDescent="0.2">
      <c r="A587" s="203">
        <f ca="1">IF($H587="UNIDADE CONSTRUTIVA",OFFSET(A587,-1,0)+1,LARGE(A$3:A586,1))</f>
        <v>0</v>
      </c>
      <c r="B587" s="203">
        <f t="shared" ca="1" si="38"/>
        <v>3</v>
      </c>
      <c r="C587" s="203">
        <f t="shared" ca="1" si="39"/>
        <v>1</v>
      </c>
      <c r="D587" s="204">
        <f t="shared" ca="1" si="40"/>
        <v>1</v>
      </c>
      <c r="E587" s="204">
        <f t="shared" ca="1" si="41"/>
        <v>15</v>
      </c>
      <c r="F587" s="34"/>
      <c r="J587" s="15"/>
      <c r="K587" s="21"/>
      <c r="L587" s="103"/>
      <c r="M587" s="103"/>
      <c r="N587" s="196"/>
      <c r="O587" s="139"/>
      <c r="P587" s="22"/>
      <c r="Q587" s="15"/>
    </row>
    <row r="588" spans="1:17" s="23" customFormat="1" ht="14.1" customHeight="1" x14ac:dyDescent="0.2">
      <c r="A588" s="203">
        <f ca="1">IF($H588="UNIDADE CONSTRUTIVA",OFFSET(A588,-1,0)+1,LARGE(A$3:A587,1))</f>
        <v>0</v>
      </c>
      <c r="B588" s="203">
        <f t="shared" ca="1" si="38"/>
        <v>3</v>
      </c>
      <c r="C588" s="203">
        <f t="shared" ca="1" si="39"/>
        <v>1</v>
      </c>
      <c r="D588" s="204">
        <f t="shared" ca="1" si="40"/>
        <v>1</v>
      </c>
      <c r="E588" s="204">
        <f t="shared" ca="1" si="41"/>
        <v>15</v>
      </c>
      <c r="F588" s="34"/>
      <c r="J588" s="15"/>
      <c r="K588" s="21"/>
      <c r="L588" s="103"/>
      <c r="M588" s="103"/>
      <c r="N588" s="196"/>
      <c r="O588" s="139"/>
      <c r="P588" s="22"/>
      <c r="Q588" s="15"/>
    </row>
    <row r="589" spans="1:17" s="23" customFormat="1" ht="14.1" customHeight="1" x14ac:dyDescent="0.2">
      <c r="A589" s="203">
        <f ca="1">IF($H589="UNIDADE CONSTRUTIVA",OFFSET(A589,-1,0)+1,LARGE(A$3:A588,1))</f>
        <v>0</v>
      </c>
      <c r="B589" s="203">
        <f t="shared" ref="B589:B652" ca="1" si="42">IF(H589="UNIDADE CONSTRUTIVA",0,IF(H589="CÉLULA CONSTRUTIVA",OFFSET(B589,-1,0)+1,OFFSET(B589,-1,0)))</f>
        <v>3</v>
      </c>
      <c r="C589" s="203">
        <f t="shared" ref="C589:C652" ca="1" si="43">IF(H589="CÉLULA CONSTRUTIVA",0,IF(H589="ETAPA",OFFSET(C589,-1,0)+1,OFFSET(C589,-1,0)))</f>
        <v>1</v>
      </c>
      <c r="D589" s="204">
        <f t="shared" ref="D589:D652" ca="1" si="44">IF(H589="ETAPA",0,IF(H589="SUBETAPA",OFFSET(D589,-1,0)+1,OFFSET(D589,-1,0)))</f>
        <v>1</v>
      </c>
      <c r="E589" s="204">
        <f t="shared" ref="E589:E652" ca="1" si="45">IF(H589="Subetapa",0,IF(H589="serviço",OFFSET(E589,-1,0)+1,OFFSET(E589,-1,0)))</f>
        <v>15</v>
      </c>
      <c r="F589" s="34"/>
      <c r="J589" s="15"/>
      <c r="K589" s="21"/>
      <c r="L589" s="103"/>
      <c r="M589" s="103"/>
      <c r="N589" s="196"/>
      <c r="O589" s="139"/>
      <c r="P589" s="22"/>
      <c r="Q589" s="15"/>
    </row>
    <row r="590" spans="1:17" s="23" customFormat="1" ht="14.1" customHeight="1" x14ac:dyDescent="0.2">
      <c r="A590" s="203">
        <f ca="1">IF($H590="UNIDADE CONSTRUTIVA",OFFSET(A590,-1,0)+1,LARGE(A$3:A589,1))</f>
        <v>0</v>
      </c>
      <c r="B590" s="203">
        <f t="shared" ca="1" si="42"/>
        <v>3</v>
      </c>
      <c r="C590" s="203">
        <f t="shared" ca="1" si="43"/>
        <v>1</v>
      </c>
      <c r="D590" s="204">
        <f t="shared" ca="1" si="44"/>
        <v>1</v>
      </c>
      <c r="E590" s="204">
        <f t="shared" ca="1" si="45"/>
        <v>15</v>
      </c>
      <c r="F590" s="34"/>
      <c r="J590" s="15"/>
      <c r="K590" s="21"/>
      <c r="L590" s="103"/>
      <c r="M590" s="103"/>
      <c r="N590" s="196"/>
      <c r="O590" s="139"/>
      <c r="P590" s="22"/>
      <c r="Q590" s="15"/>
    </row>
    <row r="591" spans="1:17" s="23" customFormat="1" ht="14.1" customHeight="1" x14ac:dyDescent="0.2">
      <c r="A591" s="203">
        <f ca="1">IF($H591="UNIDADE CONSTRUTIVA",OFFSET(A591,-1,0)+1,LARGE(A$3:A590,1))</f>
        <v>0</v>
      </c>
      <c r="B591" s="203">
        <f t="shared" ca="1" si="42"/>
        <v>3</v>
      </c>
      <c r="C591" s="203">
        <f t="shared" ca="1" si="43"/>
        <v>1</v>
      </c>
      <c r="D591" s="204">
        <f t="shared" ca="1" si="44"/>
        <v>1</v>
      </c>
      <c r="E591" s="204">
        <f t="shared" ca="1" si="45"/>
        <v>15</v>
      </c>
      <c r="F591" s="34"/>
      <c r="J591" s="15"/>
      <c r="K591" s="21"/>
      <c r="L591" s="103"/>
      <c r="M591" s="103"/>
      <c r="N591" s="196"/>
      <c r="O591" s="139"/>
      <c r="P591" s="22"/>
      <c r="Q591" s="15"/>
    </row>
    <row r="592" spans="1:17" s="23" customFormat="1" ht="14.1" customHeight="1" x14ac:dyDescent="0.2">
      <c r="A592" s="203">
        <f ca="1">IF($H592="UNIDADE CONSTRUTIVA",OFFSET(A592,-1,0)+1,LARGE(A$3:A591,1))</f>
        <v>0</v>
      </c>
      <c r="B592" s="203">
        <f t="shared" ca="1" si="42"/>
        <v>3</v>
      </c>
      <c r="C592" s="203">
        <f t="shared" ca="1" si="43"/>
        <v>1</v>
      </c>
      <c r="D592" s="204">
        <f t="shared" ca="1" si="44"/>
        <v>1</v>
      </c>
      <c r="E592" s="204">
        <f t="shared" ca="1" si="45"/>
        <v>15</v>
      </c>
      <c r="F592" s="34"/>
      <c r="J592" s="15"/>
      <c r="K592" s="21"/>
      <c r="L592" s="103"/>
      <c r="M592" s="103"/>
      <c r="N592" s="196"/>
      <c r="O592" s="139"/>
      <c r="P592" s="22"/>
      <c r="Q592" s="15"/>
    </row>
    <row r="593" spans="1:17" s="23" customFormat="1" ht="14.1" customHeight="1" x14ac:dyDescent="0.2">
      <c r="A593" s="203">
        <f ca="1">IF($H593="UNIDADE CONSTRUTIVA",OFFSET(A593,-1,0)+1,LARGE(A$3:A592,1))</f>
        <v>0</v>
      </c>
      <c r="B593" s="203">
        <f t="shared" ca="1" si="42"/>
        <v>3</v>
      </c>
      <c r="C593" s="203">
        <f t="shared" ca="1" si="43"/>
        <v>1</v>
      </c>
      <c r="D593" s="204">
        <f t="shared" ca="1" si="44"/>
        <v>1</v>
      </c>
      <c r="E593" s="204">
        <f t="shared" ca="1" si="45"/>
        <v>15</v>
      </c>
      <c r="F593" s="34"/>
      <c r="J593" s="15"/>
      <c r="K593" s="21"/>
      <c r="L593" s="103"/>
      <c r="M593" s="103"/>
      <c r="N593" s="196"/>
      <c r="O593" s="139"/>
      <c r="P593" s="22"/>
      <c r="Q593" s="15"/>
    </row>
    <row r="594" spans="1:17" s="23" customFormat="1" ht="14.1" customHeight="1" x14ac:dyDescent="0.2">
      <c r="A594" s="203">
        <f ca="1">IF($H594="UNIDADE CONSTRUTIVA",OFFSET(A594,-1,0)+1,LARGE(A$3:A593,1))</f>
        <v>0</v>
      </c>
      <c r="B594" s="203">
        <f t="shared" ca="1" si="42"/>
        <v>3</v>
      </c>
      <c r="C594" s="203">
        <f t="shared" ca="1" si="43"/>
        <v>1</v>
      </c>
      <c r="D594" s="204">
        <f t="shared" ca="1" si="44"/>
        <v>1</v>
      </c>
      <c r="E594" s="204">
        <f t="shared" ca="1" si="45"/>
        <v>15</v>
      </c>
      <c r="F594" s="34"/>
      <c r="J594" s="15"/>
      <c r="K594" s="21"/>
      <c r="L594" s="103"/>
      <c r="M594" s="103"/>
      <c r="N594" s="196"/>
      <c r="O594" s="139"/>
      <c r="P594" s="22"/>
      <c r="Q594" s="15"/>
    </row>
    <row r="595" spans="1:17" s="23" customFormat="1" ht="14.1" customHeight="1" x14ac:dyDescent="0.2">
      <c r="A595" s="203">
        <f ca="1">IF($H595="UNIDADE CONSTRUTIVA",OFFSET(A595,-1,0)+1,LARGE(A$3:A594,1))</f>
        <v>0</v>
      </c>
      <c r="B595" s="203">
        <f t="shared" ca="1" si="42"/>
        <v>3</v>
      </c>
      <c r="C595" s="203">
        <f t="shared" ca="1" si="43"/>
        <v>1</v>
      </c>
      <c r="D595" s="204">
        <f t="shared" ca="1" si="44"/>
        <v>1</v>
      </c>
      <c r="E595" s="204">
        <f t="shared" ca="1" si="45"/>
        <v>15</v>
      </c>
      <c r="F595" s="34"/>
      <c r="J595" s="15"/>
      <c r="K595" s="21"/>
      <c r="L595" s="103"/>
      <c r="M595" s="103"/>
      <c r="N595" s="196"/>
      <c r="O595" s="139"/>
      <c r="P595" s="22"/>
      <c r="Q595" s="15"/>
    </row>
    <row r="596" spans="1:17" s="23" customFormat="1" ht="14.1" customHeight="1" x14ac:dyDescent="0.2">
      <c r="A596" s="203">
        <f ca="1">IF($H596="UNIDADE CONSTRUTIVA",OFFSET(A596,-1,0)+1,LARGE(A$3:A595,1))</f>
        <v>0</v>
      </c>
      <c r="B596" s="203">
        <f t="shared" ca="1" si="42"/>
        <v>3</v>
      </c>
      <c r="C596" s="203">
        <f t="shared" ca="1" si="43"/>
        <v>1</v>
      </c>
      <c r="D596" s="204">
        <f t="shared" ca="1" si="44"/>
        <v>1</v>
      </c>
      <c r="E596" s="204">
        <f t="shared" ca="1" si="45"/>
        <v>15</v>
      </c>
      <c r="F596" s="34"/>
      <c r="J596" s="15"/>
      <c r="K596" s="21"/>
      <c r="L596" s="103"/>
      <c r="M596" s="103"/>
      <c r="N596" s="196"/>
      <c r="O596" s="139"/>
      <c r="P596" s="22"/>
      <c r="Q596" s="15"/>
    </row>
    <row r="597" spans="1:17" s="23" customFormat="1" ht="14.1" customHeight="1" x14ac:dyDescent="0.2">
      <c r="A597" s="203">
        <f ca="1">IF($H597="UNIDADE CONSTRUTIVA",OFFSET(A597,-1,0)+1,LARGE(A$3:A596,1))</f>
        <v>0</v>
      </c>
      <c r="B597" s="203">
        <f t="shared" ca="1" si="42"/>
        <v>3</v>
      </c>
      <c r="C597" s="203">
        <f t="shared" ca="1" si="43"/>
        <v>1</v>
      </c>
      <c r="D597" s="204">
        <f t="shared" ca="1" si="44"/>
        <v>1</v>
      </c>
      <c r="E597" s="204">
        <f t="shared" ca="1" si="45"/>
        <v>15</v>
      </c>
      <c r="F597" s="34"/>
      <c r="J597" s="15"/>
      <c r="K597" s="21"/>
      <c r="L597" s="103"/>
      <c r="M597" s="103"/>
      <c r="N597" s="196"/>
      <c r="O597" s="139"/>
      <c r="P597" s="22"/>
      <c r="Q597" s="15"/>
    </row>
    <row r="598" spans="1:17" s="23" customFormat="1" ht="14.1" customHeight="1" x14ac:dyDescent="0.2">
      <c r="A598" s="203">
        <f ca="1">IF($H598="UNIDADE CONSTRUTIVA",OFFSET(A598,-1,0)+1,LARGE(A$3:A597,1))</f>
        <v>0</v>
      </c>
      <c r="B598" s="203">
        <f t="shared" ca="1" si="42"/>
        <v>3</v>
      </c>
      <c r="C598" s="203">
        <f t="shared" ca="1" si="43"/>
        <v>1</v>
      </c>
      <c r="D598" s="204">
        <f t="shared" ca="1" si="44"/>
        <v>1</v>
      </c>
      <c r="E598" s="204">
        <f t="shared" ca="1" si="45"/>
        <v>15</v>
      </c>
      <c r="F598" s="34"/>
      <c r="J598" s="15"/>
      <c r="K598" s="21"/>
      <c r="L598" s="103"/>
      <c r="M598" s="103"/>
      <c r="N598" s="196"/>
      <c r="O598" s="139"/>
      <c r="P598" s="22"/>
      <c r="Q598" s="15"/>
    </row>
    <row r="599" spans="1:17" s="23" customFormat="1" ht="14.1" customHeight="1" x14ac:dyDescent="0.2">
      <c r="A599" s="203">
        <f ca="1">IF($H599="UNIDADE CONSTRUTIVA",OFFSET(A599,-1,0)+1,LARGE(A$3:A598,1))</f>
        <v>0</v>
      </c>
      <c r="B599" s="203">
        <f t="shared" ca="1" si="42"/>
        <v>3</v>
      </c>
      <c r="C599" s="203">
        <f t="shared" ca="1" si="43"/>
        <v>1</v>
      </c>
      <c r="D599" s="204">
        <f t="shared" ca="1" si="44"/>
        <v>1</v>
      </c>
      <c r="E599" s="204">
        <f t="shared" ca="1" si="45"/>
        <v>15</v>
      </c>
      <c r="F599" s="34"/>
      <c r="J599" s="15"/>
      <c r="K599" s="21"/>
      <c r="L599" s="103"/>
      <c r="M599" s="103"/>
      <c r="N599" s="196"/>
      <c r="O599" s="139"/>
      <c r="P599" s="22"/>
      <c r="Q599" s="15"/>
    </row>
    <row r="600" spans="1:17" s="23" customFormat="1" ht="14.1" customHeight="1" x14ac:dyDescent="0.2">
      <c r="A600" s="203">
        <f ca="1">IF($H600="UNIDADE CONSTRUTIVA",OFFSET(A600,-1,0)+1,LARGE(A$3:A599,1))</f>
        <v>0</v>
      </c>
      <c r="B600" s="203">
        <f t="shared" ca="1" si="42"/>
        <v>3</v>
      </c>
      <c r="C600" s="203">
        <f t="shared" ca="1" si="43"/>
        <v>1</v>
      </c>
      <c r="D600" s="204">
        <f t="shared" ca="1" si="44"/>
        <v>1</v>
      </c>
      <c r="E600" s="204">
        <f t="shared" ca="1" si="45"/>
        <v>15</v>
      </c>
      <c r="F600" s="34"/>
      <c r="J600" s="15"/>
      <c r="K600" s="21"/>
      <c r="L600" s="103"/>
      <c r="M600" s="103"/>
      <c r="N600" s="196"/>
      <c r="O600" s="139"/>
      <c r="P600" s="22"/>
      <c r="Q600" s="15"/>
    </row>
    <row r="601" spans="1:17" s="23" customFormat="1" ht="14.1" customHeight="1" x14ac:dyDescent="0.2">
      <c r="A601" s="203">
        <f ca="1">IF($H601="UNIDADE CONSTRUTIVA",OFFSET(A601,-1,0)+1,LARGE(A$3:A600,1))</f>
        <v>0</v>
      </c>
      <c r="B601" s="203">
        <f t="shared" ca="1" si="42"/>
        <v>3</v>
      </c>
      <c r="C601" s="203">
        <f t="shared" ca="1" si="43"/>
        <v>1</v>
      </c>
      <c r="D601" s="204">
        <f t="shared" ca="1" si="44"/>
        <v>1</v>
      </c>
      <c r="E601" s="204">
        <f t="shared" ca="1" si="45"/>
        <v>15</v>
      </c>
      <c r="F601" s="34"/>
      <c r="J601" s="15"/>
      <c r="K601" s="21"/>
      <c r="L601" s="103"/>
      <c r="M601" s="103"/>
      <c r="N601" s="196"/>
      <c r="O601" s="139"/>
      <c r="P601" s="22"/>
      <c r="Q601" s="15"/>
    </row>
    <row r="602" spans="1:17" s="23" customFormat="1" ht="14.1" customHeight="1" x14ac:dyDescent="0.2">
      <c r="A602" s="203">
        <f ca="1">IF($H602="UNIDADE CONSTRUTIVA",OFFSET(A602,-1,0)+1,LARGE(A$3:A601,1))</f>
        <v>0</v>
      </c>
      <c r="B602" s="203">
        <f t="shared" ca="1" si="42"/>
        <v>3</v>
      </c>
      <c r="C602" s="203">
        <f t="shared" ca="1" si="43"/>
        <v>1</v>
      </c>
      <c r="D602" s="204">
        <f t="shared" ca="1" si="44"/>
        <v>1</v>
      </c>
      <c r="E602" s="204">
        <f t="shared" ca="1" si="45"/>
        <v>15</v>
      </c>
      <c r="F602" s="34"/>
      <c r="J602" s="15"/>
      <c r="K602" s="21"/>
      <c r="L602" s="103"/>
      <c r="M602" s="103"/>
      <c r="N602" s="196"/>
      <c r="O602" s="139"/>
      <c r="P602" s="22"/>
      <c r="Q602" s="15"/>
    </row>
    <row r="603" spans="1:17" s="23" customFormat="1" ht="14.1" customHeight="1" x14ac:dyDescent="0.2">
      <c r="A603" s="203">
        <f ca="1">IF($H603="UNIDADE CONSTRUTIVA",OFFSET(A603,-1,0)+1,LARGE(A$3:A602,1))</f>
        <v>0</v>
      </c>
      <c r="B603" s="203">
        <f t="shared" ca="1" si="42"/>
        <v>3</v>
      </c>
      <c r="C603" s="203">
        <f t="shared" ca="1" si="43"/>
        <v>1</v>
      </c>
      <c r="D603" s="204">
        <f t="shared" ca="1" si="44"/>
        <v>1</v>
      </c>
      <c r="E603" s="204">
        <f t="shared" ca="1" si="45"/>
        <v>15</v>
      </c>
      <c r="F603" s="34"/>
      <c r="J603" s="15"/>
      <c r="K603" s="21"/>
      <c r="L603" s="103"/>
      <c r="M603" s="103"/>
      <c r="N603" s="196"/>
      <c r="O603" s="139"/>
      <c r="P603" s="22"/>
      <c r="Q603" s="15"/>
    </row>
    <row r="604" spans="1:17" s="23" customFormat="1" ht="14.1" customHeight="1" x14ac:dyDescent="0.2">
      <c r="A604" s="203">
        <f ca="1">IF($H604="UNIDADE CONSTRUTIVA",OFFSET(A604,-1,0)+1,LARGE(A$3:A603,1))</f>
        <v>0</v>
      </c>
      <c r="B604" s="203">
        <f t="shared" ca="1" si="42"/>
        <v>3</v>
      </c>
      <c r="C604" s="203">
        <f t="shared" ca="1" si="43"/>
        <v>1</v>
      </c>
      <c r="D604" s="204">
        <f t="shared" ca="1" si="44"/>
        <v>1</v>
      </c>
      <c r="E604" s="204">
        <f t="shared" ca="1" si="45"/>
        <v>15</v>
      </c>
      <c r="F604" s="34"/>
      <c r="J604" s="15"/>
      <c r="K604" s="21"/>
      <c r="L604" s="103"/>
      <c r="M604" s="103"/>
      <c r="N604" s="196"/>
      <c r="O604" s="139"/>
      <c r="P604" s="22"/>
      <c r="Q604" s="15"/>
    </row>
    <row r="605" spans="1:17" s="23" customFormat="1" ht="14.1" customHeight="1" x14ac:dyDescent="0.2">
      <c r="A605" s="203">
        <f ca="1">IF($H605="UNIDADE CONSTRUTIVA",OFFSET(A605,-1,0)+1,LARGE(A$3:A604,1))</f>
        <v>0</v>
      </c>
      <c r="B605" s="203">
        <f t="shared" ca="1" si="42"/>
        <v>3</v>
      </c>
      <c r="C605" s="203">
        <f t="shared" ca="1" si="43"/>
        <v>1</v>
      </c>
      <c r="D605" s="204">
        <f t="shared" ca="1" si="44"/>
        <v>1</v>
      </c>
      <c r="E605" s="204">
        <f t="shared" ca="1" si="45"/>
        <v>15</v>
      </c>
      <c r="F605" s="34"/>
      <c r="J605" s="15"/>
      <c r="K605" s="21"/>
      <c r="L605" s="103"/>
      <c r="M605" s="103"/>
      <c r="N605" s="196"/>
      <c r="O605" s="139"/>
      <c r="P605" s="22"/>
      <c r="Q605" s="15"/>
    </row>
    <row r="606" spans="1:17" s="23" customFormat="1" ht="14.1" customHeight="1" x14ac:dyDescent="0.2">
      <c r="A606" s="203">
        <f ca="1">IF($H606="UNIDADE CONSTRUTIVA",OFFSET(A606,-1,0)+1,LARGE(A$3:A605,1))</f>
        <v>0</v>
      </c>
      <c r="B606" s="203">
        <f t="shared" ca="1" si="42"/>
        <v>3</v>
      </c>
      <c r="C606" s="203">
        <f t="shared" ca="1" si="43"/>
        <v>1</v>
      </c>
      <c r="D606" s="204">
        <f t="shared" ca="1" si="44"/>
        <v>1</v>
      </c>
      <c r="E606" s="204">
        <f t="shared" ca="1" si="45"/>
        <v>15</v>
      </c>
      <c r="F606" s="34"/>
      <c r="J606" s="15"/>
      <c r="K606" s="21"/>
      <c r="L606" s="103"/>
      <c r="M606" s="103"/>
      <c r="N606" s="196"/>
      <c r="O606" s="139"/>
      <c r="P606" s="22"/>
      <c r="Q606" s="15"/>
    </row>
    <row r="607" spans="1:17" s="23" customFormat="1" ht="14.1" customHeight="1" x14ac:dyDescent="0.2">
      <c r="A607" s="203">
        <f ca="1">IF($H607="UNIDADE CONSTRUTIVA",OFFSET(A607,-1,0)+1,LARGE(A$3:A606,1))</f>
        <v>0</v>
      </c>
      <c r="B607" s="203">
        <f t="shared" ca="1" si="42"/>
        <v>3</v>
      </c>
      <c r="C607" s="203">
        <f t="shared" ca="1" si="43"/>
        <v>1</v>
      </c>
      <c r="D607" s="204">
        <f t="shared" ca="1" si="44"/>
        <v>1</v>
      </c>
      <c r="E607" s="204">
        <f t="shared" ca="1" si="45"/>
        <v>15</v>
      </c>
      <c r="F607" s="34"/>
      <c r="J607" s="15"/>
      <c r="K607" s="21"/>
      <c r="L607" s="103"/>
      <c r="M607" s="103"/>
      <c r="N607" s="196"/>
      <c r="O607" s="139"/>
      <c r="P607" s="22"/>
      <c r="Q607" s="15"/>
    </row>
    <row r="608" spans="1:17" s="23" customFormat="1" ht="14.1" customHeight="1" x14ac:dyDescent="0.2">
      <c r="A608" s="203">
        <f ca="1">IF($H608="UNIDADE CONSTRUTIVA",OFFSET(A608,-1,0)+1,LARGE(A$3:A607,1))</f>
        <v>0</v>
      </c>
      <c r="B608" s="203">
        <f t="shared" ca="1" si="42"/>
        <v>3</v>
      </c>
      <c r="C608" s="203">
        <f t="shared" ca="1" si="43"/>
        <v>1</v>
      </c>
      <c r="D608" s="204">
        <f t="shared" ca="1" si="44"/>
        <v>1</v>
      </c>
      <c r="E608" s="204">
        <f t="shared" ca="1" si="45"/>
        <v>15</v>
      </c>
      <c r="F608" s="34"/>
      <c r="J608" s="15"/>
      <c r="K608" s="21"/>
      <c r="L608" s="103"/>
      <c r="M608" s="103"/>
      <c r="N608" s="196"/>
      <c r="O608" s="139"/>
      <c r="P608" s="22"/>
      <c r="Q608" s="15"/>
    </row>
    <row r="609" spans="1:17" s="23" customFormat="1" ht="14.1" customHeight="1" x14ac:dyDescent="0.2">
      <c r="A609" s="203">
        <f ca="1">IF($H609="UNIDADE CONSTRUTIVA",OFFSET(A609,-1,0)+1,LARGE(A$3:A608,1))</f>
        <v>0</v>
      </c>
      <c r="B609" s="203">
        <f t="shared" ca="1" si="42"/>
        <v>3</v>
      </c>
      <c r="C609" s="203">
        <f t="shared" ca="1" si="43"/>
        <v>1</v>
      </c>
      <c r="D609" s="204">
        <f t="shared" ca="1" si="44"/>
        <v>1</v>
      </c>
      <c r="E609" s="204">
        <f t="shared" ca="1" si="45"/>
        <v>15</v>
      </c>
      <c r="F609" s="34"/>
      <c r="J609" s="15"/>
      <c r="K609" s="21"/>
      <c r="L609" s="103"/>
      <c r="M609" s="103"/>
      <c r="N609" s="196"/>
      <c r="O609" s="139"/>
      <c r="P609" s="22"/>
      <c r="Q609" s="15"/>
    </row>
    <row r="610" spans="1:17" s="23" customFormat="1" ht="14.1" customHeight="1" x14ac:dyDescent="0.2">
      <c r="A610" s="203">
        <f ca="1">IF($H610="UNIDADE CONSTRUTIVA",OFFSET(A610,-1,0)+1,LARGE(A$3:A609,1))</f>
        <v>0</v>
      </c>
      <c r="B610" s="203">
        <f t="shared" ca="1" si="42"/>
        <v>3</v>
      </c>
      <c r="C610" s="203">
        <f t="shared" ca="1" si="43"/>
        <v>1</v>
      </c>
      <c r="D610" s="204">
        <f t="shared" ca="1" si="44"/>
        <v>1</v>
      </c>
      <c r="E610" s="204">
        <f t="shared" ca="1" si="45"/>
        <v>15</v>
      </c>
      <c r="F610" s="34"/>
      <c r="J610" s="15"/>
      <c r="K610" s="21"/>
      <c r="L610" s="103"/>
      <c r="M610" s="103"/>
      <c r="N610" s="196"/>
      <c r="O610" s="139"/>
      <c r="P610" s="22"/>
      <c r="Q610" s="15"/>
    </row>
    <row r="611" spans="1:17" s="23" customFormat="1" ht="14.1" customHeight="1" x14ac:dyDescent="0.2">
      <c r="A611" s="203">
        <f ca="1">IF($H611="UNIDADE CONSTRUTIVA",OFFSET(A611,-1,0)+1,LARGE(A$3:A610,1))</f>
        <v>0</v>
      </c>
      <c r="B611" s="203">
        <f t="shared" ca="1" si="42"/>
        <v>3</v>
      </c>
      <c r="C611" s="203">
        <f t="shared" ca="1" si="43"/>
        <v>1</v>
      </c>
      <c r="D611" s="204">
        <f t="shared" ca="1" si="44"/>
        <v>1</v>
      </c>
      <c r="E611" s="204">
        <f t="shared" ca="1" si="45"/>
        <v>15</v>
      </c>
      <c r="F611" s="34"/>
      <c r="J611" s="15"/>
      <c r="K611" s="21"/>
      <c r="L611" s="103"/>
      <c r="M611" s="103"/>
      <c r="N611" s="196"/>
      <c r="O611" s="139"/>
      <c r="P611" s="22"/>
      <c r="Q611" s="15"/>
    </row>
    <row r="612" spans="1:17" s="23" customFormat="1" ht="14.1" customHeight="1" x14ac:dyDescent="0.2">
      <c r="A612" s="203">
        <f ca="1">IF($H612="UNIDADE CONSTRUTIVA",OFFSET(A612,-1,0)+1,LARGE(A$3:A611,1))</f>
        <v>0</v>
      </c>
      <c r="B612" s="203">
        <f t="shared" ca="1" si="42"/>
        <v>3</v>
      </c>
      <c r="C612" s="203">
        <f t="shared" ca="1" si="43"/>
        <v>1</v>
      </c>
      <c r="D612" s="204">
        <f t="shared" ca="1" si="44"/>
        <v>1</v>
      </c>
      <c r="E612" s="204">
        <f t="shared" ca="1" si="45"/>
        <v>15</v>
      </c>
      <c r="F612" s="34"/>
      <c r="J612" s="15"/>
      <c r="K612" s="21"/>
      <c r="L612" s="103"/>
      <c r="M612" s="103"/>
      <c r="N612" s="196"/>
      <c r="O612" s="139"/>
      <c r="P612" s="22"/>
      <c r="Q612" s="15"/>
    </row>
    <row r="613" spans="1:17" s="23" customFormat="1" ht="14.1" customHeight="1" x14ac:dyDescent="0.2">
      <c r="A613" s="203">
        <f ca="1">IF($H613="UNIDADE CONSTRUTIVA",OFFSET(A613,-1,0)+1,LARGE(A$3:A612,1))</f>
        <v>0</v>
      </c>
      <c r="B613" s="203">
        <f t="shared" ca="1" si="42"/>
        <v>3</v>
      </c>
      <c r="C613" s="203">
        <f t="shared" ca="1" si="43"/>
        <v>1</v>
      </c>
      <c r="D613" s="204">
        <f t="shared" ca="1" si="44"/>
        <v>1</v>
      </c>
      <c r="E613" s="204">
        <f t="shared" ca="1" si="45"/>
        <v>15</v>
      </c>
      <c r="F613" s="34"/>
      <c r="J613" s="15"/>
      <c r="K613" s="21"/>
      <c r="L613" s="103"/>
      <c r="M613" s="103"/>
      <c r="N613" s="196"/>
      <c r="O613" s="139"/>
      <c r="P613" s="22"/>
      <c r="Q613" s="15"/>
    </row>
    <row r="614" spans="1:17" s="23" customFormat="1" ht="14.1" customHeight="1" x14ac:dyDescent="0.2">
      <c r="A614" s="203">
        <f ca="1">IF($H614="UNIDADE CONSTRUTIVA",OFFSET(A614,-1,0)+1,LARGE(A$3:A613,1))</f>
        <v>0</v>
      </c>
      <c r="B614" s="203">
        <f t="shared" ca="1" si="42"/>
        <v>3</v>
      </c>
      <c r="C614" s="203">
        <f t="shared" ca="1" si="43"/>
        <v>1</v>
      </c>
      <c r="D614" s="204">
        <f t="shared" ca="1" si="44"/>
        <v>1</v>
      </c>
      <c r="E614" s="204">
        <f t="shared" ca="1" si="45"/>
        <v>15</v>
      </c>
      <c r="F614" s="34"/>
      <c r="J614" s="15"/>
      <c r="K614" s="21"/>
      <c r="L614" s="103"/>
      <c r="M614" s="103"/>
      <c r="N614" s="196"/>
      <c r="O614" s="139"/>
      <c r="P614" s="22"/>
      <c r="Q614" s="15"/>
    </row>
    <row r="615" spans="1:17" s="23" customFormat="1" ht="14.1" customHeight="1" x14ac:dyDescent="0.2">
      <c r="A615" s="203">
        <f ca="1">IF($H615="UNIDADE CONSTRUTIVA",OFFSET(A615,-1,0)+1,LARGE(A$3:A614,1))</f>
        <v>0</v>
      </c>
      <c r="B615" s="203">
        <f t="shared" ca="1" si="42"/>
        <v>3</v>
      </c>
      <c r="C615" s="203">
        <f t="shared" ca="1" si="43"/>
        <v>1</v>
      </c>
      <c r="D615" s="204">
        <f t="shared" ca="1" si="44"/>
        <v>1</v>
      </c>
      <c r="E615" s="204">
        <f t="shared" ca="1" si="45"/>
        <v>15</v>
      </c>
      <c r="F615" s="34"/>
      <c r="J615" s="15"/>
      <c r="K615" s="21"/>
      <c r="L615" s="103"/>
      <c r="M615" s="103"/>
      <c r="N615" s="196"/>
      <c r="O615" s="139"/>
      <c r="P615" s="22"/>
      <c r="Q615" s="15"/>
    </row>
    <row r="616" spans="1:17" s="23" customFormat="1" ht="14.1" customHeight="1" x14ac:dyDescent="0.2">
      <c r="A616" s="203">
        <f ca="1">IF($H616="UNIDADE CONSTRUTIVA",OFFSET(A616,-1,0)+1,LARGE(A$3:A615,1))</f>
        <v>0</v>
      </c>
      <c r="B616" s="203">
        <f t="shared" ca="1" si="42"/>
        <v>3</v>
      </c>
      <c r="C616" s="203">
        <f t="shared" ca="1" si="43"/>
        <v>1</v>
      </c>
      <c r="D616" s="204">
        <f t="shared" ca="1" si="44"/>
        <v>1</v>
      </c>
      <c r="E616" s="204">
        <f t="shared" ca="1" si="45"/>
        <v>15</v>
      </c>
      <c r="F616" s="34"/>
      <c r="J616" s="15"/>
      <c r="K616" s="21"/>
      <c r="L616" s="103"/>
      <c r="M616" s="103"/>
      <c r="N616" s="196"/>
      <c r="O616" s="139"/>
      <c r="P616" s="22"/>
      <c r="Q616" s="15"/>
    </row>
    <row r="617" spans="1:17" s="23" customFormat="1" ht="14.1" customHeight="1" x14ac:dyDescent="0.2">
      <c r="A617" s="203">
        <f ca="1">IF($H617="UNIDADE CONSTRUTIVA",OFFSET(A617,-1,0)+1,LARGE(A$3:A616,1))</f>
        <v>0</v>
      </c>
      <c r="B617" s="203">
        <f t="shared" ca="1" si="42"/>
        <v>3</v>
      </c>
      <c r="C617" s="203">
        <f t="shared" ca="1" si="43"/>
        <v>1</v>
      </c>
      <c r="D617" s="204">
        <f t="shared" ca="1" si="44"/>
        <v>1</v>
      </c>
      <c r="E617" s="204">
        <f t="shared" ca="1" si="45"/>
        <v>15</v>
      </c>
      <c r="F617" s="34"/>
      <c r="J617" s="15"/>
      <c r="K617" s="21"/>
      <c r="L617" s="103"/>
      <c r="M617" s="103"/>
      <c r="N617" s="196"/>
      <c r="O617" s="139"/>
      <c r="P617" s="22"/>
      <c r="Q617" s="15"/>
    </row>
    <row r="618" spans="1:17" s="23" customFormat="1" ht="14.1" customHeight="1" x14ac:dyDescent="0.2">
      <c r="A618" s="203">
        <f ca="1">IF($H618="UNIDADE CONSTRUTIVA",OFFSET(A618,-1,0)+1,LARGE(A$3:A617,1))</f>
        <v>0</v>
      </c>
      <c r="B618" s="203">
        <f t="shared" ca="1" si="42"/>
        <v>3</v>
      </c>
      <c r="C618" s="203">
        <f t="shared" ca="1" si="43"/>
        <v>1</v>
      </c>
      <c r="D618" s="204">
        <f t="shared" ca="1" si="44"/>
        <v>1</v>
      </c>
      <c r="E618" s="204">
        <f t="shared" ca="1" si="45"/>
        <v>15</v>
      </c>
      <c r="F618" s="34"/>
      <c r="J618" s="15"/>
      <c r="K618" s="21"/>
      <c r="L618" s="103"/>
      <c r="M618" s="103"/>
      <c r="N618" s="196"/>
      <c r="O618" s="139"/>
      <c r="P618" s="22"/>
      <c r="Q618" s="15"/>
    </row>
    <row r="619" spans="1:17" s="23" customFormat="1" ht="14.1" customHeight="1" x14ac:dyDescent="0.2">
      <c r="A619" s="203">
        <f ca="1">IF($H619="UNIDADE CONSTRUTIVA",OFFSET(A619,-1,0)+1,LARGE(A$3:A618,1))</f>
        <v>0</v>
      </c>
      <c r="B619" s="203">
        <f t="shared" ca="1" si="42"/>
        <v>3</v>
      </c>
      <c r="C619" s="203">
        <f t="shared" ca="1" si="43"/>
        <v>1</v>
      </c>
      <c r="D619" s="204">
        <f t="shared" ca="1" si="44"/>
        <v>1</v>
      </c>
      <c r="E619" s="204">
        <f t="shared" ca="1" si="45"/>
        <v>15</v>
      </c>
      <c r="F619" s="34"/>
      <c r="J619" s="15"/>
      <c r="K619" s="21"/>
      <c r="L619" s="103"/>
      <c r="M619" s="103"/>
      <c r="N619" s="196"/>
      <c r="O619" s="139"/>
      <c r="P619" s="22"/>
      <c r="Q619" s="15"/>
    </row>
    <row r="620" spans="1:17" s="23" customFormat="1" ht="14.1" customHeight="1" x14ac:dyDescent="0.2">
      <c r="A620" s="203">
        <f ca="1">IF($H620="UNIDADE CONSTRUTIVA",OFFSET(A620,-1,0)+1,LARGE(A$3:A619,1))</f>
        <v>0</v>
      </c>
      <c r="B620" s="203">
        <f t="shared" ca="1" si="42"/>
        <v>3</v>
      </c>
      <c r="C620" s="203">
        <f t="shared" ca="1" si="43"/>
        <v>1</v>
      </c>
      <c r="D620" s="204">
        <f t="shared" ca="1" si="44"/>
        <v>1</v>
      </c>
      <c r="E620" s="204">
        <f t="shared" ca="1" si="45"/>
        <v>15</v>
      </c>
      <c r="F620" s="34"/>
      <c r="J620" s="15"/>
      <c r="K620" s="21"/>
      <c r="L620" s="103"/>
      <c r="M620" s="103"/>
      <c r="N620" s="196"/>
      <c r="O620" s="139"/>
      <c r="P620" s="22"/>
      <c r="Q620" s="15"/>
    </row>
    <row r="621" spans="1:17" s="23" customFormat="1" ht="14.1" customHeight="1" x14ac:dyDescent="0.2">
      <c r="A621" s="203">
        <f ca="1">IF($H621="UNIDADE CONSTRUTIVA",OFFSET(A621,-1,0)+1,LARGE(A$3:A620,1))</f>
        <v>0</v>
      </c>
      <c r="B621" s="203">
        <f t="shared" ca="1" si="42"/>
        <v>3</v>
      </c>
      <c r="C621" s="203">
        <f t="shared" ca="1" si="43"/>
        <v>1</v>
      </c>
      <c r="D621" s="204">
        <f t="shared" ca="1" si="44"/>
        <v>1</v>
      </c>
      <c r="E621" s="204">
        <f t="shared" ca="1" si="45"/>
        <v>15</v>
      </c>
      <c r="F621" s="34"/>
      <c r="J621" s="15"/>
      <c r="K621" s="21"/>
      <c r="L621" s="103"/>
      <c r="M621" s="103"/>
      <c r="N621" s="196"/>
      <c r="O621" s="139"/>
      <c r="P621" s="22"/>
      <c r="Q621" s="15"/>
    </row>
    <row r="622" spans="1:17" s="23" customFormat="1" ht="14.1" customHeight="1" x14ac:dyDescent="0.2">
      <c r="A622" s="203">
        <f ca="1">IF($H622="UNIDADE CONSTRUTIVA",OFFSET(A622,-1,0)+1,LARGE(A$3:A621,1))</f>
        <v>0</v>
      </c>
      <c r="B622" s="203">
        <f t="shared" ca="1" si="42"/>
        <v>3</v>
      </c>
      <c r="C622" s="203">
        <f t="shared" ca="1" si="43"/>
        <v>1</v>
      </c>
      <c r="D622" s="204">
        <f t="shared" ca="1" si="44"/>
        <v>1</v>
      </c>
      <c r="E622" s="204">
        <f t="shared" ca="1" si="45"/>
        <v>15</v>
      </c>
      <c r="F622" s="34"/>
      <c r="J622" s="15"/>
      <c r="K622" s="21"/>
      <c r="L622" s="103"/>
      <c r="M622" s="103"/>
      <c r="N622" s="196"/>
      <c r="O622" s="139"/>
      <c r="P622" s="22"/>
      <c r="Q622" s="15"/>
    </row>
    <row r="623" spans="1:17" s="23" customFormat="1" ht="14.1" customHeight="1" x14ac:dyDescent="0.2">
      <c r="A623" s="203">
        <f ca="1">IF($H623="UNIDADE CONSTRUTIVA",OFFSET(A623,-1,0)+1,LARGE(A$3:A622,1))</f>
        <v>0</v>
      </c>
      <c r="B623" s="203">
        <f t="shared" ca="1" si="42"/>
        <v>3</v>
      </c>
      <c r="C623" s="203">
        <f t="shared" ca="1" si="43"/>
        <v>1</v>
      </c>
      <c r="D623" s="204">
        <f t="shared" ca="1" si="44"/>
        <v>1</v>
      </c>
      <c r="E623" s="204">
        <f t="shared" ca="1" si="45"/>
        <v>15</v>
      </c>
      <c r="F623" s="34"/>
      <c r="J623" s="15"/>
      <c r="K623" s="21"/>
      <c r="L623" s="103"/>
      <c r="M623" s="103"/>
      <c r="N623" s="196"/>
      <c r="O623" s="139"/>
      <c r="P623" s="22"/>
      <c r="Q623" s="15"/>
    </row>
    <row r="624" spans="1:17" s="23" customFormat="1" ht="14.1" customHeight="1" x14ac:dyDescent="0.2">
      <c r="A624" s="203">
        <f ca="1">IF($H624="UNIDADE CONSTRUTIVA",OFFSET(A624,-1,0)+1,LARGE(A$3:A623,1))</f>
        <v>0</v>
      </c>
      <c r="B624" s="203">
        <f t="shared" ca="1" si="42"/>
        <v>3</v>
      </c>
      <c r="C624" s="203">
        <f t="shared" ca="1" si="43"/>
        <v>1</v>
      </c>
      <c r="D624" s="204">
        <f t="shared" ca="1" si="44"/>
        <v>1</v>
      </c>
      <c r="E624" s="204">
        <f t="shared" ca="1" si="45"/>
        <v>15</v>
      </c>
      <c r="F624" s="34"/>
      <c r="J624" s="15"/>
      <c r="K624" s="21"/>
      <c r="L624" s="103"/>
      <c r="M624" s="103"/>
      <c r="N624" s="196"/>
      <c r="O624" s="139"/>
      <c r="P624" s="22"/>
      <c r="Q624" s="15"/>
    </row>
    <row r="625" spans="1:17" s="23" customFormat="1" ht="14.1" customHeight="1" x14ac:dyDescent="0.2">
      <c r="A625" s="203">
        <f ca="1">IF($H625="UNIDADE CONSTRUTIVA",OFFSET(A625,-1,0)+1,LARGE(A$3:A624,1))</f>
        <v>0</v>
      </c>
      <c r="B625" s="203">
        <f t="shared" ca="1" si="42"/>
        <v>3</v>
      </c>
      <c r="C625" s="203">
        <f t="shared" ca="1" si="43"/>
        <v>1</v>
      </c>
      <c r="D625" s="204">
        <f t="shared" ca="1" si="44"/>
        <v>1</v>
      </c>
      <c r="E625" s="204">
        <f t="shared" ca="1" si="45"/>
        <v>15</v>
      </c>
      <c r="F625" s="34"/>
      <c r="J625" s="15"/>
      <c r="K625" s="21"/>
      <c r="L625" s="103"/>
      <c r="M625" s="103"/>
      <c r="N625" s="196"/>
      <c r="O625" s="139"/>
      <c r="P625" s="22"/>
      <c r="Q625" s="15"/>
    </row>
    <row r="626" spans="1:17" s="23" customFormat="1" ht="14.1" customHeight="1" x14ac:dyDescent="0.2">
      <c r="A626" s="203">
        <f ca="1">IF($H626="UNIDADE CONSTRUTIVA",OFFSET(A626,-1,0)+1,LARGE(A$3:A625,1))</f>
        <v>0</v>
      </c>
      <c r="B626" s="203">
        <f t="shared" ca="1" si="42"/>
        <v>3</v>
      </c>
      <c r="C626" s="203">
        <f t="shared" ca="1" si="43"/>
        <v>1</v>
      </c>
      <c r="D626" s="204">
        <f t="shared" ca="1" si="44"/>
        <v>1</v>
      </c>
      <c r="E626" s="204">
        <f t="shared" ca="1" si="45"/>
        <v>15</v>
      </c>
      <c r="F626" s="34"/>
      <c r="J626" s="15"/>
      <c r="K626" s="21"/>
      <c r="L626" s="103"/>
      <c r="M626" s="103"/>
      <c r="N626" s="196"/>
      <c r="O626" s="139"/>
      <c r="P626" s="22"/>
      <c r="Q626" s="15"/>
    </row>
    <row r="627" spans="1:17" s="23" customFormat="1" ht="14.1" customHeight="1" x14ac:dyDescent="0.2">
      <c r="A627" s="203">
        <f ca="1">IF($H627="UNIDADE CONSTRUTIVA",OFFSET(A627,-1,0)+1,LARGE(A$3:A626,1))</f>
        <v>0</v>
      </c>
      <c r="B627" s="203">
        <f t="shared" ca="1" si="42"/>
        <v>3</v>
      </c>
      <c r="C627" s="203">
        <f t="shared" ca="1" si="43"/>
        <v>1</v>
      </c>
      <c r="D627" s="204">
        <f t="shared" ca="1" si="44"/>
        <v>1</v>
      </c>
      <c r="E627" s="204">
        <f t="shared" ca="1" si="45"/>
        <v>15</v>
      </c>
      <c r="F627" s="34"/>
      <c r="J627" s="15"/>
      <c r="K627" s="21"/>
      <c r="L627" s="103"/>
      <c r="M627" s="103"/>
      <c r="N627" s="196"/>
      <c r="O627" s="139"/>
      <c r="P627" s="22"/>
      <c r="Q627" s="15"/>
    </row>
    <row r="628" spans="1:17" s="23" customFormat="1" ht="14.1" customHeight="1" x14ac:dyDescent="0.2">
      <c r="A628" s="203">
        <f ca="1">IF($H628="UNIDADE CONSTRUTIVA",OFFSET(A628,-1,0)+1,LARGE(A$3:A627,1))</f>
        <v>0</v>
      </c>
      <c r="B628" s="203">
        <f t="shared" ca="1" si="42"/>
        <v>3</v>
      </c>
      <c r="C628" s="203">
        <f t="shared" ca="1" si="43"/>
        <v>1</v>
      </c>
      <c r="D628" s="204">
        <f t="shared" ca="1" si="44"/>
        <v>1</v>
      </c>
      <c r="E628" s="204">
        <f t="shared" ca="1" si="45"/>
        <v>15</v>
      </c>
      <c r="F628" s="34"/>
      <c r="J628" s="15"/>
      <c r="K628" s="21"/>
      <c r="L628" s="103"/>
      <c r="M628" s="103"/>
      <c r="N628" s="196"/>
      <c r="O628" s="139"/>
      <c r="P628" s="22"/>
      <c r="Q628" s="15"/>
    </row>
    <row r="629" spans="1:17" s="23" customFormat="1" ht="14.1" customHeight="1" x14ac:dyDescent="0.2">
      <c r="A629" s="203">
        <f ca="1">IF($H629="UNIDADE CONSTRUTIVA",OFFSET(A629,-1,0)+1,LARGE(A$3:A628,1))</f>
        <v>0</v>
      </c>
      <c r="B629" s="203">
        <f t="shared" ca="1" si="42"/>
        <v>3</v>
      </c>
      <c r="C629" s="203">
        <f t="shared" ca="1" si="43"/>
        <v>1</v>
      </c>
      <c r="D629" s="204">
        <f t="shared" ca="1" si="44"/>
        <v>1</v>
      </c>
      <c r="E629" s="204">
        <f t="shared" ca="1" si="45"/>
        <v>15</v>
      </c>
      <c r="F629" s="34"/>
      <c r="J629" s="15"/>
      <c r="K629" s="21"/>
      <c r="L629" s="103"/>
      <c r="M629" s="103"/>
      <c r="N629" s="196"/>
      <c r="O629" s="139"/>
      <c r="P629" s="22"/>
      <c r="Q629" s="15"/>
    </row>
    <row r="630" spans="1:17" s="23" customFormat="1" ht="14.1" customHeight="1" x14ac:dyDescent="0.2">
      <c r="A630" s="203">
        <f ca="1">IF($H630="UNIDADE CONSTRUTIVA",OFFSET(A630,-1,0)+1,LARGE(A$3:A629,1))</f>
        <v>0</v>
      </c>
      <c r="B630" s="203">
        <f t="shared" ca="1" si="42"/>
        <v>3</v>
      </c>
      <c r="C630" s="203">
        <f t="shared" ca="1" si="43"/>
        <v>1</v>
      </c>
      <c r="D630" s="204">
        <f t="shared" ca="1" si="44"/>
        <v>1</v>
      </c>
      <c r="E630" s="204">
        <f t="shared" ca="1" si="45"/>
        <v>15</v>
      </c>
      <c r="F630" s="34"/>
      <c r="J630" s="15"/>
      <c r="K630" s="21"/>
      <c r="L630" s="103"/>
      <c r="M630" s="103"/>
      <c r="N630" s="196"/>
      <c r="O630" s="139"/>
      <c r="P630" s="22"/>
      <c r="Q630" s="15"/>
    </row>
    <row r="631" spans="1:17" s="23" customFormat="1" ht="14.1" customHeight="1" x14ac:dyDescent="0.2">
      <c r="A631" s="203">
        <f ca="1">IF($H631="UNIDADE CONSTRUTIVA",OFFSET(A631,-1,0)+1,LARGE(A$3:A630,1))</f>
        <v>0</v>
      </c>
      <c r="B631" s="203">
        <f t="shared" ca="1" si="42"/>
        <v>3</v>
      </c>
      <c r="C631" s="203">
        <f t="shared" ca="1" si="43"/>
        <v>1</v>
      </c>
      <c r="D631" s="204">
        <f t="shared" ca="1" si="44"/>
        <v>1</v>
      </c>
      <c r="E631" s="204">
        <f t="shared" ca="1" si="45"/>
        <v>15</v>
      </c>
      <c r="F631" s="34"/>
      <c r="J631" s="15"/>
      <c r="K631" s="21"/>
      <c r="L631" s="103"/>
      <c r="M631" s="103"/>
      <c r="N631" s="196"/>
      <c r="O631" s="139"/>
      <c r="P631" s="22"/>
      <c r="Q631" s="15"/>
    </row>
    <row r="632" spans="1:17" s="23" customFormat="1" ht="14.1" customHeight="1" x14ac:dyDescent="0.2">
      <c r="A632" s="203">
        <f ca="1">IF($H632="UNIDADE CONSTRUTIVA",OFFSET(A632,-1,0)+1,LARGE(A$3:A631,1))</f>
        <v>0</v>
      </c>
      <c r="B632" s="203">
        <f t="shared" ca="1" si="42"/>
        <v>3</v>
      </c>
      <c r="C632" s="203">
        <f t="shared" ca="1" si="43"/>
        <v>1</v>
      </c>
      <c r="D632" s="204">
        <f t="shared" ca="1" si="44"/>
        <v>1</v>
      </c>
      <c r="E632" s="204">
        <f t="shared" ca="1" si="45"/>
        <v>15</v>
      </c>
      <c r="F632" s="34"/>
      <c r="J632" s="15"/>
      <c r="K632" s="21"/>
      <c r="L632" s="103"/>
      <c r="M632" s="103"/>
      <c r="N632" s="196"/>
      <c r="O632" s="139"/>
      <c r="P632" s="22"/>
      <c r="Q632" s="15"/>
    </row>
    <row r="633" spans="1:17" s="23" customFormat="1" ht="14.1" customHeight="1" x14ac:dyDescent="0.2">
      <c r="A633" s="203">
        <f ca="1">IF($H633="UNIDADE CONSTRUTIVA",OFFSET(A633,-1,0)+1,LARGE(A$3:A632,1))</f>
        <v>0</v>
      </c>
      <c r="B633" s="203">
        <f t="shared" ca="1" si="42"/>
        <v>3</v>
      </c>
      <c r="C633" s="203">
        <f t="shared" ca="1" si="43"/>
        <v>1</v>
      </c>
      <c r="D633" s="204">
        <f t="shared" ca="1" si="44"/>
        <v>1</v>
      </c>
      <c r="E633" s="204">
        <f t="shared" ca="1" si="45"/>
        <v>15</v>
      </c>
      <c r="F633" s="34"/>
      <c r="J633" s="15"/>
      <c r="K633" s="21"/>
      <c r="L633" s="103"/>
      <c r="M633" s="103"/>
      <c r="N633" s="196"/>
      <c r="O633" s="139"/>
      <c r="P633" s="22"/>
      <c r="Q633" s="15"/>
    </row>
    <row r="634" spans="1:17" s="23" customFormat="1" ht="14.1" customHeight="1" x14ac:dyDescent="0.2">
      <c r="A634" s="203">
        <f ca="1">IF($H634="UNIDADE CONSTRUTIVA",OFFSET(A634,-1,0)+1,LARGE(A$3:A633,1))</f>
        <v>0</v>
      </c>
      <c r="B634" s="203">
        <f t="shared" ca="1" si="42"/>
        <v>3</v>
      </c>
      <c r="C634" s="203">
        <f t="shared" ca="1" si="43"/>
        <v>1</v>
      </c>
      <c r="D634" s="204">
        <f t="shared" ca="1" si="44"/>
        <v>1</v>
      </c>
      <c r="E634" s="204">
        <f t="shared" ca="1" si="45"/>
        <v>15</v>
      </c>
      <c r="F634" s="34"/>
      <c r="J634" s="15"/>
      <c r="K634" s="21"/>
      <c r="L634" s="103"/>
      <c r="M634" s="103"/>
      <c r="N634" s="196"/>
      <c r="O634" s="139"/>
      <c r="P634" s="22"/>
      <c r="Q634" s="15"/>
    </row>
    <row r="635" spans="1:17" s="23" customFormat="1" ht="14.1" customHeight="1" x14ac:dyDescent="0.2">
      <c r="A635" s="203">
        <f ca="1">IF($H635="UNIDADE CONSTRUTIVA",OFFSET(A635,-1,0)+1,LARGE(A$3:A634,1))</f>
        <v>0</v>
      </c>
      <c r="B635" s="203">
        <f t="shared" ca="1" si="42"/>
        <v>3</v>
      </c>
      <c r="C635" s="203">
        <f t="shared" ca="1" si="43"/>
        <v>1</v>
      </c>
      <c r="D635" s="204">
        <f t="shared" ca="1" si="44"/>
        <v>1</v>
      </c>
      <c r="E635" s="204">
        <f t="shared" ca="1" si="45"/>
        <v>15</v>
      </c>
      <c r="F635" s="34"/>
      <c r="J635" s="15"/>
      <c r="K635" s="21"/>
      <c r="L635" s="103"/>
      <c r="M635" s="103"/>
      <c r="N635" s="196"/>
      <c r="O635" s="139"/>
      <c r="P635" s="22"/>
      <c r="Q635" s="15"/>
    </row>
    <row r="636" spans="1:17" s="23" customFormat="1" ht="14.1" customHeight="1" x14ac:dyDescent="0.2">
      <c r="A636" s="203">
        <f ca="1">IF($H636="UNIDADE CONSTRUTIVA",OFFSET(A636,-1,0)+1,LARGE(A$3:A635,1))</f>
        <v>0</v>
      </c>
      <c r="B636" s="203">
        <f t="shared" ca="1" si="42"/>
        <v>3</v>
      </c>
      <c r="C636" s="203">
        <f t="shared" ca="1" si="43"/>
        <v>1</v>
      </c>
      <c r="D636" s="204">
        <f t="shared" ca="1" si="44"/>
        <v>1</v>
      </c>
      <c r="E636" s="204">
        <f t="shared" ca="1" si="45"/>
        <v>15</v>
      </c>
      <c r="F636" s="34"/>
      <c r="J636" s="15"/>
      <c r="K636" s="21"/>
      <c r="L636" s="103"/>
      <c r="M636" s="103"/>
      <c r="N636" s="196"/>
      <c r="O636" s="139"/>
      <c r="P636" s="22"/>
      <c r="Q636" s="15"/>
    </row>
    <row r="637" spans="1:17" s="23" customFormat="1" ht="14.1" customHeight="1" x14ac:dyDescent="0.2">
      <c r="A637" s="203">
        <f ca="1">IF($H637="UNIDADE CONSTRUTIVA",OFFSET(A637,-1,0)+1,LARGE(A$3:A636,1))</f>
        <v>0</v>
      </c>
      <c r="B637" s="203">
        <f t="shared" ca="1" si="42"/>
        <v>3</v>
      </c>
      <c r="C637" s="203">
        <f t="shared" ca="1" si="43"/>
        <v>1</v>
      </c>
      <c r="D637" s="204">
        <f t="shared" ca="1" si="44"/>
        <v>1</v>
      </c>
      <c r="E637" s="204">
        <f t="shared" ca="1" si="45"/>
        <v>15</v>
      </c>
      <c r="F637" s="34"/>
      <c r="J637" s="15"/>
      <c r="K637" s="21"/>
      <c r="L637" s="103"/>
      <c r="M637" s="103"/>
      <c r="N637" s="196"/>
      <c r="O637" s="139"/>
      <c r="P637" s="22"/>
      <c r="Q637" s="15"/>
    </row>
    <row r="638" spans="1:17" s="23" customFormat="1" ht="14.1" customHeight="1" x14ac:dyDescent="0.2">
      <c r="A638" s="203">
        <f ca="1">IF($H638="UNIDADE CONSTRUTIVA",OFFSET(A638,-1,0)+1,LARGE(A$3:A637,1))</f>
        <v>0</v>
      </c>
      <c r="B638" s="203">
        <f t="shared" ca="1" si="42"/>
        <v>3</v>
      </c>
      <c r="C638" s="203">
        <f t="shared" ca="1" si="43"/>
        <v>1</v>
      </c>
      <c r="D638" s="204">
        <f t="shared" ca="1" si="44"/>
        <v>1</v>
      </c>
      <c r="E638" s="204">
        <f t="shared" ca="1" si="45"/>
        <v>15</v>
      </c>
      <c r="F638" s="34"/>
      <c r="J638" s="15"/>
      <c r="K638" s="21"/>
      <c r="L638" s="103"/>
      <c r="M638" s="103"/>
      <c r="N638" s="196"/>
      <c r="O638" s="139"/>
      <c r="P638" s="22"/>
      <c r="Q638" s="15"/>
    </row>
    <row r="639" spans="1:17" s="23" customFormat="1" ht="14.1" customHeight="1" x14ac:dyDescent="0.2">
      <c r="A639" s="203">
        <f ca="1">IF($H639="UNIDADE CONSTRUTIVA",OFFSET(A639,-1,0)+1,LARGE(A$3:A638,1))</f>
        <v>0</v>
      </c>
      <c r="B639" s="203">
        <f t="shared" ca="1" si="42"/>
        <v>3</v>
      </c>
      <c r="C639" s="203">
        <f t="shared" ca="1" si="43"/>
        <v>1</v>
      </c>
      <c r="D639" s="204">
        <f t="shared" ca="1" si="44"/>
        <v>1</v>
      </c>
      <c r="E639" s="204">
        <f t="shared" ca="1" si="45"/>
        <v>15</v>
      </c>
      <c r="F639" s="34"/>
      <c r="J639" s="15"/>
      <c r="K639" s="21"/>
      <c r="L639" s="103"/>
      <c r="M639" s="103"/>
      <c r="N639" s="196"/>
      <c r="O639" s="139"/>
      <c r="P639" s="22"/>
      <c r="Q639" s="15"/>
    </row>
    <row r="640" spans="1:17" s="23" customFormat="1" ht="14.1" customHeight="1" x14ac:dyDescent="0.2">
      <c r="A640" s="203">
        <f ca="1">IF($H640="UNIDADE CONSTRUTIVA",OFFSET(A640,-1,0)+1,LARGE(A$3:A639,1))</f>
        <v>0</v>
      </c>
      <c r="B640" s="203">
        <f t="shared" ca="1" si="42"/>
        <v>3</v>
      </c>
      <c r="C640" s="203">
        <f t="shared" ca="1" si="43"/>
        <v>1</v>
      </c>
      <c r="D640" s="204">
        <f t="shared" ca="1" si="44"/>
        <v>1</v>
      </c>
      <c r="E640" s="204">
        <f t="shared" ca="1" si="45"/>
        <v>15</v>
      </c>
      <c r="F640" s="34"/>
      <c r="J640" s="15"/>
      <c r="K640" s="21"/>
      <c r="L640" s="103"/>
      <c r="M640" s="103"/>
      <c r="N640" s="196"/>
      <c r="O640" s="139"/>
      <c r="P640" s="22"/>
      <c r="Q640" s="15"/>
    </row>
    <row r="641" spans="1:17" s="23" customFormat="1" ht="14.1" customHeight="1" x14ac:dyDescent="0.2">
      <c r="A641" s="203">
        <f ca="1">IF($H641="UNIDADE CONSTRUTIVA",OFFSET(A641,-1,0)+1,LARGE(A$3:A640,1))</f>
        <v>0</v>
      </c>
      <c r="B641" s="203">
        <f t="shared" ca="1" si="42"/>
        <v>3</v>
      </c>
      <c r="C641" s="203">
        <f t="shared" ca="1" si="43"/>
        <v>1</v>
      </c>
      <c r="D641" s="204">
        <f t="shared" ca="1" si="44"/>
        <v>1</v>
      </c>
      <c r="E641" s="204">
        <f t="shared" ca="1" si="45"/>
        <v>15</v>
      </c>
      <c r="F641" s="34"/>
      <c r="J641" s="15"/>
      <c r="K641" s="21"/>
      <c r="L641" s="103"/>
      <c r="M641" s="103"/>
      <c r="N641" s="196"/>
      <c r="O641" s="139"/>
      <c r="P641" s="22"/>
      <c r="Q641" s="15"/>
    </row>
    <row r="642" spans="1:17" s="23" customFormat="1" ht="14.1" customHeight="1" x14ac:dyDescent="0.2">
      <c r="A642" s="203">
        <f ca="1">IF($H642="UNIDADE CONSTRUTIVA",OFFSET(A642,-1,0)+1,LARGE(A$3:A641,1))</f>
        <v>0</v>
      </c>
      <c r="B642" s="203">
        <f t="shared" ca="1" si="42"/>
        <v>3</v>
      </c>
      <c r="C642" s="203">
        <f t="shared" ca="1" si="43"/>
        <v>1</v>
      </c>
      <c r="D642" s="204">
        <f t="shared" ca="1" si="44"/>
        <v>1</v>
      </c>
      <c r="E642" s="204">
        <f t="shared" ca="1" si="45"/>
        <v>15</v>
      </c>
      <c r="F642" s="34"/>
      <c r="J642" s="15"/>
      <c r="K642" s="21"/>
      <c r="L642" s="103"/>
      <c r="M642" s="103"/>
      <c r="N642" s="196"/>
      <c r="O642" s="139"/>
      <c r="P642" s="22"/>
      <c r="Q642" s="15"/>
    </row>
    <row r="643" spans="1:17" s="23" customFormat="1" ht="14.1" customHeight="1" x14ac:dyDescent="0.2">
      <c r="A643" s="203">
        <f ca="1">IF($H643="UNIDADE CONSTRUTIVA",OFFSET(A643,-1,0)+1,LARGE(A$3:A642,1))</f>
        <v>0</v>
      </c>
      <c r="B643" s="203">
        <f t="shared" ca="1" si="42"/>
        <v>3</v>
      </c>
      <c r="C643" s="203">
        <f t="shared" ca="1" si="43"/>
        <v>1</v>
      </c>
      <c r="D643" s="204">
        <f t="shared" ca="1" si="44"/>
        <v>1</v>
      </c>
      <c r="E643" s="204">
        <f t="shared" ca="1" si="45"/>
        <v>15</v>
      </c>
      <c r="F643" s="34"/>
      <c r="J643" s="15"/>
      <c r="K643" s="21"/>
      <c r="L643" s="103"/>
      <c r="M643" s="103"/>
      <c r="N643" s="196"/>
      <c r="O643" s="139"/>
      <c r="P643" s="22"/>
      <c r="Q643" s="15"/>
    </row>
    <row r="644" spans="1:17" s="23" customFormat="1" ht="14.1" customHeight="1" x14ac:dyDescent="0.2">
      <c r="A644" s="203">
        <f ca="1">IF($H644="UNIDADE CONSTRUTIVA",OFFSET(A644,-1,0)+1,LARGE(A$3:A643,1))</f>
        <v>0</v>
      </c>
      <c r="B644" s="203">
        <f t="shared" ca="1" si="42"/>
        <v>3</v>
      </c>
      <c r="C644" s="203">
        <f t="shared" ca="1" si="43"/>
        <v>1</v>
      </c>
      <c r="D644" s="204">
        <f t="shared" ca="1" si="44"/>
        <v>1</v>
      </c>
      <c r="E644" s="204">
        <f t="shared" ca="1" si="45"/>
        <v>15</v>
      </c>
      <c r="F644" s="34"/>
      <c r="J644" s="15"/>
      <c r="K644" s="21"/>
      <c r="L644" s="103"/>
      <c r="M644" s="103"/>
      <c r="N644" s="196"/>
      <c r="O644" s="139"/>
      <c r="P644" s="22"/>
      <c r="Q644" s="15"/>
    </row>
    <row r="645" spans="1:17" s="23" customFormat="1" ht="14.1" customHeight="1" x14ac:dyDescent="0.2">
      <c r="A645" s="203">
        <f ca="1">IF($H645="UNIDADE CONSTRUTIVA",OFFSET(A645,-1,0)+1,LARGE(A$3:A644,1))</f>
        <v>0</v>
      </c>
      <c r="B645" s="203">
        <f t="shared" ca="1" si="42"/>
        <v>3</v>
      </c>
      <c r="C645" s="203">
        <f t="shared" ca="1" si="43"/>
        <v>1</v>
      </c>
      <c r="D645" s="204">
        <f t="shared" ca="1" si="44"/>
        <v>1</v>
      </c>
      <c r="E645" s="204">
        <f t="shared" ca="1" si="45"/>
        <v>15</v>
      </c>
      <c r="F645" s="34"/>
      <c r="J645" s="15"/>
      <c r="K645" s="21"/>
      <c r="L645" s="103"/>
      <c r="M645" s="103"/>
      <c r="N645" s="196"/>
      <c r="O645" s="139"/>
      <c r="P645" s="22"/>
      <c r="Q645" s="15"/>
    </row>
    <row r="646" spans="1:17" s="23" customFormat="1" ht="14.1" customHeight="1" x14ac:dyDescent="0.2">
      <c r="A646" s="203">
        <f ca="1">IF($H646="UNIDADE CONSTRUTIVA",OFFSET(A646,-1,0)+1,LARGE(A$3:A645,1))</f>
        <v>0</v>
      </c>
      <c r="B646" s="203">
        <f t="shared" ca="1" si="42"/>
        <v>3</v>
      </c>
      <c r="C646" s="203">
        <f t="shared" ca="1" si="43"/>
        <v>1</v>
      </c>
      <c r="D646" s="204">
        <f t="shared" ca="1" si="44"/>
        <v>1</v>
      </c>
      <c r="E646" s="204">
        <f t="shared" ca="1" si="45"/>
        <v>15</v>
      </c>
      <c r="F646" s="34"/>
      <c r="J646" s="15"/>
      <c r="K646" s="21"/>
      <c r="L646" s="103"/>
      <c r="M646" s="103"/>
      <c r="N646" s="196"/>
      <c r="O646" s="139"/>
      <c r="P646" s="22"/>
      <c r="Q646" s="15"/>
    </row>
    <row r="647" spans="1:17" s="23" customFormat="1" ht="14.1" customHeight="1" x14ac:dyDescent="0.2">
      <c r="A647" s="203">
        <f ca="1">IF($H647="UNIDADE CONSTRUTIVA",OFFSET(A647,-1,0)+1,LARGE(A$3:A646,1))</f>
        <v>0</v>
      </c>
      <c r="B647" s="203">
        <f t="shared" ca="1" si="42"/>
        <v>3</v>
      </c>
      <c r="C647" s="203">
        <f t="shared" ca="1" si="43"/>
        <v>1</v>
      </c>
      <c r="D647" s="204">
        <f t="shared" ca="1" si="44"/>
        <v>1</v>
      </c>
      <c r="E647" s="204">
        <f t="shared" ca="1" si="45"/>
        <v>15</v>
      </c>
      <c r="F647" s="34"/>
      <c r="J647" s="15"/>
      <c r="K647" s="21"/>
      <c r="L647" s="103"/>
      <c r="M647" s="103"/>
      <c r="N647" s="196"/>
      <c r="O647" s="139"/>
      <c r="P647" s="22"/>
      <c r="Q647" s="15"/>
    </row>
    <row r="648" spans="1:17" s="23" customFormat="1" ht="14.1" customHeight="1" x14ac:dyDescent="0.2">
      <c r="A648" s="203">
        <f ca="1">IF($H648="UNIDADE CONSTRUTIVA",OFFSET(A648,-1,0)+1,LARGE(A$3:A647,1))</f>
        <v>0</v>
      </c>
      <c r="B648" s="203">
        <f t="shared" ca="1" si="42"/>
        <v>3</v>
      </c>
      <c r="C648" s="203">
        <f t="shared" ca="1" si="43"/>
        <v>1</v>
      </c>
      <c r="D648" s="204">
        <f t="shared" ca="1" si="44"/>
        <v>1</v>
      </c>
      <c r="E648" s="204">
        <f t="shared" ca="1" si="45"/>
        <v>15</v>
      </c>
      <c r="F648" s="34"/>
      <c r="J648" s="15"/>
      <c r="K648" s="21"/>
      <c r="L648" s="103"/>
      <c r="M648" s="103"/>
      <c r="N648" s="196"/>
      <c r="O648" s="139"/>
      <c r="P648" s="22"/>
      <c r="Q648" s="15"/>
    </row>
    <row r="649" spans="1:17" s="23" customFormat="1" ht="14.1" customHeight="1" x14ac:dyDescent="0.2">
      <c r="A649" s="203">
        <f ca="1">IF($H649="UNIDADE CONSTRUTIVA",OFFSET(A649,-1,0)+1,LARGE(A$3:A648,1))</f>
        <v>0</v>
      </c>
      <c r="B649" s="203">
        <f t="shared" ca="1" si="42"/>
        <v>3</v>
      </c>
      <c r="C649" s="203">
        <f t="shared" ca="1" si="43"/>
        <v>1</v>
      </c>
      <c r="D649" s="204">
        <f t="shared" ca="1" si="44"/>
        <v>1</v>
      </c>
      <c r="E649" s="204">
        <f t="shared" ca="1" si="45"/>
        <v>15</v>
      </c>
      <c r="F649" s="34"/>
      <c r="J649" s="15"/>
      <c r="K649" s="21"/>
      <c r="L649" s="103"/>
      <c r="M649" s="103"/>
      <c r="N649" s="196"/>
      <c r="O649" s="139"/>
      <c r="P649" s="22"/>
      <c r="Q649" s="15"/>
    </row>
    <row r="650" spans="1:17" s="23" customFormat="1" ht="14.1" customHeight="1" x14ac:dyDescent="0.2">
      <c r="A650" s="203">
        <f ca="1">IF($H650="UNIDADE CONSTRUTIVA",OFFSET(A650,-1,0)+1,LARGE(A$3:A649,1))</f>
        <v>0</v>
      </c>
      <c r="B650" s="203">
        <f t="shared" ca="1" si="42"/>
        <v>3</v>
      </c>
      <c r="C650" s="203">
        <f t="shared" ca="1" si="43"/>
        <v>1</v>
      </c>
      <c r="D650" s="204">
        <f t="shared" ca="1" si="44"/>
        <v>1</v>
      </c>
      <c r="E650" s="204">
        <f t="shared" ca="1" si="45"/>
        <v>15</v>
      </c>
      <c r="F650" s="34"/>
      <c r="J650" s="15"/>
      <c r="K650" s="21"/>
      <c r="L650" s="103"/>
      <c r="M650" s="103"/>
      <c r="N650" s="196"/>
      <c r="O650" s="139"/>
      <c r="P650" s="22"/>
      <c r="Q650" s="15"/>
    </row>
    <row r="651" spans="1:17" s="23" customFormat="1" ht="14.1" customHeight="1" x14ac:dyDescent="0.2">
      <c r="A651" s="203">
        <f ca="1">IF($H651="UNIDADE CONSTRUTIVA",OFFSET(A651,-1,0)+1,LARGE(A$3:A650,1))</f>
        <v>0</v>
      </c>
      <c r="B651" s="203">
        <f t="shared" ca="1" si="42"/>
        <v>3</v>
      </c>
      <c r="C651" s="203">
        <f t="shared" ca="1" si="43"/>
        <v>1</v>
      </c>
      <c r="D651" s="204">
        <f t="shared" ca="1" si="44"/>
        <v>1</v>
      </c>
      <c r="E651" s="204">
        <f t="shared" ca="1" si="45"/>
        <v>15</v>
      </c>
      <c r="F651" s="34"/>
      <c r="J651" s="15"/>
      <c r="K651" s="21"/>
      <c r="L651" s="103"/>
      <c r="M651" s="103"/>
      <c r="N651" s="196"/>
      <c r="O651" s="139"/>
      <c r="P651" s="22"/>
      <c r="Q651" s="15"/>
    </row>
    <row r="652" spans="1:17" s="23" customFormat="1" ht="14.1" customHeight="1" x14ac:dyDescent="0.2">
      <c r="A652" s="203">
        <f ca="1">IF($H652="UNIDADE CONSTRUTIVA",OFFSET(A652,-1,0)+1,LARGE(A$3:A651,1))</f>
        <v>0</v>
      </c>
      <c r="B652" s="203">
        <f t="shared" ca="1" si="42"/>
        <v>3</v>
      </c>
      <c r="C652" s="203">
        <f t="shared" ca="1" si="43"/>
        <v>1</v>
      </c>
      <c r="D652" s="204">
        <f t="shared" ca="1" si="44"/>
        <v>1</v>
      </c>
      <c r="E652" s="204">
        <f t="shared" ca="1" si="45"/>
        <v>15</v>
      </c>
      <c r="F652" s="34"/>
      <c r="J652" s="15"/>
      <c r="K652" s="21"/>
      <c r="L652" s="103"/>
      <c r="M652" s="103"/>
      <c r="N652" s="196"/>
      <c r="O652" s="139"/>
      <c r="P652" s="22"/>
      <c r="Q652" s="15"/>
    </row>
    <row r="653" spans="1:17" s="23" customFormat="1" ht="14.1" customHeight="1" x14ac:dyDescent="0.2">
      <c r="A653" s="203">
        <f ca="1">IF($H653="UNIDADE CONSTRUTIVA",OFFSET(A653,-1,0)+1,LARGE(A$3:A652,1))</f>
        <v>0</v>
      </c>
      <c r="B653" s="203">
        <f t="shared" ref="B653:B716" ca="1" si="46">IF(H653="UNIDADE CONSTRUTIVA",0,IF(H653="CÉLULA CONSTRUTIVA",OFFSET(B653,-1,0)+1,OFFSET(B653,-1,0)))</f>
        <v>3</v>
      </c>
      <c r="C653" s="203">
        <f t="shared" ref="C653:C716" ca="1" si="47">IF(H653="CÉLULA CONSTRUTIVA",0,IF(H653="ETAPA",OFFSET(C653,-1,0)+1,OFFSET(C653,-1,0)))</f>
        <v>1</v>
      </c>
      <c r="D653" s="204">
        <f t="shared" ref="D653:D716" ca="1" si="48">IF(H653="ETAPA",0,IF(H653="SUBETAPA",OFFSET(D653,-1,0)+1,OFFSET(D653,-1,0)))</f>
        <v>1</v>
      </c>
      <c r="E653" s="204">
        <f t="shared" ref="E653:E716" ca="1" si="49">IF(H653="Subetapa",0,IF(H653="serviço",OFFSET(E653,-1,0)+1,OFFSET(E653,-1,0)))</f>
        <v>15</v>
      </c>
      <c r="F653" s="34"/>
      <c r="J653" s="15"/>
      <c r="K653" s="21"/>
      <c r="L653" s="103"/>
      <c r="M653" s="103"/>
      <c r="N653" s="196"/>
      <c r="O653" s="139"/>
      <c r="P653" s="22"/>
      <c r="Q653" s="15"/>
    </row>
    <row r="654" spans="1:17" s="23" customFormat="1" ht="14.1" customHeight="1" x14ac:dyDescent="0.2">
      <c r="A654" s="203">
        <f ca="1">IF($H654="UNIDADE CONSTRUTIVA",OFFSET(A654,-1,0)+1,LARGE(A$3:A653,1))</f>
        <v>0</v>
      </c>
      <c r="B654" s="203">
        <f t="shared" ca="1" si="46"/>
        <v>3</v>
      </c>
      <c r="C654" s="203">
        <f t="shared" ca="1" si="47"/>
        <v>1</v>
      </c>
      <c r="D654" s="204">
        <f t="shared" ca="1" si="48"/>
        <v>1</v>
      </c>
      <c r="E654" s="204">
        <f t="shared" ca="1" si="49"/>
        <v>15</v>
      </c>
      <c r="F654" s="34"/>
      <c r="J654" s="15"/>
      <c r="K654" s="21"/>
      <c r="L654" s="103"/>
      <c r="M654" s="103"/>
      <c r="N654" s="196"/>
      <c r="O654" s="139"/>
      <c r="P654" s="22"/>
      <c r="Q654" s="15"/>
    </row>
    <row r="655" spans="1:17" s="23" customFormat="1" ht="14.1" customHeight="1" x14ac:dyDescent="0.2">
      <c r="A655" s="203">
        <f ca="1">IF($H655="UNIDADE CONSTRUTIVA",OFFSET(A655,-1,0)+1,LARGE(A$3:A654,1))</f>
        <v>0</v>
      </c>
      <c r="B655" s="203">
        <f t="shared" ca="1" si="46"/>
        <v>3</v>
      </c>
      <c r="C655" s="203">
        <f t="shared" ca="1" si="47"/>
        <v>1</v>
      </c>
      <c r="D655" s="204">
        <f t="shared" ca="1" si="48"/>
        <v>1</v>
      </c>
      <c r="E655" s="204">
        <f t="shared" ca="1" si="49"/>
        <v>15</v>
      </c>
      <c r="F655" s="34"/>
      <c r="J655" s="15"/>
      <c r="K655" s="21"/>
      <c r="L655" s="103"/>
      <c r="M655" s="103"/>
      <c r="N655" s="196"/>
      <c r="O655" s="139"/>
      <c r="P655" s="22"/>
      <c r="Q655" s="15"/>
    </row>
    <row r="656" spans="1:17" s="23" customFormat="1" ht="14.1" customHeight="1" x14ac:dyDescent="0.2">
      <c r="A656" s="203">
        <f ca="1">IF($H656="UNIDADE CONSTRUTIVA",OFFSET(A656,-1,0)+1,LARGE(A$3:A655,1))</f>
        <v>0</v>
      </c>
      <c r="B656" s="203">
        <f t="shared" ca="1" si="46"/>
        <v>3</v>
      </c>
      <c r="C656" s="203">
        <f t="shared" ca="1" si="47"/>
        <v>1</v>
      </c>
      <c r="D656" s="204">
        <f t="shared" ca="1" si="48"/>
        <v>1</v>
      </c>
      <c r="E656" s="204">
        <f t="shared" ca="1" si="49"/>
        <v>15</v>
      </c>
      <c r="F656" s="34"/>
      <c r="J656" s="15"/>
      <c r="K656" s="21"/>
      <c r="L656" s="103"/>
      <c r="M656" s="103"/>
      <c r="N656" s="196"/>
      <c r="O656" s="139"/>
      <c r="P656" s="22"/>
      <c r="Q656" s="15"/>
    </row>
    <row r="657" spans="1:17" s="23" customFormat="1" ht="14.1" customHeight="1" x14ac:dyDescent="0.2">
      <c r="A657" s="203">
        <f ca="1">IF($H657="UNIDADE CONSTRUTIVA",OFFSET(A657,-1,0)+1,LARGE(A$3:A656,1))</f>
        <v>0</v>
      </c>
      <c r="B657" s="203">
        <f t="shared" ca="1" si="46"/>
        <v>3</v>
      </c>
      <c r="C657" s="203">
        <f t="shared" ca="1" si="47"/>
        <v>1</v>
      </c>
      <c r="D657" s="204">
        <f t="shared" ca="1" si="48"/>
        <v>1</v>
      </c>
      <c r="E657" s="204">
        <f t="shared" ca="1" si="49"/>
        <v>15</v>
      </c>
      <c r="F657" s="34"/>
      <c r="J657" s="15"/>
      <c r="K657" s="21"/>
      <c r="L657" s="103"/>
      <c r="M657" s="103"/>
      <c r="N657" s="196"/>
      <c r="O657" s="139"/>
      <c r="P657" s="22"/>
      <c r="Q657" s="15"/>
    </row>
    <row r="658" spans="1:17" s="23" customFormat="1" ht="14.1" customHeight="1" x14ac:dyDescent="0.2">
      <c r="A658" s="203">
        <f ca="1">IF($H658="UNIDADE CONSTRUTIVA",OFFSET(A658,-1,0)+1,LARGE(A$3:A657,1))</f>
        <v>0</v>
      </c>
      <c r="B658" s="203">
        <f t="shared" ca="1" si="46"/>
        <v>3</v>
      </c>
      <c r="C658" s="203">
        <f t="shared" ca="1" si="47"/>
        <v>1</v>
      </c>
      <c r="D658" s="204">
        <f t="shared" ca="1" si="48"/>
        <v>1</v>
      </c>
      <c r="E658" s="204">
        <f t="shared" ca="1" si="49"/>
        <v>15</v>
      </c>
      <c r="F658" s="34"/>
      <c r="J658" s="15"/>
      <c r="K658" s="21"/>
      <c r="L658" s="103"/>
      <c r="M658" s="103"/>
      <c r="N658" s="196"/>
      <c r="O658" s="139"/>
      <c r="P658" s="22"/>
      <c r="Q658" s="15"/>
    </row>
    <row r="659" spans="1:17" s="23" customFormat="1" ht="14.1" customHeight="1" x14ac:dyDescent="0.2">
      <c r="A659" s="203">
        <f ca="1">IF($H659="UNIDADE CONSTRUTIVA",OFFSET(A659,-1,0)+1,LARGE(A$3:A658,1))</f>
        <v>0</v>
      </c>
      <c r="B659" s="203">
        <f t="shared" ca="1" si="46"/>
        <v>3</v>
      </c>
      <c r="C659" s="203">
        <f t="shared" ca="1" si="47"/>
        <v>1</v>
      </c>
      <c r="D659" s="204">
        <f t="shared" ca="1" si="48"/>
        <v>1</v>
      </c>
      <c r="E659" s="204">
        <f t="shared" ca="1" si="49"/>
        <v>15</v>
      </c>
      <c r="F659" s="34"/>
      <c r="J659" s="15"/>
      <c r="K659" s="21"/>
      <c r="L659" s="103"/>
      <c r="M659" s="103"/>
      <c r="N659" s="196"/>
      <c r="O659" s="139"/>
      <c r="P659" s="22"/>
      <c r="Q659" s="15"/>
    </row>
    <row r="660" spans="1:17" s="23" customFormat="1" ht="14.1" customHeight="1" x14ac:dyDescent="0.2">
      <c r="A660" s="203">
        <f ca="1">IF($H660="UNIDADE CONSTRUTIVA",OFFSET(A660,-1,0)+1,LARGE(A$3:A659,1))</f>
        <v>0</v>
      </c>
      <c r="B660" s="203">
        <f t="shared" ca="1" si="46"/>
        <v>3</v>
      </c>
      <c r="C660" s="203">
        <f t="shared" ca="1" si="47"/>
        <v>1</v>
      </c>
      <c r="D660" s="204">
        <f t="shared" ca="1" si="48"/>
        <v>1</v>
      </c>
      <c r="E660" s="204">
        <f t="shared" ca="1" si="49"/>
        <v>15</v>
      </c>
      <c r="F660" s="34"/>
      <c r="J660" s="15"/>
      <c r="K660" s="21"/>
      <c r="L660" s="103"/>
      <c r="M660" s="103"/>
      <c r="N660" s="196"/>
      <c r="O660" s="139"/>
      <c r="P660" s="22"/>
      <c r="Q660" s="15"/>
    </row>
    <row r="661" spans="1:17" s="23" customFormat="1" ht="14.1" customHeight="1" x14ac:dyDescent="0.2">
      <c r="A661" s="203">
        <f ca="1">IF($H661="UNIDADE CONSTRUTIVA",OFFSET(A661,-1,0)+1,LARGE(A$3:A660,1))</f>
        <v>0</v>
      </c>
      <c r="B661" s="203">
        <f t="shared" ca="1" si="46"/>
        <v>3</v>
      </c>
      <c r="C661" s="203">
        <f t="shared" ca="1" si="47"/>
        <v>1</v>
      </c>
      <c r="D661" s="204">
        <f t="shared" ca="1" si="48"/>
        <v>1</v>
      </c>
      <c r="E661" s="204">
        <f t="shared" ca="1" si="49"/>
        <v>15</v>
      </c>
      <c r="F661" s="34"/>
      <c r="J661" s="15"/>
      <c r="K661" s="21"/>
      <c r="L661" s="103"/>
      <c r="M661" s="103"/>
      <c r="N661" s="196"/>
      <c r="O661" s="139"/>
      <c r="P661" s="22"/>
      <c r="Q661" s="15"/>
    </row>
    <row r="662" spans="1:17" s="23" customFormat="1" ht="14.1" customHeight="1" x14ac:dyDescent="0.2">
      <c r="A662" s="203">
        <f ca="1">IF($H662="UNIDADE CONSTRUTIVA",OFFSET(A662,-1,0)+1,LARGE(A$3:A661,1))</f>
        <v>0</v>
      </c>
      <c r="B662" s="203">
        <f t="shared" ca="1" si="46"/>
        <v>3</v>
      </c>
      <c r="C662" s="203">
        <f t="shared" ca="1" si="47"/>
        <v>1</v>
      </c>
      <c r="D662" s="204">
        <f t="shared" ca="1" si="48"/>
        <v>1</v>
      </c>
      <c r="E662" s="204">
        <f t="shared" ca="1" si="49"/>
        <v>15</v>
      </c>
      <c r="F662" s="34"/>
      <c r="J662" s="15"/>
      <c r="K662" s="21"/>
      <c r="L662" s="103"/>
      <c r="M662" s="103"/>
      <c r="N662" s="196"/>
      <c r="O662" s="139"/>
      <c r="P662" s="22"/>
      <c r="Q662" s="15"/>
    </row>
    <row r="663" spans="1:17" s="23" customFormat="1" ht="14.1" customHeight="1" x14ac:dyDescent="0.2">
      <c r="A663" s="203">
        <f ca="1">IF($H663="UNIDADE CONSTRUTIVA",OFFSET(A663,-1,0)+1,LARGE(A$3:A662,1))</f>
        <v>0</v>
      </c>
      <c r="B663" s="203">
        <f t="shared" ca="1" si="46"/>
        <v>3</v>
      </c>
      <c r="C663" s="203">
        <f t="shared" ca="1" si="47"/>
        <v>1</v>
      </c>
      <c r="D663" s="204">
        <f t="shared" ca="1" si="48"/>
        <v>1</v>
      </c>
      <c r="E663" s="204">
        <f t="shared" ca="1" si="49"/>
        <v>15</v>
      </c>
      <c r="F663" s="34"/>
      <c r="J663" s="15"/>
      <c r="K663" s="21"/>
      <c r="L663" s="103"/>
      <c r="M663" s="103"/>
      <c r="N663" s="196"/>
      <c r="O663" s="139"/>
      <c r="P663" s="22"/>
      <c r="Q663" s="15"/>
    </row>
    <row r="664" spans="1:17" s="23" customFormat="1" ht="14.1" customHeight="1" x14ac:dyDescent="0.2">
      <c r="A664" s="203">
        <f ca="1">IF($H664="UNIDADE CONSTRUTIVA",OFFSET(A664,-1,0)+1,LARGE(A$3:A663,1))</f>
        <v>0</v>
      </c>
      <c r="B664" s="203">
        <f t="shared" ca="1" si="46"/>
        <v>3</v>
      </c>
      <c r="C664" s="203">
        <f t="shared" ca="1" si="47"/>
        <v>1</v>
      </c>
      <c r="D664" s="204">
        <f t="shared" ca="1" si="48"/>
        <v>1</v>
      </c>
      <c r="E664" s="204">
        <f t="shared" ca="1" si="49"/>
        <v>15</v>
      </c>
      <c r="F664" s="34"/>
      <c r="J664" s="15"/>
      <c r="K664" s="21"/>
      <c r="L664" s="103"/>
      <c r="M664" s="103"/>
      <c r="N664" s="196"/>
      <c r="O664" s="139"/>
      <c r="P664" s="22"/>
      <c r="Q664" s="15"/>
    </row>
    <row r="665" spans="1:17" s="23" customFormat="1" ht="14.1" customHeight="1" x14ac:dyDescent="0.2">
      <c r="A665" s="203">
        <f ca="1">IF($H665="UNIDADE CONSTRUTIVA",OFFSET(A665,-1,0)+1,LARGE(A$3:A664,1))</f>
        <v>0</v>
      </c>
      <c r="B665" s="203">
        <f t="shared" ca="1" si="46"/>
        <v>3</v>
      </c>
      <c r="C665" s="203">
        <f t="shared" ca="1" si="47"/>
        <v>1</v>
      </c>
      <c r="D665" s="204">
        <f t="shared" ca="1" si="48"/>
        <v>1</v>
      </c>
      <c r="E665" s="204">
        <f t="shared" ca="1" si="49"/>
        <v>15</v>
      </c>
      <c r="F665" s="34"/>
      <c r="J665" s="15"/>
      <c r="K665" s="21"/>
      <c r="L665" s="103"/>
      <c r="M665" s="103"/>
      <c r="N665" s="196"/>
      <c r="O665" s="139"/>
      <c r="P665" s="22"/>
      <c r="Q665" s="15"/>
    </row>
    <row r="666" spans="1:17" s="23" customFormat="1" ht="14.1" customHeight="1" x14ac:dyDescent="0.2">
      <c r="A666" s="203">
        <f ca="1">IF($H666="UNIDADE CONSTRUTIVA",OFFSET(A666,-1,0)+1,LARGE(A$3:A665,1))</f>
        <v>0</v>
      </c>
      <c r="B666" s="203">
        <f t="shared" ca="1" si="46"/>
        <v>3</v>
      </c>
      <c r="C666" s="203">
        <f t="shared" ca="1" si="47"/>
        <v>1</v>
      </c>
      <c r="D666" s="204">
        <f t="shared" ca="1" si="48"/>
        <v>1</v>
      </c>
      <c r="E666" s="204">
        <f t="shared" ca="1" si="49"/>
        <v>15</v>
      </c>
      <c r="F666" s="34"/>
      <c r="J666" s="15"/>
      <c r="K666" s="21"/>
      <c r="L666" s="103"/>
      <c r="M666" s="103"/>
      <c r="N666" s="196"/>
      <c r="O666" s="139"/>
      <c r="P666" s="22"/>
      <c r="Q666" s="15"/>
    </row>
    <row r="667" spans="1:17" s="23" customFormat="1" ht="14.1" customHeight="1" x14ac:dyDescent="0.2">
      <c r="A667" s="203">
        <f ca="1">IF($H667="UNIDADE CONSTRUTIVA",OFFSET(A667,-1,0)+1,LARGE(A$3:A666,1))</f>
        <v>0</v>
      </c>
      <c r="B667" s="203">
        <f t="shared" ca="1" si="46"/>
        <v>3</v>
      </c>
      <c r="C667" s="203">
        <f t="shared" ca="1" si="47"/>
        <v>1</v>
      </c>
      <c r="D667" s="204">
        <f t="shared" ca="1" si="48"/>
        <v>1</v>
      </c>
      <c r="E667" s="204">
        <f t="shared" ca="1" si="49"/>
        <v>15</v>
      </c>
      <c r="F667" s="34"/>
      <c r="J667" s="15"/>
      <c r="K667" s="21"/>
      <c r="L667" s="103"/>
      <c r="M667" s="103"/>
      <c r="N667" s="196"/>
      <c r="O667" s="139"/>
      <c r="P667" s="22"/>
      <c r="Q667" s="15"/>
    </row>
    <row r="668" spans="1:17" s="23" customFormat="1" ht="14.1" customHeight="1" x14ac:dyDescent="0.2">
      <c r="A668" s="203">
        <f ca="1">IF($H668="UNIDADE CONSTRUTIVA",OFFSET(A668,-1,0)+1,LARGE(A$3:A667,1))</f>
        <v>0</v>
      </c>
      <c r="B668" s="203">
        <f t="shared" ca="1" si="46"/>
        <v>3</v>
      </c>
      <c r="C668" s="203">
        <f t="shared" ca="1" si="47"/>
        <v>1</v>
      </c>
      <c r="D668" s="204">
        <f t="shared" ca="1" si="48"/>
        <v>1</v>
      </c>
      <c r="E668" s="204">
        <f t="shared" ca="1" si="49"/>
        <v>15</v>
      </c>
      <c r="F668" s="34"/>
      <c r="J668" s="15"/>
      <c r="K668" s="21"/>
      <c r="L668" s="103"/>
      <c r="M668" s="103"/>
      <c r="N668" s="196"/>
      <c r="O668" s="139"/>
      <c r="P668" s="22"/>
      <c r="Q668" s="15"/>
    </row>
    <row r="669" spans="1:17" s="23" customFormat="1" ht="14.1" customHeight="1" x14ac:dyDescent="0.2">
      <c r="A669" s="203">
        <f ca="1">IF($H669="UNIDADE CONSTRUTIVA",OFFSET(A669,-1,0)+1,LARGE(A$3:A668,1))</f>
        <v>0</v>
      </c>
      <c r="B669" s="203">
        <f t="shared" ca="1" si="46"/>
        <v>3</v>
      </c>
      <c r="C669" s="203">
        <f t="shared" ca="1" si="47"/>
        <v>1</v>
      </c>
      <c r="D669" s="204">
        <f t="shared" ca="1" si="48"/>
        <v>1</v>
      </c>
      <c r="E669" s="204">
        <f t="shared" ca="1" si="49"/>
        <v>15</v>
      </c>
      <c r="F669" s="34"/>
      <c r="J669" s="15"/>
      <c r="K669" s="21"/>
      <c r="L669" s="103"/>
      <c r="M669" s="103"/>
      <c r="N669" s="196"/>
      <c r="O669" s="139"/>
      <c r="P669" s="22"/>
      <c r="Q669" s="15"/>
    </row>
    <row r="670" spans="1:17" s="23" customFormat="1" ht="14.1" customHeight="1" x14ac:dyDescent="0.2">
      <c r="A670" s="203">
        <f ca="1">IF($H670="UNIDADE CONSTRUTIVA",OFFSET(A670,-1,0)+1,LARGE(A$3:A669,1))</f>
        <v>0</v>
      </c>
      <c r="B670" s="203">
        <f t="shared" ca="1" si="46"/>
        <v>3</v>
      </c>
      <c r="C670" s="203">
        <f t="shared" ca="1" si="47"/>
        <v>1</v>
      </c>
      <c r="D670" s="204">
        <f t="shared" ca="1" si="48"/>
        <v>1</v>
      </c>
      <c r="E670" s="204">
        <f t="shared" ca="1" si="49"/>
        <v>15</v>
      </c>
      <c r="F670" s="34"/>
      <c r="J670" s="15"/>
      <c r="K670" s="21"/>
      <c r="L670" s="103"/>
      <c r="M670" s="103"/>
      <c r="N670" s="196"/>
      <c r="O670" s="139"/>
      <c r="P670" s="22"/>
      <c r="Q670" s="15"/>
    </row>
    <row r="671" spans="1:17" s="23" customFormat="1" ht="14.1" customHeight="1" x14ac:dyDescent="0.2">
      <c r="A671" s="203">
        <f ca="1">IF($H671="UNIDADE CONSTRUTIVA",OFFSET(A671,-1,0)+1,LARGE(A$3:A670,1))</f>
        <v>0</v>
      </c>
      <c r="B671" s="203">
        <f t="shared" ca="1" si="46"/>
        <v>3</v>
      </c>
      <c r="C671" s="203">
        <f t="shared" ca="1" si="47"/>
        <v>1</v>
      </c>
      <c r="D671" s="204">
        <f t="shared" ca="1" si="48"/>
        <v>1</v>
      </c>
      <c r="E671" s="204">
        <f t="shared" ca="1" si="49"/>
        <v>15</v>
      </c>
      <c r="F671" s="34"/>
      <c r="J671" s="15"/>
      <c r="K671" s="21"/>
      <c r="L671" s="103"/>
      <c r="M671" s="103"/>
      <c r="N671" s="196"/>
      <c r="O671" s="139"/>
      <c r="P671" s="22"/>
      <c r="Q671" s="15"/>
    </row>
    <row r="672" spans="1:17" s="23" customFormat="1" ht="14.1" customHeight="1" x14ac:dyDescent="0.2">
      <c r="A672" s="203">
        <f ca="1">IF($H672="UNIDADE CONSTRUTIVA",OFFSET(A672,-1,0)+1,LARGE(A$3:A671,1))</f>
        <v>0</v>
      </c>
      <c r="B672" s="203">
        <f t="shared" ca="1" si="46"/>
        <v>3</v>
      </c>
      <c r="C672" s="203">
        <f t="shared" ca="1" si="47"/>
        <v>1</v>
      </c>
      <c r="D672" s="204">
        <f t="shared" ca="1" si="48"/>
        <v>1</v>
      </c>
      <c r="E672" s="204">
        <f t="shared" ca="1" si="49"/>
        <v>15</v>
      </c>
      <c r="F672" s="34"/>
      <c r="J672" s="15"/>
      <c r="K672" s="21"/>
      <c r="L672" s="103"/>
      <c r="M672" s="103"/>
      <c r="N672" s="196"/>
      <c r="O672" s="139"/>
      <c r="P672" s="22"/>
      <c r="Q672" s="15"/>
    </row>
    <row r="673" spans="1:17" s="23" customFormat="1" ht="14.1" customHeight="1" x14ac:dyDescent="0.2">
      <c r="A673" s="203">
        <f ca="1">IF($H673="UNIDADE CONSTRUTIVA",OFFSET(A673,-1,0)+1,LARGE(A$3:A672,1))</f>
        <v>0</v>
      </c>
      <c r="B673" s="203">
        <f t="shared" ca="1" si="46"/>
        <v>3</v>
      </c>
      <c r="C673" s="203">
        <f t="shared" ca="1" si="47"/>
        <v>1</v>
      </c>
      <c r="D673" s="204">
        <f t="shared" ca="1" si="48"/>
        <v>1</v>
      </c>
      <c r="E673" s="204">
        <f t="shared" ca="1" si="49"/>
        <v>15</v>
      </c>
      <c r="F673" s="34"/>
      <c r="J673" s="15"/>
      <c r="K673" s="21"/>
      <c r="L673" s="103"/>
      <c r="M673" s="103"/>
      <c r="N673" s="196"/>
      <c r="O673" s="139"/>
      <c r="P673" s="22"/>
      <c r="Q673" s="15"/>
    </row>
    <row r="674" spans="1:17" s="23" customFormat="1" ht="14.1" customHeight="1" x14ac:dyDescent="0.2">
      <c r="A674" s="203">
        <f ca="1">IF($H674="UNIDADE CONSTRUTIVA",OFFSET(A674,-1,0)+1,LARGE(A$3:A673,1))</f>
        <v>0</v>
      </c>
      <c r="B674" s="203">
        <f t="shared" ca="1" si="46"/>
        <v>3</v>
      </c>
      <c r="C674" s="203">
        <f t="shared" ca="1" si="47"/>
        <v>1</v>
      </c>
      <c r="D674" s="204">
        <f t="shared" ca="1" si="48"/>
        <v>1</v>
      </c>
      <c r="E674" s="204">
        <f t="shared" ca="1" si="49"/>
        <v>15</v>
      </c>
      <c r="F674" s="34"/>
      <c r="J674" s="15"/>
      <c r="K674" s="21"/>
      <c r="L674" s="103"/>
      <c r="M674" s="103"/>
      <c r="N674" s="196"/>
      <c r="O674" s="139"/>
      <c r="P674" s="22"/>
      <c r="Q674" s="15"/>
    </row>
    <row r="675" spans="1:17" s="23" customFormat="1" ht="14.1" customHeight="1" x14ac:dyDescent="0.2">
      <c r="A675" s="203">
        <f ca="1">IF($H675="UNIDADE CONSTRUTIVA",OFFSET(A675,-1,0)+1,LARGE(A$3:A674,1))</f>
        <v>0</v>
      </c>
      <c r="B675" s="203">
        <f t="shared" ca="1" si="46"/>
        <v>3</v>
      </c>
      <c r="C675" s="203">
        <f t="shared" ca="1" si="47"/>
        <v>1</v>
      </c>
      <c r="D675" s="204">
        <f t="shared" ca="1" si="48"/>
        <v>1</v>
      </c>
      <c r="E675" s="204">
        <f t="shared" ca="1" si="49"/>
        <v>15</v>
      </c>
      <c r="F675" s="34"/>
      <c r="J675" s="15"/>
      <c r="K675" s="21"/>
      <c r="L675" s="103"/>
      <c r="M675" s="103"/>
      <c r="N675" s="196"/>
      <c r="O675" s="139"/>
      <c r="P675" s="22"/>
      <c r="Q675" s="15"/>
    </row>
    <row r="676" spans="1:17" s="23" customFormat="1" ht="14.1" customHeight="1" x14ac:dyDescent="0.2">
      <c r="A676" s="203">
        <f ca="1">IF($H676="UNIDADE CONSTRUTIVA",OFFSET(A676,-1,0)+1,LARGE(A$3:A675,1))</f>
        <v>0</v>
      </c>
      <c r="B676" s="203">
        <f t="shared" ca="1" si="46"/>
        <v>3</v>
      </c>
      <c r="C676" s="203">
        <f t="shared" ca="1" si="47"/>
        <v>1</v>
      </c>
      <c r="D676" s="204">
        <f t="shared" ca="1" si="48"/>
        <v>1</v>
      </c>
      <c r="E676" s="204">
        <f t="shared" ca="1" si="49"/>
        <v>15</v>
      </c>
      <c r="F676" s="34"/>
      <c r="J676" s="15"/>
      <c r="K676" s="21"/>
      <c r="L676" s="103"/>
      <c r="M676" s="103"/>
      <c r="N676" s="196"/>
      <c r="O676" s="139"/>
      <c r="P676" s="22"/>
      <c r="Q676" s="15"/>
    </row>
    <row r="677" spans="1:17" s="23" customFormat="1" ht="14.1" customHeight="1" x14ac:dyDescent="0.2">
      <c r="A677" s="203">
        <f ca="1">IF($H677="UNIDADE CONSTRUTIVA",OFFSET(A677,-1,0)+1,LARGE(A$3:A676,1))</f>
        <v>0</v>
      </c>
      <c r="B677" s="203">
        <f t="shared" ca="1" si="46"/>
        <v>3</v>
      </c>
      <c r="C677" s="203">
        <f t="shared" ca="1" si="47"/>
        <v>1</v>
      </c>
      <c r="D677" s="204">
        <f t="shared" ca="1" si="48"/>
        <v>1</v>
      </c>
      <c r="E677" s="204">
        <f t="shared" ca="1" si="49"/>
        <v>15</v>
      </c>
      <c r="F677" s="34"/>
      <c r="J677" s="15"/>
      <c r="K677" s="21"/>
      <c r="L677" s="103"/>
      <c r="M677" s="103"/>
      <c r="N677" s="196"/>
      <c r="O677" s="139"/>
      <c r="P677" s="22"/>
      <c r="Q677" s="15"/>
    </row>
    <row r="678" spans="1:17" s="23" customFormat="1" ht="14.1" customHeight="1" x14ac:dyDescent="0.2">
      <c r="A678" s="203">
        <f ca="1">IF($H678="UNIDADE CONSTRUTIVA",OFFSET(A678,-1,0)+1,LARGE(A$3:A677,1))</f>
        <v>0</v>
      </c>
      <c r="B678" s="203">
        <f t="shared" ca="1" si="46"/>
        <v>3</v>
      </c>
      <c r="C678" s="203">
        <f t="shared" ca="1" si="47"/>
        <v>1</v>
      </c>
      <c r="D678" s="204">
        <f t="shared" ca="1" si="48"/>
        <v>1</v>
      </c>
      <c r="E678" s="204">
        <f t="shared" ca="1" si="49"/>
        <v>15</v>
      </c>
      <c r="F678" s="34"/>
      <c r="J678" s="15"/>
      <c r="K678" s="21"/>
      <c r="L678" s="103"/>
      <c r="M678" s="103"/>
      <c r="N678" s="196"/>
      <c r="O678" s="139"/>
      <c r="P678" s="22"/>
      <c r="Q678" s="15"/>
    </row>
    <row r="679" spans="1:17" s="23" customFormat="1" ht="14.1" customHeight="1" x14ac:dyDescent="0.2">
      <c r="A679" s="203">
        <f ca="1">IF($H679="UNIDADE CONSTRUTIVA",OFFSET(A679,-1,0)+1,LARGE(A$3:A678,1))</f>
        <v>0</v>
      </c>
      <c r="B679" s="203">
        <f t="shared" ca="1" si="46"/>
        <v>3</v>
      </c>
      <c r="C679" s="203">
        <f t="shared" ca="1" si="47"/>
        <v>1</v>
      </c>
      <c r="D679" s="204">
        <f t="shared" ca="1" si="48"/>
        <v>1</v>
      </c>
      <c r="E679" s="204">
        <f t="shared" ca="1" si="49"/>
        <v>15</v>
      </c>
      <c r="F679" s="34"/>
      <c r="J679" s="15"/>
      <c r="K679" s="21"/>
      <c r="L679" s="103"/>
      <c r="M679" s="103"/>
      <c r="N679" s="196"/>
      <c r="O679" s="139"/>
      <c r="P679" s="22"/>
      <c r="Q679" s="15"/>
    </row>
    <row r="680" spans="1:17" s="23" customFormat="1" ht="14.1" customHeight="1" x14ac:dyDescent="0.2">
      <c r="A680" s="203">
        <f ca="1">IF($H680="UNIDADE CONSTRUTIVA",OFFSET(A680,-1,0)+1,LARGE(A$3:A679,1))</f>
        <v>0</v>
      </c>
      <c r="B680" s="203">
        <f t="shared" ca="1" si="46"/>
        <v>3</v>
      </c>
      <c r="C680" s="203">
        <f t="shared" ca="1" si="47"/>
        <v>1</v>
      </c>
      <c r="D680" s="204">
        <f t="shared" ca="1" si="48"/>
        <v>1</v>
      </c>
      <c r="E680" s="204">
        <f t="shared" ca="1" si="49"/>
        <v>15</v>
      </c>
      <c r="F680" s="34"/>
      <c r="J680" s="15"/>
      <c r="K680" s="21"/>
      <c r="L680" s="103"/>
      <c r="M680" s="103"/>
      <c r="N680" s="196"/>
      <c r="O680" s="139"/>
      <c r="P680" s="22"/>
      <c r="Q680" s="15"/>
    </row>
    <row r="681" spans="1:17" s="23" customFormat="1" ht="14.1" customHeight="1" x14ac:dyDescent="0.2">
      <c r="A681" s="203">
        <f ca="1">IF($H681="UNIDADE CONSTRUTIVA",OFFSET(A681,-1,0)+1,LARGE(A$3:A680,1))</f>
        <v>0</v>
      </c>
      <c r="B681" s="203">
        <f t="shared" ca="1" si="46"/>
        <v>3</v>
      </c>
      <c r="C681" s="203">
        <f t="shared" ca="1" si="47"/>
        <v>1</v>
      </c>
      <c r="D681" s="204">
        <f t="shared" ca="1" si="48"/>
        <v>1</v>
      </c>
      <c r="E681" s="204">
        <f t="shared" ca="1" si="49"/>
        <v>15</v>
      </c>
      <c r="F681" s="34"/>
      <c r="J681" s="15"/>
      <c r="K681" s="21"/>
      <c r="L681" s="103"/>
      <c r="M681" s="103"/>
      <c r="N681" s="196"/>
      <c r="O681" s="139"/>
      <c r="P681" s="22"/>
      <c r="Q681" s="15"/>
    </row>
    <row r="682" spans="1:17" s="23" customFormat="1" ht="14.1" customHeight="1" x14ac:dyDescent="0.2">
      <c r="A682" s="203">
        <f ca="1">IF($H682="UNIDADE CONSTRUTIVA",OFFSET(A682,-1,0)+1,LARGE(A$3:A681,1))</f>
        <v>0</v>
      </c>
      <c r="B682" s="203">
        <f t="shared" ca="1" si="46"/>
        <v>3</v>
      </c>
      <c r="C682" s="203">
        <f t="shared" ca="1" si="47"/>
        <v>1</v>
      </c>
      <c r="D682" s="204">
        <f t="shared" ca="1" si="48"/>
        <v>1</v>
      </c>
      <c r="E682" s="204">
        <f t="shared" ca="1" si="49"/>
        <v>15</v>
      </c>
      <c r="F682" s="34"/>
      <c r="J682" s="15"/>
      <c r="K682" s="21"/>
      <c r="L682" s="103"/>
      <c r="M682" s="103"/>
      <c r="N682" s="196"/>
      <c r="O682" s="139"/>
      <c r="P682" s="22"/>
      <c r="Q682" s="15"/>
    </row>
    <row r="683" spans="1:17" s="23" customFormat="1" ht="14.1" customHeight="1" x14ac:dyDescent="0.2">
      <c r="A683" s="203">
        <f ca="1">IF($H683="UNIDADE CONSTRUTIVA",OFFSET(A683,-1,0)+1,LARGE(A$3:A682,1))</f>
        <v>0</v>
      </c>
      <c r="B683" s="203">
        <f t="shared" ca="1" si="46"/>
        <v>3</v>
      </c>
      <c r="C683" s="203">
        <f t="shared" ca="1" si="47"/>
        <v>1</v>
      </c>
      <c r="D683" s="204">
        <f t="shared" ca="1" si="48"/>
        <v>1</v>
      </c>
      <c r="E683" s="204">
        <f t="shared" ca="1" si="49"/>
        <v>15</v>
      </c>
      <c r="F683" s="34"/>
      <c r="J683" s="15"/>
      <c r="K683" s="21"/>
      <c r="L683" s="103"/>
      <c r="M683" s="103"/>
      <c r="N683" s="196"/>
      <c r="O683" s="139"/>
      <c r="P683" s="22"/>
      <c r="Q683" s="15"/>
    </row>
    <row r="684" spans="1:17" s="23" customFormat="1" ht="14.1" customHeight="1" x14ac:dyDescent="0.2">
      <c r="A684" s="203">
        <f ca="1">IF($H684="UNIDADE CONSTRUTIVA",OFFSET(A684,-1,0)+1,LARGE(A$3:A683,1))</f>
        <v>0</v>
      </c>
      <c r="B684" s="203">
        <f t="shared" ca="1" si="46"/>
        <v>3</v>
      </c>
      <c r="C684" s="203">
        <f t="shared" ca="1" si="47"/>
        <v>1</v>
      </c>
      <c r="D684" s="204">
        <f t="shared" ca="1" si="48"/>
        <v>1</v>
      </c>
      <c r="E684" s="204">
        <f t="shared" ca="1" si="49"/>
        <v>15</v>
      </c>
      <c r="F684" s="34"/>
      <c r="J684" s="15"/>
      <c r="K684" s="21"/>
      <c r="L684" s="103"/>
      <c r="M684" s="103"/>
      <c r="N684" s="196"/>
      <c r="O684" s="139"/>
      <c r="P684" s="22"/>
      <c r="Q684" s="15"/>
    </row>
    <row r="685" spans="1:17" s="23" customFormat="1" ht="14.1" customHeight="1" x14ac:dyDescent="0.2">
      <c r="A685" s="203">
        <f ca="1">IF($H685="UNIDADE CONSTRUTIVA",OFFSET(A685,-1,0)+1,LARGE(A$3:A684,1))</f>
        <v>0</v>
      </c>
      <c r="B685" s="203">
        <f t="shared" ca="1" si="46"/>
        <v>3</v>
      </c>
      <c r="C685" s="203">
        <f t="shared" ca="1" si="47"/>
        <v>1</v>
      </c>
      <c r="D685" s="204">
        <f t="shared" ca="1" si="48"/>
        <v>1</v>
      </c>
      <c r="E685" s="204">
        <f t="shared" ca="1" si="49"/>
        <v>15</v>
      </c>
      <c r="F685" s="34"/>
      <c r="J685" s="15"/>
      <c r="K685" s="21"/>
      <c r="L685" s="103"/>
      <c r="M685" s="103"/>
      <c r="N685" s="196"/>
      <c r="O685" s="139"/>
      <c r="P685" s="22"/>
      <c r="Q685" s="15"/>
    </row>
    <row r="686" spans="1:17" s="23" customFormat="1" ht="14.1" customHeight="1" x14ac:dyDescent="0.2">
      <c r="A686" s="203">
        <f ca="1">IF($H686="UNIDADE CONSTRUTIVA",OFFSET(A686,-1,0)+1,LARGE(A$3:A685,1))</f>
        <v>0</v>
      </c>
      <c r="B686" s="203">
        <f t="shared" ca="1" si="46"/>
        <v>3</v>
      </c>
      <c r="C686" s="203">
        <f t="shared" ca="1" si="47"/>
        <v>1</v>
      </c>
      <c r="D686" s="204">
        <f t="shared" ca="1" si="48"/>
        <v>1</v>
      </c>
      <c r="E686" s="204">
        <f t="shared" ca="1" si="49"/>
        <v>15</v>
      </c>
      <c r="F686" s="34"/>
      <c r="J686" s="15"/>
      <c r="K686" s="21"/>
      <c r="L686" s="103"/>
      <c r="M686" s="103"/>
      <c r="N686" s="196"/>
      <c r="O686" s="139"/>
      <c r="P686" s="22"/>
      <c r="Q686" s="15"/>
    </row>
    <row r="687" spans="1:17" s="23" customFormat="1" ht="14.1" customHeight="1" x14ac:dyDescent="0.2">
      <c r="A687" s="203">
        <f ca="1">IF($H687="UNIDADE CONSTRUTIVA",OFFSET(A687,-1,0)+1,LARGE(A$3:A686,1))</f>
        <v>0</v>
      </c>
      <c r="B687" s="203">
        <f t="shared" ca="1" si="46"/>
        <v>3</v>
      </c>
      <c r="C687" s="203">
        <f t="shared" ca="1" si="47"/>
        <v>1</v>
      </c>
      <c r="D687" s="204">
        <f t="shared" ca="1" si="48"/>
        <v>1</v>
      </c>
      <c r="E687" s="204">
        <f t="shared" ca="1" si="49"/>
        <v>15</v>
      </c>
      <c r="F687" s="34"/>
      <c r="J687" s="15"/>
      <c r="K687" s="21"/>
      <c r="L687" s="103"/>
      <c r="M687" s="103"/>
      <c r="N687" s="196"/>
      <c r="O687" s="139"/>
      <c r="P687" s="22"/>
      <c r="Q687" s="15"/>
    </row>
    <row r="688" spans="1:17" s="23" customFormat="1" ht="14.1" customHeight="1" x14ac:dyDescent="0.2">
      <c r="A688" s="203">
        <f ca="1">IF($H688="UNIDADE CONSTRUTIVA",OFFSET(A688,-1,0)+1,LARGE(A$3:A687,1))</f>
        <v>0</v>
      </c>
      <c r="B688" s="203">
        <f t="shared" ca="1" si="46"/>
        <v>3</v>
      </c>
      <c r="C688" s="203">
        <f t="shared" ca="1" si="47"/>
        <v>1</v>
      </c>
      <c r="D688" s="204">
        <f t="shared" ca="1" si="48"/>
        <v>1</v>
      </c>
      <c r="E688" s="204">
        <f t="shared" ca="1" si="49"/>
        <v>15</v>
      </c>
      <c r="F688" s="34"/>
      <c r="J688" s="15"/>
      <c r="K688" s="21"/>
      <c r="L688" s="103"/>
      <c r="M688" s="103"/>
      <c r="N688" s="196"/>
      <c r="O688" s="139"/>
      <c r="P688" s="22"/>
      <c r="Q688" s="15"/>
    </row>
    <row r="689" spans="1:17" s="23" customFormat="1" ht="14.1" customHeight="1" x14ac:dyDescent="0.2">
      <c r="A689" s="203">
        <f ca="1">IF($H689="UNIDADE CONSTRUTIVA",OFFSET(A689,-1,0)+1,LARGE(A$3:A688,1))</f>
        <v>0</v>
      </c>
      <c r="B689" s="203">
        <f t="shared" ca="1" si="46"/>
        <v>3</v>
      </c>
      <c r="C689" s="203">
        <f t="shared" ca="1" si="47"/>
        <v>1</v>
      </c>
      <c r="D689" s="204">
        <f t="shared" ca="1" si="48"/>
        <v>1</v>
      </c>
      <c r="E689" s="204">
        <f t="shared" ca="1" si="49"/>
        <v>15</v>
      </c>
      <c r="F689" s="34"/>
      <c r="J689" s="15"/>
      <c r="K689" s="21"/>
      <c r="L689" s="103"/>
      <c r="M689" s="103"/>
      <c r="N689" s="196"/>
      <c r="O689" s="139"/>
      <c r="P689" s="22"/>
      <c r="Q689" s="15"/>
    </row>
    <row r="690" spans="1:17" s="23" customFormat="1" ht="14.1" customHeight="1" x14ac:dyDescent="0.2">
      <c r="A690" s="203">
        <f ca="1">IF($H690="UNIDADE CONSTRUTIVA",OFFSET(A690,-1,0)+1,LARGE(A$3:A689,1))</f>
        <v>0</v>
      </c>
      <c r="B690" s="203">
        <f t="shared" ca="1" si="46"/>
        <v>3</v>
      </c>
      <c r="C690" s="203">
        <f t="shared" ca="1" si="47"/>
        <v>1</v>
      </c>
      <c r="D690" s="204">
        <f t="shared" ca="1" si="48"/>
        <v>1</v>
      </c>
      <c r="E690" s="204">
        <f t="shared" ca="1" si="49"/>
        <v>15</v>
      </c>
      <c r="F690" s="34"/>
      <c r="J690" s="15"/>
      <c r="K690" s="21"/>
      <c r="L690" s="103"/>
      <c r="M690" s="103"/>
      <c r="N690" s="196"/>
      <c r="O690" s="139"/>
      <c r="P690" s="22"/>
      <c r="Q690" s="15"/>
    </row>
    <row r="691" spans="1:17" s="23" customFormat="1" ht="14.1" customHeight="1" x14ac:dyDescent="0.2">
      <c r="A691" s="203">
        <f ca="1">IF($H691="UNIDADE CONSTRUTIVA",OFFSET(A691,-1,0)+1,LARGE(A$3:A690,1))</f>
        <v>0</v>
      </c>
      <c r="B691" s="203">
        <f t="shared" ca="1" si="46"/>
        <v>3</v>
      </c>
      <c r="C691" s="203">
        <f t="shared" ca="1" si="47"/>
        <v>1</v>
      </c>
      <c r="D691" s="204">
        <f t="shared" ca="1" si="48"/>
        <v>1</v>
      </c>
      <c r="E691" s="204">
        <f t="shared" ca="1" si="49"/>
        <v>15</v>
      </c>
      <c r="F691" s="34"/>
      <c r="J691" s="15"/>
      <c r="K691" s="21"/>
      <c r="L691" s="103"/>
      <c r="M691" s="103"/>
      <c r="N691" s="196"/>
      <c r="O691" s="139"/>
      <c r="P691" s="22"/>
      <c r="Q691" s="15"/>
    </row>
    <row r="692" spans="1:17" s="23" customFormat="1" ht="14.1" customHeight="1" x14ac:dyDescent="0.2">
      <c r="A692" s="203">
        <f ca="1">IF($H692="UNIDADE CONSTRUTIVA",OFFSET(A692,-1,0)+1,LARGE(A$3:A691,1))</f>
        <v>0</v>
      </c>
      <c r="B692" s="203">
        <f t="shared" ca="1" si="46"/>
        <v>3</v>
      </c>
      <c r="C692" s="203">
        <f t="shared" ca="1" si="47"/>
        <v>1</v>
      </c>
      <c r="D692" s="204">
        <f t="shared" ca="1" si="48"/>
        <v>1</v>
      </c>
      <c r="E692" s="204">
        <f t="shared" ca="1" si="49"/>
        <v>15</v>
      </c>
      <c r="F692" s="34"/>
      <c r="J692" s="15"/>
      <c r="K692" s="21"/>
      <c r="L692" s="103"/>
      <c r="M692" s="103"/>
      <c r="N692" s="196"/>
      <c r="O692" s="139"/>
      <c r="P692" s="22"/>
      <c r="Q692" s="15"/>
    </row>
    <row r="693" spans="1:17" s="23" customFormat="1" ht="14.1" customHeight="1" x14ac:dyDescent="0.2">
      <c r="A693" s="203">
        <f ca="1">IF($H693="UNIDADE CONSTRUTIVA",OFFSET(A693,-1,0)+1,LARGE(A$3:A692,1))</f>
        <v>0</v>
      </c>
      <c r="B693" s="203">
        <f t="shared" ca="1" si="46"/>
        <v>3</v>
      </c>
      <c r="C693" s="203">
        <f t="shared" ca="1" si="47"/>
        <v>1</v>
      </c>
      <c r="D693" s="204">
        <f t="shared" ca="1" si="48"/>
        <v>1</v>
      </c>
      <c r="E693" s="204">
        <f t="shared" ca="1" si="49"/>
        <v>15</v>
      </c>
      <c r="F693" s="34"/>
      <c r="J693" s="15"/>
      <c r="K693" s="21"/>
      <c r="L693" s="103"/>
      <c r="M693" s="103"/>
      <c r="N693" s="196"/>
      <c r="O693" s="139"/>
      <c r="P693" s="22"/>
      <c r="Q693" s="15"/>
    </row>
    <row r="694" spans="1:17" s="23" customFormat="1" ht="14.1" customHeight="1" x14ac:dyDescent="0.2">
      <c r="A694" s="203">
        <f ca="1">IF($H694="UNIDADE CONSTRUTIVA",OFFSET(A694,-1,0)+1,LARGE(A$3:A693,1))</f>
        <v>0</v>
      </c>
      <c r="B694" s="203">
        <f t="shared" ca="1" si="46"/>
        <v>3</v>
      </c>
      <c r="C694" s="203">
        <f t="shared" ca="1" si="47"/>
        <v>1</v>
      </c>
      <c r="D694" s="204">
        <f t="shared" ca="1" si="48"/>
        <v>1</v>
      </c>
      <c r="E694" s="204">
        <f t="shared" ca="1" si="49"/>
        <v>15</v>
      </c>
      <c r="F694" s="34"/>
      <c r="J694" s="15"/>
      <c r="K694" s="21"/>
      <c r="L694" s="103"/>
      <c r="M694" s="103"/>
      <c r="N694" s="196"/>
      <c r="O694" s="139"/>
      <c r="P694" s="22"/>
      <c r="Q694" s="15"/>
    </row>
    <row r="695" spans="1:17" s="23" customFormat="1" ht="14.1" customHeight="1" x14ac:dyDescent="0.2">
      <c r="A695" s="203">
        <f ca="1">IF($H695="UNIDADE CONSTRUTIVA",OFFSET(A695,-1,0)+1,LARGE(A$3:A694,1))</f>
        <v>0</v>
      </c>
      <c r="B695" s="203">
        <f t="shared" ca="1" si="46"/>
        <v>3</v>
      </c>
      <c r="C695" s="203">
        <f t="shared" ca="1" si="47"/>
        <v>1</v>
      </c>
      <c r="D695" s="204">
        <f t="shared" ca="1" si="48"/>
        <v>1</v>
      </c>
      <c r="E695" s="204">
        <f t="shared" ca="1" si="49"/>
        <v>15</v>
      </c>
      <c r="F695" s="34"/>
      <c r="J695" s="15"/>
      <c r="K695" s="21"/>
      <c r="L695" s="103"/>
      <c r="M695" s="103"/>
      <c r="N695" s="196"/>
      <c r="O695" s="139"/>
      <c r="P695" s="22"/>
      <c r="Q695" s="15"/>
    </row>
    <row r="696" spans="1:17" s="23" customFormat="1" ht="14.1" customHeight="1" x14ac:dyDescent="0.2">
      <c r="A696" s="203">
        <f ca="1">IF($H696="UNIDADE CONSTRUTIVA",OFFSET(A696,-1,0)+1,LARGE(A$3:A695,1))</f>
        <v>0</v>
      </c>
      <c r="B696" s="203">
        <f t="shared" ca="1" si="46"/>
        <v>3</v>
      </c>
      <c r="C696" s="203">
        <f t="shared" ca="1" si="47"/>
        <v>1</v>
      </c>
      <c r="D696" s="204">
        <f t="shared" ca="1" si="48"/>
        <v>1</v>
      </c>
      <c r="E696" s="204">
        <f t="shared" ca="1" si="49"/>
        <v>15</v>
      </c>
      <c r="F696" s="34"/>
      <c r="J696" s="15"/>
      <c r="K696" s="21"/>
      <c r="L696" s="103"/>
      <c r="M696" s="103"/>
      <c r="N696" s="196"/>
      <c r="O696" s="139"/>
      <c r="P696" s="22"/>
      <c r="Q696" s="15"/>
    </row>
    <row r="697" spans="1:17" s="23" customFormat="1" ht="14.1" customHeight="1" x14ac:dyDescent="0.2">
      <c r="A697" s="203">
        <f ca="1">IF($H697="UNIDADE CONSTRUTIVA",OFFSET(A697,-1,0)+1,LARGE(A$3:A696,1))</f>
        <v>0</v>
      </c>
      <c r="B697" s="203">
        <f t="shared" ca="1" si="46"/>
        <v>3</v>
      </c>
      <c r="C697" s="203">
        <f t="shared" ca="1" si="47"/>
        <v>1</v>
      </c>
      <c r="D697" s="204">
        <f t="shared" ca="1" si="48"/>
        <v>1</v>
      </c>
      <c r="E697" s="204">
        <f t="shared" ca="1" si="49"/>
        <v>15</v>
      </c>
      <c r="F697" s="34"/>
      <c r="J697" s="15"/>
      <c r="K697" s="21"/>
      <c r="L697" s="103"/>
      <c r="M697" s="103"/>
      <c r="N697" s="196"/>
      <c r="O697" s="139"/>
      <c r="P697" s="22"/>
      <c r="Q697" s="15"/>
    </row>
    <row r="698" spans="1:17" s="23" customFormat="1" ht="14.1" customHeight="1" x14ac:dyDescent="0.2">
      <c r="A698" s="203">
        <f ca="1">IF($H698="UNIDADE CONSTRUTIVA",OFFSET(A698,-1,0)+1,LARGE(A$3:A697,1))</f>
        <v>0</v>
      </c>
      <c r="B698" s="203">
        <f t="shared" ca="1" si="46"/>
        <v>3</v>
      </c>
      <c r="C698" s="203">
        <f t="shared" ca="1" si="47"/>
        <v>1</v>
      </c>
      <c r="D698" s="204">
        <f t="shared" ca="1" si="48"/>
        <v>1</v>
      </c>
      <c r="E698" s="204">
        <f t="shared" ca="1" si="49"/>
        <v>15</v>
      </c>
      <c r="F698" s="34"/>
      <c r="J698" s="15"/>
      <c r="K698" s="21"/>
      <c r="L698" s="103"/>
      <c r="M698" s="103"/>
      <c r="N698" s="196"/>
      <c r="O698" s="139"/>
      <c r="P698" s="22"/>
      <c r="Q698" s="15"/>
    </row>
    <row r="699" spans="1:17" s="23" customFormat="1" ht="14.1" customHeight="1" x14ac:dyDescent="0.2">
      <c r="A699" s="203">
        <f ca="1">IF($H699="UNIDADE CONSTRUTIVA",OFFSET(A699,-1,0)+1,LARGE(A$3:A698,1))</f>
        <v>0</v>
      </c>
      <c r="B699" s="203">
        <f t="shared" ca="1" si="46"/>
        <v>3</v>
      </c>
      <c r="C699" s="203">
        <f t="shared" ca="1" si="47"/>
        <v>1</v>
      </c>
      <c r="D699" s="204">
        <f t="shared" ca="1" si="48"/>
        <v>1</v>
      </c>
      <c r="E699" s="204">
        <f t="shared" ca="1" si="49"/>
        <v>15</v>
      </c>
      <c r="F699" s="34"/>
      <c r="J699" s="15"/>
      <c r="K699" s="21"/>
      <c r="L699" s="103"/>
      <c r="M699" s="103"/>
      <c r="N699" s="196"/>
      <c r="O699" s="139"/>
      <c r="P699" s="22"/>
      <c r="Q699" s="15"/>
    </row>
    <row r="700" spans="1:17" s="23" customFormat="1" ht="14.1" customHeight="1" x14ac:dyDescent="0.2">
      <c r="A700" s="203">
        <f ca="1">IF($H700="UNIDADE CONSTRUTIVA",OFFSET(A700,-1,0)+1,LARGE(A$3:A699,1))</f>
        <v>0</v>
      </c>
      <c r="B700" s="203">
        <f t="shared" ca="1" si="46"/>
        <v>3</v>
      </c>
      <c r="C700" s="203">
        <f t="shared" ca="1" si="47"/>
        <v>1</v>
      </c>
      <c r="D700" s="204">
        <f t="shared" ca="1" si="48"/>
        <v>1</v>
      </c>
      <c r="E700" s="204">
        <f t="shared" ca="1" si="49"/>
        <v>15</v>
      </c>
      <c r="F700" s="34"/>
      <c r="J700" s="15"/>
      <c r="K700" s="21"/>
      <c r="L700" s="103"/>
      <c r="M700" s="103"/>
      <c r="N700" s="196"/>
      <c r="O700" s="139"/>
      <c r="P700" s="22"/>
      <c r="Q700" s="15"/>
    </row>
    <row r="701" spans="1:17" s="23" customFormat="1" ht="14.1" customHeight="1" x14ac:dyDescent="0.2">
      <c r="A701" s="203">
        <f ca="1">IF($H701="UNIDADE CONSTRUTIVA",OFFSET(A701,-1,0)+1,LARGE(A$3:A700,1))</f>
        <v>0</v>
      </c>
      <c r="B701" s="203">
        <f t="shared" ca="1" si="46"/>
        <v>3</v>
      </c>
      <c r="C701" s="203">
        <f t="shared" ca="1" si="47"/>
        <v>1</v>
      </c>
      <c r="D701" s="204">
        <f t="shared" ca="1" si="48"/>
        <v>1</v>
      </c>
      <c r="E701" s="204">
        <f t="shared" ca="1" si="49"/>
        <v>15</v>
      </c>
      <c r="F701" s="34"/>
      <c r="J701" s="15"/>
      <c r="K701" s="21"/>
      <c r="L701" s="103"/>
      <c r="M701" s="103"/>
      <c r="N701" s="196"/>
      <c r="O701" s="139"/>
      <c r="P701" s="22"/>
      <c r="Q701" s="15"/>
    </row>
    <row r="702" spans="1:17" s="23" customFormat="1" ht="14.1" customHeight="1" x14ac:dyDescent="0.2">
      <c r="A702" s="203">
        <f ca="1">IF($H702="UNIDADE CONSTRUTIVA",OFFSET(A702,-1,0)+1,LARGE(A$3:A701,1))</f>
        <v>0</v>
      </c>
      <c r="B702" s="203">
        <f t="shared" ca="1" si="46"/>
        <v>3</v>
      </c>
      <c r="C702" s="203">
        <f t="shared" ca="1" si="47"/>
        <v>1</v>
      </c>
      <c r="D702" s="204">
        <f t="shared" ca="1" si="48"/>
        <v>1</v>
      </c>
      <c r="E702" s="204">
        <f t="shared" ca="1" si="49"/>
        <v>15</v>
      </c>
      <c r="F702" s="34"/>
      <c r="J702" s="15"/>
      <c r="K702" s="21"/>
      <c r="L702" s="103"/>
      <c r="M702" s="103"/>
      <c r="N702" s="196"/>
      <c r="O702" s="139"/>
      <c r="P702" s="22"/>
      <c r="Q702" s="15"/>
    </row>
    <row r="703" spans="1:17" s="23" customFormat="1" ht="14.1" customHeight="1" x14ac:dyDescent="0.2">
      <c r="A703" s="203">
        <f ca="1">IF($H703="UNIDADE CONSTRUTIVA",OFFSET(A703,-1,0)+1,LARGE(A$3:A702,1))</f>
        <v>0</v>
      </c>
      <c r="B703" s="203">
        <f t="shared" ca="1" si="46"/>
        <v>3</v>
      </c>
      <c r="C703" s="203">
        <f t="shared" ca="1" si="47"/>
        <v>1</v>
      </c>
      <c r="D703" s="204">
        <f t="shared" ca="1" si="48"/>
        <v>1</v>
      </c>
      <c r="E703" s="204">
        <f t="shared" ca="1" si="49"/>
        <v>15</v>
      </c>
      <c r="F703" s="15"/>
      <c r="J703" s="15"/>
      <c r="K703" s="21"/>
      <c r="L703" s="103"/>
      <c r="M703" s="103"/>
      <c r="N703" s="196"/>
      <c r="O703" s="139"/>
      <c r="P703" s="22"/>
      <c r="Q703" s="15"/>
    </row>
    <row r="704" spans="1:17" s="23" customFormat="1" ht="14.1" customHeight="1" x14ac:dyDescent="0.2">
      <c r="A704" s="203">
        <f ca="1">IF($H704="UNIDADE CONSTRUTIVA",OFFSET(A704,-1,0)+1,LARGE(A$3:A703,1))</f>
        <v>0</v>
      </c>
      <c r="B704" s="203">
        <f t="shared" ca="1" si="46"/>
        <v>3</v>
      </c>
      <c r="C704" s="203">
        <f t="shared" ca="1" si="47"/>
        <v>1</v>
      </c>
      <c r="D704" s="204">
        <f t="shared" ca="1" si="48"/>
        <v>1</v>
      </c>
      <c r="E704" s="204">
        <f t="shared" ca="1" si="49"/>
        <v>15</v>
      </c>
      <c r="F704" s="15"/>
      <c r="J704" s="15"/>
      <c r="K704" s="21"/>
      <c r="L704" s="103"/>
      <c r="M704" s="103"/>
      <c r="N704" s="196"/>
      <c r="O704" s="139"/>
      <c r="P704" s="22"/>
      <c r="Q704" s="15"/>
    </row>
    <row r="705" spans="1:17" s="23" customFormat="1" ht="14.1" customHeight="1" x14ac:dyDescent="0.2">
      <c r="A705" s="203">
        <f ca="1">IF($H705="UNIDADE CONSTRUTIVA",OFFSET(A705,-1,0)+1,LARGE(A$3:A704,1))</f>
        <v>0</v>
      </c>
      <c r="B705" s="203">
        <f t="shared" ca="1" si="46"/>
        <v>3</v>
      </c>
      <c r="C705" s="203">
        <f t="shared" ca="1" si="47"/>
        <v>1</v>
      </c>
      <c r="D705" s="204">
        <f t="shared" ca="1" si="48"/>
        <v>1</v>
      </c>
      <c r="E705" s="204">
        <f t="shared" ca="1" si="49"/>
        <v>15</v>
      </c>
      <c r="F705" s="15"/>
      <c r="J705" s="15"/>
      <c r="K705" s="21"/>
      <c r="L705" s="103"/>
      <c r="M705" s="103"/>
      <c r="N705" s="196"/>
      <c r="O705" s="139"/>
      <c r="P705" s="22"/>
      <c r="Q705" s="15"/>
    </row>
    <row r="706" spans="1:17" s="23" customFormat="1" ht="14.1" customHeight="1" x14ac:dyDescent="0.2">
      <c r="A706" s="203">
        <f ca="1">IF($H706="UNIDADE CONSTRUTIVA",OFFSET(A706,-1,0)+1,LARGE(A$3:A705,1))</f>
        <v>0</v>
      </c>
      <c r="B706" s="203">
        <f t="shared" ca="1" si="46"/>
        <v>3</v>
      </c>
      <c r="C706" s="203">
        <f t="shared" ca="1" si="47"/>
        <v>1</v>
      </c>
      <c r="D706" s="204">
        <f t="shared" ca="1" si="48"/>
        <v>1</v>
      </c>
      <c r="E706" s="204">
        <f t="shared" ca="1" si="49"/>
        <v>15</v>
      </c>
      <c r="F706" s="15"/>
      <c r="J706" s="15"/>
      <c r="K706" s="21"/>
      <c r="L706" s="103"/>
      <c r="M706" s="103"/>
      <c r="N706" s="196"/>
      <c r="O706" s="139"/>
      <c r="P706" s="22"/>
      <c r="Q706" s="15"/>
    </row>
    <row r="707" spans="1:17" s="23" customFormat="1" ht="14.1" customHeight="1" x14ac:dyDescent="0.2">
      <c r="A707" s="203">
        <f ca="1">IF($H707="UNIDADE CONSTRUTIVA",OFFSET(A707,-1,0)+1,LARGE(A$3:A706,1))</f>
        <v>0</v>
      </c>
      <c r="B707" s="203">
        <f t="shared" ca="1" si="46"/>
        <v>3</v>
      </c>
      <c r="C707" s="203">
        <f t="shared" ca="1" si="47"/>
        <v>1</v>
      </c>
      <c r="D707" s="204">
        <f t="shared" ca="1" si="48"/>
        <v>1</v>
      </c>
      <c r="E707" s="204">
        <f t="shared" ca="1" si="49"/>
        <v>15</v>
      </c>
      <c r="F707" s="15"/>
      <c r="J707" s="15"/>
      <c r="K707" s="21"/>
      <c r="L707" s="103"/>
      <c r="M707" s="103"/>
      <c r="N707" s="196"/>
      <c r="O707" s="139"/>
      <c r="P707" s="22"/>
      <c r="Q707" s="15"/>
    </row>
    <row r="708" spans="1:17" s="23" customFormat="1" ht="14.1" customHeight="1" x14ac:dyDescent="0.2">
      <c r="A708" s="203">
        <f ca="1">IF($H708="UNIDADE CONSTRUTIVA",OFFSET(A708,-1,0)+1,LARGE(A$3:A707,1))</f>
        <v>0</v>
      </c>
      <c r="B708" s="203">
        <f t="shared" ca="1" si="46"/>
        <v>3</v>
      </c>
      <c r="C708" s="203">
        <f t="shared" ca="1" si="47"/>
        <v>1</v>
      </c>
      <c r="D708" s="204">
        <f t="shared" ca="1" si="48"/>
        <v>1</v>
      </c>
      <c r="E708" s="204">
        <f t="shared" ca="1" si="49"/>
        <v>15</v>
      </c>
      <c r="F708" s="15"/>
      <c r="J708" s="15"/>
      <c r="K708" s="21"/>
      <c r="L708" s="103"/>
      <c r="M708" s="103"/>
      <c r="N708" s="196"/>
      <c r="O708" s="139"/>
      <c r="P708" s="22"/>
      <c r="Q708" s="15"/>
    </row>
    <row r="709" spans="1:17" s="23" customFormat="1" ht="14.1" customHeight="1" x14ac:dyDescent="0.2">
      <c r="A709" s="203">
        <f ca="1">IF($H709="UNIDADE CONSTRUTIVA",OFFSET(A709,-1,0)+1,LARGE(A$3:A708,1))</f>
        <v>0</v>
      </c>
      <c r="B709" s="203">
        <f t="shared" ca="1" si="46"/>
        <v>3</v>
      </c>
      <c r="C709" s="203">
        <f t="shared" ca="1" si="47"/>
        <v>1</v>
      </c>
      <c r="D709" s="204">
        <f t="shared" ca="1" si="48"/>
        <v>1</v>
      </c>
      <c r="E709" s="204">
        <f t="shared" ca="1" si="49"/>
        <v>15</v>
      </c>
      <c r="F709" s="15"/>
      <c r="J709" s="15"/>
      <c r="K709" s="21"/>
      <c r="L709" s="103"/>
      <c r="M709" s="103"/>
      <c r="N709" s="196"/>
      <c r="O709" s="139"/>
      <c r="P709" s="22"/>
      <c r="Q709" s="15"/>
    </row>
    <row r="710" spans="1:17" s="23" customFormat="1" ht="14.1" customHeight="1" x14ac:dyDescent="0.2">
      <c r="A710" s="203">
        <f ca="1">IF($H710="UNIDADE CONSTRUTIVA",OFFSET(A710,-1,0)+1,LARGE(A$3:A709,1))</f>
        <v>0</v>
      </c>
      <c r="B710" s="203">
        <f t="shared" ca="1" si="46"/>
        <v>3</v>
      </c>
      <c r="C710" s="203">
        <f t="shared" ca="1" si="47"/>
        <v>1</v>
      </c>
      <c r="D710" s="204">
        <f t="shared" ca="1" si="48"/>
        <v>1</v>
      </c>
      <c r="E710" s="204">
        <f t="shared" ca="1" si="49"/>
        <v>15</v>
      </c>
      <c r="F710" s="15"/>
      <c r="J710" s="15"/>
      <c r="K710" s="21"/>
      <c r="L710" s="103"/>
      <c r="M710" s="103"/>
      <c r="N710" s="196"/>
      <c r="O710" s="139"/>
      <c r="P710" s="22"/>
      <c r="Q710" s="15"/>
    </row>
    <row r="711" spans="1:17" s="23" customFormat="1" ht="14.1" customHeight="1" x14ac:dyDescent="0.2">
      <c r="A711" s="203">
        <f ca="1">IF($H711="UNIDADE CONSTRUTIVA",OFFSET(A711,-1,0)+1,LARGE(A$3:A710,1))</f>
        <v>0</v>
      </c>
      <c r="B711" s="203">
        <f t="shared" ca="1" si="46"/>
        <v>3</v>
      </c>
      <c r="C711" s="203">
        <f t="shared" ca="1" si="47"/>
        <v>1</v>
      </c>
      <c r="D711" s="204">
        <f t="shared" ca="1" si="48"/>
        <v>1</v>
      </c>
      <c r="E711" s="204">
        <f t="shared" ca="1" si="49"/>
        <v>15</v>
      </c>
      <c r="F711" s="15"/>
      <c r="J711" s="15"/>
      <c r="K711" s="21"/>
      <c r="L711" s="103"/>
      <c r="M711" s="103"/>
      <c r="N711" s="196"/>
      <c r="O711" s="139"/>
      <c r="P711" s="22"/>
      <c r="Q711" s="15"/>
    </row>
    <row r="712" spans="1:17" s="23" customFormat="1" ht="14.1" customHeight="1" x14ac:dyDescent="0.2">
      <c r="A712" s="203">
        <f ca="1">IF($H712="UNIDADE CONSTRUTIVA",OFFSET(A712,-1,0)+1,LARGE(A$3:A711,1))</f>
        <v>0</v>
      </c>
      <c r="B712" s="203">
        <f t="shared" ca="1" si="46"/>
        <v>3</v>
      </c>
      <c r="C712" s="203">
        <f t="shared" ca="1" si="47"/>
        <v>1</v>
      </c>
      <c r="D712" s="204">
        <f t="shared" ca="1" si="48"/>
        <v>1</v>
      </c>
      <c r="E712" s="204">
        <f t="shared" ca="1" si="49"/>
        <v>15</v>
      </c>
      <c r="F712" s="15"/>
      <c r="J712" s="15"/>
      <c r="K712" s="21"/>
      <c r="L712" s="103"/>
      <c r="M712" s="103"/>
      <c r="N712" s="196"/>
      <c r="O712" s="139"/>
      <c r="P712" s="22"/>
      <c r="Q712" s="15"/>
    </row>
    <row r="713" spans="1:17" s="23" customFormat="1" ht="14.1" customHeight="1" x14ac:dyDescent="0.2">
      <c r="A713" s="203">
        <f ca="1">IF($H713="UNIDADE CONSTRUTIVA",OFFSET(A713,-1,0)+1,LARGE(A$3:A712,1))</f>
        <v>0</v>
      </c>
      <c r="B713" s="203">
        <f t="shared" ca="1" si="46"/>
        <v>3</v>
      </c>
      <c r="C713" s="203">
        <f t="shared" ca="1" si="47"/>
        <v>1</v>
      </c>
      <c r="D713" s="204">
        <f t="shared" ca="1" si="48"/>
        <v>1</v>
      </c>
      <c r="E713" s="204">
        <f t="shared" ca="1" si="49"/>
        <v>15</v>
      </c>
      <c r="F713" s="15"/>
      <c r="J713" s="15"/>
      <c r="K713" s="21"/>
      <c r="L713" s="103"/>
      <c r="M713" s="103"/>
      <c r="N713" s="196"/>
      <c r="O713" s="139"/>
      <c r="P713" s="22"/>
      <c r="Q713" s="15"/>
    </row>
    <row r="714" spans="1:17" s="23" customFormat="1" ht="14.1" customHeight="1" x14ac:dyDescent="0.2">
      <c r="A714" s="203">
        <f ca="1">IF($H714="UNIDADE CONSTRUTIVA",OFFSET(A714,-1,0)+1,LARGE(A$3:A713,1))</f>
        <v>0</v>
      </c>
      <c r="B714" s="203">
        <f t="shared" ca="1" si="46"/>
        <v>3</v>
      </c>
      <c r="C714" s="203">
        <f t="shared" ca="1" si="47"/>
        <v>1</v>
      </c>
      <c r="D714" s="204">
        <f t="shared" ca="1" si="48"/>
        <v>1</v>
      </c>
      <c r="E714" s="204">
        <f t="shared" ca="1" si="49"/>
        <v>15</v>
      </c>
      <c r="F714" s="15"/>
      <c r="J714" s="15"/>
      <c r="K714" s="21"/>
      <c r="L714" s="103"/>
      <c r="M714" s="103"/>
      <c r="N714" s="196"/>
      <c r="O714" s="139"/>
      <c r="P714" s="22"/>
      <c r="Q714" s="15"/>
    </row>
    <row r="715" spans="1:17" ht="14.1" customHeight="1" x14ac:dyDescent="0.2">
      <c r="A715" s="203">
        <f ca="1">IF($H715="UNIDADE CONSTRUTIVA",OFFSET(A715,-1,0)+1,LARGE(A$3:A714,1))</f>
        <v>0</v>
      </c>
      <c r="B715" s="203">
        <f t="shared" ca="1" si="46"/>
        <v>3</v>
      </c>
      <c r="C715" s="203">
        <f t="shared" ca="1" si="47"/>
        <v>1</v>
      </c>
      <c r="D715" s="204">
        <f t="shared" ca="1" si="48"/>
        <v>1</v>
      </c>
      <c r="E715" s="204">
        <f t="shared" ca="1" si="49"/>
        <v>15</v>
      </c>
    </row>
    <row r="716" spans="1:17" ht="14.1" customHeight="1" x14ac:dyDescent="0.2">
      <c r="A716" s="203">
        <f ca="1">IF($H716="UNIDADE CONSTRUTIVA",OFFSET(A716,-1,0)+1,LARGE(A$3:A715,1))</f>
        <v>0</v>
      </c>
      <c r="B716" s="203">
        <f t="shared" ca="1" si="46"/>
        <v>3</v>
      </c>
      <c r="C716" s="203">
        <f t="shared" ca="1" si="47"/>
        <v>1</v>
      </c>
      <c r="D716" s="204">
        <f t="shared" ca="1" si="48"/>
        <v>1</v>
      </c>
      <c r="E716" s="204">
        <f t="shared" ca="1" si="49"/>
        <v>15</v>
      </c>
    </row>
    <row r="717" spans="1:17" ht="14.1" customHeight="1" x14ac:dyDescent="0.2">
      <c r="A717" s="203">
        <f ca="1">IF($H717="UNIDADE CONSTRUTIVA",OFFSET(A717,-1,0)+1,LARGE(A$3:A716,1))</f>
        <v>0</v>
      </c>
      <c r="B717" s="203">
        <f t="shared" ref="B717:B760" ca="1" si="50">IF(H717="UNIDADE CONSTRUTIVA",0,IF(H717="CÉLULA CONSTRUTIVA",OFFSET(B717,-1,0)+1,OFFSET(B717,-1,0)))</f>
        <v>3</v>
      </c>
      <c r="C717" s="203">
        <f t="shared" ref="C717:C760" ca="1" si="51">IF(H717="CÉLULA CONSTRUTIVA",0,IF(H717="ETAPA",OFFSET(C717,-1,0)+1,OFFSET(C717,-1,0)))</f>
        <v>1</v>
      </c>
      <c r="D717" s="204">
        <f t="shared" ref="D717:D760" ca="1" si="52">IF(H717="ETAPA",0,IF(H717="SUBETAPA",OFFSET(D717,-1,0)+1,OFFSET(D717,-1,0)))</f>
        <v>1</v>
      </c>
      <c r="E717" s="204">
        <f t="shared" ref="E717:E760" ca="1" si="53">IF(H717="Subetapa",0,IF(H717="serviço",OFFSET(E717,-1,0)+1,OFFSET(E717,-1,0)))</f>
        <v>15</v>
      </c>
    </row>
    <row r="718" spans="1:17" ht="14.1" customHeight="1" x14ac:dyDescent="0.2">
      <c r="A718" s="203">
        <f ca="1">IF($H718="UNIDADE CONSTRUTIVA",OFFSET(A718,-1,0)+1,LARGE(A$3:A717,1))</f>
        <v>0</v>
      </c>
      <c r="B718" s="203">
        <f t="shared" ca="1" si="50"/>
        <v>3</v>
      </c>
      <c r="C718" s="203">
        <f t="shared" ca="1" si="51"/>
        <v>1</v>
      </c>
      <c r="D718" s="204">
        <f t="shared" ca="1" si="52"/>
        <v>1</v>
      </c>
      <c r="E718" s="204">
        <f t="shared" ca="1" si="53"/>
        <v>15</v>
      </c>
    </row>
    <row r="719" spans="1:17" ht="14.1" customHeight="1" x14ac:dyDescent="0.2">
      <c r="A719" s="203">
        <f ca="1">IF($H719="UNIDADE CONSTRUTIVA",OFFSET(A719,-1,0)+1,LARGE(A$3:A718,1))</f>
        <v>0</v>
      </c>
      <c r="B719" s="203">
        <f t="shared" ca="1" si="50"/>
        <v>3</v>
      </c>
      <c r="C719" s="203">
        <f t="shared" ca="1" si="51"/>
        <v>1</v>
      </c>
      <c r="D719" s="204">
        <f t="shared" ca="1" si="52"/>
        <v>1</v>
      </c>
      <c r="E719" s="204">
        <f t="shared" ca="1" si="53"/>
        <v>15</v>
      </c>
    </row>
    <row r="720" spans="1:17" ht="14.1" customHeight="1" x14ac:dyDescent="0.2">
      <c r="A720" s="203">
        <f ca="1">IF($H720="UNIDADE CONSTRUTIVA",OFFSET(A720,-1,0)+1,LARGE(A$3:A719,1))</f>
        <v>0</v>
      </c>
      <c r="B720" s="203">
        <f t="shared" ca="1" si="50"/>
        <v>3</v>
      </c>
      <c r="C720" s="203">
        <f t="shared" ca="1" si="51"/>
        <v>1</v>
      </c>
      <c r="D720" s="204">
        <f t="shared" ca="1" si="52"/>
        <v>1</v>
      </c>
      <c r="E720" s="204">
        <f t="shared" ca="1" si="53"/>
        <v>15</v>
      </c>
    </row>
    <row r="721" spans="1:5" ht="14.1" customHeight="1" x14ac:dyDescent="0.2">
      <c r="A721" s="203">
        <f ca="1">IF($H721="UNIDADE CONSTRUTIVA",OFFSET(A721,-1,0)+1,LARGE(A$3:A720,1))</f>
        <v>0</v>
      </c>
      <c r="B721" s="203">
        <f t="shared" ca="1" si="50"/>
        <v>3</v>
      </c>
      <c r="C721" s="203">
        <f t="shared" ca="1" si="51"/>
        <v>1</v>
      </c>
      <c r="D721" s="204">
        <f t="shared" ca="1" si="52"/>
        <v>1</v>
      </c>
      <c r="E721" s="204">
        <f t="shared" ca="1" si="53"/>
        <v>15</v>
      </c>
    </row>
    <row r="722" spans="1:5" ht="14.1" customHeight="1" x14ac:dyDescent="0.2">
      <c r="A722" s="203">
        <f ca="1">IF($H722="UNIDADE CONSTRUTIVA",OFFSET(A722,-1,0)+1,LARGE(A$3:A721,1))</f>
        <v>0</v>
      </c>
      <c r="B722" s="203">
        <f t="shared" ca="1" si="50"/>
        <v>3</v>
      </c>
      <c r="C722" s="203">
        <f t="shared" ca="1" si="51"/>
        <v>1</v>
      </c>
      <c r="D722" s="204">
        <f t="shared" ca="1" si="52"/>
        <v>1</v>
      </c>
      <c r="E722" s="204">
        <f t="shared" ca="1" si="53"/>
        <v>15</v>
      </c>
    </row>
    <row r="723" spans="1:5" ht="14.1" customHeight="1" x14ac:dyDescent="0.2">
      <c r="A723" s="203">
        <f ca="1">IF($H723="UNIDADE CONSTRUTIVA",OFFSET(A723,-1,0)+1,LARGE(A$3:A722,1))</f>
        <v>0</v>
      </c>
      <c r="B723" s="203">
        <f t="shared" ca="1" si="50"/>
        <v>3</v>
      </c>
      <c r="C723" s="203">
        <f t="shared" ca="1" si="51"/>
        <v>1</v>
      </c>
      <c r="D723" s="204">
        <f t="shared" ca="1" si="52"/>
        <v>1</v>
      </c>
      <c r="E723" s="204">
        <f t="shared" ca="1" si="53"/>
        <v>15</v>
      </c>
    </row>
    <row r="724" spans="1:5" ht="14.1" customHeight="1" x14ac:dyDescent="0.2">
      <c r="A724" s="203">
        <f ca="1">IF($H724="UNIDADE CONSTRUTIVA",OFFSET(A724,-1,0)+1,LARGE(A$3:A723,1))</f>
        <v>0</v>
      </c>
      <c r="B724" s="203">
        <f t="shared" ca="1" si="50"/>
        <v>3</v>
      </c>
      <c r="C724" s="203">
        <f t="shared" ca="1" si="51"/>
        <v>1</v>
      </c>
      <c r="D724" s="204">
        <f t="shared" ca="1" si="52"/>
        <v>1</v>
      </c>
      <c r="E724" s="204">
        <f t="shared" ca="1" si="53"/>
        <v>15</v>
      </c>
    </row>
    <row r="725" spans="1:5" ht="14.1" customHeight="1" x14ac:dyDescent="0.2">
      <c r="A725" s="203">
        <f ca="1">IF($H725="UNIDADE CONSTRUTIVA",OFFSET(A725,-1,0)+1,LARGE(A$3:A724,1))</f>
        <v>0</v>
      </c>
      <c r="B725" s="203">
        <f t="shared" ca="1" si="50"/>
        <v>3</v>
      </c>
      <c r="C725" s="203">
        <f t="shared" ca="1" si="51"/>
        <v>1</v>
      </c>
      <c r="D725" s="204">
        <f t="shared" ca="1" si="52"/>
        <v>1</v>
      </c>
      <c r="E725" s="204">
        <f t="shared" ca="1" si="53"/>
        <v>15</v>
      </c>
    </row>
    <row r="726" spans="1:5" ht="14.1" customHeight="1" x14ac:dyDescent="0.2">
      <c r="A726" s="203">
        <f ca="1">IF($H726="UNIDADE CONSTRUTIVA",OFFSET(A726,-1,0)+1,LARGE(A$3:A725,1))</f>
        <v>0</v>
      </c>
      <c r="B726" s="203">
        <f t="shared" ca="1" si="50"/>
        <v>3</v>
      </c>
      <c r="C726" s="203">
        <f t="shared" ca="1" si="51"/>
        <v>1</v>
      </c>
      <c r="D726" s="204">
        <f t="shared" ca="1" si="52"/>
        <v>1</v>
      </c>
      <c r="E726" s="204">
        <f t="shared" ca="1" si="53"/>
        <v>15</v>
      </c>
    </row>
    <row r="727" spans="1:5" ht="14.1" customHeight="1" x14ac:dyDescent="0.2">
      <c r="A727" s="203">
        <f ca="1">IF($H727="UNIDADE CONSTRUTIVA",OFFSET(A727,-1,0)+1,LARGE(A$3:A726,1))</f>
        <v>0</v>
      </c>
      <c r="B727" s="203">
        <f t="shared" ca="1" si="50"/>
        <v>3</v>
      </c>
      <c r="C727" s="203">
        <f t="shared" ca="1" si="51"/>
        <v>1</v>
      </c>
      <c r="D727" s="204">
        <f t="shared" ca="1" si="52"/>
        <v>1</v>
      </c>
      <c r="E727" s="204">
        <f t="shared" ca="1" si="53"/>
        <v>15</v>
      </c>
    </row>
    <row r="728" spans="1:5" ht="14.1" customHeight="1" x14ac:dyDescent="0.2">
      <c r="A728" s="203">
        <f ca="1">IF($H728="UNIDADE CONSTRUTIVA",OFFSET(A728,-1,0)+1,LARGE(A$3:A727,1))</f>
        <v>0</v>
      </c>
      <c r="B728" s="203">
        <f t="shared" ca="1" si="50"/>
        <v>3</v>
      </c>
      <c r="C728" s="203">
        <f t="shared" ca="1" si="51"/>
        <v>1</v>
      </c>
      <c r="D728" s="204">
        <f t="shared" ca="1" si="52"/>
        <v>1</v>
      </c>
      <c r="E728" s="204">
        <f t="shared" ca="1" si="53"/>
        <v>15</v>
      </c>
    </row>
    <row r="729" spans="1:5" ht="14.1" customHeight="1" x14ac:dyDescent="0.2">
      <c r="A729" s="203">
        <f ca="1">IF($H729="UNIDADE CONSTRUTIVA",OFFSET(A729,-1,0)+1,LARGE(A$3:A728,1))</f>
        <v>0</v>
      </c>
      <c r="B729" s="203">
        <f t="shared" ca="1" si="50"/>
        <v>3</v>
      </c>
      <c r="C729" s="203">
        <f t="shared" ca="1" si="51"/>
        <v>1</v>
      </c>
      <c r="D729" s="204">
        <f t="shared" ca="1" si="52"/>
        <v>1</v>
      </c>
      <c r="E729" s="204">
        <f t="shared" ca="1" si="53"/>
        <v>15</v>
      </c>
    </row>
    <row r="730" spans="1:5" ht="14.1" customHeight="1" x14ac:dyDescent="0.2">
      <c r="A730" s="203">
        <f ca="1">IF($H730="UNIDADE CONSTRUTIVA",OFFSET(A730,-1,0)+1,LARGE(A$3:A729,1))</f>
        <v>0</v>
      </c>
      <c r="B730" s="203">
        <f t="shared" ca="1" si="50"/>
        <v>3</v>
      </c>
      <c r="C730" s="203">
        <f t="shared" ca="1" si="51"/>
        <v>1</v>
      </c>
      <c r="D730" s="204">
        <f t="shared" ca="1" si="52"/>
        <v>1</v>
      </c>
      <c r="E730" s="204">
        <f t="shared" ca="1" si="53"/>
        <v>15</v>
      </c>
    </row>
    <row r="731" spans="1:5" ht="14.1" customHeight="1" x14ac:dyDescent="0.2">
      <c r="A731" s="203">
        <f ca="1">IF($H731="UNIDADE CONSTRUTIVA",OFFSET(A731,-1,0)+1,LARGE(A$3:A730,1))</f>
        <v>0</v>
      </c>
      <c r="B731" s="203">
        <f t="shared" ca="1" si="50"/>
        <v>3</v>
      </c>
      <c r="C731" s="203">
        <f t="shared" ca="1" si="51"/>
        <v>1</v>
      </c>
      <c r="D731" s="204">
        <f t="shared" ca="1" si="52"/>
        <v>1</v>
      </c>
      <c r="E731" s="204">
        <f t="shared" ca="1" si="53"/>
        <v>15</v>
      </c>
    </row>
    <row r="732" spans="1:5" ht="14.1" customHeight="1" x14ac:dyDescent="0.2">
      <c r="A732" s="203">
        <f ca="1">IF($H732="UNIDADE CONSTRUTIVA",OFFSET(A732,-1,0)+1,LARGE(A$3:A731,1))</f>
        <v>0</v>
      </c>
      <c r="B732" s="203">
        <f t="shared" ca="1" si="50"/>
        <v>3</v>
      </c>
      <c r="C732" s="203">
        <f t="shared" ca="1" si="51"/>
        <v>1</v>
      </c>
      <c r="D732" s="204">
        <f t="shared" ca="1" si="52"/>
        <v>1</v>
      </c>
      <c r="E732" s="204">
        <f t="shared" ca="1" si="53"/>
        <v>15</v>
      </c>
    </row>
    <row r="733" spans="1:5" ht="14.1" customHeight="1" x14ac:dyDescent="0.2">
      <c r="A733" s="203">
        <f ca="1">IF($H733="UNIDADE CONSTRUTIVA",OFFSET(A733,-1,0)+1,LARGE(A$3:A732,1))</f>
        <v>0</v>
      </c>
      <c r="B733" s="203">
        <f t="shared" ca="1" si="50"/>
        <v>3</v>
      </c>
      <c r="C733" s="203">
        <f t="shared" ca="1" si="51"/>
        <v>1</v>
      </c>
      <c r="D733" s="204">
        <f t="shared" ca="1" si="52"/>
        <v>1</v>
      </c>
      <c r="E733" s="204">
        <f t="shared" ca="1" si="53"/>
        <v>15</v>
      </c>
    </row>
    <row r="734" spans="1:5" ht="14.1" customHeight="1" x14ac:dyDescent="0.2">
      <c r="A734" s="203">
        <f ca="1">IF($H734="UNIDADE CONSTRUTIVA",OFFSET(A734,-1,0)+1,LARGE(A$3:A733,1))</f>
        <v>0</v>
      </c>
      <c r="B734" s="203">
        <f t="shared" ca="1" si="50"/>
        <v>3</v>
      </c>
      <c r="C734" s="203">
        <f t="shared" ca="1" si="51"/>
        <v>1</v>
      </c>
      <c r="D734" s="204">
        <f t="shared" ca="1" si="52"/>
        <v>1</v>
      </c>
      <c r="E734" s="204">
        <f t="shared" ca="1" si="53"/>
        <v>15</v>
      </c>
    </row>
    <row r="735" spans="1:5" ht="14.1" customHeight="1" x14ac:dyDescent="0.2">
      <c r="A735" s="203">
        <f ca="1">IF($H735="UNIDADE CONSTRUTIVA",OFFSET(A735,-1,0)+1,LARGE(A$3:A734,1))</f>
        <v>0</v>
      </c>
      <c r="B735" s="203">
        <f t="shared" ca="1" si="50"/>
        <v>3</v>
      </c>
      <c r="C735" s="203">
        <f t="shared" ca="1" si="51"/>
        <v>1</v>
      </c>
      <c r="D735" s="204">
        <f t="shared" ca="1" si="52"/>
        <v>1</v>
      </c>
      <c r="E735" s="204">
        <f t="shared" ca="1" si="53"/>
        <v>15</v>
      </c>
    </row>
    <row r="736" spans="1:5" ht="14.1" customHeight="1" x14ac:dyDescent="0.2">
      <c r="A736" s="203">
        <f ca="1">IF($H736="UNIDADE CONSTRUTIVA",OFFSET(A736,-1,0)+1,LARGE(A$3:A735,1))</f>
        <v>0</v>
      </c>
      <c r="B736" s="203">
        <f t="shared" ca="1" si="50"/>
        <v>3</v>
      </c>
      <c r="C736" s="203">
        <f t="shared" ca="1" si="51"/>
        <v>1</v>
      </c>
      <c r="D736" s="204">
        <f t="shared" ca="1" si="52"/>
        <v>1</v>
      </c>
      <c r="E736" s="204">
        <f t="shared" ca="1" si="53"/>
        <v>15</v>
      </c>
    </row>
    <row r="737" spans="1:5" ht="14.1" customHeight="1" x14ac:dyDescent="0.2">
      <c r="A737" s="203">
        <f ca="1">IF($H737="UNIDADE CONSTRUTIVA",OFFSET(A737,-1,0)+1,LARGE(A$3:A736,1))</f>
        <v>0</v>
      </c>
      <c r="B737" s="203">
        <f t="shared" ca="1" si="50"/>
        <v>3</v>
      </c>
      <c r="C737" s="203">
        <f t="shared" ca="1" si="51"/>
        <v>1</v>
      </c>
      <c r="D737" s="204">
        <f t="shared" ca="1" si="52"/>
        <v>1</v>
      </c>
      <c r="E737" s="204">
        <f t="shared" ca="1" si="53"/>
        <v>15</v>
      </c>
    </row>
    <row r="738" spans="1:5" ht="14.1" customHeight="1" x14ac:dyDescent="0.2">
      <c r="A738" s="203">
        <f ca="1">IF($H738="UNIDADE CONSTRUTIVA",OFFSET(A738,-1,0)+1,LARGE(A$3:A737,1))</f>
        <v>0</v>
      </c>
      <c r="B738" s="203">
        <f t="shared" ca="1" si="50"/>
        <v>3</v>
      </c>
      <c r="C738" s="203">
        <f t="shared" ca="1" si="51"/>
        <v>1</v>
      </c>
      <c r="D738" s="204">
        <f t="shared" ca="1" si="52"/>
        <v>1</v>
      </c>
      <c r="E738" s="204">
        <f t="shared" ca="1" si="53"/>
        <v>15</v>
      </c>
    </row>
    <row r="739" spans="1:5" ht="14.1" customHeight="1" x14ac:dyDescent="0.2">
      <c r="A739" s="203">
        <f ca="1">IF($H739="UNIDADE CONSTRUTIVA",OFFSET(A739,-1,0)+1,LARGE(A$3:A738,1))</f>
        <v>0</v>
      </c>
      <c r="B739" s="203">
        <f t="shared" ca="1" si="50"/>
        <v>3</v>
      </c>
      <c r="C739" s="203">
        <f t="shared" ca="1" si="51"/>
        <v>1</v>
      </c>
      <c r="D739" s="204">
        <f t="shared" ca="1" si="52"/>
        <v>1</v>
      </c>
      <c r="E739" s="204">
        <f t="shared" ca="1" si="53"/>
        <v>15</v>
      </c>
    </row>
    <row r="740" spans="1:5" ht="14.1" customHeight="1" x14ac:dyDescent="0.2">
      <c r="A740" s="203">
        <f ca="1">IF($H740="UNIDADE CONSTRUTIVA",OFFSET(A740,-1,0)+1,LARGE(A$3:A739,1))</f>
        <v>0</v>
      </c>
      <c r="B740" s="203">
        <f t="shared" ca="1" si="50"/>
        <v>3</v>
      </c>
      <c r="C740" s="203">
        <f t="shared" ca="1" si="51"/>
        <v>1</v>
      </c>
      <c r="D740" s="204">
        <f t="shared" ca="1" si="52"/>
        <v>1</v>
      </c>
      <c r="E740" s="204">
        <f t="shared" ca="1" si="53"/>
        <v>15</v>
      </c>
    </row>
    <row r="741" spans="1:5" ht="14.1" customHeight="1" x14ac:dyDescent="0.2">
      <c r="A741" s="203">
        <f ca="1">IF($H741="UNIDADE CONSTRUTIVA",OFFSET(A741,-1,0)+1,LARGE(A$3:A740,1))</f>
        <v>0</v>
      </c>
      <c r="B741" s="203">
        <f t="shared" ca="1" si="50"/>
        <v>3</v>
      </c>
      <c r="C741" s="203">
        <f t="shared" ca="1" si="51"/>
        <v>1</v>
      </c>
      <c r="D741" s="204">
        <f t="shared" ca="1" si="52"/>
        <v>1</v>
      </c>
      <c r="E741" s="204">
        <f t="shared" ca="1" si="53"/>
        <v>15</v>
      </c>
    </row>
    <row r="742" spans="1:5" ht="14.1" customHeight="1" x14ac:dyDescent="0.2">
      <c r="A742" s="203">
        <f ca="1">IF($H742="UNIDADE CONSTRUTIVA",OFFSET(A742,-1,0)+1,LARGE(A$3:A741,1))</f>
        <v>0</v>
      </c>
      <c r="B742" s="203">
        <f t="shared" ca="1" si="50"/>
        <v>3</v>
      </c>
      <c r="C742" s="203">
        <f t="shared" ca="1" si="51"/>
        <v>1</v>
      </c>
      <c r="D742" s="204">
        <f t="shared" ca="1" si="52"/>
        <v>1</v>
      </c>
      <c r="E742" s="204">
        <f t="shared" ca="1" si="53"/>
        <v>15</v>
      </c>
    </row>
    <row r="743" spans="1:5" ht="14.1" customHeight="1" x14ac:dyDescent="0.2">
      <c r="A743" s="203">
        <f ca="1">IF($H743="UNIDADE CONSTRUTIVA",OFFSET(A743,-1,0)+1,LARGE(A$3:A742,1))</f>
        <v>0</v>
      </c>
      <c r="B743" s="203">
        <f t="shared" ca="1" si="50"/>
        <v>3</v>
      </c>
      <c r="C743" s="203">
        <f t="shared" ca="1" si="51"/>
        <v>1</v>
      </c>
      <c r="D743" s="204">
        <f t="shared" ca="1" si="52"/>
        <v>1</v>
      </c>
      <c r="E743" s="204">
        <f t="shared" ca="1" si="53"/>
        <v>15</v>
      </c>
    </row>
    <row r="744" spans="1:5" ht="14.1" customHeight="1" x14ac:dyDescent="0.2">
      <c r="A744" s="203">
        <f ca="1">IF($H744="UNIDADE CONSTRUTIVA",OFFSET(A744,-1,0)+1,LARGE(A$3:A743,1))</f>
        <v>0</v>
      </c>
      <c r="B744" s="203">
        <f t="shared" ca="1" si="50"/>
        <v>3</v>
      </c>
      <c r="C744" s="203">
        <f t="shared" ca="1" si="51"/>
        <v>1</v>
      </c>
      <c r="D744" s="204">
        <f t="shared" ca="1" si="52"/>
        <v>1</v>
      </c>
      <c r="E744" s="204">
        <f t="shared" ca="1" si="53"/>
        <v>15</v>
      </c>
    </row>
    <row r="745" spans="1:5" ht="14.1" customHeight="1" x14ac:dyDescent="0.2">
      <c r="A745" s="203">
        <f ca="1">IF($H745="UNIDADE CONSTRUTIVA",OFFSET(A745,-1,0)+1,LARGE(A$3:A744,1))</f>
        <v>0</v>
      </c>
      <c r="B745" s="203">
        <f t="shared" ca="1" si="50"/>
        <v>3</v>
      </c>
      <c r="C745" s="203">
        <f t="shared" ca="1" si="51"/>
        <v>1</v>
      </c>
      <c r="D745" s="204">
        <f t="shared" ca="1" si="52"/>
        <v>1</v>
      </c>
      <c r="E745" s="204">
        <f t="shared" ca="1" si="53"/>
        <v>15</v>
      </c>
    </row>
    <row r="746" spans="1:5" ht="14.1" customHeight="1" x14ac:dyDescent="0.2">
      <c r="A746" s="203">
        <f ca="1">IF($H746="UNIDADE CONSTRUTIVA",OFFSET(A746,-1,0)+1,LARGE(A$3:A745,1))</f>
        <v>0</v>
      </c>
      <c r="B746" s="203">
        <f t="shared" ca="1" si="50"/>
        <v>3</v>
      </c>
      <c r="C746" s="203">
        <f t="shared" ca="1" si="51"/>
        <v>1</v>
      </c>
      <c r="D746" s="204">
        <f t="shared" ca="1" si="52"/>
        <v>1</v>
      </c>
      <c r="E746" s="204">
        <f t="shared" ca="1" si="53"/>
        <v>15</v>
      </c>
    </row>
    <row r="747" spans="1:5" ht="14.1" customHeight="1" x14ac:dyDescent="0.2">
      <c r="A747" s="203">
        <f ca="1">IF($H747="UNIDADE CONSTRUTIVA",OFFSET(A747,-1,0)+1,LARGE(A$3:A746,1))</f>
        <v>0</v>
      </c>
      <c r="B747" s="203">
        <f t="shared" ca="1" si="50"/>
        <v>3</v>
      </c>
      <c r="C747" s="203">
        <f t="shared" ca="1" si="51"/>
        <v>1</v>
      </c>
      <c r="D747" s="204">
        <f t="shared" ca="1" si="52"/>
        <v>1</v>
      </c>
      <c r="E747" s="204">
        <f t="shared" ca="1" si="53"/>
        <v>15</v>
      </c>
    </row>
    <row r="748" spans="1:5" ht="14.1" customHeight="1" x14ac:dyDescent="0.2">
      <c r="A748" s="203">
        <f ca="1">IF($H748="UNIDADE CONSTRUTIVA",OFFSET(A748,-1,0)+1,LARGE(A$3:A747,1))</f>
        <v>0</v>
      </c>
      <c r="B748" s="203">
        <f t="shared" ca="1" si="50"/>
        <v>3</v>
      </c>
      <c r="C748" s="203">
        <f t="shared" ca="1" si="51"/>
        <v>1</v>
      </c>
      <c r="D748" s="204">
        <f t="shared" ca="1" si="52"/>
        <v>1</v>
      </c>
      <c r="E748" s="204">
        <f t="shared" ca="1" si="53"/>
        <v>15</v>
      </c>
    </row>
    <row r="749" spans="1:5" ht="14.1" customHeight="1" x14ac:dyDescent="0.2">
      <c r="A749" s="203">
        <f ca="1">IF($H749="UNIDADE CONSTRUTIVA",OFFSET(A749,-1,0)+1,LARGE(A$3:A748,1))</f>
        <v>0</v>
      </c>
      <c r="B749" s="203">
        <f t="shared" ca="1" si="50"/>
        <v>3</v>
      </c>
      <c r="C749" s="203">
        <f t="shared" ca="1" si="51"/>
        <v>1</v>
      </c>
      <c r="D749" s="204">
        <f t="shared" ca="1" si="52"/>
        <v>1</v>
      </c>
      <c r="E749" s="204">
        <f t="shared" ca="1" si="53"/>
        <v>15</v>
      </c>
    </row>
    <row r="750" spans="1:5" ht="14.1" customHeight="1" x14ac:dyDescent="0.2">
      <c r="A750" s="203">
        <f ca="1">IF($H750="UNIDADE CONSTRUTIVA",OFFSET(A750,-1,0)+1,LARGE(A$3:A749,1))</f>
        <v>0</v>
      </c>
      <c r="B750" s="203">
        <f t="shared" ca="1" si="50"/>
        <v>3</v>
      </c>
      <c r="C750" s="203">
        <f t="shared" ca="1" si="51"/>
        <v>1</v>
      </c>
      <c r="D750" s="204">
        <f t="shared" ca="1" si="52"/>
        <v>1</v>
      </c>
      <c r="E750" s="204">
        <f t="shared" ca="1" si="53"/>
        <v>15</v>
      </c>
    </row>
    <row r="751" spans="1:5" ht="14.1" customHeight="1" x14ac:dyDescent="0.2">
      <c r="A751" s="203">
        <f ca="1">IF($H751="UNIDADE CONSTRUTIVA",OFFSET(A751,-1,0)+1,LARGE(A$3:A750,1))</f>
        <v>0</v>
      </c>
      <c r="B751" s="203">
        <f t="shared" ca="1" si="50"/>
        <v>3</v>
      </c>
      <c r="C751" s="203">
        <f t="shared" ca="1" si="51"/>
        <v>1</v>
      </c>
      <c r="D751" s="204">
        <f t="shared" ca="1" si="52"/>
        <v>1</v>
      </c>
      <c r="E751" s="204">
        <f t="shared" ca="1" si="53"/>
        <v>15</v>
      </c>
    </row>
    <row r="752" spans="1:5" ht="14.1" customHeight="1" x14ac:dyDescent="0.2">
      <c r="A752" s="203">
        <f ca="1">IF($H752="UNIDADE CONSTRUTIVA",OFFSET(A752,-1,0)+1,LARGE(A$3:A751,1))</f>
        <v>0</v>
      </c>
      <c r="B752" s="203">
        <f t="shared" ca="1" si="50"/>
        <v>3</v>
      </c>
      <c r="C752" s="203">
        <f t="shared" ca="1" si="51"/>
        <v>1</v>
      </c>
      <c r="D752" s="204">
        <f t="shared" ca="1" si="52"/>
        <v>1</v>
      </c>
      <c r="E752" s="204">
        <f t="shared" ca="1" si="53"/>
        <v>15</v>
      </c>
    </row>
    <row r="753" spans="1:5" ht="14.1" customHeight="1" x14ac:dyDescent="0.2">
      <c r="A753" s="203">
        <f ca="1">IF($H753="UNIDADE CONSTRUTIVA",OFFSET(A753,-1,0)+1,LARGE(A$3:A752,1))</f>
        <v>0</v>
      </c>
      <c r="B753" s="203">
        <f t="shared" ca="1" si="50"/>
        <v>3</v>
      </c>
      <c r="C753" s="203">
        <f t="shared" ca="1" si="51"/>
        <v>1</v>
      </c>
      <c r="D753" s="204">
        <f t="shared" ca="1" si="52"/>
        <v>1</v>
      </c>
      <c r="E753" s="204">
        <f t="shared" ca="1" si="53"/>
        <v>15</v>
      </c>
    </row>
    <row r="754" spans="1:5" ht="14.1" customHeight="1" x14ac:dyDescent="0.2">
      <c r="A754" s="203">
        <f ca="1">IF($H754="UNIDADE CONSTRUTIVA",OFFSET(A754,-1,0)+1,LARGE(A$3:A753,1))</f>
        <v>0</v>
      </c>
      <c r="B754" s="203">
        <f t="shared" ca="1" si="50"/>
        <v>3</v>
      </c>
      <c r="C754" s="203">
        <f t="shared" ca="1" si="51"/>
        <v>1</v>
      </c>
      <c r="D754" s="204">
        <f t="shared" ca="1" si="52"/>
        <v>1</v>
      </c>
      <c r="E754" s="204">
        <f t="shared" ca="1" si="53"/>
        <v>15</v>
      </c>
    </row>
    <row r="755" spans="1:5" ht="14.1" customHeight="1" x14ac:dyDescent="0.2">
      <c r="A755" s="203">
        <f ca="1">IF($H755="UNIDADE CONSTRUTIVA",OFFSET(A755,-1,0)+1,LARGE(A$3:A754,1))</f>
        <v>0</v>
      </c>
      <c r="B755" s="203">
        <f t="shared" ca="1" si="50"/>
        <v>3</v>
      </c>
      <c r="C755" s="203">
        <f t="shared" ca="1" si="51"/>
        <v>1</v>
      </c>
      <c r="D755" s="204">
        <f t="shared" ca="1" si="52"/>
        <v>1</v>
      </c>
      <c r="E755" s="204">
        <f t="shared" ca="1" si="53"/>
        <v>15</v>
      </c>
    </row>
    <row r="756" spans="1:5" ht="14.1" customHeight="1" x14ac:dyDescent="0.2">
      <c r="A756" s="203">
        <f ca="1">IF($H756="UNIDADE CONSTRUTIVA",OFFSET(A756,-1,0)+1,LARGE(A$3:A755,1))</f>
        <v>0</v>
      </c>
      <c r="B756" s="203">
        <f t="shared" ca="1" si="50"/>
        <v>3</v>
      </c>
      <c r="C756" s="203">
        <f t="shared" ca="1" si="51"/>
        <v>1</v>
      </c>
      <c r="D756" s="204">
        <f t="shared" ca="1" si="52"/>
        <v>1</v>
      </c>
      <c r="E756" s="204">
        <f t="shared" ca="1" si="53"/>
        <v>15</v>
      </c>
    </row>
    <row r="757" spans="1:5" ht="14.1" customHeight="1" x14ac:dyDescent="0.2">
      <c r="A757" s="203">
        <f ca="1">IF($H757="UNIDADE CONSTRUTIVA",OFFSET(A757,-1,0)+1,LARGE(A$3:A756,1))</f>
        <v>0</v>
      </c>
      <c r="B757" s="203">
        <f t="shared" ca="1" si="50"/>
        <v>3</v>
      </c>
      <c r="C757" s="203">
        <f t="shared" ca="1" si="51"/>
        <v>1</v>
      </c>
      <c r="D757" s="204">
        <f t="shared" ca="1" si="52"/>
        <v>1</v>
      </c>
      <c r="E757" s="204">
        <f t="shared" ca="1" si="53"/>
        <v>15</v>
      </c>
    </row>
    <row r="758" spans="1:5" ht="14.1" customHeight="1" x14ac:dyDescent="0.2">
      <c r="A758" s="203">
        <f ca="1">IF($H758="UNIDADE CONSTRUTIVA",OFFSET(A758,-1,0)+1,LARGE(A$3:A757,1))</f>
        <v>0</v>
      </c>
      <c r="B758" s="203">
        <f t="shared" ca="1" si="50"/>
        <v>3</v>
      </c>
      <c r="C758" s="203">
        <f t="shared" ca="1" si="51"/>
        <v>1</v>
      </c>
      <c r="D758" s="204">
        <f t="shared" ca="1" si="52"/>
        <v>1</v>
      </c>
      <c r="E758" s="204">
        <f t="shared" ca="1" si="53"/>
        <v>15</v>
      </c>
    </row>
    <row r="759" spans="1:5" ht="14.1" customHeight="1" x14ac:dyDescent="0.2">
      <c r="A759" s="203">
        <f ca="1">IF($H759="UNIDADE CONSTRUTIVA",OFFSET(A759,-1,0)+1,LARGE(A$3:A758,1))</f>
        <v>0</v>
      </c>
      <c r="B759" s="203">
        <f t="shared" ca="1" si="50"/>
        <v>3</v>
      </c>
      <c r="C759" s="203">
        <f t="shared" ca="1" si="51"/>
        <v>1</v>
      </c>
      <c r="D759" s="204">
        <f t="shared" ca="1" si="52"/>
        <v>1</v>
      </c>
      <c r="E759" s="204">
        <f t="shared" ca="1" si="53"/>
        <v>15</v>
      </c>
    </row>
    <row r="760" spans="1:5" ht="14.1" customHeight="1" x14ac:dyDescent="0.2">
      <c r="A760" s="203">
        <f ca="1">IF($H760="UNIDADE CONSTRUTIVA",OFFSET(A760,-1,0)+1,LARGE(A$3:A759,1))</f>
        <v>0</v>
      </c>
      <c r="B760" s="203">
        <f t="shared" ca="1" si="50"/>
        <v>3</v>
      </c>
      <c r="C760" s="203">
        <f t="shared" ca="1" si="51"/>
        <v>1</v>
      </c>
      <c r="D760" s="204">
        <f t="shared" ca="1" si="52"/>
        <v>1</v>
      </c>
      <c r="E760" s="204">
        <f t="shared" ca="1" si="53"/>
        <v>15</v>
      </c>
    </row>
  </sheetData>
  <autoFilter ref="G7:P129" xr:uid="{00000000-0009-0000-0000-000001000000}">
    <filterColumn colId="3" showButton="0"/>
  </autoFilter>
  <mergeCells count="1">
    <mergeCell ref="G6:P6"/>
  </mergeCells>
  <conditionalFormatting sqref="G77:H92 G8:N65 P12:P14 O16:P27 O35:P45 P46 O47:P58">
    <cfRule type="expression" dxfId="15279" priority="104">
      <formula>$H8="SUBETAPA"</formula>
    </cfRule>
  </conditionalFormatting>
  <conditionalFormatting sqref="G99:H100 G8:N65 O35:P45 P46 O47:P49">
    <cfRule type="expression" dxfId="15278" priority="138">
      <formula>$H8="CÉLULA CONSTRUTIVA"</formula>
    </cfRule>
  </conditionalFormatting>
  <conditionalFormatting sqref="G99:H100">
    <cfRule type="expression" dxfId="15277" priority="137">
      <formula>$H99="SUBETAPA"</formula>
    </cfRule>
  </conditionalFormatting>
  <conditionalFormatting sqref="G67:M76 I77:M91">
    <cfRule type="expression" dxfId="15276" priority="98">
      <formula>$H67="CÉLULA CONSTRUTIVA"</formula>
    </cfRule>
    <cfRule type="expression" dxfId="15275" priority="97">
      <formula>$H67="SUBETAPA"</formula>
    </cfRule>
  </conditionalFormatting>
  <conditionalFormatting sqref="G93:M98 N98:P101 G101:M101 G114:P122">
    <cfRule type="expression" dxfId="15274" priority="26">
      <formula>$H93="CÉLULA CONSTRUTIVA"</formula>
    </cfRule>
  </conditionalFormatting>
  <conditionalFormatting sqref="G101:M112 G114:M117 G8:N65 P12:P14">
    <cfRule type="expression" dxfId="15273" priority="90">
      <formula>$H8="ETAPA"</formula>
    </cfRule>
  </conditionalFormatting>
  <conditionalFormatting sqref="G113:O113">
    <cfRule type="expression" dxfId="15272" priority="18">
      <formula>$H113="ETAPA"</formula>
    </cfRule>
  </conditionalFormatting>
  <conditionalFormatting sqref="G66:P66 O59:O65">
    <cfRule type="expression" dxfId="15271" priority="59">
      <formula>$H59="SUBETAPA"</formula>
    </cfRule>
  </conditionalFormatting>
  <conditionalFormatting sqref="G102:P113">
    <cfRule type="expression" dxfId="15270" priority="17">
      <formula>$H102="CÉLULA CONSTRUTIVA"</formula>
    </cfRule>
  </conditionalFormatting>
  <conditionalFormatting sqref="G102:P116">
    <cfRule type="expression" dxfId="15269" priority="16">
      <formula>$H102="SUBETAPA"</formula>
    </cfRule>
  </conditionalFormatting>
  <conditionalFormatting sqref="H92:M92">
    <cfRule type="expression" dxfId="15268" priority="101">
      <formula>$H92="SUBETAPA"</formula>
    </cfRule>
    <cfRule type="expression" dxfId="15267" priority="103">
      <formula>$H92="ETAPA"</formula>
    </cfRule>
    <cfRule type="expression" dxfId="15266" priority="102">
      <formula>$H92="CÉLULA CONSTRUTIVA"</formula>
    </cfRule>
  </conditionalFormatting>
  <conditionalFormatting sqref="H99:M100">
    <cfRule type="expression" dxfId="15265" priority="134">
      <formula>$H99="SUBETAPA"</formula>
    </cfRule>
    <cfRule type="expression" dxfId="15264" priority="135">
      <formula>$H99="CÉLULA CONSTRUTIVA"</formula>
    </cfRule>
    <cfRule type="expression" dxfId="15263" priority="136">
      <formula>$H99="ETAPA"</formula>
    </cfRule>
  </conditionalFormatting>
  <conditionalFormatting sqref="J93:L94">
    <cfRule type="expression" dxfId="15262" priority="27">
      <formula>$H93="ETAPA"</formula>
    </cfRule>
  </conditionalFormatting>
  <conditionalFormatting sqref="K95:L96">
    <cfRule type="expression" dxfId="15261" priority="99">
      <formula>$H95="ETAPA"</formula>
    </cfRule>
  </conditionalFormatting>
  <conditionalFormatting sqref="M93:M96 G96:J96">
    <cfRule type="expression" dxfId="15260" priority="100">
      <formula>$H93="ETAPA"</formula>
    </cfRule>
  </conditionalFormatting>
  <conditionalFormatting sqref="M128">
    <cfRule type="expression" dxfId="15259" priority="95">
      <formula>$H125="CÉLULA CONSTRUTIVA"</formula>
    </cfRule>
    <cfRule type="expression" dxfId="15258" priority="96">
      <formula>$H125="ETAPA"</formula>
    </cfRule>
    <cfRule type="expression" dxfId="15257" priority="94">
      <formula>$H125="SUBETAPA"</formula>
    </cfRule>
  </conditionalFormatting>
  <conditionalFormatting sqref="M124:N128">
    <cfRule type="expression" dxfId="15256" priority="92">
      <formula>$H124="CÉLULA CONSTRUTIVA"</formula>
    </cfRule>
    <cfRule type="expression" dxfId="15255" priority="91">
      <formula>$H124="SUBETAPA"</formula>
    </cfRule>
    <cfRule type="expression" dxfId="15254" priority="93">
      <formula>$H124="ETAPA"</formula>
    </cfRule>
  </conditionalFormatting>
  <conditionalFormatting sqref="N117:O117 G118:P119">
    <cfRule type="expression" dxfId="15253" priority="37">
      <formula>$H117="ETAPA"</formula>
    </cfRule>
  </conditionalFormatting>
  <conditionalFormatting sqref="O16:O26 O50:O52 G77:H92">
    <cfRule type="expression" dxfId="15252" priority="105">
      <formula>$H16="CÉLULA CONSTRUTIVA"</formula>
    </cfRule>
  </conditionalFormatting>
  <conditionalFormatting sqref="O32">
    <cfRule type="expression" dxfId="15251" priority="7">
      <formula>$H32="ETAPA"</formula>
    </cfRule>
  </conditionalFormatting>
  <conditionalFormatting sqref="O46">
    <cfRule type="expression" dxfId="15250" priority="4">
      <formula>$H46="ETAPA"</formula>
    </cfRule>
    <cfRule type="expression" dxfId="15249" priority="3">
      <formula>$H46="CÉLULA CONSTRUTIVA"</formula>
    </cfRule>
    <cfRule type="expression" dxfId="15248" priority="2">
      <formula>$H46="SUBETAPA"</formula>
    </cfRule>
  </conditionalFormatting>
  <conditionalFormatting sqref="O50:O52 G67:M91 G92:H92 N98:P112 P113 N114:P116 G120:P122 O30:P31 P32 O33:P34">
    <cfRule type="expression" dxfId="15247" priority="106">
      <formula>$H30="ETAPA"</formula>
    </cfRule>
  </conditionalFormatting>
  <conditionalFormatting sqref="O59:O65 G66:P66 P16:P26">
    <cfRule type="expression" dxfId="15246" priority="60">
      <formula>$H16="CÉLULA CONSTRUTIVA"</formula>
    </cfRule>
  </conditionalFormatting>
  <conditionalFormatting sqref="O92:O94">
    <cfRule type="expression" dxfId="15245" priority="51">
      <formula>$H92="SUBETAPA"</formula>
    </cfRule>
  </conditionalFormatting>
  <conditionalFormatting sqref="O92:O95 P50:P52 O53:P58">
    <cfRule type="expression" dxfId="15244" priority="52">
      <formula>$H50="CÉLULA CONSTRUTIVA"</formula>
    </cfRule>
  </conditionalFormatting>
  <conditionalFormatting sqref="O108:O109">
    <cfRule type="expression" dxfId="15243" priority="8">
      <formula>$H108="CÉLULA CONSTRUTIVA"</formula>
    </cfRule>
  </conditionalFormatting>
  <conditionalFormatting sqref="O112">
    <cfRule type="expression" dxfId="15242" priority="1">
      <formula>$H112="CÉLULA CONSTRUTIVA"</formula>
    </cfRule>
  </conditionalFormatting>
  <conditionalFormatting sqref="O117 G118:P119">
    <cfRule type="expression" dxfId="15241" priority="38">
      <formula>$H117="SUBETAPA"</formula>
    </cfRule>
  </conditionalFormatting>
  <conditionalFormatting sqref="O8:P11 O12:O14 O15:P15 P77">
    <cfRule type="expression" dxfId="15240" priority="125">
      <formula>$H8="ETAPA"</formula>
    </cfRule>
  </conditionalFormatting>
  <conditionalFormatting sqref="O16:P26 O59:O65 G66:P66">
    <cfRule type="expression" dxfId="15239" priority="61">
      <formula>$H16="ETAPA"</formula>
    </cfRule>
  </conditionalFormatting>
  <conditionalFormatting sqref="O27:P27 O28:O29 O67:P73 N67:N89 O78:P89 N90:P90 O91:P91 N91:N97 O96:P97 G97:M98">
    <cfRule type="expression" dxfId="15238" priority="142">
      <formula>$H27="ETAPA"</formula>
    </cfRule>
  </conditionalFormatting>
  <conditionalFormatting sqref="O28:P29">
    <cfRule type="expression" dxfId="15237" priority="69">
      <formula>$H28="SUBETAPA"</formula>
    </cfRule>
  </conditionalFormatting>
  <conditionalFormatting sqref="O30:P34">
    <cfRule type="expression" dxfId="15236" priority="5">
      <formula>$H30="SUBETAPA"</formula>
    </cfRule>
    <cfRule type="expression" dxfId="15235" priority="6">
      <formula>$H30="CÉLULA CONSTRUTIVA"</formula>
    </cfRule>
  </conditionalFormatting>
  <conditionalFormatting sqref="O35:P45 P46 O47:P49 G99:H100">
    <cfRule type="expression" dxfId="15234" priority="139">
      <formula>$H35="ETAPA"</formula>
    </cfRule>
  </conditionalFormatting>
  <conditionalFormatting sqref="O67:P73 N67:N97 O96:P97 G97:M98 O8:P11 O12:O14 O15:P15 O95">
    <cfRule type="expression" dxfId="15233" priority="151">
      <formula>$H8="SUBETAPA"</formula>
    </cfRule>
  </conditionalFormatting>
  <conditionalFormatting sqref="O74:P77">
    <cfRule type="expression" dxfId="15232" priority="109">
      <formula>$H74="ETAPA"</formula>
    </cfRule>
    <cfRule type="expression" dxfId="15231" priority="108">
      <formula>$H74="CÉLULA CONSTRUTIVA"</formula>
    </cfRule>
    <cfRule type="expression" dxfId="15230" priority="107">
      <formula>$H74="SUBETAPA"</formula>
    </cfRule>
  </conditionalFormatting>
  <conditionalFormatting sqref="O78:P89 N90:P90 O91:P91 O67:P73 O27:P27 O96:P97 O28:O29 N67:N89 N91:N97">
    <cfRule type="expression" dxfId="15229" priority="141">
      <formula>$H27="CÉLULA CONSTRUTIVA"</formula>
    </cfRule>
  </conditionalFormatting>
  <conditionalFormatting sqref="O78:P91">
    <cfRule type="expression" dxfId="15228" priority="140">
      <formula>$H78="SUBETAPA"</formula>
    </cfRule>
  </conditionalFormatting>
  <conditionalFormatting sqref="P1:P5 P7:P15">
    <cfRule type="containsText" dxfId="15227" priority="157" operator="containsText" text="em andamento">
      <formula>NOT(ISERROR(SEARCH("em andamento",P1)))</formula>
    </cfRule>
    <cfRule type="containsText" dxfId="15226" priority="156" operator="containsText" text="Finalizado">
      <formula>NOT(ISERROR(SEARCH("Finalizado",P1)))</formula>
    </cfRule>
    <cfRule type="containsText" dxfId="15225" priority="155" operator="containsText" text="Pendente">
      <formula>NOT(ISERROR(SEARCH("Pendente",P1)))</formula>
    </cfRule>
  </conditionalFormatting>
  <conditionalFormatting sqref="P7:P15 P1:P5">
    <cfRule type="containsText" dxfId="15224" priority="154" operator="containsText" text="N/A">
      <formula>NOT(ISERROR(SEARCH("N/A",P1)))</formula>
    </cfRule>
    <cfRule type="containsText" dxfId="15223" priority="153" operator="containsText" text="Lançado">
      <formula>NOT(ISERROR(SEARCH("Lançado",P1)))</formula>
    </cfRule>
  </conditionalFormatting>
  <conditionalFormatting sqref="P16:P58">
    <cfRule type="containsText" dxfId="15222" priority="74" operator="containsText" text="em andamento">
      <formula>NOT(ISERROR(SEARCH("em andamento",P16)))</formula>
    </cfRule>
    <cfRule type="containsText" dxfId="15221" priority="72" operator="containsText" text="Pendente">
      <formula>NOT(ISERROR(SEARCH("Pendente",P16)))</formula>
    </cfRule>
    <cfRule type="containsText" dxfId="15220" priority="71" operator="containsText" text="N/A">
      <formula>NOT(ISERROR(SEARCH("N/A",P16)))</formula>
    </cfRule>
    <cfRule type="containsText" dxfId="15219" priority="70" operator="containsText" text="Lançado">
      <formula>NOT(ISERROR(SEARCH("Lançado",P16)))</formula>
    </cfRule>
    <cfRule type="containsText" dxfId="15218" priority="73" operator="containsText" text="Finalizado">
      <formula>NOT(ISERROR(SEARCH("Finalizado",P16)))</formula>
    </cfRule>
  </conditionalFormatting>
  <conditionalFormatting sqref="P28:P29">
    <cfRule type="expression" dxfId="15217" priority="68">
      <formula>$H28="ETAPA"</formula>
    </cfRule>
    <cfRule type="expression" dxfId="15216" priority="67">
      <formula>$H28="CÉLULA CONSTRUTIVA"</formula>
    </cfRule>
  </conditionalFormatting>
  <conditionalFormatting sqref="P50:P52 O53:P58 O92:O95">
    <cfRule type="expression" dxfId="15215" priority="53">
      <formula>$H50="ETAPA"</formula>
    </cfRule>
  </conditionalFormatting>
  <conditionalFormatting sqref="P59:P65">
    <cfRule type="containsText" dxfId="15214" priority="32" operator="containsText" text="em andamento">
      <formula>NOT(ISERROR(SEARCH("em andamento",P59)))</formula>
    </cfRule>
    <cfRule type="containsText" dxfId="15213" priority="28" operator="containsText" text="Lançado">
      <formula>NOT(ISERROR(SEARCH("Lançado",P59)))</formula>
    </cfRule>
    <cfRule type="containsText" dxfId="15212" priority="29" operator="containsText" text="N/A">
      <formula>NOT(ISERROR(SEARCH("N/A",P59)))</formula>
    </cfRule>
    <cfRule type="containsText" dxfId="15211" priority="30" operator="containsText" text="Pendente">
      <formula>NOT(ISERROR(SEARCH("Pendente",P59)))</formula>
    </cfRule>
    <cfRule type="containsText" dxfId="15210" priority="31" operator="containsText" text="Finalizado">
      <formula>NOT(ISERROR(SEARCH("Finalizado",P59)))</formula>
    </cfRule>
  </conditionalFormatting>
  <conditionalFormatting sqref="P59:P66">
    <cfRule type="expression" dxfId="15209" priority="33">
      <formula>$H59="SUBETAPA"</formula>
    </cfRule>
    <cfRule type="expression" dxfId="15208" priority="35">
      <formula>$H59="ETAPA"</formula>
    </cfRule>
    <cfRule type="expression" dxfId="15207" priority="34">
      <formula>$H59="CÉLULA CONSTRUTIVA"</formula>
    </cfRule>
  </conditionalFormatting>
  <conditionalFormatting sqref="P66">
    <cfRule type="containsText" dxfId="15206" priority="56" operator="containsText" text="Pendente">
      <formula>NOT(ISERROR(SEARCH("Pendente",P66)))</formula>
    </cfRule>
    <cfRule type="containsText" dxfId="15205" priority="55" operator="containsText" text="N/A">
      <formula>NOT(ISERROR(SEARCH("N/A",P66)))</formula>
    </cfRule>
    <cfRule type="containsText" dxfId="15204" priority="54" operator="containsText" text="Lançado">
      <formula>NOT(ISERROR(SEARCH("Lançado",P66)))</formula>
    </cfRule>
    <cfRule type="containsText" dxfId="15203" priority="58" operator="containsText" text="em andamento">
      <formula>NOT(ISERROR(SEARCH("em andamento",P66)))</formula>
    </cfRule>
    <cfRule type="containsText" dxfId="15202" priority="62" operator="containsText" text="Lançado">
      <formula>NOT(ISERROR(SEARCH("Lançado",P66)))</formula>
    </cfRule>
    <cfRule type="containsText" dxfId="15201" priority="63" operator="containsText" text="N/A">
      <formula>NOT(ISERROR(SEARCH("N/A",P66)))</formula>
    </cfRule>
    <cfRule type="containsText" dxfId="15200" priority="64" operator="containsText" text="Pendente">
      <formula>NOT(ISERROR(SEARCH("Pendente",P66)))</formula>
    </cfRule>
    <cfRule type="containsText" dxfId="15199" priority="65" operator="containsText" text="Finalizado">
      <formula>NOT(ISERROR(SEARCH("Finalizado",P66)))</formula>
    </cfRule>
    <cfRule type="containsText" dxfId="15198" priority="66" operator="containsText" text="em andamento">
      <formula>NOT(ISERROR(SEARCH("em andamento",P66)))</formula>
    </cfRule>
    <cfRule type="containsText" dxfId="15197" priority="57" operator="containsText" text="Finalizado">
      <formula>NOT(ISERROR(SEARCH("Finalizado",P66)))</formula>
    </cfRule>
  </conditionalFormatting>
  <conditionalFormatting sqref="P67:P91">
    <cfRule type="containsText" dxfId="15196" priority="118" operator="containsText" text="Lançado">
      <formula>NOT(ISERROR(SEARCH("Lançado",P67)))</formula>
    </cfRule>
    <cfRule type="containsText" dxfId="15195" priority="119" operator="containsText" text="N/A">
      <formula>NOT(ISERROR(SEARCH("N/A",P67)))</formula>
    </cfRule>
    <cfRule type="containsText" dxfId="15194" priority="120" operator="containsText" text="Pendente">
      <formula>NOT(ISERROR(SEARCH("Pendente",P67)))</formula>
    </cfRule>
    <cfRule type="containsText" dxfId="15193" priority="121" operator="containsText" text="Finalizado">
      <formula>NOT(ISERROR(SEARCH("Finalizado",P67)))</formula>
    </cfRule>
    <cfRule type="containsText" dxfId="15192" priority="122" operator="containsText" text="em andamento">
      <formula>NOT(ISERROR(SEARCH("em andamento",P67)))</formula>
    </cfRule>
  </conditionalFormatting>
  <conditionalFormatting sqref="P77 O8:P15">
    <cfRule type="expression" dxfId="15191" priority="124">
      <formula>$H8="CÉLULA CONSTRUTIVA"</formula>
    </cfRule>
  </conditionalFormatting>
  <conditionalFormatting sqref="P77">
    <cfRule type="expression" dxfId="15190" priority="123">
      <formula>$H77="SUBETAPA"</formula>
    </cfRule>
  </conditionalFormatting>
  <conditionalFormatting sqref="P92:P95">
    <cfRule type="expression" dxfId="15189" priority="50">
      <formula>$H92="SUBETAPA"</formula>
    </cfRule>
    <cfRule type="expression" dxfId="15188" priority="49">
      <formula>$H92="ETAPA"</formula>
    </cfRule>
    <cfRule type="expression" dxfId="15187" priority="48">
      <formula>$H92="CÉLULA CONSTRUTIVA"</formula>
    </cfRule>
  </conditionalFormatting>
  <conditionalFormatting sqref="P92:P122">
    <cfRule type="containsText" dxfId="15186" priority="82" operator="containsText" text="em andamento">
      <formula>NOT(ISERROR(SEARCH("em andamento",P92)))</formula>
    </cfRule>
    <cfRule type="containsText" dxfId="15185" priority="81" operator="containsText" text="Finalizado">
      <formula>NOT(ISERROR(SEARCH("Finalizado",P92)))</formula>
    </cfRule>
    <cfRule type="containsText" dxfId="15184" priority="80" operator="containsText" text="Pendente">
      <formula>NOT(ISERROR(SEARCH("Pendente",P92)))</formula>
    </cfRule>
    <cfRule type="containsText" dxfId="15183" priority="79" operator="containsText" text="N/A">
      <formula>NOT(ISERROR(SEARCH("N/A",P92)))</formula>
    </cfRule>
    <cfRule type="containsText" dxfId="15182" priority="78" operator="containsText" text="Lançado">
      <formula>NOT(ISERROR(SEARCH("Lançado",P92)))</formula>
    </cfRule>
  </conditionalFormatting>
  <conditionalFormatting sqref="P104">
    <cfRule type="expression" dxfId="15181" priority="47">
      <formula>$H104="SUBETAPA"</formula>
    </cfRule>
  </conditionalFormatting>
  <conditionalFormatting sqref="P117 G93:I95 J95">
    <cfRule type="expression" dxfId="15180" priority="152">
      <formula>$H93="ETAPA"</formula>
    </cfRule>
  </conditionalFormatting>
  <conditionalFormatting sqref="P117:P119 G93:M96 N98:P101 G101:M101 G117:N117 G120:P122">
    <cfRule type="expression" dxfId="15179" priority="25">
      <formula>$H93="SUBETAPA"</formula>
    </cfRule>
  </conditionalFormatting>
  <conditionalFormatting sqref="P117:P119">
    <cfRule type="expression" dxfId="15178" priority="15">
      <formula>$H117="ETAPA"</formula>
    </cfRule>
  </conditionalFormatting>
  <dataValidations disablePrompts="1" count="3">
    <dataValidation type="list" allowBlank="1" showInputMessage="1" showErrorMessage="1" sqref="P10 P47 P34 P15" xr:uid="{FF5DC49B-ECDB-40F4-8994-E18A6D38BC0F}">
      <formula1>#REF!</formula1>
    </dataValidation>
    <dataValidation type="list" allowBlank="1" showInputMessage="1" showErrorMessage="1" sqref="P48:P104 P16:P32 P108:P122 P35:P46 P11:P14" xr:uid="{68E8CC96-F342-486A-A624-8A3F870220C3}">
      <formula1>"Finalizado, Em Andamento, Pendente, N/A,Lançado ERP"</formula1>
    </dataValidation>
    <dataValidation type="list" allowBlank="1" showInputMessage="1" showErrorMessage="1" sqref="H8:H122" xr:uid="{34DA3F00-6BF6-44BC-8339-989131EDDF43}">
      <formula1>"UNIDADE CONSTRUTIVA,CÉLULA CONSTRUTIVA,ETAPA,SUBETAPA,SERVIÇO"</formula1>
    </dataValidation>
  </dataValidations>
  <printOptions horizontalCentered="1"/>
  <pageMargins left="0.51181102362204722" right="0.51181102362204722" top="0.78740157480314965" bottom="0.78740157480314965" header="0.31496062992125984" footer="0.31496062992125984"/>
  <pageSetup paperSize="9" scale="1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59D23-F463-4118-94F3-80E489751233}">
  <sheetPr>
    <tabColor rgb="FF1851D6"/>
    <outlinePr summaryBelow="0"/>
    <pageSetUpPr fitToPage="1"/>
  </sheetPr>
  <dimension ref="A1:U2026"/>
  <sheetViews>
    <sheetView showGridLines="0" topLeftCell="F1" zoomScale="90" zoomScaleNormal="90" zoomScaleSheetLayoutView="80" workbookViewId="0">
      <pane ySplit="7" topLeftCell="A8" activePane="bottomLeft" state="frozen"/>
      <selection activeCell="L61" sqref="L61"/>
      <selection pane="bottomLeft" activeCell="J329" sqref="J329"/>
    </sheetView>
  </sheetViews>
  <sheetFormatPr defaultColWidth="9.140625" defaultRowHeight="14.1" customHeight="1" outlineLevelRow="3" outlineLevelCol="1" x14ac:dyDescent="0.2"/>
  <cols>
    <col min="1" max="5" width="4" style="15" hidden="1" customWidth="1" outlineLevel="1"/>
    <col min="6" max="6" width="3.140625" style="15" customWidth="1" collapsed="1"/>
    <col min="7" max="7" width="7.28515625" style="23" customWidth="1"/>
    <col min="8" max="8" width="8.5703125" style="23" customWidth="1" outlineLevel="1"/>
    <col min="9" max="9" width="12.28515625" style="23" customWidth="1"/>
    <col min="10" max="10" width="69.5703125" style="15" customWidth="1"/>
    <col min="11" max="11" width="6.85546875" style="21" customWidth="1"/>
    <col min="12" max="12" width="16.28515625" style="473" customWidth="1"/>
    <col min="13" max="13" width="15.140625" style="473" bestFit="1" customWidth="1"/>
    <col min="14" max="14" width="13.85546875" style="475" customWidth="1"/>
    <col min="15" max="15" width="54.85546875" style="476" customWidth="1" outlineLevel="1"/>
    <col min="16" max="16" width="17.5703125" style="22" customWidth="1"/>
    <col min="17" max="19" width="10" style="21" customWidth="1"/>
    <col min="20" max="20" width="10" style="15" customWidth="1"/>
    <col min="21" max="16384" width="9.140625" style="15"/>
  </cols>
  <sheetData>
    <row r="1" spans="1:21" s="8" customFormat="1" ht="6.75" customHeight="1" x14ac:dyDescent="0.2">
      <c r="G1" s="6"/>
      <c r="H1" s="6"/>
      <c r="I1" s="6"/>
      <c r="J1" s="7"/>
      <c r="K1" s="28"/>
      <c r="L1" s="7"/>
      <c r="M1" s="7"/>
      <c r="N1" s="191"/>
      <c r="O1" s="7"/>
      <c r="P1" s="26"/>
      <c r="Q1" s="14"/>
      <c r="R1" s="14"/>
      <c r="S1" s="35"/>
      <c r="T1" s="34"/>
      <c r="U1" s="34"/>
    </row>
    <row r="2" spans="1:21" s="9" customFormat="1" ht="17.45" customHeight="1" x14ac:dyDescent="0.2">
      <c r="G2" s="29"/>
      <c r="H2" s="102"/>
      <c r="I2" s="102"/>
      <c r="J2" s="102"/>
      <c r="K2" s="36"/>
      <c r="L2" s="36"/>
      <c r="M2" s="36"/>
      <c r="N2" s="192"/>
      <c r="O2" s="137"/>
      <c r="P2" s="25"/>
      <c r="Q2" s="27"/>
      <c r="R2" s="27"/>
      <c r="S2" s="35"/>
      <c r="T2" s="34"/>
      <c r="U2" s="34"/>
    </row>
    <row r="3" spans="1:21" s="9" customFormat="1" ht="18" customHeight="1" x14ac:dyDescent="0.2">
      <c r="G3" s="30"/>
      <c r="H3" s="31"/>
      <c r="I3" s="31"/>
      <c r="J3" s="31"/>
      <c r="K3" s="37"/>
      <c r="L3" s="37"/>
      <c r="M3" s="37"/>
      <c r="N3" s="193"/>
      <c r="O3" s="138"/>
      <c r="P3" s="24"/>
      <c r="Q3" s="27"/>
      <c r="R3" s="27"/>
      <c r="S3" s="35"/>
      <c r="T3" s="34"/>
      <c r="U3" s="34"/>
    </row>
    <row r="4" spans="1:21" s="68" customFormat="1" ht="15" customHeight="1" x14ac:dyDescent="0.2">
      <c r="G4" s="155" t="s">
        <v>56</v>
      </c>
      <c r="H4" s="66"/>
      <c r="I4" s="67" t="str">
        <f>'Obra '!D1</f>
        <v>Porto Cerro</v>
      </c>
      <c r="J4" s="140"/>
      <c r="N4" s="194"/>
      <c r="O4" s="66" t="s">
        <v>13</v>
      </c>
      <c r="P4" s="156" t="s">
        <v>54</v>
      </c>
      <c r="Q4" s="69"/>
      <c r="R4" s="69"/>
      <c r="S4" s="35"/>
      <c r="T4" s="34"/>
      <c r="U4" s="34"/>
    </row>
    <row r="5" spans="1:21" s="70" customFormat="1" ht="15" customHeight="1" x14ac:dyDescent="0.2">
      <c r="G5" s="197" t="s">
        <v>125</v>
      </c>
      <c r="H5" s="202"/>
      <c r="I5" s="67" t="str">
        <f>'Obra '!D2</f>
        <v>XPCon Empreendimentos</v>
      </c>
      <c r="J5" s="198"/>
      <c r="N5" s="195"/>
      <c r="O5" s="199" t="s">
        <v>5005</v>
      </c>
      <c r="P5" s="200">
        <v>45887</v>
      </c>
      <c r="Q5" s="69"/>
      <c r="R5" s="69"/>
      <c r="S5" s="35"/>
      <c r="T5" s="34"/>
      <c r="U5" s="34"/>
    </row>
    <row r="6" spans="1:21" s="34" customFormat="1" ht="18" customHeight="1" x14ac:dyDescent="0.2">
      <c r="A6" s="456" t="s">
        <v>203</v>
      </c>
      <c r="B6" s="456" t="s">
        <v>204</v>
      </c>
      <c r="C6" s="456" t="s">
        <v>205</v>
      </c>
      <c r="D6" s="456" t="s">
        <v>206</v>
      </c>
      <c r="E6" s="456" t="s">
        <v>207</v>
      </c>
      <c r="F6" s="70"/>
      <c r="G6" s="1065" t="s">
        <v>121</v>
      </c>
      <c r="H6" s="1065"/>
      <c r="I6" s="1065"/>
      <c r="J6" s="1065"/>
      <c r="K6" s="1065"/>
      <c r="L6" s="1065"/>
      <c r="M6" s="1065"/>
      <c r="N6" s="1065"/>
      <c r="O6" s="1065"/>
      <c r="P6" s="1065"/>
      <c r="Q6" s="35"/>
      <c r="R6" s="35"/>
      <c r="S6" s="35"/>
    </row>
    <row r="7" spans="1:21" s="32" customFormat="1" ht="24" customHeight="1" x14ac:dyDescent="0.2">
      <c r="A7" s="457">
        <v>0</v>
      </c>
      <c r="B7" s="457">
        <v>0</v>
      </c>
      <c r="C7" s="457">
        <v>0</v>
      </c>
      <c r="D7" s="458">
        <v>0</v>
      </c>
      <c r="E7" s="458">
        <v>0</v>
      </c>
      <c r="G7" s="99" t="s">
        <v>57</v>
      </c>
      <c r="H7" s="205" t="s">
        <v>208</v>
      </c>
      <c r="I7" s="100" t="s">
        <v>15</v>
      </c>
      <c r="J7" s="187" t="s">
        <v>0</v>
      </c>
      <c r="K7" s="141" t="s">
        <v>46</v>
      </c>
      <c r="L7" s="459" t="s">
        <v>83</v>
      </c>
      <c r="M7" s="459" t="s">
        <v>194</v>
      </c>
      <c r="N7" s="459" t="s">
        <v>12</v>
      </c>
      <c r="O7" s="460" t="s">
        <v>119</v>
      </c>
      <c r="P7" s="461" t="s">
        <v>61</v>
      </c>
      <c r="Q7" s="33"/>
      <c r="R7" s="33"/>
      <c r="S7" s="546"/>
      <c r="T7" s="34"/>
      <c r="U7" s="34"/>
    </row>
    <row r="8" spans="1:21" s="34" customFormat="1" ht="13.9" customHeight="1" collapsed="1" x14ac:dyDescent="0.2">
      <c r="A8" s="457">
        <f ca="1">IF($H8="UNIDADE CONSTRUTIVA",OFFSET(A8,-1,0)+1,LARGE(A$3:A7,1))</f>
        <v>0</v>
      </c>
      <c r="B8" s="457">
        <f ca="1">IF(H8="UNIDADE CONSTRUTIVA",0,IF(H8="CÉLULA CONSTRUTIVA",OFFSET(B8,-1,0)+1,OFFSET(B8,-1,0)))</f>
        <v>1</v>
      </c>
      <c r="C8" s="457">
        <f ca="1">IF(H8="CÉLULA CONSTRUTIVA",0,IF(H8="ETAPA",OFFSET(C8,-1,0)+1,OFFSET(C8,-1,0)))</f>
        <v>0</v>
      </c>
      <c r="D8" s="458">
        <f ca="1">IF(H8="ETAPA",0,IF(H8="SUBETAPA",OFFSET(D8,-1,0)+1,OFFSET(D8,-1,0)))</f>
        <v>0</v>
      </c>
      <c r="E8" s="458">
        <f ca="1">IF(H8="Subetapa",0,IF(H8="serviço",OFFSET(E8,-1,0)+1,OFFSET(E8,-1,0)))</f>
        <v>0</v>
      </c>
      <c r="G8" s="206"/>
      <c r="H8" s="207" t="s">
        <v>209</v>
      </c>
      <c r="I8" s="208" t="str">
        <f t="shared" ref="I8:I62" ca="1" si="0">IF(H8="Unidade Construtiva",TEXT(A8,"00"),IF(H8="Célula Construtiva",TEXT(B8,"00"),IF(H8="Etapa",CONCATENATE(TEXT(B8,"00"),".",TEXT(C8,"000")),IF(H8="Subetapa",CONCATENATE(TEXT(B8,"00"),".",TEXT(C8,"000"),".",TEXT(D8,"000")),IF(H8="Serviço",CONCATENATE(TEXT(B8,"00"),".",TEXT(C8,"000"),".",TEXT(D8,"000"),".",TEXT(E8,"000")),"")))))</f>
        <v>01</v>
      </c>
      <c r="J8" s="209" t="s">
        <v>106</v>
      </c>
      <c r="K8" s="210"/>
      <c r="L8" s="455"/>
      <c r="M8" s="455"/>
      <c r="N8" s="285">
        <f t="shared" ref="N8:N71" ca="1" si="1">IF(H8="Serviço",M8*L8,IF(H8="CÉLULA CONSTRUTIVA",SUMIFS($N$8:$N$1393,$B$8:$B$1393,B8,$H$8:$H$1393,"Serviço"),IF(H8="ETAPA",SUMIFS($N$8:$N$1393,$B$8:$B$1393,B8,$C$8:$C$1393,C8,$H$8:$H$1393,"Serviço"),IF(H8="SUBETAPA",SUMIFS($N$8:$N$1393,$B$8:$B$1393,B8,$C$8:$C$1393,C8,$D$8:$D$1393,D8,$H$8:$H$1393,"Serviço"),0))))</f>
        <v>201548.68941957256</v>
      </c>
      <c r="O8" s="462"/>
      <c r="P8" s="213"/>
      <c r="Q8" s="463"/>
      <c r="R8" s="463"/>
      <c r="S8" s="35"/>
    </row>
    <row r="9" spans="1:21" s="34" customFormat="1" ht="13.9" hidden="1" customHeight="1" outlineLevel="1" x14ac:dyDescent="0.2">
      <c r="A9" s="457">
        <f ca="1">IF($H9="UNIDADE CONSTRUTIVA",OFFSET(A9,-1,0)+1,LARGE(A$3:A8,1))</f>
        <v>0</v>
      </c>
      <c r="B9" s="457">
        <f ca="1">IF(H9="UNIDADE CONSTRUTIVA",0,IF(H9="CÉLULA CONSTRUTIVA",OFFSET(B9,-1,0)+1,OFFSET(B9,-1,0)))</f>
        <v>1</v>
      </c>
      <c r="C9" s="457">
        <f ca="1">IF(H9="CÉLULA CONSTRUTIVA",0,IF(H9="ETAPA",OFFSET(C9,-1,0)+1,OFFSET(C9,-1,0)))</f>
        <v>1</v>
      </c>
      <c r="D9" s="458">
        <f ca="1">IF(H9="ETAPA",0,IF(H9="SUBETAPA",OFFSET(D9,-1,0)+1,OFFSET(D9,-1,0)))</f>
        <v>0</v>
      </c>
      <c r="E9" s="458">
        <f ca="1">IF(H9="Subetapa",0,IF(H9="serviço",OFFSET(E9,-1,0)+1,OFFSET(E9,-1,0)))</f>
        <v>0</v>
      </c>
      <c r="G9" s="206"/>
      <c r="H9" s="207" t="s">
        <v>210</v>
      </c>
      <c r="I9" s="208" t="str">
        <f t="shared" ca="1" si="0"/>
        <v>01.001</v>
      </c>
      <c r="J9" s="209" t="s">
        <v>107</v>
      </c>
      <c r="K9" s="210"/>
      <c r="L9" s="455"/>
      <c r="M9" s="455"/>
      <c r="N9" s="285">
        <f t="shared" ca="1" si="1"/>
        <v>201548.68941957256</v>
      </c>
      <c r="O9" s="462"/>
      <c r="P9" s="213"/>
      <c r="Q9" s="35"/>
      <c r="R9" s="35"/>
      <c r="S9" s="35"/>
    </row>
    <row r="10" spans="1:21" s="34" customFormat="1" ht="13.9" hidden="1" customHeight="1" outlineLevel="1" x14ac:dyDescent="0.2">
      <c r="A10" s="457">
        <f ca="1">IF($H10="UNIDADE CONSTRUTIVA",OFFSET(A10,-1,0)+1,LARGE(A$3:A9,1))</f>
        <v>0</v>
      </c>
      <c r="B10" s="457">
        <f ca="1">IF(H10="UNIDADE CONSTRUTIVA",0,IF(H10="CÉLULA CONSTRUTIVA",OFFSET(B10,-1,0)+1,OFFSET(B10,-1,0)))</f>
        <v>1</v>
      </c>
      <c r="C10" s="457">
        <f ca="1">IF(H10="CÉLULA CONSTRUTIVA",0,IF(H10="ETAPA",OFFSET(C10,-1,0)+1,OFFSET(C10,-1,0)))</f>
        <v>1</v>
      </c>
      <c r="D10" s="458">
        <f ca="1">IF(H10="ETAPA",0,IF(H10="SUBETAPA",OFFSET(D10,-1,0)+1,OFFSET(D10,-1,0)))</f>
        <v>1</v>
      </c>
      <c r="E10" s="458">
        <f ca="1">IF(H10="Subetapa",0,IF(H10="serviço",OFFSET(E10,-1,0)+1,OFFSET(E10,-1,0)))</f>
        <v>0</v>
      </c>
      <c r="G10" s="206"/>
      <c r="H10" s="207" t="s">
        <v>211</v>
      </c>
      <c r="I10" s="208" t="str">
        <f ca="1">IF(H10="Unidade Construtiva",TEXT(A10,"00"),IF(H10="Célula Construtiva",TEXT(B10,"00"),IF(H10="Etapa",CONCATENATE(TEXT(B10,"00"),".",TEXT(C10,"000")),IF(H10="Subetapa",CONCATENATE(TEXT(B10,"00"),".",TEXT(C10,"000"),".",TEXT(D10,"000")),IF(H10="Serviço",CONCATENATE(TEXT(B10,"00"),".",TEXT(C10,"000"),".",TEXT(D10,"000"),".",TEXT(E10,"000")),"")))))</f>
        <v>01.001.001</v>
      </c>
      <c r="J10" s="209" t="s">
        <v>517</v>
      </c>
      <c r="K10" s="210"/>
      <c r="L10" s="464"/>
      <c r="M10" s="464"/>
      <c r="N10" s="285">
        <f t="shared" ca="1" si="1"/>
        <v>34800</v>
      </c>
      <c r="O10" s="462"/>
      <c r="P10" s="213"/>
      <c r="Q10" s="35"/>
      <c r="R10" s="35"/>
      <c r="S10" s="35"/>
    </row>
    <row r="11" spans="1:21" s="34" customFormat="1" ht="13.9" hidden="1" customHeight="1" outlineLevel="2" x14ac:dyDescent="0.2">
      <c r="A11" s="457">
        <f ca="1">IF($H11="UNIDADE CONSTRUTIVA",OFFSET(A11,-1,0)+1,LARGE(A$3:A10,1))</f>
        <v>0</v>
      </c>
      <c r="B11" s="457">
        <f t="shared" ref="B11:B74" ca="1" si="2">IF(H11="UNIDADE CONSTRUTIVA",0,IF(H11="CÉLULA CONSTRUTIVA",OFFSET(B11,-1,0)+1,OFFSET(B11,-1,0)))</f>
        <v>1</v>
      </c>
      <c r="C11" s="457">
        <f t="shared" ref="C11:C74" ca="1" si="3">IF(H11="CÉLULA CONSTRUTIVA",0,IF(H11="ETAPA",OFFSET(C11,-1,0)+1,OFFSET(C11,-1,0)))</f>
        <v>1</v>
      </c>
      <c r="D11" s="458">
        <f t="shared" ref="D11:D74" ca="1" si="4">IF(H11="ETAPA",0,IF(H11="SUBETAPA",OFFSET(D11,-1,0)+1,OFFSET(D11,-1,0)))</f>
        <v>1</v>
      </c>
      <c r="E11" s="458">
        <f t="shared" ref="E11:E74" ca="1" si="5">IF(H11="Subetapa",0,IF(H11="serviço",OFFSET(E11,-1,0)+1,OFFSET(E11,-1,0)))</f>
        <v>1</v>
      </c>
      <c r="G11" s="206"/>
      <c r="H11" s="207" t="s">
        <v>212</v>
      </c>
      <c r="I11" s="208" t="str">
        <f ca="1">IF(H11="Unidade Construtiva",TEXT(A11,"00"),IF(H11="Célula Construtiva",TEXT(B11,"00"),IF(H11="Etapa",CONCATENATE(TEXT(B11,"00"),".",TEXT(C11,"000")),IF(H11="Subetapa",CONCATENATE(TEXT(B11,"00"),".",TEXT(C11,"000"),".",TEXT(D11,"000")),IF(H11="Serviço",CONCATENATE(TEXT(B11,"00"),".",TEXT(C11,"000"),".",TEXT(D11,"000"),".",TEXT(E11,"000")),"")))))</f>
        <v>01.001.001.001</v>
      </c>
      <c r="J11" s="209" t="s">
        <v>517</v>
      </c>
      <c r="K11" s="210" t="s">
        <v>151</v>
      </c>
      <c r="L11" s="455">
        <v>1</v>
      </c>
      <c r="M11" s="455">
        <v>34800</v>
      </c>
      <c r="N11" s="285">
        <f t="shared" si="1"/>
        <v>34800</v>
      </c>
      <c r="O11" s="462" t="s">
        <v>1241</v>
      </c>
      <c r="P11" s="213" t="s">
        <v>518</v>
      </c>
      <c r="Q11" s="35"/>
      <c r="R11" s="35"/>
      <c r="S11" s="35"/>
    </row>
    <row r="12" spans="1:21" s="34" customFormat="1" ht="13.9" hidden="1" customHeight="1" outlineLevel="1" x14ac:dyDescent="0.2">
      <c r="A12" s="457">
        <f ca="1">IF($H12="UNIDADE CONSTRUTIVA",OFFSET(A12,-1,0)+1,LARGE(A$3:A11,1))</f>
        <v>0</v>
      </c>
      <c r="B12" s="457">
        <f t="shared" ca="1" si="2"/>
        <v>1</v>
      </c>
      <c r="C12" s="457">
        <f t="shared" ca="1" si="3"/>
        <v>1</v>
      </c>
      <c r="D12" s="458">
        <f t="shared" ca="1" si="4"/>
        <v>2</v>
      </c>
      <c r="E12" s="458">
        <f t="shared" ca="1" si="5"/>
        <v>0</v>
      </c>
      <c r="G12" s="206"/>
      <c r="H12" s="207" t="s">
        <v>211</v>
      </c>
      <c r="I12" s="208" t="str">
        <f t="shared" ca="1" si="0"/>
        <v>01.001.002</v>
      </c>
      <c r="J12" s="209" t="s">
        <v>108</v>
      </c>
      <c r="K12" s="210"/>
      <c r="L12" s="464"/>
      <c r="M12" s="464"/>
      <c r="N12" s="285">
        <f t="shared" ca="1" si="1"/>
        <v>61259.766504883497</v>
      </c>
      <c r="O12" s="462"/>
      <c r="P12" s="213"/>
      <c r="Q12" s="35"/>
      <c r="R12" s="35"/>
      <c r="S12" s="35"/>
    </row>
    <row r="13" spans="1:21" s="34" customFormat="1" ht="13.9" hidden="1" customHeight="1" outlineLevel="2" x14ac:dyDescent="0.2">
      <c r="A13" s="457">
        <f ca="1">IF($H13="UNIDADE CONSTRUTIVA",OFFSET(A13,-1,0)+1,LARGE(A$3:A12,1))</f>
        <v>0</v>
      </c>
      <c r="B13" s="457">
        <f t="shared" ca="1" si="2"/>
        <v>1</v>
      </c>
      <c r="C13" s="457">
        <f t="shared" ca="1" si="3"/>
        <v>1</v>
      </c>
      <c r="D13" s="458">
        <f t="shared" ca="1" si="4"/>
        <v>2</v>
      </c>
      <c r="E13" s="458">
        <f t="shared" ca="1" si="5"/>
        <v>1</v>
      </c>
      <c r="G13" s="206"/>
      <c r="H13" s="207" t="s">
        <v>212</v>
      </c>
      <c r="I13" s="208" t="str">
        <f t="shared" ca="1" si="0"/>
        <v>01.001.002.001</v>
      </c>
      <c r="J13" s="209" t="s">
        <v>199</v>
      </c>
      <c r="K13" s="210" t="s">
        <v>4</v>
      </c>
      <c r="L13" s="455">
        <f>'Fundação Rasa'!G7</f>
        <v>1297.6939106</v>
      </c>
      <c r="M13" s="455">
        <v>36.36</v>
      </c>
      <c r="N13" s="285">
        <f t="shared" si="1"/>
        <v>47184.150589416</v>
      </c>
      <c r="O13" s="462" t="s">
        <v>416</v>
      </c>
      <c r="P13" s="213" t="s">
        <v>518</v>
      </c>
      <c r="Q13" s="35"/>
      <c r="R13" s="35"/>
      <c r="S13" s="35"/>
    </row>
    <row r="14" spans="1:21" s="34" customFormat="1" ht="13.9" hidden="1" customHeight="1" outlineLevel="2" x14ac:dyDescent="0.2">
      <c r="A14" s="457">
        <f ca="1">IF($H14="UNIDADE CONSTRUTIVA",OFFSET(A14,-1,0)+1,LARGE(A$3:A13,1))</f>
        <v>0</v>
      </c>
      <c r="B14" s="457">
        <f t="shared" ca="1" si="2"/>
        <v>1</v>
      </c>
      <c r="C14" s="457">
        <f t="shared" ca="1" si="3"/>
        <v>1</v>
      </c>
      <c r="D14" s="458">
        <f t="shared" ca="1" si="4"/>
        <v>2</v>
      </c>
      <c r="E14" s="458">
        <f t="shared" ca="1" si="5"/>
        <v>2</v>
      </c>
      <c r="G14" s="206"/>
      <c r="H14" s="207" t="s">
        <v>212</v>
      </c>
      <c r="I14" s="208" t="str">
        <f t="shared" ca="1" si="0"/>
        <v>01.001.002.002</v>
      </c>
      <c r="J14" s="209" t="s">
        <v>200</v>
      </c>
      <c r="K14" s="210" t="s">
        <v>4</v>
      </c>
      <c r="L14" s="455">
        <f>'Fundação Rasa'!I7-Aço_Infraestrutura!M26-Aço_Infraestrutura!M28</f>
        <v>967.39628284999992</v>
      </c>
      <c r="M14" s="455">
        <v>14.55</v>
      </c>
      <c r="N14" s="285">
        <f t="shared" si="1"/>
        <v>14075.615915467499</v>
      </c>
      <c r="O14" s="462" t="s">
        <v>462</v>
      </c>
      <c r="P14" s="213" t="s">
        <v>518</v>
      </c>
      <c r="Q14" s="35"/>
      <c r="R14" s="35"/>
      <c r="S14" s="35"/>
    </row>
    <row r="15" spans="1:21" s="34" customFormat="1" ht="13.9" hidden="1" customHeight="1" outlineLevel="1" x14ac:dyDescent="0.2">
      <c r="A15" s="457">
        <f ca="1">IF($H15="UNIDADE CONSTRUTIVA",OFFSET(A15,-1,0)+1,LARGE(A$3:A14,1))</f>
        <v>0</v>
      </c>
      <c r="B15" s="457">
        <f t="shared" ca="1" si="2"/>
        <v>1</v>
      </c>
      <c r="C15" s="457">
        <f t="shared" ca="1" si="3"/>
        <v>1</v>
      </c>
      <c r="D15" s="458">
        <f t="shared" ca="1" si="4"/>
        <v>3</v>
      </c>
      <c r="E15" s="458">
        <f t="shared" ca="1" si="5"/>
        <v>0</v>
      </c>
      <c r="G15" s="206"/>
      <c r="H15" s="207" t="s">
        <v>211</v>
      </c>
      <c r="I15" s="208" t="str">
        <f t="shared" ca="1" si="0"/>
        <v>01.001.003</v>
      </c>
      <c r="J15" s="209" t="s">
        <v>193</v>
      </c>
      <c r="K15" s="210"/>
      <c r="L15" s="464"/>
      <c r="M15" s="464"/>
      <c r="N15" s="285">
        <f t="shared" ca="1" si="1"/>
        <v>9501.4933626929997</v>
      </c>
      <c r="O15" s="462"/>
      <c r="P15" s="213"/>
      <c r="Q15" s="35"/>
      <c r="R15" s="35"/>
      <c r="S15" s="35"/>
    </row>
    <row r="16" spans="1:21" s="34" customFormat="1" ht="13.9" hidden="1" customHeight="1" outlineLevel="2" x14ac:dyDescent="0.2">
      <c r="A16" s="457">
        <f ca="1">IF($H16="UNIDADE CONSTRUTIVA",OFFSET(A16,-1,0)+1,LARGE(A$3:A15,1))</f>
        <v>0</v>
      </c>
      <c r="B16" s="457">
        <f t="shared" ca="1" si="2"/>
        <v>1</v>
      </c>
      <c r="C16" s="457">
        <f t="shared" ca="1" si="3"/>
        <v>1</v>
      </c>
      <c r="D16" s="458">
        <f t="shared" ca="1" si="4"/>
        <v>3</v>
      </c>
      <c r="E16" s="458">
        <f t="shared" ca="1" si="5"/>
        <v>1</v>
      </c>
      <c r="G16" s="206"/>
      <c r="H16" s="207" t="s">
        <v>212</v>
      </c>
      <c r="I16" s="208" t="str">
        <f t="shared" ca="1" si="0"/>
        <v>01.001.003.001</v>
      </c>
      <c r="J16" s="209" t="s">
        <v>740</v>
      </c>
      <c r="K16" s="210" t="s">
        <v>4</v>
      </c>
      <c r="L16" s="455">
        <f>'Fundação Rasa'!L7</f>
        <v>16.087139000000001</v>
      </c>
      <c r="M16" s="455">
        <v>452.48700000000002</v>
      </c>
      <c r="N16" s="285">
        <f t="shared" si="1"/>
        <v>7279.2212646930002</v>
      </c>
      <c r="O16" s="462" t="s">
        <v>519</v>
      </c>
      <c r="P16" s="213" t="s">
        <v>518</v>
      </c>
      <c r="Q16" s="35"/>
      <c r="R16" s="35"/>
      <c r="S16" s="35"/>
    </row>
    <row r="17" spans="1:19" s="34" customFormat="1" ht="13.9" hidden="1" customHeight="1" outlineLevel="2" x14ac:dyDescent="0.2">
      <c r="A17" s="457">
        <f ca="1">IF($H17="UNIDADE CONSTRUTIVA",OFFSET(A17,-1,0)+1,LARGE(A$3:A16,1))</f>
        <v>0</v>
      </c>
      <c r="B17" s="457">
        <f t="shared" ca="1" si="2"/>
        <v>1</v>
      </c>
      <c r="C17" s="457">
        <f t="shared" ca="1" si="3"/>
        <v>1</v>
      </c>
      <c r="D17" s="458">
        <f t="shared" ca="1" si="4"/>
        <v>3</v>
      </c>
      <c r="E17" s="458">
        <f t="shared" ca="1" si="5"/>
        <v>2</v>
      </c>
      <c r="G17" s="206"/>
      <c r="H17" s="207" t="s">
        <v>212</v>
      </c>
      <c r="I17" s="208" t="str">
        <f t="shared" ca="1" si="0"/>
        <v>01.001.003.002</v>
      </c>
      <c r="J17" s="209" t="s">
        <v>520</v>
      </c>
      <c r="K17" s="210" t="s">
        <v>4</v>
      </c>
      <c r="L17" s="455">
        <f>'Fundação Rasa'!K7</f>
        <v>14.314152</v>
      </c>
      <c r="M17" s="455">
        <v>155.25</v>
      </c>
      <c r="N17" s="285">
        <f t="shared" si="1"/>
        <v>2222.2720979999999</v>
      </c>
      <c r="O17" s="462" t="s">
        <v>519</v>
      </c>
      <c r="P17" s="213" t="s">
        <v>518</v>
      </c>
      <c r="Q17" s="35"/>
      <c r="R17" s="35"/>
      <c r="S17" s="35"/>
    </row>
    <row r="18" spans="1:19" s="34" customFormat="1" ht="13.9" hidden="1" customHeight="1" outlineLevel="1" x14ac:dyDescent="0.2">
      <c r="A18" s="457">
        <f ca="1">IF($H18="UNIDADE CONSTRUTIVA",OFFSET(A18,-1,0)+1,LARGE(A$3:A17,1))</f>
        <v>0</v>
      </c>
      <c r="B18" s="457">
        <f t="shared" ca="1" si="2"/>
        <v>1</v>
      </c>
      <c r="C18" s="457">
        <f t="shared" ca="1" si="3"/>
        <v>1</v>
      </c>
      <c r="D18" s="458">
        <f t="shared" ca="1" si="4"/>
        <v>4</v>
      </c>
      <c r="E18" s="458">
        <f t="shared" ca="1" si="5"/>
        <v>0</v>
      </c>
      <c r="G18" s="206"/>
      <c r="H18" s="207" t="s">
        <v>211</v>
      </c>
      <c r="I18" s="208" t="str">
        <f t="shared" ca="1" si="0"/>
        <v>01.001.004</v>
      </c>
      <c r="J18" s="209" t="s">
        <v>109</v>
      </c>
      <c r="K18" s="210"/>
      <c r="L18" s="464"/>
      <c r="M18" s="464"/>
      <c r="N18" s="285">
        <f t="shared" ca="1" si="1"/>
        <v>95987.429551996058</v>
      </c>
      <c r="O18" s="462"/>
      <c r="P18" s="213"/>
      <c r="Q18" s="35"/>
      <c r="R18" s="35"/>
      <c r="S18" s="35"/>
    </row>
    <row r="19" spans="1:19" s="34" customFormat="1" ht="13.9" hidden="1" customHeight="1" outlineLevel="2" x14ac:dyDescent="0.2">
      <c r="A19" s="457">
        <f ca="1">IF($H19="UNIDADE CONSTRUTIVA",OFFSET(A19,-1,0)+1,LARGE(A$3:A18,1))</f>
        <v>0</v>
      </c>
      <c r="B19" s="457">
        <f t="shared" ca="1" si="2"/>
        <v>1</v>
      </c>
      <c r="C19" s="457">
        <f t="shared" ca="1" si="3"/>
        <v>1</v>
      </c>
      <c r="D19" s="458">
        <f t="shared" ca="1" si="4"/>
        <v>4</v>
      </c>
      <c r="E19" s="458">
        <f t="shared" ca="1" si="5"/>
        <v>1</v>
      </c>
      <c r="G19" s="206"/>
      <c r="H19" s="207" t="s">
        <v>212</v>
      </c>
      <c r="I19" s="208" t="str">
        <f t="shared" ca="1" si="0"/>
        <v>01.001.004.001</v>
      </c>
      <c r="J19" s="209" t="s">
        <v>201</v>
      </c>
      <c r="K19" s="210" t="s">
        <v>4</v>
      </c>
      <c r="L19" s="455">
        <f>'Fundação Rasa'!J7</f>
        <v>368.16393607499998</v>
      </c>
      <c r="M19" s="455">
        <v>45.45</v>
      </c>
      <c r="N19" s="285">
        <f t="shared" si="1"/>
        <v>16733.05089460875</v>
      </c>
      <c r="O19" s="462" t="s">
        <v>120</v>
      </c>
      <c r="P19" s="213" t="s">
        <v>518</v>
      </c>
      <c r="Q19" s="35"/>
      <c r="R19" s="35"/>
      <c r="S19" s="35"/>
    </row>
    <row r="20" spans="1:19" s="34" customFormat="1" ht="13.9" hidden="1" customHeight="1" outlineLevel="2" x14ac:dyDescent="0.2">
      <c r="A20" s="457">
        <f ca="1">IF($H20="UNIDADE CONSTRUTIVA",OFFSET(A20,-1,0)+1,LARGE(A$3:A19,1))</f>
        <v>0</v>
      </c>
      <c r="B20" s="457">
        <f t="shared" ca="1" si="2"/>
        <v>1</v>
      </c>
      <c r="C20" s="457">
        <f t="shared" ca="1" si="3"/>
        <v>1</v>
      </c>
      <c r="D20" s="458">
        <f t="shared" ca="1" si="4"/>
        <v>4</v>
      </c>
      <c r="E20" s="458">
        <f t="shared" ca="1" si="5"/>
        <v>2</v>
      </c>
      <c r="G20" s="206"/>
      <c r="H20" s="207" t="s">
        <v>212</v>
      </c>
      <c r="I20" s="208" t="str">
        <f t="shared" ca="1" si="0"/>
        <v>01.001.004.002</v>
      </c>
      <c r="J20" s="209" t="s">
        <v>521</v>
      </c>
      <c r="K20" s="210" t="s">
        <v>4</v>
      </c>
      <c r="L20" s="455">
        <f>Estacas!J13</f>
        <v>1162.4285517363933</v>
      </c>
      <c r="M20" s="455">
        <v>68.180000000000007</v>
      </c>
      <c r="N20" s="285">
        <f t="shared" si="1"/>
        <v>79254.378657387308</v>
      </c>
      <c r="O20" s="462" t="s">
        <v>120</v>
      </c>
      <c r="P20" s="213" t="s">
        <v>518</v>
      </c>
      <c r="Q20" s="35"/>
      <c r="R20" s="35"/>
      <c r="S20" s="35"/>
    </row>
    <row r="21" spans="1:19" s="34" customFormat="1" ht="13.9" customHeight="1" collapsed="1" x14ac:dyDescent="0.2">
      <c r="A21" s="457">
        <f ca="1">IF($H21="UNIDADE CONSTRUTIVA",OFFSET(A21,-1,0)+1,LARGE(A$3:A20,1))</f>
        <v>0</v>
      </c>
      <c r="B21" s="457">
        <f t="shared" ca="1" si="2"/>
        <v>2</v>
      </c>
      <c r="C21" s="457">
        <f t="shared" ca="1" si="3"/>
        <v>0</v>
      </c>
      <c r="D21" s="458">
        <f t="shared" ca="1" si="4"/>
        <v>4</v>
      </c>
      <c r="E21" s="458">
        <f t="shared" ca="1" si="5"/>
        <v>2</v>
      </c>
      <c r="G21" s="206"/>
      <c r="H21" s="207" t="s">
        <v>209</v>
      </c>
      <c r="I21" s="208" t="str">
        <f t="shared" ca="1" si="0"/>
        <v>02</v>
      </c>
      <c r="J21" s="209" t="s">
        <v>110</v>
      </c>
      <c r="K21" s="210"/>
      <c r="L21" s="455"/>
      <c r="M21" s="455"/>
      <c r="N21" s="285">
        <f t="shared" ca="1" si="1"/>
        <v>1971424.1845751936</v>
      </c>
      <c r="O21" s="462"/>
      <c r="P21" s="213"/>
      <c r="Q21" s="463"/>
      <c r="R21" s="1008" t="s">
        <v>5051</v>
      </c>
      <c r="S21" s="35"/>
    </row>
    <row r="22" spans="1:19" s="34" customFormat="1" ht="13.9" hidden="1" customHeight="1" outlineLevel="1" x14ac:dyDescent="0.2">
      <c r="A22" s="457">
        <f ca="1">IF($H22="UNIDADE CONSTRUTIVA",OFFSET(A22,-1,0)+1,LARGE(A$3:A21,1))</f>
        <v>0</v>
      </c>
      <c r="B22" s="457">
        <f t="shared" ca="1" si="2"/>
        <v>2</v>
      </c>
      <c r="C22" s="457">
        <f t="shared" ca="1" si="3"/>
        <v>1</v>
      </c>
      <c r="D22" s="458">
        <f t="shared" ca="1" si="4"/>
        <v>0</v>
      </c>
      <c r="E22" s="458">
        <f t="shared" ca="1" si="5"/>
        <v>2</v>
      </c>
      <c r="G22" s="206"/>
      <c r="H22" s="207" t="s">
        <v>210</v>
      </c>
      <c r="I22" s="208" t="str">
        <f t="shared" ca="1" si="0"/>
        <v>02.001</v>
      </c>
      <c r="J22" s="209" t="s">
        <v>104</v>
      </c>
      <c r="K22" s="210"/>
      <c r="L22" s="455"/>
      <c r="M22" s="455"/>
      <c r="N22" s="285">
        <f t="shared" ca="1" si="1"/>
        <v>1184530.8676029244</v>
      </c>
      <c r="O22" s="462"/>
      <c r="P22" s="213"/>
      <c r="Q22" s="35"/>
      <c r="R22" s="35"/>
      <c r="S22" s="35"/>
    </row>
    <row r="23" spans="1:19" s="34" customFormat="1" ht="13.9" hidden="1" customHeight="1" outlineLevel="1" x14ac:dyDescent="0.2">
      <c r="A23" s="457">
        <f ca="1">IF($H23="UNIDADE CONSTRUTIVA",OFFSET(A23,-1,0)+1,LARGE(A$3:A22,1))</f>
        <v>0</v>
      </c>
      <c r="B23" s="457">
        <f t="shared" ca="1" si="2"/>
        <v>2</v>
      </c>
      <c r="C23" s="457">
        <f t="shared" ca="1" si="3"/>
        <v>1</v>
      </c>
      <c r="D23" s="458">
        <f t="shared" ca="1" si="4"/>
        <v>1</v>
      </c>
      <c r="E23" s="458">
        <f t="shared" ca="1" si="5"/>
        <v>0</v>
      </c>
      <c r="G23" s="206"/>
      <c r="H23" s="207" t="s">
        <v>211</v>
      </c>
      <c r="I23" s="208" t="str">
        <f t="shared" ca="1" si="0"/>
        <v>02.001.001</v>
      </c>
      <c r="J23" s="209" t="s">
        <v>111</v>
      </c>
      <c r="K23" s="210"/>
      <c r="L23" s="455"/>
      <c r="M23" s="455"/>
      <c r="N23" s="285">
        <f t="shared" ca="1" si="1"/>
        <v>486380.6</v>
      </c>
      <c r="O23" s="462"/>
      <c r="P23" s="213"/>
      <c r="Q23" s="35"/>
      <c r="R23" s="35"/>
      <c r="S23" s="35"/>
    </row>
    <row r="24" spans="1:19" s="34" customFormat="1" ht="13.9" hidden="1" customHeight="1" outlineLevel="2" x14ac:dyDescent="0.2">
      <c r="A24" s="457">
        <f ca="1">IF($H24="UNIDADE CONSTRUTIVA",OFFSET(A24,-1,0)+1,LARGE(A$3:A23,1))</f>
        <v>0</v>
      </c>
      <c r="B24" s="457">
        <f t="shared" ca="1" si="2"/>
        <v>2</v>
      </c>
      <c r="C24" s="457">
        <f t="shared" ca="1" si="3"/>
        <v>1</v>
      </c>
      <c r="D24" s="458">
        <f t="shared" ca="1" si="4"/>
        <v>1</v>
      </c>
      <c r="E24" s="458">
        <f t="shared" ca="1" si="5"/>
        <v>1</v>
      </c>
      <c r="G24" s="206"/>
      <c r="H24" s="207" t="s">
        <v>212</v>
      </c>
      <c r="I24" s="208" t="str">
        <f ca="1">IF(H24="Unidade Construtiva",TEXT(A24,"00"),IF(H24="Célula Construtiva",TEXT(B24,"00"),IF(H24="Etapa",CONCATENATE(TEXT(B24,"00"),".",TEXT(C24,"000")),IF(H24="Subetapa",CONCATENATE(TEXT(B24,"00"),".",TEXT(C24,"000"),".",TEXT(D24,"000")),IF(H24="Serviço",CONCATENATE(TEXT(B24,"00"),".",TEXT(C24,"000"),".",TEXT(D24,"000"),".",TEXT(E24,"000")),"")))))</f>
        <v>02.001.001.001</v>
      </c>
      <c r="J24" s="209" t="s">
        <v>741</v>
      </c>
      <c r="K24" s="210" t="s">
        <v>3</v>
      </c>
      <c r="L24" s="455">
        <f>Estacas!H15</f>
        <v>184</v>
      </c>
      <c r="M24" s="455">
        <v>68.400000000000006</v>
      </c>
      <c r="N24" s="285">
        <f t="shared" si="1"/>
        <v>12585.6</v>
      </c>
      <c r="O24" s="462"/>
      <c r="P24" s="213" t="s">
        <v>518</v>
      </c>
      <c r="Q24" s="35"/>
      <c r="R24" s="35"/>
      <c r="S24" s="35"/>
    </row>
    <row r="25" spans="1:19" s="34" customFormat="1" ht="13.9" hidden="1" customHeight="1" outlineLevel="2" x14ac:dyDescent="0.2">
      <c r="A25" s="457">
        <f ca="1">IF($H25="UNIDADE CONSTRUTIVA",OFFSET(A25,-1,0)+1,LARGE(A$3:A24,1))</f>
        <v>0</v>
      </c>
      <c r="B25" s="457">
        <f t="shared" ca="1" si="2"/>
        <v>2</v>
      </c>
      <c r="C25" s="457">
        <f t="shared" ca="1" si="3"/>
        <v>1</v>
      </c>
      <c r="D25" s="458">
        <f t="shared" ca="1" si="4"/>
        <v>1</v>
      </c>
      <c r="E25" s="458">
        <f t="shared" ca="1" si="5"/>
        <v>2</v>
      </c>
      <c r="G25" s="206"/>
      <c r="H25" s="207" t="s">
        <v>212</v>
      </c>
      <c r="I25" s="208" t="str">
        <f t="shared" ca="1" si="0"/>
        <v>02.001.001.002</v>
      </c>
      <c r="J25" s="209" t="s">
        <v>264</v>
      </c>
      <c r="K25" s="210" t="s">
        <v>3</v>
      </c>
      <c r="L25" s="455">
        <f>Estacas!H16</f>
        <v>368</v>
      </c>
      <c r="M25" s="455">
        <v>75</v>
      </c>
      <c r="N25" s="285">
        <f t="shared" si="1"/>
        <v>27600</v>
      </c>
      <c r="O25" s="462"/>
      <c r="P25" s="213" t="s">
        <v>518</v>
      </c>
      <c r="Q25" s="35"/>
      <c r="R25" s="35"/>
      <c r="S25" s="35"/>
    </row>
    <row r="26" spans="1:19" s="34" customFormat="1" ht="13.9" hidden="1" customHeight="1" outlineLevel="2" x14ac:dyDescent="0.2">
      <c r="A26" s="457">
        <f ca="1">IF($H26="UNIDADE CONSTRUTIVA",OFFSET(A26,-1,0)+1,LARGE(A$3:A25,1))</f>
        <v>0</v>
      </c>
      <c r="B26" s="457">
        <f ca="1">IF(H26="UNIDADE CONSTRUTIVA",0,IF(H26="CÉLULA CONSTRUTIVA",OFFSET(B26,-1,0)+1,OFFSET(B26,-1,0)))</f>
        <v>2</v>
      </c>
      <c r="C26" s="457">
        <f ca="1">IF(H26="CÉLULA CONSTRUTIVA",0,IF(H26="ETAPA",OFFSET(C26,-1,0)+1,OFFSET(C26,-1,0)))</f>
        <v>1</v>
      </c>
      <c r="D26" s="458">
        <f ca="1">IF(H26="ETAPA",0,IF(H26="SUBETAPA",OFFSET(D26,-1,0)+1,OFFSET(D26,-1,0)))</f>
        <v>1</v>
      </c>
      <c r="E26" s="458">
        <f ca="1">IF(H26="Subetapa",0,IF(H26="serviço",OFFSET(E26,-1,0)+1,OFFSET(E26,-1,0)))</f>
        <v>3</v>
      </c>
      <c r="G26" s="206"/>
      <c r="H26" s="207" t="s">
        <v>212</v>
      </c>
      <c r="I26" s="208" t="str">
        <f ca="1">IF(H26="Unidade Construtiva",TEXT(A26,"00"),IF(H26="Célula Construtiva",TEXT(B26,"00"),IF(H26="Etapa",CONCATENATE(TEXT(B26,"00"),".",TEXT(C26,"000")),IF(H26="Subetapa",CONCATENATE(TEXT(B26,"00"),".",TEXT(C26,"000"),".",TEXT(D26,"000")),IF(H26="Serviço",CONCATENATE(TEXT(B26,"00"),".",TEXT(C26,"000"),".",TEXT(D26,"000"),".",TEXT(E26,"000")),"")))))</f>
        <v>02.001.001.003</v>
      </c>
      <c r="J26" s="209" t="s">
        <v>413</v>
      </c>
      <c r="K26" s="210" t="s">
        <v>3</v>
      </c>
      <c r="L26" s="455">
        <f>Estacas!H17</f>
        <v>759</v>
      </c>
      <c r="M26" s="455">
        <v>155</v>
      </c>
      <c r="N26" s="285">
        <f t="shared" si="1"/>
        <v>117645</v>
      </c>
      <c r="O26" s="462"/>
      <c r="P26" s="213" t="s">
        <v>518</v>
      </c>
      <c r="Q26" s="35"/>
      <c r="R26" s="35"/>
      <c r="S26" s="35"/>
    </row>
    <row r="27" spans="1:19" s="34" customFormat="1" ht="13.9" hidden="1" customHeight="1" outlineLevel="2" x14ac:dyDescent="0.2">
      <c r="A27" s="457">
        <f ca="1">IF($H27="UNIDADE CONSTRUTIVA",OFFSET(A27,-1,0)+1,LARGE(A$3:A26,1))</f>
        <v>0</v>
      </c>
      <c r="B27" s="457">
        <f ca="1">IF(H27="UNIDADE CONSTRUTIVA",0,IF(H27="CÉLULA CONSTRUTIVA",OFFSET(B27,-1,0)+1,OFFSET(B27,-1,0)))</f>
        <v>2</v>
      </c>
      <c r="C27" s="457">
        <f ca="1">IF(H27="CÉLULA CONSTRUTIVA",0,IF(H27="ETAPA",OFFSET(C27,-1,0)+1,OFFSET(C27,-1,0)))</f>
        <v>1</v>
      </c>
      <c r="D27" s="458">
        <f ca="1">IF(H27="ETAPA",0,IF(H27="SUBETAPA",OFFSET(D27,-1,0)+1,OFFSET(D27,-1,0)))</f>
        <v>1</v>
      </c>
      <c r="E27" s="458">
        <f ca="1">IF(H27="Subetapa",0,IF(H27="serviço",OFFSET(E27,-1,0)+1,OFFSET(E27,-1,0)))</f>
        <v>4</v>
      </c>
      <c r="G27" s="206"/>
      <c r="H27" s="207" t="s">
        <v>212</v>
      </c>
      <c r="I27" s="208" t="str">
        <f ca="1">IF(H27="Unidade Construtiva",TEXT(A27,"00"),IF(H27="Célula Construtiva",TEXT(B27,"00"),IF(H27="Etapa",CONCATENATE(TEXT(B27,"00"),".",TEXT(C27,"000")),IF(H27="Subetapa",CONCATENATE(TEXT(B27,"00"),".",TEXT(C27,"000"),".",TEXT(D27,"000")),IF(H27="Serviço",CONCATENATE(TEXT(B27,"00"),".",TEXT(C27,"000"),".",TEXT(D27,"000"),".",TEXT(E27,"000")),"")))))</f>
        <v>02.001.001.004</v>
      </c>
      <c r="J27" s="209" t="s">
        <v>742</v>
      </c>
      <c r="K27" s="210" t="s">
        <v>3</v>
      </c>
      <c r="L27" s="455">
        <f>Estacas!H18</f>
        <v>1518</v>
      </c>
      <c r="M27" s="455">
        <v>175</v>
      </c>
      <c r="N27" s="285">
        <f t="shared" si="1"/>
        <v>265650</v>
      </c>
      <c r="O27" s="462"/>
      <c r="P27" s="213" t="s">
        <v>518</v>
      </c>
      <c r="Q27" s="35"/>
      <c r="R27" s="35"/>
      <c r="S27" s="35"/>
    </row>
    <row r="28" spans="1:19" s="34" customFormat="1" ht="13.9" hidden="1" customHeight="1" outlineLevel="2" x14ac:dyDescent="0.2">
      <c r="A28" s="457">
        <f ca="1">IF($H28="UNIDADE CONSTRUTIVA",OFFSET(A28,-1,0)+1,LARGE(A$3:A27,1))</f>
        <v>0</v>
      </c>
      <c r="B28" s="457">
        <f t="shared" ca="1" si="2"/>
        <v>2</v>
      </c>
      <c r="C28" s="457">
        <f t="shared" ca="1" si="3"/>
        <v>1</v>
      </c>
      <c r="D28" s="458">
        <f t="shared" ca="1" si="4"/>
        <v>1</v>
      </c>
      <c r="E28" s="458">
        <f t="shared" ca="1" si="5"/>
        <v>5</v>
      </c>
      <c r="G28" s="206"/>
      <c r="H28" s="207" t="s">
        <v>212</v>
      </c>
      <c r="I28" s="208" t="str">
        <f ca="1">IF(H28="Unidade Construtiva",TEXT(A28,"00"),IF(H28="Célula Construtiva",TEXT(B28,"00"),IF(H28="Etapa",CONCATENATE(TEXT(B28,"00"),".",TEXT(C28,"000")),IF(H28="Subetapa",CONCATENATE(TEXT(B28,"00"),".",TEXT(C28,"000"),".",TEXT(D28,"000")),IF(H28="Serviço",CONCATENATE(TEXT(B28,"00"),".",TEXT(C28,"000"),".",TEXT(D28,"000"),".",TEXT(E28,"000")),"")))))</f>
        <v>02.001.001.005</v>
      </c>
      <c r="J28" s="209" t="s">
        <v>195</v>
      </c>
      <c r="K28" s="210" t="s">
        <v>151</v>
      </c>
      <c r="L28" s="455">
        <v>1</v>
      </c>
      <c r="M28" s="455">
        <v>26000</v>
      </c>
      <c r="N28" s="285">
        <f t="shared" si="1"/>
        <v>26000</v>
      </c>
      <c r="O28" s="462"/>
      <c r="P28" s="213" t="s">
        <v>518</v>
      </c>
      <c r="Q28" s="35"/>
      <c r="R28" s="35"/>
      <c r="S28" s="35"/>
    </row>
    <row r="29" spans="1:19" s="34" customFormat="1" ht="13.9" hidden="1" customHeight="1" outlineLevel="2" x14ac:dyDescent="0.2">
      <c r="A29" s="457">
        <f ca="1">IF($H29="UNIDADE CONSTRUTIVA",OFFSET(A29,-1,0)+1,LARGE(A$3:A28,1))</f>
        <v>0</v>
      </c>
      <c r="B29" s="457">
        <f t="shared" ca="1" si="2"/>
        <v>2</v>
      </c>
      <c r="C29" s="457">
        <f t="shared" ca="1" si="3"/>
        <v>1</v>
      </c>
      <c r="D29" s="458">
        <f t="shared" ca="1" si="4"/>
        <v>1</v>
      </c>
      <c r="E29" s="458">
        <f t="shared" ca="1" si="5"/>
        <v>6</v>
      </c>
      <c r="G29" s="206"/>
      <c r="H29" s="207" t="s">
        <v>212</v>
      </c>
      <c r="I29" s="208" t="str">
        <f t="shared" ca="1" si="0"/>
        <v>02.001.001.006</v>
      </c>
      <c r="J29" s="209" t="s">
        <v>522</v>
      </c>
      <c r="K29" s="210" t="s">
        <v>2</v>
      </c>
      <c r="L29" s="455">
        <f>Estacas!C13</f>
        <v>123</v>
      </c>
      <c r="M29" s="455">
        <v>300</v>
      </c>
      <c r="N29" s="285">
        <f t="shared" si="1"/>
        <v>36900</v>
      </c>
      <c r="O29" s="462"/>
      <c r="P29" s="213" t="s">
        <v>518</v>
      </c>
      <c r="Q29" s="35"/>
      <c r="R29" s="35"/>
      <c r="S29" s="35"/>
    </row>
    <row r="30" spans="1:19" s="34" customFormat="1" ht="13.9" hidden="1" customHeight="1" outlineLevel="1" x14ac:dyDescent="0.2">
      <c r="A30" s="457">
        <f ca="1">IF($H30="UNIDADE CONSTRUTIVA",OFFSET(A30,-1,0)+1,LARGE(A$3:A29,1))</f>
        <v>0</v>
      </c>
      <c r="B30" s="457">
        <f t="shared" ca="1" si="2"/>
        <v>2</v>
      </c>
      <c r="C30" s="457">
        <f t="shared" ca="1" si="3"/>
        <v>1</v>
      </c>
      <c r="D30" s="458">
        <f t="shared" ca="1" si="4"/>
        <v>2</v>
      </c>
      <c r="E30" s="458">
        <f t="shared" ca="1" si="5"/>
        <v>0</v>
      </c>
      <c r="G30" s="206"/>
      <c r="H30" s="207" t="s">
        <v>211</v>
      </c>
      <c r="I30" s="208" t="str">
        <f t="shared" ca="1" si="0"/>
        <v>02.001.002</v>
      </c>
      <c r="J30" s="209" t="s">
        <v>112</v>
      </c>
      <c r="K30" s="210"/>
      <c r="L30" s="464"/>
      <c r="M30" s="464"/>
      <c r="N30" s="285">
        <f t="shared" ca="1" si="1"/>
        <v>93687.420699999988</v>
      </c>
      <c r="O30" s="462"/>
      <c r="P30" s="213"/>
      <c r="Q30" s="35"/>
      <c r="R30" s="35"/>
      <c r="S30" s="35"/>
    </row>
    <row r="31" spans="1:19" s="34" customFormat="1" ht="13.9" hidden="1" customHeight="1" outlineLevel="2" x14ac:dyDescent="0.2">
      <c r="A31" s="457">
        <f ca="1">IF($H31="UNIDADE CONSTRUTIVA",OFFSET(A31,-1,0)+1,LARGE(A$3:A30,1))</f>
        <v>0</v>
      </c>
      <c r="B31" s="457">
        <f t="shared" ca="1" si="2"/>
        <v>2</v>
      </c>
      <c r="C31" s="457">
        <f t="shared" ca="1" si="3"/>
        <v>1</v>
      </c>
      <c r="D31" s="458">
        <f t="shared" ca="1" si="4"/>
        <v>2</v>
      </c>
      <c r="E31" s="458">
        <f t="shared" ca="1" si="5"/>
        <v>1</v>
      </c>
      <c r="G31" s="206"/>
      <c r="H31" s="207" t="s">
        <v>212</v>
      </c>
      <c r="I31" s="208" t="str">
        <f t="shared" ca="1" si="0"/>
        <v>02.001.002.001</v>
      </c>
      <c r="J31" s="209" t="s">
        <v>113</v>
      </c>
      <c r="K31" s="210" t="s">
        <v>5</v>
      </c>
      <c r="L31" s="455">
        <f>Estacas!M13</f>
        <v>2654.6363636363635</v>
      </c>
      <c r="M31" s="455">
        <v>7.1071</v>
      </c>
      <c r="N31" s="285">
        <f t="shared" si="1"/>
        <v>18866.766100000001</v>
      </c>
      <c r="O31" s="462"/>
      <c r="P31" s="213" t="s">
        <v>518</v>
      </c>
      <c r="Q31" s="35"/>
      <c r="R31" s="35"/>
      <c r="S31" s="35"/>
    </row>
    <row r="32" spans="1:19" s="34" customFormat="1" ht="13.9" hidden="1" customHeight="1" outlineLevel="2" x14ac:dyDescent="0.2">
      <c r="A32" s="457">
        <f ca="1">IF($H32="UNIDADE CONSTRUTIVA",OFFSET(A32,-1,0)+1,LARGE(A$3:A31,1))</f>
        <v>0</v>
      </c>
      <c r="B32" s="457">
        <f t="shared" ca="1" si="2"/>
        <v>2</v>
      </c>
      <c r="C32" s="457">
        <f t="shared" ca="1" si="3"/>
        <v>1</v>
      </c>
      <c r="D32" s="458">
        <f t="shared" ca="1" si="4"/>
        <v>2</v>
      </c>
      <c r="E32" s="458">
        <f t="shared" ca="1" si="5"/>
        <v>2</v>
      </c>
      <c r="G32" s="206"/>
      <c r="H32" s="207" t="s">
        <v>212</v>
      </c>
      <c r="I32" s="208" t="str">
        <f t="shared" ca="1" si="0"/>
        <v>02.001.002.002</v>
      </c>
      <c r="J32" s="209" t="s">
        <v>743</v>
      </c>
      <c r="K32" s="210" t="s">
        <v>5</v>
      </c>
      <c r="L32" s="455">
        <f>Estacas!N13</f>
        <v>1170.9999999999998</v>
      </c>
      <c r="M32" s="455">
        <v>6.6523000000000003</v>
      </c>
      <c r="N32" s="285">
        <f t="shared" si="1"/>
        <v>7789.8432999999986</v>
      </c>
      <c r="O32" s="462"/>
      <c r="P32" s="213" t="s">
        <v>518</v>
      </c>
      <c r="Q32" s="35"/>
      <c r="R32" s="35"/>
      <c r="S32" s="35"/>
    </row>
    <row r="33" spans="1:19" s="34" customFormat="1" ht="13.9" hidden="1" customHeight="1" outlineLevel="2" x14ac:dyDescent="0.2">
      <c r="A33" s="457">
        <f ca="1">IF($H33="UNIDADE CONSTRUTIVA",OFFSET(A33,-1,0)+1,LARGE(A$3:A32,1))</f>
        <v>0</v>
      </c>
      <c r="B33" s="457">
        <f t="shared" ca="1" si="2"/>
        <v>2</v>
      </c>
      <c r="C33" s="457">
        <f t="shared" ca="1" si="3"/>
        <v>1</v>
      </c>
      <c r="D33" s="458">
        <f t="shared" ca="1" si="4"/>
        <v>2</v>
      </c>
      <c r="E33" s="458">
        <f t="shared" ca="1" si="5"/>
        <v>3</v>
      </c>
      <c r="G33" s="206"/>
      <c r="H33" s="207" t="s">
        <v>212</v>
      </c>
      <c r="I33" s="208" t="str">
        <f t="shared" ca="1" si="0"/>
        <v>02.001.002.003</v>
      </c>
      <c r="J33" s="209" t="s">
        <v>744</v>
      </c>
      <c r="K33" s="210" t="s">
        <v>5</v>
      </c>
      <c r="L33" s="455">
        <f>Estacas!O13</f>
        <v>10414.81818181818</v>
      </c>
      <c r="M33" s="455">
        <v>6.4360999999999997</v>
      </c>
      <c r="N33" s="285">
        <f t="shared" si="1"/>
        <v>67030.811299999987</v>
      </c>
      <c r="O33" s="462"/>
      <c r="P33" s="213" t="s">
        <v>518</v>
      </c>
      <c r="Q33" s="35"/>
      <c r="R33" s="35"/>
      <c r="S33" s="35"/>
    </row>
    <row r="34" spans="1:19" s="34" customFormat="1" ht="13.9" hidden="1" customHeight="1" outlineLevel="1" x14ac:dyDescent="0.2">
      <c r="A34" s="457">
        <f ca="1">IF($H34="UNIDADE CONSTRUTIVA",OFFSET(A34,-1,0)+1,LARGE(A$3:A33,1))</f>
        <v>0</v>
      </c>
      <c r="B34" s="457">
        <f t="shared" ca="1" si="2"/>
        <v>2</v>
      </c>
      <c r="C34" s="457">
        <f t="shared" ca="1" si="3"/>
        <v>1</v>
      </c>
      <c r="D34" s="458">
        <f t="shared" ca="1" si="4"/>
        <v>3</v>
      </c>
      <c r="E34" s="458">
        <f t="shared" ca="1" si="5"/>
        <v>0</v>
      </c>
      <c r="G34" s="206"/>
      <c r="H34" s="207" t="s">
        <v>211</v>
      </c>
      <c r="I34" s="208" t="str">
        <f t="shared" ca="1" si="0"/>
        <v>02.001.003</v>
      </c>
      <c r="J34" s="209" t="s">
        <v>79</v>
      </c>
      <c r="K34" s="210"/>
      <c r="L34" s="464"/>
      <c r="M34" s="464"/>
      <c r="N34" s="285">
        <f t="shared" ca="1" si="1"/>
        <v>604462.84690292447</v>
      </c>
      <c r="O34" s="462"/>
      <c r="P34" s="213"/>
      <c r="Q34" s="35"/>
      <c r="R34" s="35"/>
      <c r="S34" s="35"/>
    </row>
    <row r="35" spans="1:19" s="34" customFormat="1" ht="13.9" hidden="1" customHeight="1" outlineLevel="2" x14ac:dyDescent="0.2">
      <c r="A35" s="457">
        <f ca="1">IF($H35="UNIDADE CONSTRUTIVA",OFFSET(A35,-1,0)+1,LARGE(A$3:A34,1))</f>
        <v>0</v>
      </c>
      <c r="B35" s="457">
        <f t="shared" ca="1" si="2"/>
        <v>2</v>
      </c>
      <c r="C35" s="457">
        <f t="shared" ca="1" si="3"/>
        <v>1</v>
      </c>
      <c r="D35" s="458">
        <f t="shared" ca="1" si="4"/>
        <v>3</v>
      </c>
      <c r="E35" s="458">
        <f t="shared" ca="1" si="5"/>
        <v>1</v>
      </c>
      <c r="G35" s="206"/>
      <c r="H35" s="207" t="s">
        <v>212</v>
      </c>
      <c r="I35" s="208" t="str">
        <f t="shared" ca="1" si="0"/>
        <v>02.001.003.001</v>
      </c>
      <c r="J35" s="209" t="s">
        <v>415</v>
      </c>
      <c r="K35" s="210" t="s">
        <v>4</v>
      </c>
      <c r="L35" s="455">
        <f>Estacas!K18</f>
        <v>894.17580902799477</v>
      </c>
      <c r="M35" s="455">
        <v>676</v>
      </c>
      <c r="N35" s="285">
        <f t="shared" si="1"/>
        <v>604462.84690292447</v>
      </c>
      <c r="O35" s="462" t="s">
        <v>4981</v>
      </c>
      <c r="P35" s="213" t="s">
        <v>518</v>
      </c>
      <c r="Q35" s="35"/>
      <c r="R35" s="35"/>
      <c r="S35" s="35"/>
    </row>
    <row r="36" spans="1:19" s="34" customFormat="1" ht="13.9" hidden="1" customHeight="1" outlineLevel="1" x14ac:dyDescent="0.2">
      <c r="A36" s="457">
        <f ca="1">IF($H36="UNIDADE CONSTRUTIVA",OFFSET(A36,-1,0)+1,LARGE(A$3:A35,1))</f>
        <v>0</v>
      </c>
      <c r="B36" s="457">
        <f t="shared" ca="1" si="2"/>
        <v>2</v>
      </c>
      <c r="C36" s="457">
        <f t="shared" ca="1" si="3"/>
        <v>2</v>
      </c>
      <c r="D36" s="458">
        <f t="shared" ca="1" si="4"/>
        <v>0</v>
      </c>
      <c r="E36" s="458">
        <f t="shared" ca="1" si="5"/>
        <v>1</v>
      </c>
      <c r="G36" s="206"/>
      <c r="H36" s="207" t="s">
        <v>210</v>
      </c>
      <c r="I36" s="208" t="str">
        <f t="shared" ca="1" si="0"/>
        <v>02.002</v>
      </c>
      <c r="J36" s="209" t="s">
        <v>105</v>
      </c>
      <c r="K36" s="210"/>
      <c r="L36" s="455"/>
      <c r="M36" s="455"/>
      <c r="N36" s="285">
        <f t="shared" ca="1" si="1"/>
        <v>786893.31697226944</v>
      </c>
      <c r="O36" s="462"/>
      <c r="P36" s="213"/>
      <c r="Q36" s="35"/>
      <c r="R36" s="35"/>
      <c r="S36" s="35"/>
    </row>
    <row r="37" spans="1:19" s="34" customFormat="1" ht="13.9" hidden="1" customHeight="1" outlineLevel="1" x14ac:dyDescent="0.2">
      <c r="A37" s="457">
        <f ca="1">IF($H37="UNIDADE CONSTRUTIVA",OFFSET(A37,-1,0)+1,LARGE(A$3:A36,1))</f>
        <v>0</v>
      </c>
      <c r="B37" s="457">
        <f t="shared" ca="1" si="2"/>
        <v>2</v>
      </c>
      <c r="C37" s="457">
        <f t="shared" ca="1" si="3"/>
        <v>2</v>
      </c>
      <c r="D37" s="458">
        <f t="shared" ca="1" si="4"/>
        <v>1</v>
      </c>
      <c r="E37" s="458">
        <f t="shared" ca="1" si="5"/>
        <v>0</v>
      </c>
      <c r="G37" s="206"/>
      <c r="H37" s="207" t="s">
        <v>211</v>
      </c>
      <c r="I37" s="208" t="str">
        <f t="shared" ca="1" si="0"/>
        <v>02.002.001</v>
      </c>
      <c r="J37" s="209" t="s">
        <v>115</v>
      </c>
      <c r="K37" s="210"/>
      <c r="L37" s="455"/>
      <c r="M37" s="455"/>
      <c r="N37" s="285">
        <f t="shared" ca="1" si="1"/>
        <v>77154.328617000006</v>
      </c>
      <c r="O37" s="462"/>
      <c r="P37" s="213"/>
      <c r="Q37" s="35"/>
      <c r="R37" s="35"/>
      <c r="S37" s="35"/>
    </row>
    <row r="38" spans="1:19" s="34" customFormat="1" ht="13.9" hidden="1" customHeight="1" outlineLevel="2" x14ac:dyDescent="0.2">
      <c r="A38" s="457">
        <f ca="1">IF($H38="UNIDADE CONSTRUTIVA",OFFSET(A38,-1,0)+1,LARGE(A$3:A37,1))</f>
        <v>0</v>
      </c>
      <c r="B38" s="457">
        <f t="shared" ca="1" si="2"/>
        <v>2</v>
      </c>
      <c r="C38" s="457">
        <f t="shared" ca="1" si="3"/>
        <v>2</v>
      </c>
      <c r="D38" s="458">
        <f t="shared" ca="1" si="4"/>
        <v>1</v>
      </c>
      <c r="E38" s="458">
        <f t="shared" ca="1" si="5"/>
        <v>1</v>
      </c>
      <c r="G38" s="206"/>
      <c r="H38" s="207" t="s">
        <v>212</v>
      </c>
      <c r="I38" s="208" t="str">
        <f t="shared" ca="1" si="0"/>
        <v>02.002.001.001</v>
      </c>
      <c r="J38" s="209" t="s">
        <v>745</v>
      </c>
      <c r="K38" s="210" t="s">
        <v>1</v>
      </c>
      <c r="L38" s="455">
        <f>Aço_Infraestrutura!L29</f>
        <v>1381.81</v>
      </c>
      <c r="M38" s="455">
        <v>55.835700000000003</v>
      </c>
      <c r="N38" s="285">
        <f t="shared" si="1"/>
        <v>77154.328617000006</v>
      </c>
      <c r="O38" s="462" t="s">
        <v>523</v>
      </c>
      <c r="P38" s="213" t="s">
        <v>518</v>
      </c>
      <c r="Q38" s="35"/>
      <c r="R38" s="35"/>
      <c r="S38" s="35"/>
    </row>
    <row r="39" spans="1:19" s="34" customFormat="1" ht="13.9" hidden="1" customHeight="1" outlineLevel="1" x14ac:dyDescent="0.2">
      <c r="A39" s="457">
        <f ca="1">IF($H39="UNIDADE CONSTRUTIVA",OFFSET(A39,-1,0)+1,LARGE(A$3:A38,1))</f>
        <v>0</v>
      </c>
      <c r="B39" s="457">
        <f t="shared" ca="1" si="2"/>
        <v>2</v>
      </c>
      <c r="C39" s="457">
        <f t="shared" ca="1" si="3"/>
        <v>2</v>
      </c>
      <c r="D39" s="458">
        <f t="shared" ca="1" si="4"/>
        <v>2</v>
      </c>
      <c r="E39" s="458">
        <f t="shared" ca="1" si="5"/>
        <v>0</v>
      </c>
      <c r="G39" s="206"/>
      <c r="H39" s="207" t="s">
        <v>211</v>
      </c>
      <c r="I39" s="208" t="str">
        <f t="shared" ca="1" si="0"/>
        <v>02.002.002</v>
      </c>
      <c r="J39" s="209" t="s">
        <v>112</v>
      </c>
      <c r="K39" s="210"/>
      <c r="L39" s="464"/>
      <c r="M39" s="464"/>
      <c r="N39" s="285">
        <f t="shared" ca="1" si="1"/>
        <v>221730.83473634944</v>
      </c>
      <c r="O39" s="462"/>
      <c r="P39" s="213"/>
      <c r="Q39" s="35"/>
      <c r="R39" s="35"/>
      <c r="S39" s="35"/>
    </row>
    <row r="40" spans="1:19" s="34" customFormat="1" ht="13.9" hidden="1" customHeight="1" outlineLevel="2" x14ac:dyDescent="0.2">
      <c r="A40" s="457">
        <f ca="1">IF($H40="UNIDADE CONSTRUTIVA",OFFSET(A40,-1,0)+1,LARGE(A$3:A39,1))</f>
        <v>0</v>
      </c>
      <c r="B40" s="457">
        <f t="shared" ca="1" si="2"/>
        <v>2</v>
      </c>
      <c r="C40" s="457">
        <f t="shared" ca="1" si="3"/>
        <v>2</v>
      </c>
      <c r="D40" s="458">
        <f t="shared" ca="1" si="4"/>
        <v>2</v>
      </c>
      <c r="E40" s="458">
        <f t="shared" ca="1" si="5"/>
        <v>1</v>
      </c>
      <c r="G40" s="206"/>
      <c r="H40" s="207" t="s">
        <v>212</v>
      </c>
      <c r="I40" s="208" t="str">
        <f t="shared" ca="1" si="0"/>
        <v>02.002.002.001</v>
      </c>
      <c r="J40" s="209" t="s">
        <v>189</v>
      </c>
      <c r="K40" s="210" t="s">
        <v>5</v>
      </c>
      <c r="L40" s="455">
        <f>Aço_Infraestrutura!D29</f>
        <v>3094.0728090909088</v>
      </c>
      <c r="M40" s="455">
        <v>6.9770000000000003</v>
      </c>
      <c r="N40" s="285">
        <f t="shared" si="1"/>
        <v>21587.345989027272</v>
      </c>
      <c r="O40" s="462" t="s">
        <v>524</v>
      </c>
      <c r="P40" s="213" t="s">
        <v>518</v>
      </c>
      <c r="Q40" s="35"/>
      <c r="R40" s="35"/>
      <c r="S40" s="35"/>
    </row>
    <row r="41" spans="1:19" s="34" customFormat="1" ht="13.9" hidden="1" customHeight="1" outlineLevel="2" x14ac:dyDescent="0.2">
      <c r="A41" s="457">
        <f ca="1">IF($H41="UNIDADE CONSTRUTIVA",OFFSET(A41,-1,0)+1,LARGE(A$3:A40,1))</f>
        <v>0</v>
      </c>
      <c r="B41" s="457">
        <f t="shared" ca="1" si="2"/>
        <v>2</v>
      </c>
      <c r="C41" s="457">
        <f t="shared" ca="1" si="3"/>
        <v>2</v>
      </c>
      <c r="D41" s="458">
        <f t="shared" ca="1" si="4"/>
        <v>2</v>
      </c>
      <c r="E41" s="458">
        <f t="shared" ca="1" si="5"/>
        <v>2</v>
      </c>
      <c r="G41" s="206"/>
      <c r="H41" s="207" t="s">
        <v>212</v>
      </c>
      <c r="I41" s="208" t="str">
        <f t="shared" ca="1" si="0"/>
        <v>02.002.002.002</v>
      </c>
      <c r="J41" s="209" t="s">
        <v>116</v>
      </c>
      <c r="K41" s="210" t="s">
        <v>5</v>
      </c>
      <c r="L41" s="455">
        <f>Aço_Infraestrutura!E29</f>
        <v>2423.2132363636365</v>
      </c>
      <c r="M41" s="455">
        <v>6.7137000000000002</v>
      </c>
      <c r="N41" s="285">
        <f t="shared" si="1"/>
        <v>16268.726704974546</v>
      </c>
      <c r="O41" s="462" t="s">
        <v>524</v>
      </c>
      <c r="P41" s="213" t="s">
        <v>518</v>
      </c>
      <c r="Q41" s="35"/>
      <c r="R41" s="35"/>
      <c r="S41" s="35"/>
    </row>
    <row r="42" spans="1:19" s="34" customFormat="1" ht="13.9" hidden="1" customHeight="1" outlineLevel="2" x14ac:dyDescent="0.2">
      <c r="A42" s="457">
        <f ca="1">IF($H42="UNIDADE CONSTRUTIVA",OFFSET(A42,-1,0)+1,LARGE(A$3:A41,1))</f>
        <v>0</v>
      </c>
      <c r="B42" s="457">
        <f t="shared" ca="1" si="2"/>
        <v>2</v>
      </c>
      <c r="C42" s="457">
        <f t="shared" ca="1" si="3"/>
        <v>2</v>
      </c>
      <c r="D42" s="458">
        <f t="shared" ca="1" si="4"/>
        <v>2</v>
      </c>
      <c r="E42" s="458">
        <f t="shared" ca="1" si="5"/>
        <v>3</v>
      </c>
      <c r="G42" s="206"/>
      <c r="H42" s="207" t="s">
        <v>212</v>
      </c>
      <c r="I42" s="208" t="str">
        <f t="shared" ca="1" si="0"/>
        <v>02.002.002.003</v>
      </c>
      <c r="J42" s="209" t="s">
        <v>117</v>
      </c>
      <c r="K42" s="210" t="s">
        <v>5</v>
      </c>
      <c r="L42" s="455">
        <f>Aço_Infraestrutura!F29</f>
        <v>2659.6330109090904</v>
      </c>
      <c r="M42" s="455">
        <v>6.1637000000000004</v>
      </c>
      <c r="N42" s="285">
        <f t="shared" si="1"/>
        <v>16393.179989340362</v>
      </c>
      <c r="O42" s="462" t="s">
        <v>524</v>
      </c>
      <c r="P42" s="213" t="s">
        <v>518</v>
      </c>
      <c r="Q42" s="35"/>
      <c r="R42" s="35"/>
      <c r="S42" s="35"/>
    </row>
    <row r="43" spans="1:19" s="34" customFormat="1" ht="13.9" hidden="1" customHeight="1" outlineLevel="2" x14ac:dyDescent="0.2">
      <c r="A43" s="457">
        <f ca="1">IF($H43="UNIDADE CONSTRUTIVA",OFFSET(A43,-1,0)+1,LARGE(A$3:A42,1))</f>
        <v>0</v>
      </c>
      <c r="B43" s="457">
        <f t="shared" ca="1" si="2"/>
        <v>2</v>
      </c>
      <c r="C43" s="457">
        <f t="shared" ca="1" si="3"/>
        <v>2</v>
      </c>
      <c r="D43" s="458">
        <f t="shared" ca="1" si="4"/>
        <v>2</v>
      </c>
      <c r="E43" s="458">
        <f t="shared" ca="1" si="5"/>
        <v>4</v>
      </c>
      <c r="G43" s="206"/>
      <c r="H43" s="207" t="s">
        <v>212</v>
      </c>
      <c r="I43" s="208" t="str">
        <f t="shared" ca="1" si="0"/>
        <v>02.002.002.004</v>
      </c>
      <c r="J43" s="209" t="s">
        <v>190</v>
      </c>
      <c r="K43" s="210" t="s">
        <v>5</v>
      </c>
      <c r="L43" s="455">
        <f>Aço_Infraestrutura!G29</f>
        <v>2977.7342181818181</v>
      </c>
      <c r="M43" s="455">
        <v>6.3396999999999997</v>
      </c>
      <c r="N43" s="285">
        <f t="shared" si="1"/>
        <v>18877.941623007271</v>
      </c>
      <c r="O43" s="462" t="s">
        <v>524</v>
      </c>
      <c r="P43" s="213" t="s">
        <v>518</v>
      </c>
      <c r="Q43" s="35"/>
      <c r="R43" s="35"/>
      <c r="S43" s="35"/>
    </row>
    <row r="44" spans="1:19" s="34" customFormat="1" ht="13.9" hidden="1" customHeight="1" outlineLevel="2" x14ac:dyDescent="0.2">
      <c r="A44" s="457">
        <f ca="1">IF($H44="UNIDADE CONSTRUTIVA",OFFSET(A44,-1,0)+1,LARGE(A$3:A43,1))</f>
        <v>0</v>
      </c>
      <c r="B44" s="457">
        <f t="shared" ca="1" si="2"/>
        <v>2</v>
      </c>
      <c r="C44" s="457">
        <f t="shared" ca="1" si="3"/>
        <v>2</v>
      </c>
      <c r="D44" s="458">
        <f t="shared" ca="1" si="4"/>
        <v>2</v>
      </c>
      <c r="E44" s="458">
        <f t="shared" ca="1" si="5"/>
        <v>5</v>
      </c>
      <c r="G44" s="206"/>
      <c r="H44" s="207" t="s">
        <v>212</v>
      </c>
      <c r="I44" s="208" t="str">
        <f t="shared" ca="1" si="0"/>
        <v>02.002.002.005</v>
      </c>
      <c r="J44" s="209" t="s">
        <v>118</v>
      </c>
      <c r="K44" s="210" t="s">
        <v>5</v>
      </c>
      <c r="L44" s="455">
        <f>Aço_Infraestrutura!H29</f>
        <v>1885.8545454545454</v>
      </c>
      <c r="M44" s="455">
        <v>6.3067000000000002</v>
      </c>
      <c r="N44" s="285">
        <f t="shared" si="1"/>
        <v>11893.518861818182</v>
      </c>
      <c r="O44" s="462" t="s">
        <v>524</v>
      </c>
      <c r="P44" s="213" t="s">
        <v>518</v>
      </c>
      <c r="Q44" s="35"/>
      <c r="R44" s="35"/>
      <c r="S44" s="35"/>
    </row>
    <row r="45" spans="1:19" s="34" customFormat="1" ht="13.9" hidden="1" customHeight="1" outlineLevel="2" x14ac:dyDescent="0.2">
      <c r="A45" s="457">
        <f ca="1">IF($H45="UNIDADE CONSTRUTIVA",OFFSET(A45,-1,0)+1,LARGE(A$3:A44,1))</f>
        <v>0</v>
      </c>
      <c r="B45" s="457">
        <f t="shared" ca="1" si="2"/>
        <v>2</v>
      </c>
      <c r="C45" s="457">
        <f t="shared" ca="1" si="3"/>
        <v>2</v>
      </c>
      <c r="D45" s="458">
        <f t="shared" ca="1" si="4"/>
        <v>2</v>
      </c>
      <c r="E45" s="458">
        <f t="shared" ca="1" si="5"/>
        <v>6</v>
      </c>
      <c r="G45" s="206"/>
      <c r="H45" s="207" t="s">
        <v>212</v>
      </c>
      <c r="I45" s="208" t="str">
        <f t="shared" ca="1" si="0"/>
        <v>02.002.002.006</v>
      </c>
      <c r="J45" s="209" t="s">
        <v>191</v>
      </c>
      <c r="K45" s="210" t="s">
        <v>5</v>
      </c>
      <c r="L45" s="455">
        <f>Aço_Infraestrutura!I29</f>
        <v>7412.0090909090904</v>
      </c>
      <c r="M45" s="455">
        <v>6.1637000000000004</v>
      </c>
      <c r="N45" s="285">
        <f t="shared" si="1"/>
        <v>45685.400433636365</v>
      </c>
      <c r="O45" s="462" t="s">
        <v>524</v>
      </c>
      <c r="P45" s="213" t="s">
        <v>518</v>
      </c>
      <c r="Q45" s="35"/>
      <c r="R45" s="35"/>
      <c r="S45" s="35"/>
    </row>
    <row r="46" spans="1:19" s="34" customFormat="1" ht="13.9" hidden="1" customHeight="1" outlineLevel="2" x14ac:dyDescent="0.2">
      <c r="A46" s="457">
        <f ca="1">IF($H46="UNIDADE CONSTRUTIVA",OFFSET(A46,-1,0)+1,LARGE(A$3:A45,1))</f>
        <v>0</v>
      </c>
      <c r="B46" s="457">
        <f t="shared" ca="1" si="2"/>
        <v>2</v>
      </c>
      <c r="C46" s="457">
        <f t="shared" ca="1" si="3"/>
        <v>2</v>
      </c>
      <c r="D46" s="458">
        <f t="shared" ca="1" si="4"/>
        <v>2</v>
      </c>
      <c r="E46" s="458">
        <f t="shared" ca="1" si="5"/>
        <v>7</v>
      </c>
      <c r="G46" s="206"/>
      <c r="H46" s="207" t="s">
        <v>212</v>
      </c>
      <c r="I46" s="208" t="str">
        <f ca="1">IF(H46="Unidade Construtiva",TEXT(A46,"00"),IF(H46="Célula Construtiva",TEXT(B46,"00"),IF(H46="Etapa",CONCATENATE(TEXT(B46,"00"),".",TEXT(C46,"000")),IF(H46="Subetapa",CONCATENATE(TEXT(B46,"00"),".",TEXT(C46,"000"),".",TEXT(D46,"000")),IF(H46="Serviço",CONCATENATE(TEXT(B46,"00"),".",TEXT(C46,"000"),".",TEXT(D46,"000"),".",TEXT(E46,"000")),"")))))</f>
        <v>02.002.002.007</v>
      </c>
      <c r="J46" s="209" t="s">
        <v>525</v>
      </c>
      <c r="K46" s="210" t="s">
        <v>5</v>
      </c>
      <c r="L46" s="455">
        <f>Aço_Infraestrutura!J29</f>
        <v>11885.745454545453</v>
      </c>
      <c r="M46" s="455">
        <v>7.4177</v>
      </c>
      <c r="N46" s="285">
        <f t="shared" si="1"/>
        <v>88164.894058181802</v>
      </c>
      <c r="O46" s="462" t="s">
        <v>524</v>
      </c>
      <c r="P46" s="213" t="s">
        <v>518</v>
      </c>
      <c r="Q46" s="35"/>
      <c r="R46" s="35"/>
      <c r="S46" s="35"/>
    </row>
    <row r="47" spans="1:19" s="34" customFormat="1" ht="13.9" hidden="1" customHeight="1" outlineLevel="2" x14ac:dyDescent="0.2">
      <c r="A47" s="457">
        <f ca="1">IF($H47="UNIDADE CONSTRUTIVA",OFFSET(A47,-1,0)+1,LARGE(A$3:A46,1))</f>
        <v>0</v>
      </c>
      <c r="B47" s="457">
        <f t="shared" ca="1" si="2"/>
        <v>2</v>
      </c>
      <c r="C47" s="457">
        <f t="shared" ca="1" si="3"/>
        <v>2</v>
      </c>
      <c r="D47" s="458">
        <f t="shared" ca="1" si="4"/>
        <v>2</v>
      </c>
      <c r="E47" s="458">
        <f t="shared" ca="1" si="5"/>
        <v>8</v>
      </c>
      <c r="G47" s="206"/>
      <c r="H47" s="207" t="s">
        <v>212</v>
      </c>
      <c r="I47" s="208" t="str">
        <f t="shared" ca="1" si="0"/>
        <v>02.002.002.008</v>
      </c>
      <c r="J47" s="209" t="s">
        <v>198</v>
      </c>
      <c r="K47" s="210" t="s">
        <v>5</v>
      </c>
      <c r="L47" s="455">
        <f>Aço_Infraestrutura!K29</f>
        <v>372.29090909090905</v>
      </c>
      <c r="M47" s="455">
        <v>7.6817000000000002</v>
      </c>
      <c r="N47" s="285">
        <f t="shared" si="1"/>
        <v>2859.827076363636</v>
      </c>
      <c r="O47" s="462" t="s">
        <v>524</v>
      </c>
      <c r="P47" s="213" t="s">
        <v>518</v>
      </c>
      <c r="Q47" s="35"/>
      <c r="R47" s="35"/>
      <c r="S47" s="35"/>
    </row>
    <row r="48" spans="1:19" s="34" customFormat="1" ht="13.9" hidden="1" customHeight="1" outlineLevel="1" x14ac:dyDescent="0.2">
      <c r="A48" s="457">
        <f ca="1">IF($H48="UNIDADE CONSTRUTIVA",OFFSET(A48,-1,0)+1,LARGE(A$3:A47,1))</f>
        <v>0</v>
      </c>
      <c r="B48" s="457">
        <f t="shared" ca="1" si="2"/>
        <v>2</v>
      </c>
      <c r="C48" s="457">
        <f t="shared" ca="1" si="3"/>
        <v>2</v>
      </c>
      <c r="D48" s="458">
        <f t="shared" ca="1" si="4"/>
        <v>3</v>
      </c>
      <c r="E48" s="458">
        <f t="shared" ca="1" si="5"/>
        <v>0</v>
      </c>
      <c r="G48" s="206"/>
      <c r="H48" s="207" t="s">
        <v>211</v>
      </c>
      <c r="I48" s="208" t="str">
        <f t="shared" ca="1" si="0"/>
        <v>02.002.003</v>
      </c>
      <c r="J48" s="209" t="s">
        <v>80</v>
      </c>
      <c r="K48" s="210"/>
      <c r="L48" s="464"/>
      <c r="M48" s="464"/>
      <c r="N48" s="285">
        <f t="shared" ca="1" si="1"/>
        <v>200180.95361891997</v>
      </c>
      <c r="O48" s="462"/>
      <c r="P48" s="213"/>
      <c r="Q48" s="35"/>
      <c r="R48" s="35"/>
      <c r="S48" s="35"/>
    </row>
    <row r="49" spans="1:19" s="34" customFormat="1" ht="13.9" hidden="1" customHeight="1" outlineLevel="2" x14ac:dyDescent="0.2">
      <c r="A49" s="457">
        <f ca="1">IF($H49="UNIDADE CONSTRUTIVA",OFFSET(A49,-1,0)+1,LARGE(A$3:A48,1))</f>
        <v>0</v>
      </c>
      <c r="B49" s="457">
        <f t="shared" ca="1" si="2"/>
        <v>2</v>
      </c>
      <c r="C49" s="457">
        <f t="shared" ca="1" si="3"/>
        <v>2</v>
      </c>
      <c r="D49" s="458">
        <f t="shared" ca="1" si="4"/>
        <v>3</v>
      </c>
      <c r="E49" s="458">
        <f t="shared" ca="1" si="5"/>
        <v>1</v>
      </c>
      <c r="G49" s="206"/>
      <c r="H49" s="207" t="s">
        <v>212</v>
      </c>
      <c r="I49" s="208" t="str">
        <f ca="1">IF(H49="Unidade Construtiva",TEXT(A49,"00"),IF(H49="Célula Construtiva",TEXT(B49,"00"),IF(H49="Etapa",CONCATENATE(TEXT(B49,"00"),".",TEXT(C49,"000")),IF(H49="Subetapa",CONCATENATE(TEXT(B49,"00"),".",TEXT(C49,"000"),".",TEXT(D49,"000")),IF(H49="Serviço",CONCATENATE(TEXT(B49,"00"),".",TEXT(C49,"000"),".",TEXT(D49,"000"),".",TEXT(E49,"000")),"")))))</f>
        <v>02.002.003.001</v>
      </c>
      <c r="J49" s="209" t="s">
        <v>526</v>
      </c>
      <c r="K49" s="210" t="s">
        <v>4</v>
      </c>
      <c r="L49" s="455">
        <f>Aço_Infraestrutura!M26</f>
        <v>24.944600000000001</v>
      </c>
      <c r="M49" s="455">
        <v>536.76919999999996</v>
      </c>
      <c r="N49" s="285">
        <f t="shared" si="1"/>
        <v>13389.49298632</v>
      </c>
      <c r="O49" s="462" t="s">
        <v>527</v>
      </c>
      <c r="P49" s="213" t="s">
        <v>518</v>
      </c>
      <c r="Q49" s="35"/>
      <c r="R49" s="35"/>
      <c r="S49" s="35"/>
    </row>
    <row r="50" spans="1:19" s="34" customFormat="1" ht="13.9" hidden="1" customHeight="1" outlineLevel="2" x14ac:dyDescent="0.2">
      <c r="A50" s="457">
        <f ca="1">IF($H50="UNIDADE CONSTRUTIVA",OFFSET(A50,-1,0)+1,LARGE(A$3:A49,1))</f>
        <v>0</v>
      </c>
      <c r="B50" s="457">
        <f t="shared" ca="1" si="2"/>
        <v>2</v>
      </c>
      <c r="C50" s="457">
        <f t="shared" ca="1" si="3"/>
        <v>2</v>
      </c>
      <c r="D50" s="458">
        <f t="shared" ca="1" si="4"/>
        <v>3</v>
      </c>
      <c r="E50" s="458">
        <f t="shared" ca="1" si="5"/>
        <v>2</v>
      </c>
      <c r="G50" s="206"/>
      <c r="H50" s="207" t="s">
        <v>212</v>
      </c>
      <c r="I50" s="208" t="str">
        <f ca="1">IF(H50="Unidade Construtiva",TEXT(A50,"00"),IF(H50="Célula Construtiva",TEXT(B50,"00"),IF(H50="Etapa",CONCATENATE(TEXT(B50,"00"),".",TEXT(C50,"000")),IF(H50="Subetapa",CONCATENATE(TEXT(B50,"00"),".",TEXT(C50,"000"),".",TEXT(D50,"000")),IF(H50="Serviço",CONCATENATE(TEXT(B50,"00"),".",TEXT(C50,"000"),".",TEXT(D50,"000"),".",TEXT(E50,"000")),"")))))</f>
        <v>02.002.003.002</v>
      </c>
      <c r="J50" s="209" t="s">
        <v>746</v>
      </c>
      <c r="K50" s="210" t="s">
        <v>4</v>
      </c>
      <c r="L50" s="455">
        <f>Aço_Infraestrutura!M29-L49</f>
        <v>341.31549999999999</v>
      </c>
      <c r="M50" s="455">
        <v>547.26919999999996</v>
      </c>
      <c r="N50" s="285">
        <f t="shared" si="1"/>
        <v>186791.46063259998</v>
      </c>
      <c r="O50" s="462" t="s">
        <v>527</v>
      </c>
      <c r="P50" s="213" t="s">
        <v>518</v>
      </c>
      <c r="Q50" s="35"/>
      <c r="R50" s="35"/>
      <c r="S50" s="35"/>
    </row>
    <row r="51" spans="1:19" s="34" customFormat="1" ht="13.9" hidden="1" customHeight="1" outlineLevel="1" x14ac:dyDescent="0.2">
      <c r="A51" s="457">
        <f ca="1">IF($H51="UNIDADE CONSTRUTIVA",OFFSET(A51,-1,0)+1,LARGE(A$3:A50,1))</f>
        <v>0</v>
      </c>
      <c r="B51" s="457">
        <f t="shared" ca="1" si="2"/>
        <v>2</v>
      </c>
      <c r="C51" s="457">
        <f t="shared" ca="1" si="3"/>
        <v>2</v>
      </c>
      <c r="D51" s="458">
        <f t="shared" ca="1" si="4"/>
        <v>4</v>
      </c>
      <c r="E51" s="458">
        <f t="shared" ca="1" si="5"/>
        <v>0</v>
      </c>
      <c r="G51" s="206"/>
      <c r="H51" s="207" t="s">
        <v>211</v>
      </c>
      <c r="I51" s="208" t="str">
        <f t="shared" ca="1" si="0"/>
        <v>02.002.004</v>
      </c>
      <c r="J51" s="209" t="s">
        <v>114</v>
      </c>
      <c r="K51" s="210"/>
      <c r="L51" s="464"/>
      <c r="M51" s="464"/>
      <c r="N51" s="285">
        <f t="shared" ca="1" si="1"/>
        <v>287827.20000000001</v>
      </c>
      <c r="O51" s="462"/>
      <c r="P51" s="213"/>
      <c r="Q51" s="35"/>
      <c r="R51" s="35"/>
      <c r="S51" s="35"/>
    </row>
    <row r="52" spans="1:19" s="34" customFormat="1" ht="13.9" hidden="1" customHeight="1" outlineLevel="2" x14ac:dyDescent="0.2">
      <c r="A52" s="457">
        <f ca="1">IF($H52="UNIDADE CONSTRUTIVA",OFFSET(A52,-1,0)+1,LARGE(A$3:A51,1))</f>
        <v>0</v>
      </c>
      <c r="B52" s="457">
        <f t="shared" ca="1" si="2"/>
        <v>2</v>
      </c>
      <c r="C52" s="457">
        <f t="shared" ca="1" si="3"/>
        <v>2</v>
      </c>
      <c r="D52" s="458">
        <f t="shared" ca="1" si="4"/>
        <v>4</v>
      </c>
      <c r="E52" s="458">
        <f t="shared" ca="1" si="5"/>
        <v>1</v>
      </c>
      <c r="G52" s="206"/>
      <c r="H52" s="207" t="s">
        <v>212</v>
      </c>
      <c r="I52" s="208" t="str">
        <f ca="1">IF(H52="Unidade Construtiva",TEXT(A52,"00"),IF(H52="Célula Construtiva",TEXT(B52,"00"),IF(H52="Etapa",CONCATENATE(TEXT(B52,"00"),".",TEXT(C52,"000")),IF(H52="Subetapa",CONCATENATE(TEXT(B52,"00"),".",TEXT(C52,"000"),".",TEXT(D52,"000")),IF(H52="Serviço",CONCATENATE(TEXT(B52,"00"),".",TEXT(C52,"000"),".",TEXT(D52,"000"),".",TEXT(E52,"000")),"")))))</f>
        <v>02.002.004.001</v>
      </c>
      <c r="J52" s="209" t="s">
        <v>197</v>
      </c>
      <c r="K52" s="210" t="s">
        <v>1</v>
      </c>
      <c r="L52" s="455">
        <f>'Obra '!E15</f>
        <v>799.52</v>
      </c>
      <c r="M52" s="455">
        <f>1.5*M76</f>
        <v>360</v>
      </c>
      <c r="N52" s="285">
        <f t="shared" si="1"/>
        <v>287827.20000000001</v>
      </c>
      <c r="O52" s="462"/>
      <c r="P52" s="213" t="s">
        <v>518</v>
      </c>
      <c r="Q52" s="35"/>
      <c r="R52" s="35"/>
      <c r="S52" s="35"/>
    </row>
    <row r="53" spans="1:19" s="34" customFormat="1" ht="13.9" customHeight="1" collapsed="1" x14ac:dyDescent="0.2">
      <c r="A53" s="457">
        <f ca="1">IF($H53="UNIDADE CONSTRUTIVA",OFFSET(A53,-1,0)+1,LARGE(A$3:A52,1))</f>
        <v>0</v>
      </c>
      <c r="B53" s="457">
        <f t="shared" ca="1" si="2"/>
        <v>3</v>
      </c>
      <c r="C53" s="457">
        <f t="shared" ca="1" si="3"/>
        <v>0</v>
      </c>
      <c r="D53" s="458">
        <f t="shared" ca="1" si="4"/>
        <v>4</v>
      </c>
      <c r="E53" s="458">
        <f t="shared" ca="1" si="5"/>
        <v>1</v>
      </c>
      <c r="G53" s="206"/>
      <c r="H53" s="207" t="s">
        <v>209</v>
      </c>
      <c r="I53" s="208" t="str">
        <f t="shared" ca="1" si="0"/>
        <v>03</v>
      </c>
      <c r="J53" s="209" t="s">
        <v>127</v>
      </c>
      <c r="K53" s="210"/>
      <c r="L53" s="455"/>
      <c r="M53" s="455"/>
      <c r="N53" s="285">
        <f t="shared" ca="1" si="1"/>
        <v>6810042.5485115321</v>
      </c>
      <c r="O53" s="462"/>
      <c r="P53" s="213"/>
      <c r="Q53" s="463"/>
      <c r="R53" s="463"/>
      <c r="S53" s="35"/>
    </row>
    <row r="54" spans="1:19" s="34" customFormat="1" ht="13.9" hidden="1" customHeight="1" outlineLevel="1" x14ac:dyDescent="0.2">
      <c r="A54" s="457">
        <f ca="1">IF($H54="UNIDADE CONSTRUTIVA",OFFSET(A54,-1,0)+1,LARGE(A$3:A53,1))</f>
        <v>0</v>
      </c>
      <c r="B54" s="457">
        <f t="shared" ca="1" si="2"/>
        <v>3</v>
      </c>
      <c r="C54" s="457">
        <f t="shared" ca="1" si="3"/>
        <v>1</v>
      </c>
      <c r="D54" s="458">
        <f t="shared" ca="1" si="4"/>
        <v>0</v>
      </c>
      <c r="E54" s="458">
        <f t="shared" ca="1" si="5"/>
        <v>1</v>
      </c>
      <c r="G54" s="206"/>
      <c r="H54" s="207" t="s">
        <v>210</v>
      </c>
      <c r="I54" s="208" t="str">
        <f t="shared" ca="1" si="0"/>
        <v>03.001</v>
      </c>
      <c r="J54" s="209" t="s">
        <v>830</v>
      </c>
      <c r="K54" s="210"/>
      <c r="L54" s="455"/>
      <c r="M54" s="455"/>
      <c r="N54" s="285">
        <f t="shared" ca="1" si="1"/>
        <v>490966.71221092163</v>
      </c>
      <c r="O54" s="462"/>
      <c r="P54" s="213"/>
      <c r="Q54" s="35"/>
      <c r="R54" s="35"/>
      <c r="S54" s="35"/>
    </row>
    <row r="55" spans="1:19" s="34" customFormat="1" ht="13.9" hidden="1" customHeight="1" outlineLevel="1" x14ac:dyDescent="0.2">
      <c r="A55" s="457">
        <f ca="1">IF($H55="UNIDADE CONSTRUTIVA",OFFSET(A55,-1,0)+1,LARGE(A$3:A54,1))</f>
        <v>0</v>
      </c>
      <c r="B55" s="457">
        <f t="shared" ca="1" si="2"/>
        <v>3</v>
      </c>
      <c r="C55" s="457">
        <f t="shared" ca="1" si="3"/>
        <v>1</v>
      </c>
      <c r="D55" s="458">
        <f t="shared" ca="1" si="4"/>
        <v>1</v>
      </c>
      <c r="E55" s="458">
        <f t="shared" ca="1" si="5"/>
        <v>0</v>
      </c>
      <c r="G55" s="206"/>
      <c r="H55" s="207" t="s">
        <v>211</v>
      </c>
      <c r="I55" s="208" t="str">
        <f t="shared" ca="1" si="0"/>
        <v>03.001.001</v>
      </c>
      <c r="J55" s="209" t="s">
        <v>115</v>
      </c>
      <c r="K55" s="210"/>
      <c r="L55" s="455"/>
      <c r="M55" s="455"/>
      <c r="N55" s="285">
        <f t="shared" ca="1" si="1"/>
        <v>78510.056663199997</v>
      </c>
      <c r="O55" s="462"/>
      <c r="P55" s="213"/>
      <c r="Q55" s="35"/>
      <c r="R55" s="35"/>
      <c r="S55" s="35"/>
    </row>
    <row r="56" spans="1:19" s="34" customFormat="1" ht="13.9" hidden="1" customHeight="1" outlineLevel="2" x14ac:dyDescent="0.2">
      <c r="A56" s="457">
        <f ca="1">IF($H56="UNIDADE CONSTRUTIVA",OFFSET(A56,-1,0)+1,LARGE(A$3:A55,1))</f>
        <v>0</v>
      </c>
      <c r="B56" s="457">
        <f t="shared" ca="1" si="2"/>
        <v>3</v>
      </c>
      <c r="C56" s="457">
        <f t="shared" ca="1" si="3"/>
        <v>1</v>
      </c>
      <c r="D56" s="458">
        <f t="shared" ca="1" si="4"/>
        <v>1</v>
      </c>
      <c r="E56" s="458">
        <f t="shared" ca="1" si="5"/>
        <v>1</v>
      </c>
      <c r="G56" s="206"/>
      <c r="H56" s="207" t="s">
        <v>212</v>
      </c>
      <c r="I56" s="208" t="str">
        <f t="shared" ca="1" si="0"/>
        <v>03.001.001.001</v>
      </c>
      <c r="J56" s="209" t="s">
        <v>832</v>
      </c>
      <c r="K56" s="210" t="s">
        <v>1</v>
      </c>
      <c r="L56" s="455">
        <f>EPCs!M5*0.2</f>
        <v>23.701999999999998</v>
      </c>
      <c r="M56" s="455">
        <v>65.120599999999996</v>
      </c>
      <c r="N56" s="285">
        <f t="shared" si="1"/>
        <v>1543.4884611999998</v>
      </c>
      <c r="O56" s="462" t="s">
        <v>528</v>
      </c>
      <c r="P56" s="213" t="s">
        <v>518</v>
      </c>
      <c r="Q56" s="35"/>
      <c r="R56" s="35"/>
      <c r="S56" s="35"/>
    </row>
    <row r="57" spans="1:19" s="34" customFormat="1" ht="13.9" hidden="1" customHeight="1" outlineLevel="2" x14ac:dyDescent="0.2">
      <c r="A57" s="457">
        <f ca="1">IF($H57="UNIDADE CONSTRUTIVA",OFFSET(A57,-1,0)+1,LARGE(A$3:A56,1))</f>
        <v>0</v>
      </c>
      <c r="B57" s="457">
        <f t="shared" ca="1" si="2"/>
        <v>3</v>
      </c>
      <c r="C57" s="457">
        <f t="shared" ca="1" si="3"/>
        <v>1</v>
      </c>
      <c r="D57" s="458">
        <f t="shared" ca="1" si="4"/>
        <v>1</v>
      </c>
      <c r="E57" s="458">
        <f t="shared" ca="1" si="5"/>
        <v>2</v>
      </c>
      <c r="G57" s="206"/>
      <c r="H57" s="207" t="s">
        <v>212</v>
      </c>
      <c r="I57" s="208" t="str">
        <f t="shared" ca="1" si="0"/>
        <v>03.001.001.002</v>
      </c>
      <c r="J57" s="209" t="s">
        <v>529</v>
      </c>
      <c r="K57" s="210" t="s">
        <v>1</v>
      </c>
      <c r="L57" s="455">
        <f>Supraestrutura!P9</f>
        <v>376.9</v>
      </c>
      <c r="M57" s="455">
        <v>142.56540000000001</v>
      </c>
      <c r="N57" s="285">
        <f t="shared" si="1"/>
        <v>53732.899259999998</v>
      </c>
      <c r="O57" s="462" t="s">
        <v>833</v>
      </c>
      <c r="P57" s="213" t="s">
        <v>518</v>
      </c>
      <c r="Q57" s="35"/>
      <c r="R57" s="35"/>
      <c r="S57" s="35"/>
    </row>
    <row r="58" spans="1:19" s="34" customFormat="1" ht="13.9" hidden="1" customHeight="1" outlineLevel="2" x14ac:dyDescent="0.2">
      <c r="A58" s="457">
        <f ca="1">IF($H58="UNIDADE CONSTRUTIVA",OFFSET(A58,-1,0)+1,LARGE(A$3:A57,1))</f>
        <v>0</v>
      </c>
      <c r="B58" s="457">
        <f t="shared" ca="1" si="2"/>
        <v>3</v>
      </c>
      <c r="C58" s="457">
        <f t="shared" ca="1" si="3"/>
        <v>1</v>
      </c>
      <c r="D58" s="458">
        <f t="shared" ca="1" si="4"/>
        <v>1</v>
      </c>
      <c r="E58" s="458">
        <f t="shared" ca="1" si="5"/>
        <v>3</v>
      </c>
      <c r="G58" s="206"/>
      <c r="H58" s="207" t="s">
        <v>212</v>
      </c>
      <c r="I58" s="208" t="str">
        <f t="shared" ca="1" si="0"/>
        <v>03.001.001.003</v>
      </c>
      <c r="J58" s="209" t="s">
        <v>834</v>
      </c>
      <c r="K58" s="210" t="s">
        <v>1</v>
      </c>
      <c r="L58" s="455">
        <f>Supraestrutura!P12</f>
        <v>162.49</v>
      </c>
      <c r="M58" s="455">
        <v>140.4588</v>
      </c>
      <c r="N58" s="285">
        <f t="shared" si="1"/>
        <v>22823.150411999999</v>
      </c>
      <c r="O58" s="462" t="s">
        <v>833</v>
      </c>
      <c r="P58" s="213" t="s">
        <v>518</v>
      </c>
      <c r="Q58" s="35"/>
      <c r="R58" s="35"/>
      <c r="S58" s="35"/>
    </row>
    <row r="59" spans="1:19" s="34" customFormat="1" ht="13.9" hidden="1" customHeight="1" outlineLevel="2" x14ac:dyDescent="0.2">
      <c r="A59" s="457">
        <f ca="1">IF($H59="UNIDADE CONSTRUTIVA",OFFSET(A59,-1,0)+1,LARGE(A$3:A58,1))</f>
        <v>0</v>
      </c>
      <c r="B59" s="457">
        <f t="shared" ca="1" si="2"/>
        <v>3</v>
      </c>
      <c r="C59" s="457">
        <f t="shared" ca="1" si="3"/>
        <v>1</v>
      </c>
      <c r="D59" s="458">
        <f t="shared" ca="1" si="4"/>
        <v>1</v>
      </c>
      <c r="E59" s="458">
        <f t="shared" ca="1" si="5"/>
        <v>4</v>
      </c>
      <c r="G59" s="206"/>
      <c r="H59" s="207" t="s">
        <v>212</v>
      </c>
      <c r="I59" s="208" t="str">
        <f t="shared" ca="1" si="0"/>
        <v>03.001.001.004</v>
      </c>
      <c r="J59" s="209" t="s">
        <v>532</v>
      </c>
      <c r="K59" s="210" t="s">
        <v>1</v>
      </c>
      <c r="L59" s="455">
        <f>Supraestrutura!P9</f>
        <v>376.9</v>
      </c>
      <c r="M59" s="455">
        <v>0.6855</v>
      </c>
      <c r="N59" s="285">
        <f t="shared" si="1"/>
        <v>258.36494999999996</v>
      </c>
      <c r="O59" s="462"/>
      <c r="P59" s="213" t="s">
        <v>518</v>
      </c>
      <c r="Q59" s="35"/>
      <c r="R59" s="35"/>
      <c r="S59" s="35"/>
    </row>
    <row r="60" spans="1:19" s="34" customFormat="1" ht="13.9" hidden="1" customHeight="1" outlineLevel="2" x14ac:dyDescent="0.2">
      <c r="A60" s="457">
        <f ca="1">IF($H60="UNIDADE CONSTRUTIVA",OFFSET(A60,-1,0)+1,LARGE(A$3:A59,1))</f>
        <v>0</v>
      </c>
      <c r="B60" s="457">
        <f t="shared" ca="1" si="2"/>
        <v>3</v>
      </c>
      <c r="C60" s="457">
        <f t="shared" ca="1" si="3"/>
        <v>1</v>
      </c>
      <c r="D60" s="458">
        <f t="shared" ca="1" si="4"/>
        <v>1</v>
      </c>
      <c r="E60" s="458">
        <f t="shared" ca="1" si="5"/>
        <v>5</v>
      </c>
      <c r="G60" s="206"/>
      <c r="H60" s="207" t="s">
        <v>212</v>
      </c>
      <c r="I60" s="208" t="str">
        <f t="shared" ca="1" si="0"/>
        <v>03.001.001.005</v>
      </c>
      <c r="J60" s="209" t="s">
        <v>534</v>
      </c>
      <c r="K60" s="210" t="s">
        <v>1</v>
      </c>
      <c r="L60" s="455">
        <f>Supraestrutura!P11</f>
        <v>59.47</v>
      </c>
      <c r="M60" s="455">
        <v>0.6855</v>
      </c>
      <c r="N60" s="285">
        <f t="shared" si="1"/>
        <v>40.766685000000003</v>
      </c>
      <c r="O60" s="462"/>
      <c r="P60" s="213" t="s">
        <v>518</v>
      </c>
      <c r="Q60" s="35"/>
      <c r="R60" s="35"/>
      <c r="S60" s="35"/>
    </row>
    <row r="61" spans="1:19" s="34" customFormat="1" ht="13.9" hidden="1" customHeight="1" outlineLevel="2" x14ac:dyDescent="0.2">
      <c r="A61" s="457">
        <f ca="1">IF($H61="UNIDADE CONSTRUTIVA",OFFSET(A61,-1,0)+1,LARGE(A$3:A60,1))</f>
        <v>0</v>
      </c>
      <c r="B61" s="457">
        <f ca="1">IF(H61="UNIDADE CONSTRUTIVA",0,IF(H61="CÉLULA CONSTRUTIVA",OFFSET(B61,-1,0)+1,OFFSET(B61,-1,0)))</f>
        <v>3</v>
      </c>
      <c r="C61" s="457">
        <f ca="1">IF(H61="CÉLULA CONSTRUTIVA",0,IF(H61="ETAPA",OFFSET(C61,-1,0)+1,OFFSET(C61,-1,0)))</f>
        <v>1</v>
      </c>
      <c r="D61" s="458">
        <f ca="1">IF(H61="ETAPA",0,IF(H61="SUBETAPA",OFFSET(D61,-1,0)+1,OFFSET(D61,-1,0)))</f>
        <v>1</v>
      </c>
      <c r="E61" s="458">
        <f ca="1">IF(H61="Subetapa",0,IF(H61="serviço",OFFSET(E61,-1,0)+1,OFFSET(E61,-1,0)))</f>
        <v>6</v>
      </c>
      <c r="G61" s="206"/>
      <c r="H61" s="207" t="s">
        <v>212</v>
      </c>
      <c r="I61" s="208" t="str">
        <f ca="1">IF(H61="Unidade Construtiva",TEXT(A61,"00"),IF(H61="Célula Construtiva",TEXT(B61,"00"),IF(H61="Etapa",CONCATENATE(TEXT(B61,"00"),".",TEXT(C61,"000")),IF(H61="Subetapa",CONCATENATE(TEXT(B61,"00"),".",TEXT(C61,"000"),".",TEXT(D61,"000")),IF(H61="Serviço",CONCATENATE(TEXT(B61,"00"),".",TEXT(C61,"000"),".",TEXT(D61,"000"),".",TEXT(E61,"000")),"")))))</f>
        <v>03.001.001.006</v>
      </c>
      <c r="J61" s="209" t="s">
        <v>835</v>
      </c>
      <c r="K61" s="210" t="s">
        <v>1</v>
      </c>
      <c r="L61" s="455">
        <f>Supraestrutura!P12</f>
        <v>162.49</v>
      </c>
      <c r="M61" s="455">
        <v>0.6855</v>
      </c>
      <c r="N61" s="285">
        <f t="shared" si="1"/>
        <v>111.38689500000001</v>
      </c>
      <c r="O61" s="462"/>
      <c r="P61" s="213" t="s">
        <v>518</v>
      </c>
      <c r="Q61" s="35"/>
      <c r="R61" s="35"/>
      <c r="S61" s="35"/>
    </row>
    <row r="62" spans="1:19" s="34" customFormat="1" ht="13.9" hidden="1" customHeight="1" outlineLevel="1" x14ac:dyDescent="0.2">
      <c r="A62" s="457">
        <f ca="1">IF($H62="UNIDADE CONSTRUTIVA",OFFSET(A62,-1,0)+1,LARGE(A$3:A61,1))</f>
        <v>0</v>
      </c>
      <c r="B62" s="457">
        <f t="shared" ca="1" si="2"/>
        <v>3</v>
      </c>
      <c r="C62" s="457">
        <f t="shared" ca="1" si="3"/>
        <v>1</v>
      </c>
      <c r="D62" s="458">
        <f t="shared" ca="1" si="4"/>
        <v>2</v>
      </c>
      <c r="E62" s="458">
        <f t="shared" ca="1" si="5"/>
        <v>0</v>
      </c>
      <c r="G62" s="206"/>
      <c r="H62" s="207" t="s">
        <v>211</v>
      </c>
      <c r="I62" s="208" t="str">
        <f t="shared" ca="1" si="0"/>
        <v>03.001.002</v>
      </c>
      <c r="J62" s="209" t="s">
        <v>112</v>
      </c>
      <c r="K62" s="210"/>
      <c r="L62" s="455"/>
      <c r="M62" s="455"/>
      <c r="N62" s="285">
        <f t="shared" ca="1" si="1"/>
        <v>111539.086147282</v>
      </c>
      <c r="O62" s="462"/>
      <c r="P62" s="213"/>
      <c r="Q62" s="35"/>
      <c r="R62" s="35"/>
      <c r="S62" s="35"/>
    </row>
    <row r="63" spans="1:19" s="34" customFormat="1" ht="13.9" hidden="1" customHeight="1" outlineLevel="2" x14ac:dyDescent="0.2">
      <c r="A63" s="457">
        <f ca="1">IF($H63="UNIDADE CONSTRUTIVA",OFFSET(A63,-1,0)+1,LARGE(A$3:A62,1))</f>
        <v>0</v>
      </c>
      <c r="B63" s="457">
        <f t="shared" ca="1" si="2"/>
        <v>3</v>
      </c>
      <c r="C63" s="457">
        <f t="shared" ca="1" si="3"/>
        <v>1</v>
      </c>
      <c r="D63" s="458">
        <f t="shared" ca="1" si="4"/>
        <v>2</v>
      </c>
      <c r="E63" s="458">
        <f t="shared" ca="1" si="5"/>
        <v>1</v>
      </c>
      <c r="G63" s="206"/>
      <c r="H63" s="207" t="s">
        <v>212</v>
      </c>
      <c r="I63" s="208" t="str">
        <f t="shared" ref="I63:I88" ca="1" si="6">IF(H63="Unidade Construtiva",TEXT(A63,"00"),IF(H63="Célula Construtiva",TEXT(B63,"00"),IF(H63="Etapa",CONCATENATE(TEXT(B63,"00"),".",TEXT(C63,"000")),IF(H63="Subetapa",CONCATENATE(TEXT(B63,"00"),".",TEXT(C63,"000"),".",TEXT(D63,"000")),IF(H63="Serviço",CONCATENATE(TEXT(B63,"00"),".",TEXT(C63,"000"),".",TEXT(D63,"000"),".",TEXT(E63,"000")),"")))))</f>
        <v>03.001.002.001</v>
      </c>
      <c r="J63" s="209" t="s">
        <v>535</v>
      </c>
      <c r="K63" s="210" t="s">
        <v>5</v>
      </c>
      <c r="L63" s="455">
        <f>Supraestrutura!B8</f>
        <v>554.51858000000004</v>
      </c>
      <c r="M63" s="455">
        <v>7.6817000000000002</v>
      </c>
      <c r="N63" s="285">
        <f t="shared" si="1"/>
        <v>4259.6453759860005</v>
      </c>
      <c r="O63" s="462"/>
      <c r="P63" s="213" t="s">
        <v>518</v>
      </c>
      <c r="Q63" s="35"/>
      <c r="R63" s="35"/>
      <c r="S63" s="35"/>
    </row>
    <row r="64" spans="1:19" s="34" customFormat="1" ht="13.9" hidden="1" customHeight="1" outlineLevel="2" x14ac:dyDescent="0.2">
      <c r="A64" s="457">
        <f ca="1">IF($H64="UNIDADE CONSTRUTIVA",OFFSET(A64,-1,0)+1,LARGE(A$3:A63,1))</f>
        <v>0</v>
      </c>
      <c r="B64" s="457">
        <f t="shared" ca="1" si="2"/>
        <v>3</v>
      </c>
      <c r="C64" s="457">
        <f t="shared" ca="1" si="3"/>
        <v>1</v>
      </c>
      <c r="D64" s="458">
        <f t="shared" ca="1" si="4"/>
        <v>2</v>
      </c>
      <c r="E64" s="458">
        <f t="shared" ca="1" si="5"/>
        <v>2</v>
      </c>
      <c r="G64" s="206"/>
      <c r="H64" s="207" t="s">
        <v>212</v>
      </c>
      <c r="I64" s="208" t="str">
        <f t="shared" ca="1" si="6"/>
        <v>03.001.002.002</v>
      </c>
      <c r="J64" s="209" t="s">
        <v>537</v>
      </c>
      <c r="K64" s="210" t="s">
        <v>5</v>
      </c>
      <c r="L64" s="455">
        <f>Supraestrutura!C8</f>
        <v>1487.0274999999999</v>
      </c>
      <c r="M64" s="455">
        <v>6.9776999999999996</v>
      </c>
      <c r="N64" s="285">
        <f t="shared" si="1"/>
        <v>10376.031786749998</v>
      </c>
      <c r="O64" s="462"/>
      <c r="P64" s="213" t="s">
        <v>518</v>
      </c>
      <c r="Q64" s="465"/>
      <c r="R64" s="465"/>
      <c r="S64" s="35"/>
    </row>
    <row r="65" spans="1:19" s="34" customFormat="1" ht="13.9" hidden="1" customHeight="1" outlineLevel="2" x14ac:dyDescent="0.2">
      <c r="A65" s="457">
        <f ca="1">IF($H65="UNIDADE CONSTRUTIVA",OFFSET(A65,-1,0)+1,LARGE(A$3:A64,1))</f>
        <v>0</v>
      </c>
      <c r="B65" s="457">
        <f t="shared" ca="1" si="2"/>
        <v>3</v>
      </c>
      <c r="C65" s="457">
        <f t="shared" ca="1" si="3"/>
        <v>1</v>
      </c>
      <c r="D65" s="458">
        <f t="shared" ca="1" si="4"/>
        <v>2</v>
      </c>
      <c r="E65" s="458">
        <f t="shared" ca="1" si="5"/>
        <v>3</v>
      </c>
      <c r="G65" s="206"/>
      <c r="H65" s="207" t="s">
        <v>212</v>
      </c>
      <c r="I65" s="208" t="str">
        <f t="shared" ca="1" si="6"/>
        <v>03.001.002.003</v>
      </c>
      <c r="J65" s="209" t="s">
        <v>538</v>
      </c>
      <c r="K65" s="210" t="s">
        <v>5</v>
      </c>
      <c r="L65" s="455">
        <f>Supraestrutura!D8</f>
        <v>4921.1193500000008</v>
      </c>
      <c r="M65" s="455">
        <v>6.7137000000000002</v>
      </c>
      <c r="N65" s="285">
        <f t="shared" si="1"/>
        <v>33038.918980095004</v>
      </c>
      <c r="O65" s="462"/>
      <c r="P65" s="213" t="s">
        <v>518</v>
      </c>
      <c r="Q65" s="465"/>
      <c r="R65" s="465"/>
      <c r="S65" s="35"/>
    </row>
    <row r="66" spans="1:19" s="34" customFormat="1" ht="13.9" hidden="1" customHeight="1" outlineLevel="2" x14ac:dyDescent="0.2">
      <c r="A66" s="457">
        <f ca="1">IF($H66="UNIDADE CONSTRUTIVA",OFFSET(A66,-1,0)+1,LARGE(A$3:A65,1))</f>
        <v>0</v>
      </c>
      <c r="B66" s="457">
        <f t="shared" ca="1" si="2"/>
        <v>3</v>
      </c>
      <c r="C66" s="457">
        <f t="shared" ca="1" si="3"/>
        <v>1</v>
      </c>
      <c r="D66" s="458">
        <f t="shared" ca="1" si="4"/>
        <v>2</v>
      </c>
      <c r="E66" s="458">
        <f t="shared" ca="1" si="5"/>
        <v>4</v>
      </c>
      <c r="G66" s="206"/>
      <c r="H66" s="207" t="s">
        <v>212</v>
      </c>
      <c r="I66" s="208" t="str">
        <f t="shared" ca="1" si="6"/>
        <v>03.001.002.004</v>
      </c>
      <c r="J66" s="209" t="s">
        <v>539</v>
      </c>
      <c r="K66" s="210" t="s">
        <v>5</v>
      </c>
      <c r="L66" s="455">
        <f>Supraestrutura!E8</f>
        <v>929.40561000000002</v>
      </c>
      <c r="M66" s="455">
        <v>6.1637000000000004</v>
      </c>
      <c r="N66" s="285">
        <f t="shared" si="1"/>
        <v>5728.5773583570008</v>
      </c>
      <c r="O66" s="462"/>
      <c r="P66" s="213" t="s">
        <v>518</v>
      </c>
      <c r="Q66" s="465"/>
      <c r="R66" s="465"/>
      <c r="S66" s="35"/>
    </row>
    <row r="67" spans="1:19" s="34" customFormat="1" ht="13.9" hidden="1" customHeight="1" outlineLevel="2" x14ac:dyDescent="0.2">
      <c r="A67" s="457">
        <f ca="1">IF($H67="UNIDADE CONSTRUTIVA",OFFSET(A67,-1,0)+1,LARGE(A$3:A66,1))</f>
        <v>0</v>
      </c>
      <c r="B67" s="457">
        <f t="shared" ca="1" si="2"/>
        <v>3</v>
      </c>
      <c r="C67" s="457">
        <f t="shared" ca="1" si="3"/>
        <v>1</v>
      </c>
      <c r="D67" s="458">
        <f t="shared" ca="1" si="4"/>
        <v>2</v>
      </c>
      <c r="E67" s="458">
        <f t="shared" ca="1" si="5"/>
        <v>5</v>
      </c>
      <c r="G67" s="206"/>
      <c r="H67" s="207" t="s">
        <v>212</v>
      </c>
      <c r="I67" s="208" t="str">
        <f t="shared" ca="1" si="6"/>
        <v>03.001.002.005</v>
      </c>
      <c r="J67" s="209" t="s">
        <v>540</v>
      </c>
      <c r="K67" s="210" t="s">
        <v>5</v>
      </c>
      <c r="L67" s="455">
        <f>Supraestrutura!F8</f>
        <v>1414.8010799999997</v>
      </c>
      <c r="M67" s="455">
        <v>6.3396999999999997</v>
      </c>
      <c r="N67" s="285">
        <f t="shared" si="1"/>
        <v>8969.4144068759979</v>
      </c>
      <c r="O67" s="462"/>
      <c r="P67" s="213" t="s">
        <v>518</v>
      </c>
      <c r="Q67" s="465"/>
      <c r="R67" s="465"/>
      <c r="S67" s="35"/>
    </row>
    <row r="68" spans="1:19" s="34" customFormat="1" ht="13.9" hidden="1" customHeight="1" outlineLevel="2" x14ac:dyDescent="0.2">
      <c r="A68" s="457">
        <f ca="1">IF($H68="UNIDADE CONSTRUTIVA",OFFSET(A68,-1,0)+1,LARGE(A$3:A67,1))</f>
        <v>0</v>
      </c>
      <c r="B68" s="457">
        <f t="shared" ca="1" si="2"/>
        <v>3</v>
      </c>
      <c r="C68" s="457">
        <f t="shared" ca="1" si="3"/>
        <v>1</v>
      </c>
      <c r="D68" s="458">
        <f t="shared" ca="1" si="4"/>
        <v>2</v>
      </c>
      <c r="E68" s="458">
        <f t="shared" ca="1" si="5"/>
        <v>6</v>
      </c>
      <c r="G68" s="206"/>
      <c r="H68" s="207" t="s">
        <v>212</v>
      </c>
      <c r="I68" s="208" t="str">
        <f t="shared" ca="1" si="6"/>
        <v>03.001.002.006</v>
      </c>
      <c r="J68" s="209" t="s">
        <v>541</v>
      </c>
      <c r="K68" s="210" t="s">
        <v>5</v>
      </c>
      <c r="L68" s="455">
        <f>Supraestrutura!G8</f>
        <v>579.11022000000003</v>
      </c>
      <c r="M68" s="455">
        <v>6.2930999999999999</v>
      </c>
      <c r="N68" s="285">
        <f t="shared" si="1"/>
        <v>3644.398525482</v>
      </c>
      <c r="O68" s="462"/>
      <c r="P68" s="213" t="s">
        <v>518</v>
      </c>
      <c r="Q68" s="465"/>
      <c r="R68" s="465"/>
      <c r="S68" s="35"/>
    </row>
    <row r="69" spans="1:19" s="34" customFormat="1" ht="13.9" hidden="1" customHeight="1" outlineLevel="2" x14ac:dyDescent="0.2">
      <c r="A69" s="457">
        <f ca="1">IF($H69="UNIDADE CONSTRUTIVA",OFFSET(A69,-1,0)+1,LARGE(A$3:A68,1))</f>
        <v>0</v>
      </c>
      <c r="B69" s="457">
        <f t="shared" ca="1" si="2"/>
        <v>3</v>
      </c>
      <c r="C69" s="457">
        <f t="shared" ca="1" si="3"/>
        <v>1</v>
      </c>
      <c r="D69" s="458">
        <f t="shared" ca="1" si="4"/>
        <v>2</v>
      </c>
      <c r="E69" s="458">
        <f t="shared" ca="1" si="5"/>
        <v>7</v>
      </c>
      <c r="G69" s="206"/>
      <c r="H69" s="207" t="s">
        <v>212</v>
      </c>
      <c r="I69" s="208" t="str">
        <f t="shared" ca="1" si="6"/>
        <v>03.001.002.007</v>
      </c>
      <c r="J69" s="209" t="s">
        <v>542</v>
      </c>
      <c r="K69" s="210" t="s">
        <v>5</v>
      </c>
      <c r="L69" s="455">
        <f>Supraestrutura!H8</f>
        <v>3736.1872799999996</v>
      </c>
      <c r="M69" s="455">
        <v>6.1637000000000004</v>
      </c>
      <c r="N69" s="285">
        <f t="shared" si="1"/>
        <v>23028.737537736</v>
      </c>
      <c r="O69" s="462"/>
      <c r="P69" s="213" t="s">
        <v>518</v>
      </c>
      <c r="Q69" s="465"/>
      <c r="R69" s="465"/>
      <c r="S69" s="35"/>
    </row>
    <row r="70" spans="1:19" s="34" customFormat="1" ht="13.9" hidden="1" customHeight="1" outlineLevel="2" x14ac:dyDescent="0.2">
      <c r="A70" s="457">
        <f ca="1">IF($H70="UNIDADE CONSTRUTIVA",OFFSET(A70,-1,0)+1,LARGE(A$3:A69,1))</f>
        <v>0</v>
      </c>
      <c r="B70" s="457">
        <f ca="1">IF(H70="UNIDADE CONSTRUTIVA",0,IF(H70="CÉLULA CONSTRUTIVA",OFFSET(B70,-1,0)+1,OFFSET(B70,-1,0)))</f>
        <v>3</v>
      </c>
      <c r="C70" s="457">
        <f ca="1">IF(H70="CÉLULA CONSTRUTIVA",0,IF(H70="ETAPA",OFFSET(C70,-1,0)+1,OFFSET(C70,-1,0)))</f>
        <v>1</v>
      </c>
      <c r="D70" s="458">
        <f ca="1">IF(H70="ETAPA",0,IF(H70="SUBETAPA",OFFSET(D70,-1,0)+1,OFFSET(D70,-1,0)))</f>
        <v>2</v>
      </c>
      <c r="E70" s="458">
        <f ca="1">IF(H70="Subetapa",0,IF(H70="serviço",OFFSET(E70,-1,0)+1,OFFSET(E70,-1,0)))</f>
        <v>8</v>
      </c>
      <c r="G70" s="206"/>
      <c r="H70" s="207" t="s">
        <v>212</v>
      </c>
      <c r="I70" s="208" t="str">
        <f t="shared" ca="1" si="6"/>
        <v>03.001.002.008</v>
      </c>
      <c r="J70" s="209" t="s">
        <v>768</v>
      </c>
      <c r="K70" s="210" t="s">
        <v>5</v>
      </c>
      <c r="L70" s="455">
        <f>Supraestrutura!K8</f>
        <v>2926.08</v>
      </c>
      <c r="M70" s="455">
        <v>7.6871999999999998</v>
      </c>
      <c r="N70" s="285">
        <f t="shared" si="1"/>
        <v>22493.362175999999</v>
      </c>
      <c r="O70" s="462"/>
      <c r="P70" s="213" t="s">
        <v>518</v>
      </c>
      <c r="Q70" s="465"/>
      <c r="R70" s="465"/>
      <c r="S70" s="35"/>
    </row>
    <row r="71" spans="1:19" s="34" customFormat="1" ht="13.9" hidden="1" customHeight="1" outlineLevel="1" x14ac:dyDescent="0.2">
      <c r="A71" s="457">
        <f ca="1">IF($H71="UNIDADE CONSTRUTIVA",OFFSET(A71,-1,0)+1,LARGE(A$3:A70,1))</f>
        <v>0</v>
      </c>
      <c r="B71" s="457">
        <f t="shared" ca="1" si="2"/>
        <v>3</v>
      </c>
      <c r="C71" s="457">
        <f t="shared" ca="1" si="3"/>
        <v>1</v>
      </c>
      <c r="D71" s="458">
        <f t="shared" ca="1" si="4"/>
        <v>3</v>
      </c>
      <c r="E71" s="458">
        <f t="shared" ca="1" si="5"/>
        <v>0</v>
      </c>
      <c r="G71" s="206"/>
      <c r="H71" s="207" t="s">
        <v>211</v>
      </c>
      <c r="I71" s="208" t="str">
        <f t="shared" ca="1" si="6"/>
        <v>03.001.003</v>
      </c>
      <c r="J71" s="209" t="s">
        <v>213</v>
      </c>
      <c r="K71" s="210"/>
      <c r="L71" s="455"/>
      <c r="M71" s="455"/>
      <c r="N71" s="285">
        <f t="shared" ca="1" si="1"/>
        <v>89705.175439119994</v>
      </c>
      <c r="O71" s="462"/>
      <c r="P71" s="213"/>
      <c r="Q71" s="35"/>
      <c r="R71" s="35"/>
      <c r="S71" s="35"/>
    </row>
    <row r="72" spans="1:19" s="34" customFormat="1" ht="13.15" hidden="1" customHeight="1" outlineLevel="2" x14ac:dyDescent="0.2">
      <c r="A72" s="457">
        <f ca="1">IF($H72="UNIDADE CONSTRUTIVA",OFFSET(A72,-1,0)+1,LARGE(A$3:A71,1))</f>
        <v>0</v>
      </c>
      <c r="B72" s="457">
        <f t="shared" ca="1" si="2"/>
        <v>3</v>
      </c>
      <c r="C72" s="457">
        <f t="shared" ca="1" si="3"/>
        <v>1</v>
      </c>
      <c r="D72" s="458">
        <f t="shared" ca="1" si="4"/>
        <v>3</v>
      </c>
      <c r="E72" s="458">
        <f t="shared" ca="1" si="5"/>
        <v>1</v>
      </c>
      <c r="G72" s="206"/>
      <c r="H72" s="207" t="s">
        <v>212</v>
      </c>
      <c r="I72" s="208" t="str">
        <f t="shared" ca="1" si="6"/>
        <v>03.001.003.001</v>
      </c>
      <c r="J72" s="209" t="s">
        <v>769</v>
      </c>
      <c r="K72" s="210" t="s">
        <v>4</v>
      </c>
      <c r="L72" s="455">
        <f>Supraestrutura!N8</f>
        <v>2.3656999999999999</v>
      </c>
      <c r="M72" s="455">
        <v>521.01919999999996</v>
      </c>
      <c r="N72" s="285">
        <f t="shared" ref="N72:N135" si="7">IF(H72="Serviço",M72*L72,IF(H72="CÉLULA CONSTRUTIVA",SUMIFS($N$8:$N$1393,$B$8:$B$1393,B72,$H$8:$H$1393,"Serviço"),IF(H72="ETAPA",SUMIFS($N$8:$N$1393,$B$8:$B$1393,B72,$C$8:$C$1393,C72,$H$8:$H$1393,"Serviço"),IF(H72="SUBETAPA",SUMIFS($N$8:$N$1393,$B$8:$B$1393,B72,$C$8:$C$1393,C72,$D$8:$D$1393,D72,$H$8:$H$1393,"Serviço"),0))))</f>
        <v>1232.5751214399997</v>
      </c>
      <c r="O72" s="462"/>
      <c r="P72" s="213" t="s">
        <v>518</v>
      </c>
      <c r="Q72" s="35"/>
      <c r="R72" s="35"/>
      <c r="S72" s="35"/>
    </row>
    <row r="73" spans="1:19" s="34" customFormat="1" ht="13.15" hidden="1" customHeight="1" outlineLevel="2" x14ac:dyDescent="0.2">
      <c r="A73" s="457">
        <f ca="1">IF($H73="UNIDADE CONSTRUTIVA",OFFSET(A73,-1,0)+1,LARGE(A$3:A72,1))</f>
        <v>0</v>
      </c>
      <c r="B73" s="457">
        <f t="shared" ca="1" si="2"/>
        <v>3</v>
      </c>
      <c r="C73" s="457">
        <f t="shared" ca="1" si="3"/>
        <v>1</v>
      </c>
      <c r="D73" s="458">
        <f t="shared" ca="1" si="4"/>
        <v>3</v>
      </c>
      <c r="E73" s="458">
        <f t="shared" ca="1" si="5"/>
        <v>2</v>
      </c>
      <c r="G73" s="206"/>
      <c r="H73" s="207" t="s">
        <v>212</v>
      </c>
      <c r="I73" s="208" t="str">
        <f t="shared" ca="1" si="6"/>
        <v>03.001.003.002</v>
      </c>
      <c r="J73" s="209" t="s">
        <v>771</v>
      </c>
      <c r="K73" s="210" t="s">
        <v>4</v>
      </c>
      <c r="L73" s="455">
        <f>Supraestrutura!M8</f>
        <v>157.62540000000001</v>
      </c>
      <c r="M73" s="455">
        <f>M50</f>
        <v>547.26919999999996</v>
      </c>
      <c r="N73" s="285">
        <f t="shared" si="7"/>
        <v>86263.526557680001</v>
      </c>
      <c r="O73" s="462"/>
      <c r="P73" s="213" t="s">
        <v>518</v>
      </c>
      <c r="Q73" s="35"/>
      <c r="R73" s="35"/>
      <c r="S73" s="35"/>
    </row>
    <row r="74" spans="1:19" s="34" customFormat="1" ht="13.15" hidden="1" customHeight="1" outlineLevel="2" x14ac:dyDescent="0.2">
      <c r="A74" s="457">
        <f ca="1">IF($H74="UNIDADE CONSTRUTIVA",OFFSET(A74,-1,0)+1,LARGE(A$3:A73,1))</f>
        <v>0</v>
      </c>
      <c r="B74" s="457">
        <f t="shared" ca="1" si="2"/>
        <v>3</v>
      </c>
      <c r="C74" s="457">
        <f t="shared" ca="1" si="3"/>
        <v>1</v>
      </c>
      <c r="D74" s="458">
        <f t="shared" ca="1" si="4"/>
        <v>3</v>
      </c>
      <c r="E74" s="458">
        <f t="shared" ca="1" si="5"/>
        <v>3</v>
      </c>
      <c r="G74" s="206"/>
      <c r="H74" s="207" t="s">
        <v>212</v>
      </c>
      <c r="I74" s="208" t="str">
        <f t="shared" ca="1" si="6"/>
        <v>03.001.003.003</v>
      </c>
      <c r="J74" s="209" t="s">
        <v>543</v>
      </c>
      <c r="K74" s="210" t="s">
        <v>1</v>
      </c>
      <c r="L74" s="455">
        <f>'Obra '!E15</f>
        <v>799.52</v>
      </c>
      <c r="M74" s="455">
        <v>2.7630000000000003</v>
      </c>
      <c r="N74" s="285">
        <f t="shared" si="7"/>
        <v>2209.0737600000002</v>
      </c>
      <c r="O74" s="462"/>
      <c r="P74" s="213" t="s">
        <v>518</v>
      </c>
      <c r="Q74" s="35"/>
      <c r="R74" s="35"/>
      <c r="S74" s="35"/>
    </row>
    <row r="75" spans="1:19" s="34" customFormat="1" ht="13.9" hidden="1" customHeight="1" outlineLevel="1" x14ac:dyDescent="0.2">
      <c r="A75" s="457">
        <f ca="1">IF($H75="UNIDADE CONSTRUTIVA",OFFSET(A75,-1,0)+1,LARGE(A$3:A74,1))</f>
        <v>0</v>
      </c>
      <c r="B75" s="457">
        <f t="shared" ref="B75:B97" ca="1" si="8">IF(H75="UNIDADE CONSTRUTIVA",0,IF(H75="CÉLULA CONSTRUTIVA",OFFSET(B75,-1,0)+1,OFFSET(B75,-1,0)))</f>
        <v>3</v>
      </c>
      <c r="C75" s="457">
        <f t="shared" ref="C75:C97" ca="1" si="9">IF(H75="CÉLULA CONSTRUTIVA",0,IF(H75="ETAPA",OFFSET(C75,-1,0)+1,OFFSET(C75,-1,0)))</f>
        <v>1</v>
      </c>
      <c r="D75" s="458">
        <f t="shared" ref="D75:D97" ca="1" si="10">IF(H75="ETAPA",0,IF(H75="SUBETAPA",OFFSET(D75,-1,0)+1,OFFSET(D75,-1,0)))</f>
        <v>4</v>
      </c>
      <c r="E75" s="458">
        <f t="shared" ref="E75:E97" ca="1" si="11">IF(H75="Subetapa",0,IF(H75="serviço",OFFSET(E75,-1,0)+1,OFFSET(E75,-1,0)))</f>
        <v>0</v>
      </c>
      <c r="G75" s="206"/>
      <c r="H75" s="207" t="s">
        <v>211</v>
      </c>
      <c r="I75" s="208" t="str">
        <f t="shared" ca="1" si="6"/>
        <v>03.001.004</v>
      </c>
      <c r="J75" s="209" t="s">
        <v>130</v>
      </c>
      <c r="K75" s="210"/>
      <c r="L75" s="455"/>
      <c r="M75" s="455"/>
      <c r="N75" s="285">
        <f t="shared" ca="1" si="7"/>
        <v>211212.39396131964</v>
      </c>
      <c r="O75" s="462"/>
      <c r="P75" s="213"/>
      <c r="Q75" s="35"/>
      <c r="R75" s="35"/>
      <c r="S75" s="35"/>
    </row>
    <row r="76" spans="1:19" s="34" customFormat="1" ht="13.9" hidden="1" customHeight="1" outlineLevel="2" x14ac:dyDescent="0.2">
      <c r="A76" s="457">
        <f ca="1">IF($H76="UNIDADE CONSTRUTIVA",OFFSET(A76,-1,0)+1,LARGE(A$3:A75,1))</f>
        <v>0</v>
      </c>
      <c r="B76" s="457">
        <f t="shared" ca="1" si="8"/>
        <v>3</v>
      </c>
      <c r="C76" s="457">
        <f t="shared" ca="1" si="9"/>
        <v>1</v>
      </c>
      <c r="D76" s="458">
        <f t="shared" ca="1" si="10"/>
        <v>4</v>
      </c>
      <c r="E76" s="458">
        <f t="shared" ca="1" si="11"/>
        <v>1</v>
      </c>
      <c r="G76" s="206"/>
      <c r="H76" s="207" t="s">
        <v>212</v>
      </c>
      <c r="I76" s="208" t="str">
        <f t="shared" ca="1" si="6"/>
        <v>03.001.004.001</v>
      </c>
      <c r="J76" s="209" t="s">
        <v>214</v>
      </c>
      <c r="K76" s="210" t="s">
        <v>1</v>
      </c>
      <c r="L76" s="455">
        <f>'Obra '!E15</f>
        <v>799.52</v>
      </c>
      <c r="M76" s="455">
        <v>240</v>
      </c>
      <c r="N76" s="285">
        <f t="shared" si="7"/>
        <v>191884.79999999999</v>
      </c>
      <c r="O76" s="462"/>
      <c r="P76" s="213" t="s">
        <v>518</v>
      </c>
      <c r="Q76" s="35"/>
      <c r="R76" s="35"/>
      <c r="S76" s="35"/>
    </row>
    <row r="77" spans="1:19" s="34" customFormat="1" ht="13.9" hidden="1" customHeight="1" outlineLevel="2" x14ac:dyDescent="0.2">
      <c r="A77" s="457">
        <f ca="1">IF($H77="UNIDADE CONSTRUTIVA",OFFSET(A77,-1,0)+1,LARGE(A$3:A76,1))</f>
        <v>0</v>
      </c>
      <c r="B77" s="457">
        <f t="shared" ca="1" si="8"/>
        <v>3</v>
      </c>
      <c r="C77" s="457">
        <f t="shared" ca="1" si="9"/>
        <v>1</v>
      </c>
      <c r="D77" s="458">
        <f t="shared" ca="1" si="10"/>
        <v>4</v>
      </c>
      <c r="E77" s="458">
        <f t="shared" ca="1" si="11"/>
        <v>2</v>
      </c>
      <c r="G77" s="206"/>
      <c r="H77" s="207" t="s">
        <v>212</v>
      </c>
      <c r="I77" s="208" t="str">
        <f t="shared" ca="1" si="6"/>
        <v>03.001.004.002</v>
      </c>
      <c r="J77" s="209" t="s">
        <v>432</v>
      </c>
      <c r="K77" s="210" t="s">
        <v>1</v>
      </c>
      <c r="L77" s="455">
        <f>$L$74</f>
        <v>799.52</v>
      </c>
      <c r="M77" s="455">
        <v>24.173996849759419</v>
      </c>
      <c r="N77" s="285">
        <f t="shared" si="7"/>
        <v>19327.59396131965</v>
      </c>
      <c r="O77" s="462"/>
      <c r="P77" s="213" t="s">
        <v>518</v>
      </c>
      <c r="Q77" s="35"/>
      <c r="R77" s="35"/>
      <c r="S77" s="35"/>
    </row>
    <row r="78" spans="1:19" s="34" customFormat="1" ht="13.9" hidden="1" customHeight="1" outlineLevel="1" x14ac:dyDescent="0.2">
      <c r="A78" s="457">
        <f ca="1">IF($H78="UNIDADE CONSTRUTIVA",OFFSET(A78,-1,0)+1,LARGE(A$3:A77,1))</f>
        <v>0</v>
      </c>
      <c r="B78" s="457">
        <f t="shared" ca="1" si="8"/>
        <v>3</v>
      </c>
      <c r="C78" s="457">
        <f t="shared" ca="1" si="9"/>
        <v>2</v>
      </c>
      <c r="D78" s="458">
        <f t="shared" ca="1" si="10"/>
        <v>0</v>
      </c>
      <c r="E78" s="458">
        <f t="shared" ca="1" si="11"/>
        <v>2</v>
      </c>
      <c r="G78" s="206"/>
      <c r="H78" s="207" t="s">
        <v>210</v>
      </c>
      <c r="I78" s="208" t="str">
        <f t="shared" ca="1" si="6"/>
        <v>03.002</v>
      </c>
      <c r="J78" s="209" t="s">
        <v>836</v>
      </c>
      <c r="K78" s="210"/>
      <c r="L78" s="455"/>
      <c r="M78" s="455"/>
      <c r="N78" s="285">
        <f t="shared" ca="1" si="7"/>
        <v>1544132.4755046847</v>
      </c>
      <c r="O78" s="462"/>
      <c r="P78" s="213"/>
      <c r="Q78" s="35"/>
      <c r="R78" s="35"/>
      <c r="S78" s="35"/>
    </row>
    <row r="79" spans="1:19" s="34" customFormat="1" ht="13.9" hidden="1" customHeight="1" outlineLevel="1" x14ac:dyDescent="0.2">
      <c r="A79" s="457">
        <f ca="1">IF($H79="UNIDADE CONSTRUTIVA",OFFSET(A79,-1,0)+1,LARGE(A$3:A78,1))</f>
        <v>0</v>
      </c>
      <c r="B79" s="457">
        <f t="shared" ca="1" si="8"/>
        <v>3</v>
      </c>
      <c r="C79" s="457">
        <f t="shared" ca="1" si="9"/>
        <v>2</v>
      </c>
      <c r="D79" s="458">
        <f t="shared" ca="1" si="10"/>
        <v>1</v>
      </c>
      <c r="E79" s="458">
        <f t="shared" ca="1" si="11"/>
        <v>0</v>
      </c>
      <c r="G79" s="206"/>
      <c r="H79" s="207" t="s">
        <v>211</v>
      </c>
      <c r="I79" s="208" t="str">
        <f t="shared" ca="1" si="6"/>
        <v>03.002.001</v>
      </c>
      <c r="J79" s="209" t="s">
        <v>115</v>
      </c>
      <c r="K79" s="210"/>
      <c r="L79" s="455"/>
      <c r="M79" s="455"/>
      <c r="N79" s="285">
        <f t="shared" ca="1" si="7"/>
        <v>122677.841774</v>
      </c>
      <c r="O79" s="462"/>
      <c r="P79" s="213"/>
      <c r="Q79" s="35"/>
      <c r="R79" s="35"/>
      <c r="S79" s="35"/>
    </row>
    <row r="80" spans="1:19" s="34" customFormat="1" ht="13.9" hidden="1" customHeight="1" outlineLevel="2" x14ac:dyDescent="0.2">
      <c r="A80" s="457">
        <f ca="1">IF($H80="UNIDADE CONSTRUTIVA",OFFSET(A80,-1,0)+1,LARGE(A$3:A79,1))</f>
        <v>0</v>
      </c>
      <c r="B80" s="457">
        <f t="shared" ca="1" si="8"/>
        <v>3</v>
      </c>
      <c r="C80" s="457">
        <f t="shared" ca="1" si="9"/>
        <v>2</v>
      </c>
      <c r="D80" s="458">
        <f t="shared" ca="1" si="10"/>
        <v>1</v>
      </c>
      <c r="E80" s="458">
        <f t="shared" ca="1" si="11"/>
        <v>1</v>
      </c>
      <c r="G80" s="206"/>
      <c r="H80" s="207" t="s">
        <v>212</v>
      </c>
      <c r="I80" s="208" t="str">
        <f t="shared" ca="1" si="6"/>
        <v>03.002.001.001</v>
      </c>
      <c r="J80" s="209" t="s">
        <v>531</v>
      </c>
      <c r="K80" s="210" t="s">
        <v>1</v>
      </c>
      <c r="L80" s="455">
        <f>Supraestrutura!P16</f>
        <v>642.69000000000005</v>
      </c>
      <c r="M80" s="455">
        <v>92.234099999999998</v>
      </c>
      <c r="N80" s="285">
        <f t="shared" si="7"/>
        <v>59277.933729000004</v>
      </c>
      <c r="O80" s="462" t="s">
        <v>833</v>
      </c>
      <c r="P80" s="213" t="s">
        <v>518</v>
      </c>
      <c r="Q80" s="35"/>
      <c r="R80" s="35"/>
      <c r="S80" s="35"/>
    </row>
    <row r="81" spans="1:19" s="34" customFormat="1" ht="13.9" hidden="1" customHeight="1" outlineLevel="2" x14ac:dyDescent="0.2">
      <c r="A81" s="457">
        <f ca="1">IF($H81="UNIDADE CONSTRUTIVA",OFFSET(A81,-1,0)+1,LARGE(A$3:A80,1))</f>
        <v>0</v>
      </c>
      <c r="B81" s="457">
        <f t="shared" ca="1" si="8"/>
        <v>3</v>
      </c>
      <c r="C81" s="457">
        <f t="shared" ca="1" si="9"/>
        <v>2</v>
      </c>
      <c r="D81" s="458">
        <f t="shared" ca="1" si="10"/>
        <v>1</v>
      </c>
      <c r="E81" s="458">
        <f t="shared" ca="1" si="11"/>
        <v>2</v>
      </c>
      <c r="G81" s="206"/>
      <c r="H81" s="207" t="s">
        <v>212</v>
      </c>
      <c r="I81" s="208" t="str">
        <f t="shared" ca="1" si="6"/>
        <v>03.002.001.002</v>
      </c>
      <c r="J81" s="209" t="s">
        <v>530</v>
      </c>
      <c r="K81" s="210" t="s">
        <v>1</v>
      </c>
      <c r="L81" s="455">
        <f>Supraestrutura!P15</f>
        <v>464.36</v>
      </c>
      <c r="M81" s="455">
        <v>124.5415</v>
      </c>
      <c r="N81" s="285">
        <f t="shared" si="7"/>
        <v>57832.090940000002</v>
      </c>
      <c r="O81" s="462" t="s">
        <v>833</v>
      </c>
      <c r="P81" s="213" t="s">
        <v>518</v>
      </c>
      <c r="Q81" s="35"/>
      <c r="R81" s="35"/>
      <c r="S81" s="35"/>
    </row>
    <row r="82" spans="1:19" s="34" customFormat="1" ht="13.9" hidden="1" customHeight="1" outlineLevel="2" x14ac:dyDescent="0.2">
      <c r="A82" s="457">
        <f ca="1">IF($H82="UNIDADE CONSTRUTIVA",OFFSET(A82,-1,0)+1,LARGE(A$3:A81,1))</f>
        <v>0</v>
      </c>
      <c r="B82" s="457">
        <f t="shared" ca="1" si="8"/>
        <v>3</v>
      </c>
      <c r="C82" s="457">
        <f t="shared" ca="1" si="9"/>
        <v>2</v>
      </c>
      <c r="D82" s="458">
        <f t="shared" ca="1" si="10"/>
        <v>1</v>
      </c>
      <c r="E82" s="458">
        <f t="shared" ca="1" si="11"/>
        <v>3</v>
      </c>
      <c r="G82" s="206"/>
      <c r="H82" s="207" t="s">
        <v>212</v>
      </c>
      <c r="I82" s="208" t="str">
        <f t="shared" ca="1" si="6"/>
        <v>03.002.001.003</v>
      </c>
      <c r="J82" s="209" t="s">
        <v>532</v>
      </c>
      <c r="K82" s="210" t="s">
        <v>1</v>
      </c>
      <c r="L82" s="455">
        <f>Supraestrutura!P14+Supraestrutura!P19+Supraestrutura!P24</f>
        <v>1033.6099999999999</v>
      </c>
      <c r="M82" s="455">
        <v>0.6855</v>
      </c>
      <c r="N82" s="285">
        <f t="shared" si="7"/>
        <v>708.53965499999993</v>
      </c>
      <c r="O82" s="462"/>
      <c r="P82" s="213" t="s">
        <v>518</v>
      </c>
      <c r="Q82" s="35"/>
      <c r="R82" s="35"/>
      <c r="S82" s="35"/>
    </row>
    <row r="83" spans="1:19" s="34" customFormat="1" ht="13.9" hidden="1" customHeight="1" outlineLevel="2" x14ac:dyDescent="0.2">
      <c r="A83" s="457">
        <f ca="1">IF($H83="UNIDADE CONSTRUTIVA",OFFSET(A83,-1,0)+1,LARGE(A$3:A82,1))</f>
        <v>0</v>
      </c>
      <c r="B83" s="457">
        <f t="shared" ca="1" si="8"/>
        <v>3</v>
      </c>
      <c r="C83" s="457">
        <f t="shared" ca="1" si="9"/>
        <v>2</v>
      </c>
      <c r="D83" s="458">
        <f t="shared" ca="1" si="10"/>
        <v>1</v>
      </c>
      <c r="E83" s="458">
        <f t="shared" ca="1" si="11"/>
        <v>4</v>
      </c>
      <c r="G83" s="206"/>
      <c r="H83" s="207" t="s">
        <v>212</v>
      </c>
      <c r="I83" s="208" t="str">
        <f t="shared" ca="1" si="6"/>
        <v>03.002.001.004</v>
      </c>
      <c r="J83" s="209" t="s">
        <v>533</v>
      </c>
      <c r="K83" s="210" t="s">
        <v>1</v>
      </c>
      <c r="L83" s="455">
        <f>Supraestrutura!P15+Supraestrutura!P20+Supraestrutura!P25</f>
        <v>1393.08</v>
      </c>
      <c r="M83" s="455">
        <v>2.254</v>
      </c>
      <c r="N83" s="285">
        <f t="shared" si="7"/>
        <v>3140.0023200000001</v>
      </c>
      <c r="O83" s="462"/>
      <c r="P83" s="213" t="s">
        <v>518</v>
      </c>
      <c r="Q83" s="35"/>
      <c r="R83" s="35"/>
      <c r="S83" s="35"/>
    </row>
    <row r="84" spans="1:19" s="34" customFormat="1" ht="13.9" hidden="1" customHeight="1" outlineLevel="2" x14ac:dyDescent="0.2">
      <c r="A84" s="457">
        <f ca="1">IF($H84="UNIDADE CONSTRUTIVA",OFFSET(A84,-1,0)+1,LARGE(A$3:A83,1))</f>
        <v>0</v>
      </c>
      <c r="B84" s="457">
        <f t="shared" ca="1" si="8"/>
        <v>3</v>
      </c>
      <c r="C84" s="457">
        <f t="shared" ca="1" si="9"/>
        <v>2</v>
      </c>
      <c r="D84" s="458">
        <f t="shared" ca="1" si="10"/>
        <v>1</v>
      </c>
      <c r="E84" s="458">
        <f t="shared" ca="1" si="11"/>
        <v>5</v>
      </c>
      <c r="G84" s="206"/>
      <c r="H84" s="207" t="s">
        <v>212</v>
      </c>
      <c r="I84" s="208" t="str">
        <f t="shared" ca="1" si="6"/>
        <v>03.002.001.005</v>
      </c>
      <c r="J84" s="209" t="s">
        <v>534</v>
      </c>
      <c r="K84" s="210" t="s">
        <v>1</v>
      </c>
      <c r="L84" s="455">
        <f>Supraestrutura!P16+Supraestrutura!P21+Supraestrutura!P26</f>
        <v>1928.0700000000002</v>
      </c>
      <c r="M84" s="455">
        <v>0.6855</v>
      </c>
      <c r="N84" s="285">
        <f t="shared" si="7"/>
        <v>1321.6919850000002</v>
      </c>
      <c r="O84" s="462"/>
      <c r="P84" s="213" t="s">
        <v>518</v>
      </c>
      <c r="Q84" s="35"/>
      <c r="R84" s="35"/>
      <c r="S84" s="35"/>
    </row>
    <row r="85" spans="1:19" s="34" customFormat="1" ht="13.9" hidden="1" customHeight="1" outlineLevel="2" x14ac:dyDescent="0.2">
      <c r="A85" s="457">
        <f ca="1">IF($H85="UNIDADE CONSTRUTIVA",OFFSET(A85,-1,0)+1,LARGE(A$3:A84,1))</f>
        <v>0</v>
      </c>
      <c r="B85" s="457">
        <f t="shared" ca="1" si="8"/>
        <v>3</v>
      </c>
      <c r="C85" s="457">
        <f t="shared" ca="1" si="9"/>
        <v>2</v>
      </c>
      <c r="D85" s="458">
        <f t="shared" ca="1" si="10"/>
        <v>1</v>
      </c>
      <c r="E85" s="458">
        <f t="shared" ca="1" si="11"/>
        <v>6</v>
      </c>
      <c r="G85" s="206"/>
      <c r="H85" s="207" t="s">
        <v>212</v>
      </c>
      <c r="I85" s="208" t="str">
        <f t="shared" ca="1" si="6"/>
        <v>03.002.001.006</v>
      </c>
      <c r="J85" s="209" t="s">
        <v>835</v>
      </c>
      <c r="K85" s="210" t="s">
        <v>1</v>
      </c>
      <c r="L85" s="455">
        <f>Supraestrutura!P17+Supraestrutura!P22+Supraestrutura!P27</f>
        <v>579.99</v>
      </c>
      <c r="M85" s="455">
        <v>0.6855</v>
      </c>
      <c r="N85" s="285">
        <f t="shared" si="7"/>
        <v>397.583145</v>
      </c>
      <c r="O85" s="462"/>
      <c r="P85" s="213" t="s">
        <v>518</v>
      </c>
      <c r="Q85" s="35"/>
      <c r="R85" s="35"/>
      <c r="S85" s="35"/>
    </row>
    <row r="86" spans="1:19" s="34" customFormat="1" ht="13.9" hidden="1" customHeight="1" outlineLevel="1" x14ac:dyDescent="0.2">
      <c r="A86" s="457">
        <f ca="1">IF($H86="UNIDADE CONSTRUTIVA",OFFSET(A86,-1,0)+1,LARGE(A$3:A85,1))</f>
        <v>0</v>
      </c>
      <c r="B86" s="457">
        <f t="shared" ca="1" si="8"/>
        <v>3</v>
      </c>
      <c r="C86" s="457">
        <f t="shared" ca="1" si="9"/>
        <v>2</v>
      </c>
      <c r="D86" s="458">
        <f t="shared" ca="1" si="10"/>
        <v>2</v>
      </c>
      <c r="E86" s="458">
        <f t="shared" ca="1" si="11"/>
        <v>0</v>
      </c>
      <c r="G86" s="206"/>
      <c r="H86" s="207" t="s">
        <v>211</v>
      </c>
      <c r="I86" s="208" t="str">
        <f t="shared" ca="1" si="6"/>
        <v>03.002.002</v>
      </c>
      <c r="J86" s="209" t="s">
        <v>112</v>
      </c>
      <c r="K86" s="210"/>
      <c r="L86" s="455"/>
      <c r="M86" s="455"/>
      <c r="N86" s="285">
        <f t="shared" ca="1" si="7"/>
        <v>326116.427419085</v>
      </c>
      <c r="O86" s="462"/>
      <c r="P86" s="213"/>
      <c r="Q86" s="35"/>
      <c r="R86" s="35"/>
      <c r="S86" s="35"/>
    </row>
    <row r="87" spans="1:19" s="34" customFormat="1" ht="13.9" hidden="1" customHeight="1" outlineLevel="2" x14ac:dyDescent="0.2">
      <c r="A87" s="457">
        <f ca="1">IF($H87="UNIDADE CONSTRUTIVA",OFFSET(A87,-1,0)+1,LARGE(A$3:A86,1))</f>
        <v>0</v>
      </c>
      <c r="B87" s="457">
        <f t="shared" ca="1" si="8"/>
        <v>3</v>
      </c>
      <c r="C87" s="457">
        <f t="shared" ca="1" si="9"/>
        <v>2</v>
      </c>
      <c r="D87" s="458">
        <f t="shared" ca="1" si="10"/>
        <v>2</v>
      </c>
      <c r="E87" s="458">
        <f t="shared" ca="1" si="11"/>
        <v>1</v>
      </c>
      <c r="G87" s="206"/>
      <c r="H87" s="207" t="s">
        <v>212</v>
      </c>
      <c r="I87" s="208" t="str">
        <f t="shared" ca="1" si="6"/>
        <v>03.002.002.001</v>
      </c>
      <c r="J87" s="209" t="s">
        <v>535</v>
      </c>
      <c r="K87" s="210" t="s">
        <v>5</v>
      </c>
      <c r="L87" s="455">
        <f>Supraestrutura!B28</f>
        <v>2145.74206</v>
      </c>
      <c r="M87" s="455">
        <v>7.6817000000000002</v>
      </c>
      <c r="N87" s="285">
        <f t="shared" si="7"/>
        <v>16482.946782302002</v>
      </c>
      <c r="O87" s="462"/>
      <c r="P87" s="213" t="s">
        <v>518</v>
      </c>
      <c r="Q87" s="35"/>
      <c r="R87" s="35"/>
      <c r="S87" s="35"/>
    </row>
    <row r="88" spans="1:19" s="34" customFormat="1" ht="13.9" hidden="1" customHeight="1" outlineLevel="2" x14ac:dyDescent="0.2">
      <c r="A88" s="457">
        <f ca="1">IF($H88="UNIDADE CONSTRUTIVA",OFFSET(A88,-1,0)+1,LARGE(A$3:A87,1))</f>
        <v>0</v>
      </c>
      <c r="B88" s="457">
        <f t="shared" ca="1" si="8"/>
        <v>3</v>
      </c>
      <c r="C88" s="457">
        <f t="shared" ca="1" si="9"/>
        <v>2</v>
      </c>
      <c r="D88" s="458">
        <f t="shared" ca="1" si="10"/>
        <v>2</v>
      </c>
      <c r="E88" s="458">
        <f t="shared" ca="1" si="11"/>
        <v>2</v>
      </c>
      <c r="G88" s="206"/>
      <c r="H88" s="207" t="s">
        <v>212</v>
      </c>
      <c r="I88" s="208" t="str">
        <f t="shared" ca="1" si="6"/>
        <v>03.002.002.002</v>
      </c>
      <c r="J88" s="209" t="s">
        <v>537</v>
      </c>
      <c r="K88" s="210" t="s">
        <v>5</v>
      </c>
      <c r="L88" s="455">
        <f>Supraestrutura!C28</f>
        <v>5519.8450999999995</v>
      </c>
      <c r="M88" s="455">
        <v>6.9776999999999996</v>
      </c>
      <c r="N88" s="285">
        <f t="shared" si="7"/>
        <v>38515.823154269994</v>
      </c>
      <c r="O88" s="462"/>
      <c r="P88" s="213" t="s">
        <v>518</v>
      </c>
      <c r="Q88" s="465"/>
      <c r="R88" s="465"/>
      <c r="S88" s="35"/>
    </row>
    <row r="89" spans="1:19" s="34" customFormat="1" ht="13.9" hidden="1" customHeight="1" outlineLevel="2" x14ac:dyDescent="0.2">
      <c r="A89" s="457">
        <f ca="1">IF($H89="UNIDADE CONSTRUTIVA",OFFSET(A89,-1,0)+1,LARGE(A$3:A88,1))</f>
        <v>0</v>
      </c>
      <c r="B89" s="457">
        <f t="shared" ca="1" si="8"/>
        <v>3</v>
      </c>
      <c r="C89" s="457">
        <f t="shared" ca="1" si="9"/>
        <v>2</v>
      </c>
      <c r="D89" s="458">
        <f t="shared" ca="1" si="10"/>
        <v>2</v>
      </c>
      <c r="E89" s="458">
        <f t="shared" ca="1" si="11"/>
        <v>3</v>
      </c>
      <c r="G89" s="206"/>
      <c r="H89" s="207" t="s">
        <v>212</v>
      </c>
      <c r="I89" s="208" t="str">
        <f t="shared" ref="I89:I107" ca="1" si="12">IF(H89="Unidade Construtiva",TEXT(A89,"00"),IF(H89="Célula Construtiva",TEXT(B89,"00"),IF(H89="Etapa",CONCATENATE(TEXT(B89,"00"),".",TEXT(C89,"000")),IF(H89="Subetapa",CONCATENATE(TEXT(B89,"00"),".",TEXT(C89,"000"),".",TEXT(D89,"000")),IF(H89="Serviço",CONCATENATE(TEXT(B89,"00"),".",TEXT(C89,"000"),".",TEXT(D89,"000"),".",TEXT(E89,"000")),"")))))</f>
        <v>03.002.002.003</v>
      </c>
      <c r="J89" s="209" t="s">
        <v>538</v>
      </c>
      <c r="K89" s="210" t="s">
        <v>5</v>
      </c>
      <c r="L89" s="455">
        <f>Supraestrutura!D28</f>
        <v>13054.848749999999</v>
      </c>
      <c r="M89" s="455">
        <v>6.7137000000000002</v>
      </c>
      <c r="N89" s="285">
        <f t="shared" si="7"/>
        <v>87646.338052874999</v>
      </c>
      <c r="O89" s="462"/>
      <c r="P89" s="213" t="s">
        <v>518</v>
      </c>
      <c r="Q89" s="465"/>
      <c r="R89" s="465"/>
      <c r="S89" s="35"/>
    </row>
    <row r="90" spans="1:19" s="34" customFormat="1" ht="13.9" hidden="1" customHeight="1" outlineLevel="2" x14ac:dyDescent="0.2">
      <c r="A90" s="457">
        <f ca="1">IF($H90="UNIDADE CONSTRUTIVA",OFFSET(A90,-1,0)+1,LARGE(A$3:A89,1))</f>
        <v>0</v>
      </c>
      <c r="B90" s="457">
        <f t="shared" ca="1" si="8"/>
        <v>3</v>
      </c>
      <c r="C90" s="457">
        <f t="shared" ca="1" si="9"/>
        <v>2</v>
      </c>
      <c r="D90" s="458">
        <f t="shared" ca="1" si="10"/>
        <v>2</v>
      </c>
      <c r="E90" s="458">
        <f t="shared" ca="1" si="11"/>
        <v>4</v>
      </c>
      <c r="G90" s="206"/>
      <c r="H90" s="207" t="s">
        <v>212</v>
      </c>
      <c r="I90" s="208" t="str">
        <f t="shared" ca="1" si="12"/>
        <v>03.002.002.004</v>
      </c>
      <c r="J90" s="209" t="s">
        <v>539</v>
      </c>
      <c r="K90" s="210" t="s">
        <v>5</v>
      </c>
      <c r="L90" s="455">
        <f>Supraestrutura!E28</f>
        <v>6436.3527299999996</v>
      </c>
      <c r="M90" s="455">
        <v>6.1637000000000004</v>
      </c>
      <c r="N90" s="285">
        <f t="shared" si="7"/>
        <v>39671.747321900999</v>
      </c>
      <c r="O90" s="462"/>
      <c r="P90" s="213" t="s">
        <v>518</v>
      </c>
      <c r="Q90" s="465"/>
      <c r="R90" s="465"/>
      <c r="S90" s="35"/>
    </row>
    <row r="91" spans="1:19" s="34" customFormat="1" ht="13.9" hidden="1" customHeight="1" outlineLevel="2" x14ac:dyDescent="0.2">
      <c r="A91" s="457">
        <f ca="1">IF($H91="UNIDADE CONSTRUTIVA",OFFSET(A91,-1,0)+1,LARGE(A$3:A90,1))</f>
        <v>0</v>
      </c>
      <c r="B91" s="457">
        <f t="shared" ca="1" si="8"/>
        <v>3</v>
      </c>
      <c r="C91" s="457">
        <f t="shared" ca="1" si="9"/>
        <v>2</v>
      </c>
      <c r="D91" s="458">
        <f t="shared" ca="1" si="10"/>
        <v>2</v>
      </c>
      <c r="E91" s="458">
        <f t="shared" ca="1" si="11"/>
        <v>5</v>
      </c>
      <c r="G91" s="206"/>
      <c r="H91" s="207" t="s">
        <v>212</v>
      </c>
      <c r="I91" s="208" t="str">
        <f t="shared" ca="1" si="12"/>
        <v>03.002.002.005</v>
      </c>
      <c r="J91" s="209" t="s">
        <v>540</v>
      </c>
      <c r="K91" s="210" t="s">
        <v>5</v>
      </c>
      <c r="L91" s="455">
        <f>Supraestrutura!F28</f>
        <v>7991.8888499999985</v>
      </c>
      <c r="M91" s="455">
        <v>6.3396999999999997</v>
      </c>
      <c r="N91" s="285">
        <f t="shared" si="7"/>
        <v>50666.177742344989</v>
      </c>
      <c r="O91" s="462"/>
      <c r="P91" s="213" t="s">
        <v>518</v>
      </c>
      <c r="Q91" s="465"/>
      <c r="R91" s="465"/>
      <c r="S91" s="35"/>
    </row>
    <row r="92" spans="1:19" s="34" customFormat="1" ht="13.9" hidden="1" customHeight="1" outlineLevel="2" x14ac:dyDescent="0.2">
      <c r="A92" s="457">
        <f ca="1">IF($H92="UNIDADE CONSTRUTIVA",OFFSET(A92,-1,0)+1,LARGE(A$3:A91,1))</f>
        <v>0</v>
      </c>
      <c r="B92" s="457">
        <f t="shared" ca="1" si="8"/>
        <v>3</v>
      </c>
      <c r="C92" s="457">
        <f t="shared" ca="1" si="9"/>
        <v>2</v>
      </c>
      <c r="D92" s="458">
        <f t="shared" ca="1" si="10"/>
        <v>2</v>
      </c>
      <c r="E92" s="458">
        <f t="shared" ca="1" si="11"/>
        <v>6</v>
      </c>
      <c r="G92" s="206"/>
      <c r="H92" s="207" t="s">
        <v>212</v>
      </c>
      <c r="I92" s="208" t="str">
        <f t="shared" ca="1" si="12"/>
        <v>03.002.002.006</v>
      </c>
      <c r="J92" s="209" t="s">
        <v>541</v>
      </c>
      <c r="K92" s="210" t="s">
        <v>5</v>
      </c>
      <c r="L92" s="455">
        <f>Supraestrutura!G28</f>
        <v>5733.8207999999986</v>
      </c>
      <c r="M92" s="455">
        <v>6.2930999999999999</v>
      </c>
      <c r="N92" s="285">
        <f t="shared" si="7"/>
        <v>36083.507676479989</v>
      </c>
      <c r="O92" s="462"/>
      <c r="P92" s="213" t="s">
        <v>518</v>
      </c>
      <c r="Q92" s="465"/>
      <c r="R92" s="465"/>
      <c r="S92" s="35"/>
    </row>
    <row r="93" spans="1:19" s="34" customFormat="1" ht="13.9" hidden="1" customHeight="1" outlineLevel="2" x14ac:dyDescent="0.2">
      <c r="A93" s="457">
        <f ca="1">IF($H93="UNIDADE CONSTRUTIVA",OFFSET(A93,-1,0)+1,LARGE(A$3:A92,1))</f>
        <v>0</v>
      </c>
      <c r="B93" s="457">
        <f t="shared" ca="1" si="8"/>
        <v>3</v>
      </c>
      <c r="C93" s="457">
        <f t="shared" ca="1" si="9"/>
        <v>2</v>
      </c>
      <c r="D93" s="458">
        <f t="shared" ca="1" si="10"/>
        <v>2</v>
      </c>
      <c r="E93" s="458">
        <f t="shared" ca="1" si="11"/>
        <v>7</v>
      </c>
      <c r="G93" s="206"/>
      <c r="H93" s="207" t="s">
        <v>212</v>
      </c>
      <c r="I93" s="208" t="str">
        <f t="shared" ca="1" si="12"/>
        <v>03.002.002.007</v>
      </c>
      <c r="J93" s="209" t="s">
        <v>542</v>
      </c>
      <c r="K93" s="210" t="s">
        <v>5</v>
      </c>
      <c r="L93" s="455">
        <f>Supraestrutura!H28</f>
        <v>9255.7857600000025</v>
      </c>
      <c r="M93" s="455">
        <v>6.1637000000000004</v>
      </c>
      <c r="N93" s="285">
        <f t="shared" si="7"/>
        <v>57049.886688912018</v>
      </c>
      <c r="O93" s="462"/>
      <c r="P93" s="213" t="s">
        <v>518</v>
      </c>
      <c r="Q93" s="465"/>
      <c r="R93" s="465"/>
      <c r="S93" s="35"/>
    </row>
    <row r="94" spans="1:19" s="34" customFormat="1" ht="13.9" hidden="1" customHeight="1" outlineLevel="1" x14ac:dyDescent="0.2">
      <c r="A94" s="457">
        <f ca="1">IF($H94="UNIDADE CONSTRUTIVA",OFFSET(A94,-1,0)+1,LARGE(A$3:A93,1))</f>
        <v>0</v>
      </c>
      <c r="B94" s="457">
        <f t="shared" ca="1" si="8"/>
        <v>3</v>
      </c>
      <c r="C94" s="457">
        <f t="shared" ca="1" si="9"/>
        <v>2</v>
      </c>
      <c r="D94" s="458">
        <f t="shared" ca="1" si="10"/>
        <v>3</v>
      </c>
      <c r="E94" s="458">
        <f t="shared" ca="1" si="11"/>
        <v>0</v>
      </c>
      <c r="G94" s="206"/>
      <c r="H94" s="207" t="s">
        <v>211</v>
      </c>
      <c r="I94" s="208" t="str">
        <f t="shared" ca="1" si="12"/>
        <v>03.002.003</v>
      </c>
      <c r="J94" s="209" t="s">
        <v>213</v>
      </c>
      <c r="K94" s="210"/>
      <c r="L94" s="455"/>
      <c r="M94" s="455"/>
      <c r="N94" s="285">
        <f t="shared" ca="1" si="7"/>
        <v>311009.71631159988</v>
      </c>
      <c r="O94" s="462"/>
      <c r="P94" s="213"/>
      <c r="Q94" s="35"/>
      <c r="R94" s="35"/>
      <c r="S94" s="35"/>
    </row>
    <row r="95" spans="1:19" s="34" customFormat="1" ht="13.15" hidden="1" customHeight="1" outlineLevel="2" x14ac:dyDescent="0.2">
      <c r="A95" s="457">
        <f ca="1">IF($H95="UNIDADE CONSTRUTIVA",OFFSET(A95,-1,0)+1,LARGE(A$3:A94,1))</f>
        <v>0</v>
      </c>
      <c r="B95" s="457">
        <f t="shared" ca="1" si="8"/>
        <v>3</v>
      </c>
      <c r="C95" s="457">
        <f t="shared" ca="1" si="9"/>
        <v>2</v>
      </c>
      <c r="D95" s="458">
        <f t="shared" ca="1" si="10"/>
        <v>3</v>
      </c>
      <c r="E95" s="458">
        <f t="shared" ca="1" si="11"/>
        <v>1</v>
      </c>
      <c r="G95" s="206"/>
      <c r="H95" s="207" t="s">
        <v>212</v>
      </c>
      <c r="I95" s="208" t="str">
        <f t="shared" ca="1" si="12"/>
        <v>03.002.003.001</v>
      </c>
      <c r="J95" s="209" t="s">
        <v>769</v>
      </c>
      <c r="K95" s="210" t="s">
        <v>4</v>
      </c>
      <c r="L95" s="455">
        <f>Supraestrutura!N28</f>
        <v>6.8624000000000001</v>
      </c>
      <c r="M95" s="455">
        <v>521.01919999999996</v>
      </c>
      <c r="N95" s="285">
        <f t="shared" si="7"/>
        <v>3575.4421580799999</v>
      </c>
      <c r="O95" s="462"/>
      <c r="P95" s="213" t="s">
        <v>518</v>
      </c>
      <c r="Q95" s="35"/>
      <c r="R95" s="35"/>
      <c r="S95" s="35"/>
    </row>
    <row r="96" spans="1:19" s="34" customFormat="1" ht="13.15" hidden="1" customHeight="1" outlineLevel="2" x14ac:dyDescent="0.2">
      <c r="A96" s="457">
        <f ca="1">IF($H96="UNIDADE CONSTRUTIVA",OFFSET(A96,-1,0)+1,LARGE(A$3:A95,1))</f>
        <v>0</v>
      </c>
      <c r="B96" s="457">
        <f t="shared" ca="1" si="8"/>
        <v>3</v>
      </c>
      <c r="C96" s="457">
        <f t="shared" ca="1" si="9"/>
        <v>2</v>
      </c>
      <c r="D96" s="458">
        <f t="shared" ca="1" si="10"/>
        <v>3</v>
      </c>
      <c r="E96" s="458">
        <f t="shared" ca="1" si="11"/>
        <v>2</v>
      </c>
      <c r="G96" s="206"/>
      <c r="H96" s="207" t="s">
        <v>212</v>
      </c>
      <c r="I96" s="208" t="str">
        <f t="shared" ca="1" si="12"/>
        <v>03.002.003.002</v>
      </c>
      <c r="J96" s="209" t="s">
        <v>771</v>
      </c>
      <c r="K96" s="210" t="s">
        <v>4</v>
      </c>
      <c r="L96" s="455">
        <f>Supraestrutura!M28</f>
        <v>561.76059999999984</v>
      </c>
      <c r="M96" s="455">
        <v>547.26919999999996</v>
      </c>
      <c r="N96" s="285">
        <f t="shared" si="7"/>
        <v>307434.27415351989</v>
      </c>
      <c r="O96" s="462"/>
      <c r="P96" s="213" t="s">
        <v>518</v>
      </c>
      <c r="Q96" s="35"/>
      <c r="R96" s="35"/>
      <c r="S96" s="35"/>
    </row>
    <row r="97" spans="1:19" s="34" customFormat="1" ht="13.9" hidden="1" customHeight="1" outlineLevel="1" x14ac:dyDescent="0.2">
      <c r="A97" s="457">
        <f ca="1">IF($H97="UNIDADE CONSTRUTIVA",OFFSET(A97,-1,0)+1,LARGE(A$3:A96,1))</f>
        <v>0</v>
      </c>
      <c r="B97" s="457">
        <f t="shared" ca="1" si="8"/>
        <v>3</v>
      </c>
      <c r="C97" s="457">
        <f t="shared" ca="1" si="9"/>
        <v>2</v>
      </c>
      <c r="D97" s="458">
        <f t="shared" ca="1" si="10"/>
        <v>4</v>
      </c>
      <c r="E97" s="458">
        <f t="shared" ca="1" si="11"/>
        <v>0</v>
      </c>
      <c r="G97" s="206"/>
      <c r="H97" s="207" t="s">
        <v>211</v>
      </c>
      <c r="I97" s="208" t="str">
        <f t="shared" ca="1" si="12"/>
        <v>03.002.004</v>
      </c>
      <c r="J97" s="209" t="s">
        <v>128</v>
      </c>
      <c r="K97" s="210"/>
      <c r="L97" s="455"/>
      <c r="M97" s="455"/>
      <c r="N97" s="285">
        <f t="shared" ca="1" si="7"/>
        <v>205808.49</v>
      </c>
      <c r="O97" s="462"/>
      <c r="P97" s="213"/>
      <c r="Q97" s="35"/>
      <c r="R97" s="35"/>
      <c r="S97" s="35"/>
    </row>
    <row r="98" spans="1:19" s="34" customFormat="1" ht="13.9" hidden="1" customHeight="1" outlineLevel="2" x14ac:dyDescent="0.2">
      <c r="A98" s="457">
        <f ca="1">IF($H98="UNIDADE CONSTRUTIVA",OFFSET(A98,-1,0)+1,LARGE(A$3:A97,1))</f>
        <v>0</v>
      </c>
      <c r="B98" s="457">
        <f t="shared" ref="B98:B118" ca="1" si="13">IF(H98="UNIDADE CONSTRUTIVA",0,IF(H98="CÉLULA CONSTRUTIVA",OFFSET(B98,-1,0)+1,OFFSET(B98,-1,0)))</f>
        <v>3</v>
      </c>
      <c r="C98" s="457">
        <f t="shared" ref="C98:C118" ca="1" si="14">IF(H98="CÉLULA CONSTRUTIVA",0,IF(H98="ETAPA",OFFSET(C98,-1,0)+1,OFFSET(C98,-1,0)))</f>
        <v>2</v>
      </c>
      <c r="D98" s="458">
        <f t="shared" ref="D98:D118" ca="1" si="15">IF(H98="ETAPA",0,IF(H98="SUBETAPA",OFFSET(D98,-1,0)+1,OFFSET(D98,-1,0)))</f>
        <v>4</v>
      </c>
      <c r="E98" s="458">
        <f t="shared" ref="E98:E118" ca="1" si="16">IF(H98="Subetapa",0,IF(H98="serviço",OFFSET(E98,-1,0)+1,OFFSET(E98,-1,0)))</f>
        <v>1</v>
      </c>
      <c r="G98" s="206"/>
      <c r="H98" s="207" t="s">
        <v>212</v>
      </c>
      <c r="I98" s="208" t="str">
        <f t="shared" ca="1" si="12"/>
        <v>03.002.004.001</v>
      </c>
      <c r="J98" s="209" t="s">
        <v>1240</v>
      </c>
      <c r="K98" s="210" t="s">
        <v>1</v>
      </c>
      <c r="L98" s="455">
        <f>'Obra '!E16*3</f>
        <v>2410.5</v>
      </c>
      <c r="M98" s="455">
        <v>85.38</v>
      </c>
      <c r="N98" s="285">
        <f t="shared" si="7"/>
        <v>205808.49</v>
      </c>
      <c r="O98" s="462"/>
      <c r="P98" s="213" t="s">
        <v>518</v>
      </c>
      <c r="Q98" s="35"/>
      <c r="R98" s="35"/>
      <c r="S98" s="35"/>
    </row>
    <row r="99" spans="1:19" s="34" customFormat="1" ht="13.9" hidden="1" customHeight="1" outlineLevel="1" x14ac:dyDescent="0.2">
      <c r="A99" s="457">
        <f ca="1">IF($H99="UNIDADE CONSTRUTIVA",OFFSET(A99,-1,0)+1,LARGE(A$3:A98,1))</f>
        <v>0</v>
      </c>
      <c r="B99" s="457">
        <f t="shared" ca="1" si="13"/>
        <v>3</v>
      </c>
      <c r="C99" s="457">
        <f t="shared" ca="1" si="14"/>
        <v>2</v>
      </c>
      <c r="D99" s="458">
        <f t="shared" ca="1" si="15"/>
        <v>5</v>
      </c>
      <c r="E99" s="458">
        <f t="shared" ca="1" si="16"/>
        <v>0</v>
      </c>
      <c r="G99" s="206"/>
      <c r="H99" s="207" t="s">
        <v>211</v>
      </c>
      <c r="I99" s="208" t="str">
        <f t="shared" ca="1" si="12"/>
        <v>03.002.005</v>
      </c>
      <c r="J99" s="209" t="s">
        <v>130</v>
      </c>
      <c r="K99" s="210"/>
      <c r="L99" s="455"/>
      <c r="M99" s="455"/>
      <c r="N99" s="285">
        <f t="shared" ca="1" si="7"/>
        <v>578520</v>
      </c>
      <c r="O99" s="462"/>
      <c r="P99" s="213"/>
      <c r="Q99" s="35"/>
      <c r="R99" s="35"/>
      <c r="S99" s="35"/>
    </row>
    <row r="100" spans="1:19" s="34" customFormat="1" ht="13.9" hidden="1" customHeight="1" outlineLevel="2" x14ac:dyDescent="0.2">
      <c r="A100" s="457">
        <f ca="1">IF($H100="UNIDADE CONSTRUTIVA",OFFSET(A100,-1,0)+1,LARGE(A$3:A99,1))</f>
        <v>0</v>
      </c>
      <c r="B100" s="457">
        <f t="shared" ca="1" si="13"/>
        <v>3</v>
      </c>
      <c r="C100" s="457">
        <f t="shared" ca="1" si="14"/>
        <v>2</v>
      </c>
      <c r="D100" s="458">
        <f t="shared" ca="1" si="15"/>
        <v>5</v>
      </c>
      <c r="E100" s="458">
        <f t="shared" ca="1" si="16"/>
        <v>1</v>
      </c>
      <c r="G100" s="206"/>
      <c r="H100" s="207" t="s">
        <v>212</v>
      </c>
      <c r="I100" s="208" t="str">
        <f t="shared" ca="1" si="12"/>
        <v>03.002.005.001</v>
      </c>
      <c r="J100" s="209" t="s">
        <v>214</v>
      </c>
      <c r="K100" s="210" t="s">
        <v>1</v>
      </c>
      <c r="L100" s="455">
        <f>'Obra '!E16+'Obra '!E17+'Obra '!E18</f>
        <v>2410.5</v>
      </c>
      <c r="M100" s="455">
        <v>240</v>
      </c>
      <c r="N100" s="285">
        <f t="shared" si="7"/>
        <v>578520</v>
      </c>
      <c r="O100" s="462"/>
      <c r="P100" s="213" t="s">
        <v>518</v>
      </c>
      <c r="Q100" s="35"/>
      <c r="R100" s="35"/>
      <c r="S100" s="35"/>
    </row>
    <row r="101" spans="1:19" s="34" customFormat="1" ht="13.9" hidden="1" customHeight="1" outlineLevel="1" x14ac:dyDescent="0.2">
      <c r="A101" s="457">
        <f ca="1">IF($H101="UNIDADE CONSTRUTIVA",OFFSET(A101,-1,0)+1,LARGE(A$3:A100,1))</f>
        <v>0</v>
      </c>
      <c r="B101" s="457">
        <f t="shared" ca="1" si="13"/>
        <v>3</v>
      </c>
      <c r="C101" s="457">
        <f t="shared" ca="1" si="14"/>
        <v>3</v>
      </c>
      <c r="D101" s="458">
        <f t="shared" ca="1" si="15"/>
        <v>0</v>
      </c>
      <c r="E101" s="458">
        <f t="shared" ca="1" si="16"/>
        <v>1</v>
      </c>
      <c r="G101" s="206"/>
      <c r="H101" s="207" t="s">
        <v>210</v>
      </c>
      <c r="I101" s="208" t="str">
        <f t="shared" ca="1" si="12"/>
        <v>03.003</v>
      </c>
      <c r="J101" s="209" t="s">
        <v>837</v>
      </c>
      <c r="K101" s="210"/>
      <c r="L101" s="455"/>
      <c r="M101" s="455"/>
      <c r="N101" s="285">
        <f t="shared" ca="1" si="7"/>
        <v>456715.98825658998</v>
      </c>
      <c r="O101" s="462"/>
      <c r="P101" s="213"/>
      <c r="Q101" s="35"/>
      <c r="R101" s="35"/>
      <c r="S101" s="35"/>
    </row>
    <row r="102" spans="1:19" s="34" customFormat="1" ht="13.9" hidden="1" customHeight="1" outlineLevel="1" x14ac:dyDescent="0.2">
      <c r="A102" s="457">
        <f ca="1">IF($H102="UNIDADE CONSTRUTIVA",OFFSET(A102,-1,0)+1,LARGE(A$3:A101,1))</f>
        <v>0</v>
      </c>
      <c r="B102" s="457">
        <f t="shared" ca="1" si="13"/>
        <v>3</v>
      </c>
      <c r="C102" s="457">
        <f t="shared" ca="1" si="14"/>
        <v>3</v>
      </c>
      <c r="D102" s="458">
        <f t="shared" ca="1" si="15"/>
        <v>1</v>
      </c>
      <c r="E102" s="458">
        <f t="shared" ca="1" si="16"/>
        <v>0</v>
      </c>
      <c r="G102" s="206"/>
      <c r="H102" s="207" t="s">
        <v>211</v>
      </c>
      <c r="I102" s="208" t="str">
        <f t="shared" ca="1" si="12"/>
        <v>03.003.001</v>
      </c>
      <c r="J102" s="209" t="s">
        <v>115</v>
      </c>
      <c r="K102" s="210"/>
      <c r="L102" s="455"/>
      <c r="M102" s="455"/>
      <c r="N102" s="285">
        <f t="shared" ca="1" si="7"/>
        <v>2072.2608599999999</v>
      </c>
      <c r="O102" s="462"/>
      <c r="P102" s="213"/>
      <c r="Q102" s="35"/>
      <c r="R102" s="35"/>
      <c r="S102" s="35"/>
    </row>
    <row r="103" spans="1:19" s="34" customFormat="1" ht="13.9" hidden="1" customHeight="1" outlineLevel="2" x14ac:dyDescent="0.2">
      <c r="A103" s="457">
        <f ca="1">IF($H103="UNIDADE CONSTRUTIVA",OFFSET(A103,-1,0)+1,LARGE(A$3:A102,1))</f>
        <v>0</v>
      </c>
      <c r="B103" s="457">
        <f t="shared" ca="1" si="13"/>
        <v>3</v>
      </c>
      <c r="C103" s="457">
        <f t="shared" ca="1" si="14"/>
        <v>3</v>
      </c>
      <c r="D103" s="458">
        <f t="shared" ca="1" si="15"/>
        <v>1</v>
      </c>
      <c r="E103" s="458">
        <f t="shared" ca="1" si="16"/>
        <v>1</v>
      </c>
      <c r="G103" s="206"/>
      <c r="H103" s="207" t="s">
        <v>212</v>
      </c>
      <c r="I103" s="208" t="str">
        <f t="shared" ca="1" si="12"/>
        <v>03.003.001.001</v>
      </c>
      <c r="J103" s="209" t="s">
        <v>532</v>
      </c>
      <c r="K103" s="210" t="s">
        <v>1</v>
      </c>
      <c r="L103" s="455">
        <f>Supraestrutura!P30</f>
        <v>371.46</v>
      </c>
      <c r="M103" s="455">
        <v>0.6855</v>
      </c>
      <c r="N103" s="285">
        <f t="shared" si="7"/>
        <v>254.63583</v>
      </c>
      <c r="O103" s="462"/>
      <c r="P103" s="213" t="s">
        <v>518</v>
      </c>
      <c r="Q103" s="35"/>
      <c r="R103" s="35"/>
      <c r="S103" s="35"/>
    </row>
    <row r="104" spans="1:19" s="34" customFormat="1" ht="13.9" hidden="1" customHeight="1" outlineLevel="2" x14ac:dyDescent="0.2">
      <c r="A104" s="457">
        <f ca="1">IF($H104="UNIDADE CONSTRUTIVA",OFFSET(A104,-1,0)+1,LARGE(A$3:A103,1))</f>
        <v>0</v>
      </c>
      <c r="B104" s="457">
        <f t="shared" ca="1" si="13"/>
        <v>3</v>
      </c>
      <c r="C104" s="457">
        <f t="shared" ca="1" si="14"/>
        <v>3</v>
      </c>
      <c r="D104" s="458">
        <f t="shared" ca="1" si="15"/>
        <v>1</v>
      </c>
      <c r="E104" s="458">
        <f t="shared" ca="1" si="16"/>
        <v>2</v>
      </c>
      <c r="G104" s="206"/>
      <c r="H104" s="207" t="s">
        <v>212</v>
      </c>
      <c r="I104" s="208" t="str">
        <f t="shared" ca="1" si="12"/>
        <v>03.003.001.002</v>
      </c>
      <c r="J104" s="209" t="s">
        <v>533</v>
      </c>
      <c r="K104" s="210" t="s">
        <v>1</v>
      </c>
      <c r="L104" s="455">
        <f>Supraestrutura!P31</f>
        <v>606.96</v>
      </c>
      <c r="M104" s="455">
        <v>2.254</v>
      </c>
      <c r="N104" s="285">
        <f t="shared" si="7"/>
        <v>1368.0878400000001</v>
      </c>
      <c r="O104" s="462"/>
      <c r="P104" s="213" t="s">
        <v>518</v>
      </c>
      <c r="Q104" s="35"/>
      <c r="R104" s="35"/>
      <c r="S104" s="35"/>
    </row>
    <row r="105" spans="1:19" s="34" customFormat="1" ht="13.9" hidden="1" customHeight="1" outlineLevel="2" x14ac:dyDescent="0.2">
      <c r="A105" s="457">
        <f ca="1">IF($H105="UNIDADE CONSTRUTIVA",OFFSET(A105,-1,0)+1,LARGE(A$3:A104,1))</f>
        <v>0</v>
      </c>
      <c r="B105" s="457">
        <f t="shared" ca="1" si="13"/>
        <v>3</v>
      </c>
      <c r="C105" s="457">
        <f t="shared" ca="1" si="14"/>
        <v>3</v>
      </c>
      <c r="D105" s="458">
        <f t="shared" ca="1" si="15"/>
        <v>1</v>
      </c>
      <c r="E105" s="458">
        <f t="shared" ca="1" si="16"/>
        <v>3</v>
      </c>
      <c r="G105" s="206"/>
      <c r="H105" s="207" t="s">
        <v>212</v>
      </c>
      <c r="I105" s="208" t="str">
        <f t="shared" ca="1" si="12"/>
        <v>03.003.001.003</v>
      </c>
      <c r="J105" s="209" t="s">
        <v>534</v>
      </c>
      <c r="K105" s="210" t="s">
        <v>1</v>
      </c>
      <c r="L105" s="455">
        <f>Supraestrutura!P32</f>
        <v>637.32000000000005</v>
      </c>
      <c r="M105" s="455">
        <v>0.6855</v>
      </c>
      <c r="N105" s="285">
        <f t="shared" si="7"/>
        <v>436.88286000000005</v>
      </c>
      <c r="O105" s="462"/>
      <c r="P105" s="213" t="s">
        <v>518</v>
      </c>
      <c r="Q105" s="35"/>
      <c r="R105" s="35"/>
      <c r="S105" s="35"/>
    </row>
    <row r="106" spans="1:19" s="34" customFormat="1" ht="13.9" hidden="1" customHeight="1" outlineLevel="2" x14ac:dyDescent="0.2">
      <c r="A106" s="457">
        <f ca="1">IF($H106="UNIDADE CONSTRUTIVA",OFFSET(A106,-1,0)+1,LARGE(A$3:A105,1))</f>
        <v>0</v>
      </c>
      <c r="B106" s="457">
        <f t="shared" ca="1" si="13"/>
        <v>3</v>
      </c>
      <c r="C106" s="457">
        <f t="shared" ca="1" si="14"/>
        <v>3</v>
      </c>
      <c r="D106" s="458">
        <f t="shared" ca="1" si="15"/>
        <v>1</v>
      </c>
      <c r="E106" s="458">
        <f t="shared" ca="1" si="16"/>
        <v>4</v>
      </c>
      <c r="G106" s="206"/>
      <c r="H106" s="207" t="s">
        <v>212</v>
      </c>
      <c r="I106" s="208" t="str">
        <f t="shared" ca="1" si="12"/>
        <v>03.003.001.004</v>
      </c>
      <c r="J106" s="209" t="s">
        <v>835</v>
      </c>
      <c r="K106" s="210" t="s">
        <v>1</v>
      </c>
      <c r="L106" s="455">
        <f>Supraestrutura!P33</f>
        <v>18.46</v>
      </c>
      <c r="M106" s="455">
        <v>0.6855</v>
      </c>
      <c r="N106" s="285">
        <f t="shared" si="7"/>
        <v>12.65433</v>
      </c>
      <c r="O106" s="462"/>
      <c r="P106" s="213" t="s">
        <v>518</v>
      </c>
      <c r="Q106" s="35"/>
      <c r="R106" s="35"/>
      <c r="S106" s="35"/>
    </row>
    <row r="107" spans="1:19" s="34" customFormat="1" ht="13.9" hidden="1" customHeight="1" outlineLevel="1" x14ac:dyDescent="0.2">
      <c r="A107" s="457">
        <f ca="1">IF($H107="UNIDADE CONSTRUTIVA",OFFSET(A107,-1,0)+1,LARGE(A$3:A106,1))</f>
        <v>0</v>
      </c>
      <c r="B107" s="457">
        <f t="shared" ca="1" si="13"/>
        <v>3</v>
      </c>
      <c r="C107" s="457">
        <f t="shared" ca="1" si="14"/>
        <v>3</v>
      </c>
      <c r="D107" s="458">
        <f t="shared" ca="1" si="15"/>
        <v>2</v>
      </c>
      <c r="E107" s="458">
        <f t="shared" ca="1" si="16"/>
        <v>0</v>
      </c>
      <c r="G107" s="206"/>
      <c r="H107" s="207" t="s">
        <v>211</v>
      </c>
      <c r="I107" s="208" t="str">
        <f t="shared" ca="1" si="12"/>
        <v>03.003.002</v>
      </c>
      <c r="J107" s="209" t="s">
        <v>112</v>
      </c>
      <c r="K107" s="210"/>
      <c r="L107" s="455"/>
      <c r="M107" s="455"/>
      <c r="N107" s="285">
        <f t="shared" ca="1" si="7"/>
        <v>109719.80386147001</v>
      </c>
      <c r="O107" s="462"/>
      <c r="P107" s="213"/>
      <c r="Q107" s="35"/>
      <c r="R107" s="35"/>
      <c r="S107" s="35"/>
    </row>
    <row r="108" spans="1:19" s="34" customFormat="1" ht="13.9" hidden="1" customHeight="1" outlineLevel="2" x14ac:dyDescent="0.2">
      <c r="A108" s="457">
        <f ca="1">IF($H108="UNIDADE CONSTRUTIVA",OFFSET(A108,-1,0)+1,LARGE(A$3:A107,1))</f>
        <v>0</v>
      </c>
      <c r="B108" s="457">
        <f t="shared" ca="1" si="13"/>
        <v>3</v>
      </c>
      <c r="C108" s="457">
        <f t="shared" ca="1" si="14"/>
        <v>3</v>
      </c>
      <c r="D108" s="458">
        <f t="shared" ca="1" si="15"/>
        <v>2</v>
      </c>
      <c r="E108" s="458">
        <f t="shared" ca="1" si="16"/>
        <v>1</v>
      </c>
      <c r="G108" s="206"/>
      <c r="H108" s="207" t="s">
        <v>212</v>
      </c>
      <c r="I108" s="208" t="str">
        <f ca="1">IF(H108="Unidade Construtiva",TEXT(A108,"00"),IF(H108="Célula Construtiva",TEXT(B108,"00"),IF(H108="Etapa",CONCATENATE(TEXT(B108,"00"),".",TEXT(C108,"000")),IF(H108="Subetapa",CONCATENATE(TEXT(B108,"00"),".",TEXT(C108,"000"),".",TEXT(D108,"000")),IF(H108="Serviço",CONCATENATE(TEXT(B108,"00"),".",TEXT(C108,"000"),".",TEXT(D108,"000"),".",TEXT(E108,"000")),"")))))</f>
        <v>03.003.002.001</v>
      </c>
      <c r="J108" s="209" t="s">
        <v>535</v>
      </c>
      <c r="K108" s="210" t="s">
        <v>5</v>
      </c>
      <c r="L108" s="455">
        <f>Supraestrutura!B29</f>
        <v>1036.2228799999998</v>
      </c>
      <c r="M108" s="455">
        <v>7.6817000000000002</v>
      </c>
      <c r="N108" s="285">
        <f t="shared" si="7"/>
        <v>7959.9532972959987</v>
      </c>
      <c r="O108" s="462"/>
      <c r="P108" s="213" t="s">
        <v>518</v>
      </c>
      <c r="Q108" s="35"/>
      <c r="R108" s="35"/>
      <c r="S108" s="35"/>
    </row>
    <row r="109" spans="1:19" s="34" customFormat="1" ht="13.9" hidden="1" customHeight="1" outlineLevel="2" x14ac:dyDescent="0.2">
      <c r="A109" s="457">
        <f ca="1">IF($H109="UNIDADE CONSTRUTIVA",OFFSET(A109,-1,0)+1,LARGE(A$3:A108,1))</f>
        <v>0</v>
      </c>
      <c r="B109" s="457">
        <f t="shared" ca="1" si="13"/>
        <v>3</v>
      </c>
      <c r="C109" s="457">
        <f t="shared" ca="1" si="14"/>
        <v>3</v>
      </c>
      <c r="D109" s="458">
        <f t="shared" ca="1" si="15"/>
        <v>2</v>
      </c>
      <c r="E109" s="458">
        <f t="shared" ca="1" si="16"/>
        <v>2</v>
      </c>
      <c r="G109" s="206"/>
      <c r="H109" s="207" t="s">
        <v>212</v>
      </c>
      <c r="I109" s="208" t="str">
        <f ca="1">IF(H109="Unidade Construtiva",TEXT(A109,"00"),IF(H109="Célula Construtiva",TEXT(B109,"00"),IF(H109="Etapa",CONCATENATE(TEXT(B109,"00"),".",TEXT(C109,"000")),IF(H109="Subetapa",CONCATENATE(TEXT(B109,"00"),".",TEXT(C109,"000"),".",TEXT(D109,"000")),IF(H109="Serviço",CONCATENATE(TEXT(B109,"00"),".",TEXT(C109,"000"),".",TEXT(D109,"000"),".",TEXT(E109,"000")),"")))))</f>
        <v>03.003.002.002</v>
      </c>
      <c r="J109" s="209" t="s">
        <v>537</v>
      </c>
      <c r="K109" s="210" t="s">
        <v>5</v>
      </c>
      <c r="L109" s="455">
        <f>Supraestrutura!C29</f>
        <v>1442.6261500000001</v>
      </c>
      <c r="M109" s="455">
        <v>6.9776999999999996</v>
      </c>
      <c r="N109" s="285">
        <f t="shared" si="7"/>
        <v>10066.212486855</v>
      </c>
      <c r="O109" s="462"/>
      <c r="P109" s="213" t="s">
        <v>518</v>
      </c>
      <c r="Q109" s="465"/>
      <c r="R109" s="465"/>
      <c r="S109" s="35"/>
    </row>
    <row r="110" spans="1:19" s="34" customFormat="1" ht="13.9" hidden="1" customHeight="1" outlineLevel="2" x14ac:dyDescent="0.2">
      <c r="A110" s="457">
        <f ca="1">IF($H110="UNIDADE CONSTRUTIVA",OFFSET(A110,-1,0)+1,LARGE(A$3:A109,1))</f>
        <v>0</v>
      </c>
      <c r="B110" s="457">
        <f t="shared" ca="1" si="13"/>
        <v>3</v>
      </c>
      <c r="C110" s="457">
        <f t="shared" ca="1" si="14"/>
        <v>3</v>
      </c>
      <c r="D110" s="458">
        <f t="shared" ca="1" si="15"/>
        <v>2</v>
      </c>
      <c r="E110" s="458">
        <f t="shared" ca="1" si="16"/>
        <v>3</v>
      </c>
      <c r="G110" s="206"/>
      <c r="H110" s="207" t="s">
        <v>212</v>
      </c>
      <c r="I110" s="208" t="str">
        <f t="shared" ref="I110:I128" ca="1" si="17">IF(H110="Unidade Construtiva",TEXT(A110,"00"),IF(H110="Célula Construtiva",TEXT(B110,"00"),IF(H110="Etapa",CONCATENATE(TEXT(B110,"00"),".",TEXT(C110,"000")),IF(H110="Subetapa",CONCATENATE(TEXT(B110,"00"),".",TEXT(C110,"000"),".",TEXT(D110,"000")),IF(H110="Serviço",CONCATENATE(TEXT(B110,"00"),".",TEXT(C110,"000"),".",TEXT(D110,"000"),".",TEXT(E110,"000")),"")))))</f>
        <v>03.003.002.003</v>
      </c>
      <c r="J110" s="209" t="s">
        <v>538</v>
      </c>
      <c r="K110" s="210" t="s">
        <v>5</v>
      </c>
      <c r="L110" s="455">
        <f>Supraestrutura!D29</f>
        <v>4650.6075499999997</v>
      </c>
      <c r="M110" s="455">
        <v>6.7137000000000002</v>
      </c>
      <c r="N110" s="285">
        <f t="shared" si="7"/>
        <v>31222.783908434998</v>
      </c>
      <c r="O110" s="462"/>
      <c r="P110" s="213" t="s">
        <v>518</v>
      </c>
      <c r="Q110" s="465"/>
      <c r="R110" s="465"/>
      <c r="S110" s="35"/>
    </row>
    <row r="111" spans="1:19" s="34" customFormat="1" ht="13.9" hidden="1" customHeight="1" outlineLevel="2" x14ac:dyDescent="0.2">
      <c r="A111" s="457">
        <f ca="1">IF($H111="UNIDADE CONSTRUTIVA",OFFSET(A111,-1,0)+1,LARGE(A$3:A110,1))</f>
        <v>0</v>
      </c>
      <c r="B111" s="457">
        <f t="shared" ca="1" si="13"/>
        <v>3</v>
      </c>
      <c r="C111" s="457">
        <f t="shared" ca="1" si="14"/>
        <v>3</v>
      </c>
      <c r="D111" s="458">
        <f t="shared" ca="1" si="15"/>
        <v>2</v>
      </c>
      <c r="E111" s="458">
        <f t="shared" ca="1" si="16"/>
        <v>4</v>
      </c>
      <c r="G111" s="206"/>
      <c r="H111" s="207" t="s">
        <v>212</v>
      </c>
      <c r="I111" s="208" t="str">
        <f t="shared" ca="1" si="17"/>
        <v>03.003.002.004</v>
      </c>
      <c r="J111" s="209" t="s">
        <v>539</v>
      </c>
      <c r="K111" s="210" t="s">
        <v>5</v>
      </c>
      <c r="L111" s="455">
        <f>Supraestrutura!E29</f>
        <v>2034.87834</v>
      </c>
      <c r="M111" s="455">
        <v>6.1637000000000004</v>
      </c>
      <c r="N111" s="285">
        <f t="shared" si="7"/>
        <v>12542.379624258001</v>
      </c>
      <c r="O111" s="462"/>
      <c r="P111" s="213" t="s">
        <v>518</v>
      </c>
      <c r="Q111" s="465"/>
      <c r="R111" s="465"/>
      <c r="S111" s="35"/>
    </row>
    <row r="112" spans="1:19" s="34" customFormat="1" ht="13.9" hidden="1" customHeight="1" outlineLevel="2" x14ac:dyDescent="0.2">
      <c r="A112" s="457">
        <f ca="1">IF($H112="UNIDADE CONSTRUTIVA",OFFSET(A112,-1,0)+1,LARGE(A$3:A111,1))</f>
        <v>0</v>
      </c>
      <c r="B112" s="457">
        <f t="shared" ca="1" si="13"/>
        <v>3</v>
      </c>
      <c r="C112" s="457">
        <f t="shared" ca="1" si="14"/>
        <v>3</v>
      </c>
      <c r="D112" s="458">
        <f t="shared" ca="1" si="15"/>
        <v>2</v>
      </c>
      <c r="E112" s="458">
        <f t="shared" ca="1" si="16"/>
        <v>5</v>
      </c>
      <c r="G112" s="206"/>
      <c r="H112" s="207" t="s">
        <v>212</v>
      </c>
      <c r="I112" s="208" t="str">
        <f t="shared" ca="1" si="17"/>
        <v>03.003.002.005</v>
      </c>
      <c r="J112" s="209" t="s">
        <v>540</v>
      </c>
      <c r="K112" s="210" t="s">
        <v>5</v>
      </c>
      <c r="L112" s="455">
        <f>Supraestrutura!F29</f>
        <v>3696.8029200000001</v>
      </c>
      <c r="M112" s="455">
        <v>6.3396999999999997</v>
      </c>
      <c r="N112" s="285">
        <f t="shared" si="7"/>
        <v>23436.621471923998</v>
      </c>
      <c r="O112" s="462"/>
      <c r="P112" s="213" t="s">
        <v>518</v>
      </c>
      <c r="Q112" s="465"/>
      <c r="R112" s="465"/>
      <c r="S112" s="35"/>
    </row>
    <row r="113" spans="1:19" s="34" customFormat="1" ht="13.9" hidden="1" customHeight="1" outlineLevel="2" x14ac:dyDescent="0.2">
      <c r="A113" s="457">
        <f ca="1">IF($H113="UNIDADE CONSTRUTIVA",OFFSET(A113,-1,0)+1,LARGE(A$3:A112,1))</f>
        <v>0</v>
      </c>
      <c r="B113" s="457">
        <f t="shared" ca="1" si="13"/>
        <v>3</v>
      </c>
      <c r="C113" s="457">
        <f t="shared" ca="1" si="14"/>
        <v>3</v>
      </c>
      <c r="D113" s="458">
        <f t="shared" ca="1" si="15"/>
        <v>2</v>
      </c>
      <c r="E113" s="458">
        <f t="shared" ca="1" si="16"/>
        <v>6</v>
      </c>
      <c r="G113" s="206"/>
      <c r="H113" s="207" t="s">
        <v>212</v>
      </c>
      <c r="I113" s="208" t="str">
        <f t="shared" ca="1" si="17"/>
        <v>03.003.002.006</v>
      </c>
      <c r="J113" s="209" t="s">
        <v>541</v>
      </c>
      <c r="K113" s="210" t="s">
        <v>5</v>
      </c>
      <c r="L113" s="455">
        <f>Supraestrutura!G29</f>
        <v>1367.7315000000001</v>
      </c>
      <c r="M113" s="455">
        <v>6.2930999999999999</v>
      </c>
      <c r="N113" s="285">
        <f t="shared" si="7"/>
        <v>8607.2711026500001</v>
      </c>
      <c r="O113" s="462"/>
      <c r="P113" s="213" t="s">
        <v>518</v>
      </c>
      <c r="Q113" s="465"/>
      <c r="R113" s="465"/>
      <c r="S113" s="35"/>
    </row>
    <row r="114" spans="1:19" s="34" customFormat="1" ht="13.9" hidden="1" customHeight="1" outlineLevel="2" x14ac:dyDescent="0.2">
      <c r="A114" s="457">
        <f ca="1">IF($H114="UNIDADE CONSTRUTIVA",OFFSET(A114,-1,0)+1,LARGE(A$3:A113,1))</f>
        <v>0</v>
      </c>
      <c r="B114" s="457">
        <f t="shared" ca="1" si="13"/>
        <v>3</v>
      </c>
      <c r="C114" s="457">
        <f t="shared" ca="1" si="14"/>
        <v>3</v>
      </c>
      <c r="D114" s="458">
        <f t="shared" ca="1" si="15"/>
        <v>2</v>
      </c>
      <c r="E114" s="458">
        <f t="shared" ca="1" si="16"/>
        <v>7</v>
      </c>
      <c r="G114" s="206"/>
      <c r="H114" s="207" t="s">
        <v>212</v>
      </c>
      <c r="I114" s="208" t="str">
        <f t="shared" ca="1" si="17"/>
        <v>03.003.002.007</v>
      </c>
      <c r="J114" s="209" t="s">
        <v>542</v>
      </c>
      <c r="K114" s="210" t="s">
        <v>5</v>
      </c>
      <c r="L114" s="455">
        <f>Supraestrutura!H29</f>
        <v>2577.1179600000005</v>
      </c>
      <c r="M114" s="455">
        <v>6.1637000000000004</v>
      </c>
      <c r="N114" s="285">
        <f t="shared" si="7"/>
        <v>15884.581970052004</v>
      </c>
      <c r="O114" s="462"/>
      <c r="P114" s="213" t="s">
        <v>518</v>
      </c>
      <c r="Q114" s="465"/>
      <c r="R114" s="465"/>
      <c r="S114" s="35"/>
    </row>
    <row r="115" spans="1:19" s="34" customFormat="1" ht="13.9" hidden="1" customHeight="1" outlineLevel="1" x14ac:dyDescent="0.2">
      <c r="A115" s="457">
        <f ca="1">IF($H115="UNIDADE CONSTRUTIVA",OFFSET(A115,-1,0)+1,LARGE(A$3:A114,1))</f>
        <v>0</v>
      </c>
      <c r="B115" s="457">
        <f t="shared" ca="1" si="13"/>
        <v>3</v>
      </c>
      <c r="C115" s="457">
        <f t="shared" ca="1" si="14"/>
        <v>3</v>
      </c>
      <c r="D115" s="458">
        <f t="shared" ca="1" si="15"/>
        <v>3</v>
      </c>
      <c r="E115" s="458">
        <f t="shared" ca="1" si="16"/>
        <v>0</v>
      </c>
      <c r="G115" s="206"/>
      <c r="H115" s="207" t="s">
        <v>211</v>
      </c>
      <c r="I115" s="208" t="str">
        <f t="shared" ca="1" si="17"/>
        <v>03.003.003</v>
      </c>
      <c r="J115" s="209" t="s">
        <v>213</v>
      </c>
      <c r="K115" s="210"/>
      <c r="L115" s="455"/>
      <c r="M115" s="455"/>
      <c r="N115" s="285">
        <f t="shared" ca="1" si="7"/>
        <v>101448.57713511999</v>
      </c>
      <c r="O115" s="462"/>
      <c r="P115" s="213"/>
      <c r="Q115" s="35"/>
      <c r="R115" s="35"/>
      <c r="S115" s="35"/>
    </row>
    <row r="116" spans="1:19" s="34" customFormat="1" ht="13.15" hidden="1" customHeight="1" outlineLevel="2" x14ac:dyDescent="0.2">
      <c r="A116" s="457">
        <f ca="1">IF($H116="UNIDADE CONSTRUTIVA",OFFSET(A116,-1,0)+1,LARGE(A$3:A115,1))</f>
        <v>0</v>
      </c>
      <c r="B116" s="457">
        <f t="shared" ca="1" si="13"/>
        <v>3</v>
      </c>
      <c r="C116" s="457">
        <f t="shared" ca="1" si="14"/>
        <v>3</v>
      </c>
      <c r="D116" s="458">
        <f t="shared" ca="1" si="15"/>
        <v>3</v>
      </c>
      <c r="E116" s="458">
        <f t="shared" ca="1" si="16"/>
        <v>1</v>
      </c>
      <c r="G116" s="206"/>
      <c r="H116" s="207" t="s">
        <v>212</v>
      </c>
      <c r="I116" s="208" t="str">
        <f t="shared" ca="1" si="17"/>
        <v>03.003.003.001</v>
      </c>
      <c r="J116" s="209" t="s">
        <v>769</v>
      </c>
      <c r="K116" s="210" t="s">
        <v>4</v>
      </c>
      <c r="L116" s="455">
        <f>Supraestrutura!N29</f>
        <v>2.3193999999999999</v>
      </c>
      <c r="M116" s="455">
        <v>521.01919999999996</v>
      </c>
      <c r="N116" s="285">
        <f t="shared" si="7"/>
        <v>1208.4519324799999</v>
      </c>
      <c r="O116" s="462"/>
      <c r="P116" s="213" t="s">
        <v>518</v>
      </c>
      <c r="Q116" s="35"/>
      <c r="R116" s="35"/>
      <c r="S116" s="35"/>
    </row>
    <row r="117" spans="1:19" s="34" customFormat="1" ht="13.15" hidden="1" customHeight="1" outlineLevel="2" x14ac:dyDescent="0.2">
      <c r="A117" s="457">
        <f ca="1">IF($H117="UNIDADE CONSTRUTIVA",OFFSET(A117,-1,0)+1,LARGE(A$3:A116,1))</f>
        <v>0</v>
      </c>
      <c r="B117" s="457">
        <f t="shared" ca="1" si="13"/>
        <v>3</v>
      </c>
      <c r="C117" s="457">
        <f t="shared" ca="1" si="14"/>
        <v>3</v>
      </c>
      <c r="D117" s="458">
        <f t="shared" ca="1" si="15"/>
        <v>3</v>
      </c>
      <c r="E117" s="458">
        <f t="shared" ca="1" si="16"/>
        <v>2</v>
      </c>
      <c r="G117" s="206"/>
      <c r="H117" s="207" t="s">
        <v>212</v>
      </c>
      <c r="I117" s="208" t="str">
        <f t="shared" ca="1" si="17"/>
        <v>03.003.003.002</v>
      </c>
      <c r="J117" s="209" t="s">
        <v>771</v>
      </c>
      <c r="K117" s="210" t="s">
        <v>4</v>
      </c>
      <c r="L117" s="455">
        <f>Supraestrutura!M29</f>
        <v>183.16419999999999</v>
      </c>
      <c r="M117" s="455">
        <v>547.26919999999996</v>
      </c>
      <c r="N117" s="285">
        <f t="shared" si="7"/>
        <v>100240.12520263999</v>
      </c>
      <c r="O117" s="462"/>
      <c r="P117" s="213" t="s">
        <v>518</v>
      </c>
      <c r="Q117" s="35"/>
      <c r="R117" s="35"/>
      <c r="S117" s="35"/>
    </row>
    <row r="118" spans="1:19" s="34" customFormat="1" ht="13.9" hidden="1" customHeight="1" outlineLevel="1" x14ac:dyDescent="0.2">
      <c r="A118" s="457">
        <f ca="1">IF($H118="UNIDADE CONSTRUTIVA",OFFSET(A118,-1,0)+1,LARGE(A$3:A117,1))</f>
        <v>0</v>
      </c>
      <c r="B118" s="457">
        <f t="shared" ca="1" si="13"/>
        <v>3</v>
      </c>
      <c r="C118" s="457">
        <f t="shared" ca="1" si="14"/>
        <v>3</v>
      </c>
      <c r="D118" s="458">
        <f t="shared" ca="1" si="15"/>
        <v>4</v>
      </c>
      <c r="E118" s="458">
        <f t="shared" ca="1" si="16"/>
        <v>0</v>
      </c>
      <c r="G118" s="206"/>
      <c r="H118" s="207" t="s">
        <v>211</v>
      </c>
      <c r="I118" s="208" t="str">
        <f t="shared" ca="1" si="17"/>
        <v>03.003.004</v>
      </c>
      <c r="J118" s="209" t="s">
        <v>128</v>
      </c>
      <c r="K118" s="210"/>
      <c r="L118" s="455"/>
      <c r="M118" s="455"/>
      <c r="N118" s="285">
        <f t="shared" ca="1" si="7"/>
        <v>63888.146399999998</v>
      </c>
      <c r="O118" s="462"/>
      <c r="P118" s="213"/>
      <c r="Q118" s="35"/>
      <c r="R118" s="35"/>
      <c r="S118" s="35"/>
    </row>
    <row r="119" spans="1:19" s="34" customFormat="1" ht="13.9" hidden="1" customHeight="1" outlineLevel="2" x14ac:dyDescent="0.2">
      <c r="A119" s="457">
        <f ca="1">IF($H119="UNIDADE CONSTRUTIVA",OFFSET(A119,-1,0)+1,LARGE(A$3:A118,1))</f>
        <v>0</v>
      </c>
      <c r="B119" s="457">
        <f t="shared" ref="B119:B139" ca="1" si="18">IF(H119="UNIDADE CONSTRUTIVA",0,IF(H119="CÉLULA CONSTRUTIVA",OFFSET(B119,-1,0)+1,OFFSET(B119,-1,0)))</f>
        <v>3</v>
      </c>
      <c r="C119" s="457">
        <f t="shared" ref="C119:C139" ca="1" si="19">IF(H119="CÉLULA CONSTRUTIVA",0,IF(H119="ETAPA",OFFSET(C119,-1,0)+1,OFFSET(C119,-1,0)))</f>
        <v>3</v>
      </c>
      <c r="D119" s="458">
        <f t="shared" ref="D119:D139" ca="1" si="20">IF(H119="ETAPA",0,IF(H119="SUBETAPA",OFFSET(D119,-1,0)+1,OFFSET(D119,-1,0)))</f>
        <v>4</v>
      </c>
      <c r="E119" s="458">
        <f t="shared" ref="E119:E139" ca="1" si="21">IF(H119="Subetapa",0,IF(H119="serviço",OFFSET(E119,-1,0)+1,OFFSET(E119,-1,0)))</f>
        <v>1</v>
      </c>
      <c r="G119" s="206"/>
      <c r="H119" s="207" t="s">
        <v>212</v>
      </c>
      <c r="I119" s="208" t="str">
        <f t="shared" ca="1" si="17"/>
        <v>03.003.004.001</v>
      </c>
      <c r="J119" s="209" t="s">
        <v>1240</v>
      </c>
      <c r="K119" s="210" t="s">
        <v>1</v>
      </c>
      <c r="L119" s="455">
        <f>'Obra '!E19</f>
        <v>748.28</v>
      </c>
      <c r="M119" s="455">
        <v>85.38</v>
      </c>
      <c r="N119" s="285">
        <f t="shared" si="7"/>
        <v>63888.146399999998</v>
      </c>
      <c r="O119" s="462" t="s">
        <v>536</v>
      </c>
      <c r="P119" s="213" t="s">
        <v>518</v>
      </c>
      <c r="Q119" s="35"/>
      <c r="R119" s="35"/>
      <c r="S119" s="35"/>
    </row>
    <row r="120" spans="1:19" s="34" customFormat="1" ht="13.9" hidden="1" customHeight="1" outlineLevel="1" x14ac:dyDescent="0.2">
      <c r="A120" s="457">
        <f ca="1">IF($H120="UNIDADE CONSTRUTIVA",OFFSET(A120,-1,0)+1,LARGE(A$3:A119,1))</f>
        <v>0</v>
      </c>
      <c r="B120" s="457">
        <f t="shared" ca="1" si="18"/>
        <v>3</v>
      </c>
      <c r="C120" s="457">
        <f t="shared" ca="1" si="19"/>
        <v>3</v>
      </c>
      <c r="D120" s="458">
        <f t="shared" ca="1" si="20"/>
        <v>5</v>
      </c>
      <c r="E120" s="458">
        <f t="shared" ca="1" si="21"/>
        <v>0</v>
      </c>
      <c r="G120" s="206"/>
      <c r="H120" s="207" t="s">
        <v>211</v>
      </c>
      <c r="I120" s="208" t="str">
        <f t="shared" ca="1" si="17"/>
        <v>03.003.005</v>
      </c>
      <c r="J120" s="209" t="s">
        <v>130</v>
      </c>
      <c r="K120" s="210"/>
      <c r="L120" s="455"/>
      <c r="M120" s="455"/>
      <c r="N120" s="285">
        <f t="shared" ca="1" si="7"/>
        <v>179587.19999999998</v>
      </c>
      <c r="O120" s="462"/>
      <c r="P120" s="213"/>
      <c r="Q120" s="35"/>
      <c r="R120" s="35"/>
      <c r="S120" s="35"/>
    </row>
    <row r="121" spans="1:19" s="34" customFormat="1" ht="13.9" hidden="1" customHeight="1" outlineLevel="2" x14ac:dyDescent="0.2">
      <c r="A121" s="457">
        <f ca="1">IF($H121="UNIDADE CONSTRUTIVA",OFFSET(A121,-1,0)+1,LARGE(A$3:A120,1))</f>
        <v>0</v>
      </c>
      <c r="B121" s="457">
        <f t="shared" ca="1" si="18"/>
        <v>3</v>
      </c>
      <c r="C121" s="457">
        <f t="shared" ca="1" si="19"/>
        <v>3</v>
      </c>
      <c r="D121" s="458">
        <f t="shared" ca="1" si="20"/>
        <v>5</v>
      </c>
      <c r="E121" s="458">
        <f t="shared" ca="1" si="21"/>
        <v>1</v>
      </c>
      <c r="G121" s="206"/>
      <c r="H121" s="207" t="s">
        <v>212</v>
      </c>
      <c r="I121" s="208" t="str">
        <f t="shared" ca="1" si="17"/>
        <v>03.003.005.001</v>
      </c>
      <c r="J121" s="209" t="s">
        <v>214</v>
      </c>
      <c r="K121" s="210" t="s">
        <v>1</v>
      </c>
      <c r="L121" s="455">
        <f>'Obra '!E19</f>
        <v>748.28</v>
      </c>
      <c r="M121" s="455">
        <v>240</v>
      </c>
      <c r="N121" s="285">
        <f t="shared" si="7"/>
        <v>179587.19999999998</v>
      </c>
      <c r="O121" s="462"/>
      <c r="P121" s="213" t="s">
        <v>518</v>
      </c>
      <c r="Q121" s="35"/>
      <c r="R121" s="35"/>
      <c r="S121" s="35"/>
    </row>
    <row r="122" spans="1:19" s="34" customFormat="1" ht="13.9" hidden="1" customHeight="1" outlineLevel="1" x14ac:dyDescent="0.2">
      <c r="A122" s="457">
        <f ca="1">IF($H122="UNIDADE CONSTRUTIVA",OFFSET(A122,-1,0)+1,LARGE(A$3:A121,1))</f>
        <v>0</v>
      </c>
      <c r="B122" s="457">
        <f t="shared" ca="1" si="18"/>
        <v>3</v>
      </c>
      <c r="C122" s="457">
        <f t="shared" ca="1" si="19"/>
        <v>4</v>
      </c>
      <c r="D122" s="458">
        <f t="shared" ca="1" si="20"/>
        <v>0</v>
      </c>
      <c r="E122" s="458">
        <f t="shared" ca="1" si="21"/>
        <v>1</v>
      </c>
      <c r="G122" s="206"/>
      <c r="H122" s="207" t="s">
        <v>210</v>
      </c>
      <c r="I122" s="208" t="str">
        <f t="shared" ca="1" si="17"/>
        <v>03.004</v>
      </c>
      <c r="J122" s="209" t="s">
        <v>838</v>
      </c>
      <c r="K122" s="210"/>
      <c r="L122" s="455"/>
      <c r="M122" s="455"/>
      <c r="N122" s="285">
        <f t="shared" ca="1" si="7"/>
        <v>529723.89369574306</v>
      </c>
      <c r="O122" s="462"/>
      <c r="P122" s="213"/>
      <c r="Q122" s="35"/>
      <c r="R122" s="35"/>
      <c r="S122" s="35"/>
    </row>
    <row r="123" spans="1:19" s="34" customFormat="1" ht="13.9" hidden="1" customHeight="1" outlineLevel="1" x14ac:dyDescent="0.2">
      <c r="A123" s="457">
        <f ca="1">IF($H123="UNIDADE CONSTRUTIVA",OFFSET(A123,-1,0)+1,LARGE(A$3:A122,1))</f>
        <v>0</v>
      </c>
      <c r="B123" s="457">
        <f t="shared" ca="1" si="18"/>
        <v>3</v>
      </c>
      <c r="C123" s="457">
        <f t="shared" ca="1" si="19"/>
        <v>4</v>
      </c>
      <c r="D123" s="458">
        <f t="shared" ca="1" si="20"/>
        <v>1</v>
      </c>
      <c r="E123" s="458">
        <f t="shared" ca="1" si="21"/>
        <v>0</v>
      </c>
      <c r="G123" s="206"/>
      <c r="H123" s="207" t="s">
        <v>211</v>
      </c>
      <c r="I123" s="208" t="str">
        <f t="shared" ca="1" si="17"/>
        <v>03.004.001</v>
      </c>
      <c r="J123" s="209" t="s">
        <v>115</v>
      </c>
      <c r="K123" s="210"/>
      <c r="L123" s="455"/>
      <c r="M123" s="455"/>
      <c r="N123" s="285">
        <f t="shared" ca="1" si="7"/>
        <v>2407.7408800000003</v>
      </c>
      <c r="O123" s="462"/>
      <c r="P123" s="213"/>
      <c r="Q123" s="35"/>
      <c r="R123" s="35"/>
      <c r="S123" s="35"/>
    </row>
    <row r="124" spans="1:19" s="34" customFormat="1" ht="13.9" hidden="1" customHeight="1" outlineLevel="2" x14ac:dyDescent="0.2">
      <c r="A124" s="457">
        <f ca="1">IF($H124="UNIDADE CONSTRUTIVA",OFFSET(A124,-1,0)+1,LARGE(A$3:A123,1))</f>
        <v>0</v>
      </c>
      <c r="B124" s="457">
        <f t="shared" ca="1" si="18"/>
        <v>3</v>
      </c>
      <c r="C124" s="457">
        <f t="shared" ca="1" si="19"/>
        <v>4</v>
      </c>
      <c r="D124" s="458">
        <f t="shared" ca="1" si="20"/>
        <v>1</v>
      </c>
      <c r="E124" s="458">
        <f t="shared" ca="1" si="21"/>
        <v>1</v>
      </c>
      <c r="G124" s="206"/>
      <c r="H124" s="207" t="s">
        <v>212</v>
      </c>
      <c r="I124" s="208" t="str">
        <f t="shared" ca="1" si="17"/>
        <v>03.004.001.001</v>
      </c>
      <c r="J124" s="209" t="s">
        <v>532</v>
      </c>
      <c r="K124" s="210" t="s">
        <v>1</v>
      </c>
      <c r="L124" s="455">
        <f>Supraestrutura!P35</f>
        <v>312.45</v>
      </c>
      <c r="M124" s="455">
        <v>0.6855</v>
      </c>
      <c r="N124" s="285">
        <f t="shared" si="7"/>
        <v>214.18447499999999</v>
      </c>
      <c r="O124" s="462"/>
      <c r="P124" s="213" t="s">
        <v>518</v>
      </c>
      <c r="Q124" s="35"/>
      <c r="R124" s="35"/>
      <c r="S124" s="35"/>
    </row>
    <row r="125" spans="1:19" s="34" customFormat="1" ht="13.9" hidden="1" customHeight="1" outlineLevel="2" x14ac:dyDescent="0.2">
      <c r="A125" s="457">
        <f ca="1">IF($H125="UNIDADE CONSTRUTIVA",OFFSET(A125,-1,0)+1,LARGE(A$3:A124,1))</f>
        <v>0</v>
      </c>
      <c r="B125" s="457">
        <f t="shared" ca="1" si="18"/>
        <v>3</v>
      </c>
      <c r="C125" s="457">
        <f t="shared" ca="1" si="19"/>
        <v>4</v>
      </c>
      <c r="D125" s="458">
        <f t="shared" ca="1" si="20"/>
        <v>1</v>
      </c>
      <c r="E125" s="458">
        <f t="shared" ca="1" si="21"/>
        <v>2</v>
      </c>
      <c r="G125" s="206"/>
      <c r="H125" s="207" t="s">
        <v>212</v>
      </c>
      <c r="I125" s="208" t="str">
        <f t="shared" ca="1" si="17"/>
        <v>03.004.001.002</v>
      </c>
      <c r="J125" s="209" t="s">
        <v>533</v>
      </c>
      <c r="K125" s="210" t="s">
        <v>1</v>
      </c>
      <c r="L125" s="455">
        <f>Supraestrutura!P36</f>
        <v>755.53</v>
      </c>
      <c r="M125" s="455">
        <v>2.254</v>
      </c>
      <c r="N125" s="285">
        <f t="shared" si="7"/>
        <v>1702.96462</v>
      </c>
      <c r="O125" s="462"/>
      <c r="P125" s="213" t="s">
        <v>518</v>
      </c>
      <c r="Q125" s="35"/>
      <c r="R125" s="35"/>
      <c r="S125" s="35"/>
    </row>
    <row r="126" spans="1:19" s="34" customFormat="1" ht="13.9" hidden="1" customHeight="1" outlineLevel="2" x14ac:dyDescent="0.2">
      <c r="A126" s="457">
        <f ca="1">IF($H126="UNIDADE CONSTRUTIVA",OFFSET(A126,-1,0)+1,LARGE(A$3:A125,1))</f>
        <v>0</v>
      </c>
      <c r="B126" s="457">
        <f t="shared" ca="1" si="18"/>
        <v>3</v>
      </c>
      <c r="C126" s="457">
        <f t="shared" ca="1" si="19"/>
        <v>4</v>
      </c>
      <c r="D126" s="458">
        <f t="shared" ca="1" si="20"/>
        <v>1</v>
      </c>
      <c r="E126" s="458">
        <f t="shared" ca="1" si="21"/>
        <v>3</v>
      </c>
      <c r="G126" s="206"/>
      <c r="H126" s="207" t="s">
        <v>212</v>
      </c>
      <c r="I126" s="208" t="str">
        <f t="shared" ca="1" si="17"/>
        <v>03.004.001.003</v>
      </c>
      <c r="J126" s="209" t="s">
        <v>534</v>
      </c>
      <c r="K126" s="210" t="s">
        <v>1</v>
      </c>
      <c r="L126" s="455">
        <f>Supraestrutura!P37</f>
        <v>697.07</v>
      </c>
      <c r="M126" s="455">
        <v>0.6855</v>
      </c>
      <c r="N126" s="285">
        <f t="shared" si="7"/>
        <v>477.84148500000003</v>
      </c>
      <c r="O126" s="462"/>
      <c r="P126" s="213" t="s">
        <v>518</v>
      </c>
      <c r="Q126" s="35"/>
      <c r="R126" s="35"/>
      <c r="S126" s="35"/>
    </row>
    <row r="127" spans="1:19" s="34" customFormat="1" ht="13.9" hidden="1" customHeight="1" outlineLevel="2" x14ac:dyDescent="0.2">
      <c r="A127" s="457">
        <f ca="1">IF($H127="UNIDADE CONSTRUTIVA",OFFSET(A127,-1,0)+1,LARGE(A$3:A126,1))</f>
        <v>0</v>
      </c>
      <c r="B127" s="457">
        <f t="shared" ca="1" si="18"/>
        <v>3</v>
      </c>
      <c r="C127" s="457">
        <f t="shared" ca="1" si="19"/>
        <v>4</v>
      </c>
      <c r="D127" s="458">
        <f t="shared" ca="1" si="20"/>
        <v>1</v>
      </c>
      <c r="E127" s="458">
        <f t="shared" ca="1" si="21"/>
        <v>4</v>
      </c>
      <c r="G127" s="206"/>
      <c r="H127" s="207" t="s">
        <v>212</v>
      </c>
      <c r="I127" s="208" t="str">
        <f t="shared" ca="1" si="17"/>
        <v>03.004.001.004</v>
      </c>
      <c r="J127" s="209" t="s">
        <v>835</v>
      </c>
      <c r="K127" s="210" t="s">
        <v>1</v>
      </c>
      <c r="L127" s="455">
        <f>Supraestrutura!P38</f>
        <v>18.600000000000001</v>
      </c>
      <c r="M127" s="455">
        <v>0.6855</v>
      </c>
      <c r="N127" s="285">
        <f t="shared" si="7"/>
        <v>12.750300000000001</v>
      </c>
      <c r="O127" s="462"/>
      <c r="P127" s="213" t="s">
        <v>518</v>
      </c>
      <c r="Q127" s="35"/>
      <c r="R127" s="35"/>
      <c r="S127" s="35"/>
    </row>
    <row r="128" spans="1:19" s="34" customFormat="1" ht="13.9" hidden="1" customHeight="1" outlineLevel="1" x14ac:dyDescent="0.2">
      <c r="A128" s="457">
        <f ca="1">IF($H128="UNIDADE CONSTRUTIVA",OFFSET(A128,-1,0)+1,LARGE(A$3:A127,1))</f>
        <v>0</v>
      </c>
      <c r="B128" s="457">
        <f t="shared" ca="1" si="18"/>
        <v>3</v>
      </c>
      <c r="C128" s="457">
        <f t="shared" ca="1" si="19"/>
        <v>4</v>
      </c>
      <c r="D128" s="458">
        <f t="shared" ca="1" si="20"/>
        <v>2</v>
      </c>
      <c r="E128" s="458">
        <f t="shared" ca="1" si="21"/>
        <v>0</v>
      </c>
      <c r="G128" s="206"/>
      <c r="H128" s="207" t="s">
        <v>211</v>
      </c>
      <c r="I128" s="208" t="str">
        <f t="shared" ca="1" si="17"/>
        <v>03.004.002</v>
      </c>
      <c r="J128" s="209" t="s">
        <v>112</v>
      </c>
      <c r="K128" s="210"/>
      <c r="L128" s="455"/>
      <c r="M128" s="455"/>
      <c r="N128" s="285">
        <f t="shared" ca="1" si="7"/>
        <v>136307.02240382304</v>
      </c>
      <c r="O128" s="462"/>
      <c r="P128" s="213"/>
      <c r="Q128" s="35"/>
      <c r="R128" s="35"/>
      <c r="S128" s="35"/>
    </row>
    <row r="129" spans="1:19" s="34" customFormat="1" ht="13.9" hidden="1" customHeight="1" outlineLevel="2" x14ac:dyDescent="0.2">
      <c r="A129" s="457">
        <f ca="1">IF($H129="UNIDADE CONSTRUTIVA",OFFSET(A129,-1,0)+1,LARGE(A$3:A128,1))</f>
        <v>0</v>
      </c>
      <c r="B129" s="457">
        <f t="shared" ca="1" si="18"/>
        <v>3</v>
      </c>
      <c r="C129" s="457">
        <f t="shared" ca="1" si="19"/>
        <v>4</v>
      </c>
      <c r="D129" s="458">
        <f t="shared" ca="1" si="20"/>
        <v>2</v>
      </c>
      <c r="E129" s="458">
        <f t="shared" ca="1" si="21"/>
        <v>1</v>
      </c>
      <c r="G129" s="206"/>
      <c r="H129" s="207" t="s">
        <v>212</v>
      </c>
      <c r="I129" s="208" t="str">
        <f ca="1">IF(H129="Unidade Construtiva",TEXT(A129,"00"),IF(H129="Célula Construtiva",TEXT(B129,"00"),IF(H129="Etapa",CONCATENATE(TEXT(B129,"00"),".",TEXT(C129,"000")),IF(H129="Subetapa",CONCATENATE(TEXT(B129,"00"),".",TEXT(C129,"000"),".",TEXT(D129,"000")),IF(H129="Serviço",CONCATENATE(TEXT(B129,"00"),".",TEXT(C129,"000"),".",TEXT(D129,"000"),".",TEXT(E129,"000")),"")))))</f>
        <v>03.004.002.001</v>
      </c>
      <c r="J129" s="209" t="s">
        <v>535</v>
      </c>
      <c r="K129" s="210" t="s">
        <v>5</v>
      </c>
      <c r="L129" s="455">
        <f>Supraestrutura!B34</f>
        <v>884.30495999999994</v>
      </c>
      <c r="M129" s="455">
        <v>7.6817000000000002</v>
      </c>
      <c r="N129" s="285">
        <f t="shared" si="7"/>
        <v>6792.9654112319995</v>
      </c>
      <c r="O129" s="462"/>
      <c r="P129" s="213" t="s">
        <v>518</v>
      </c>
      <c r="Q129" s="35"/>
      <c r="R129" s="35"/>
      <c r="S129" s="35"/>
    </row>
    <row r="130" spans="1:19" s="34" customFormat="1" ht="13.9" hidden="1" customHeight="1" outlineLevel="2" x14ac:dyDescent="0.2">
      <c r="A130" s="457">
        <f ca="1">IF($H130="UNIDADE CONSTRUTIVA",OFFSET(A130,-1,0)+1,LARGE(A$3:A129,1))</f>
        <v>0</v>
      </c>
      <c r="B130" s="457">
        <f t="shared" ca="1" si="18"/>
        <v>3</v>
      </c>
      <c r="C130" s="457">
        <f t="shared" ca="1" si="19"/>
        <v>4</v>
      </c>
      <c r="D130" s="458">
        <f t="shared" ca="1" si="20"/>
        <v>2</v>
      </c>
      <c r="E130" s="458">
        <f t="shared" ca="1" si="21"/>
        <v>2</v>
      </c>
      <c r="G130" s="206"/>
      <c r="H130" s="207" t="s">
        <v>212</v>
      </c>
      <c r="I130" s="208" t="str">
        <f ca="1">IF(H130="Unidade Construtiva",TEXT(A130,"00"),IF(H130="Célula Construtiva",TEXT(B130,"00"),IF(H130="Etapa",CONCATENATE(TEXT(B130,"00"),".",TEXT(C130,"000")),IF(H130="Subetapa",CONCATENATE(TEXT(B130,"00"),".",TEXT(C130,"000"),".",TEXT(D130,"000")),IF(H130="Serviço",CONCATENATE(TEXT(B130,"00"),".",TEXT(C130,"000"),".",TEXT(D130,"000"),".",TEXT(E130,"000")),"")))))</f>
        <v>03.004.002.002</v>
      </c>
      <c r="J130" s="209" t="s">
        <v>537</v>
      </c>
      <c r="K130" s="210" t="s">
        <v>5</v>
      </c>
      <c r="L130" s="455">
        <f>Supraestrutura!C34</f>
        <v>2072.1732499999998</v>
      </c>
      <c r="M130" s="455">
        <v>6.9776999999999996</v>
      </c>
      <c r="N130" s="285">
        <f t="shared" si="7"/>
        <v>14459.003286524998</v>
      </c>
      <c r="O130" s="462"/>
      <c r="P130" s="213" t="s">
        <v>518</v>
      </c>
      <c r="Q130" s="465"/>
      <c r="R130" s="465"/>
      <c r="S130" s="35"/>
    </row>
    <row r="131" spans="1:19" s="34" customFormat="1" ht="13.9" hidden="1" customHeight="1" outlineLevel="2" x14ac:dyDescent="0.2">
      <c r="A131" s="457">
        <f ca="1">IF($H131="UNIDADE CONSTRUTIVA",OFFSET(A131,-1,0)+1,LARGE(A$3:A130,1))</f>
        <v>0</v>
      </c>
      <c r="B131" s="457">
        <f t="shared" ca="1" si="18"/>
        <v>3</v>
      </c>
      <c r="C131" s="457">
        <f t="shared" ca="1" si="19"/>
        <v>4</v>
      </c>
      <c r="D131" s="458">
        <f t="shared" ca="1" si="20"/>
        <v>2</v>
      </c>
      <c r="E131" s="458">
        <f t="shared" ca="1" si="21"/>
        <v>3</v>
      </c>
      <c r="G131" s="206"/>
      <c r="H131" s="207" t="s">
        <v>212</v>
      </c>
      <c r="I131" s="208" t="str">
        <f t="shared" ref="I131:I147" ca="1" si="22">IF(H131="Unidade Construtiva",TEXT(A131,"00"),IF(H131="Célula Construtiva",TEXT(B131,"00"),IF(H131="Etapa",CONCATENATE(TEXT(B131,"00"),".",TEXT(C131,"000")),IF(H131="Subetapa",CONCATENATE(TEXT(B131,"00"),".",TEXT(C131,"000"),".",TEXT(D131,"000")),IF(H131="Serviço",CONCATENATE(TEXT(B131,"00"),".",TEXT(C131,"000"),".",TEXT(D131,"000"),".",TEXT(E131,"000")),"")))))</f>
        <v>03.004.002.003</v>
      </c>
      <c r="J131" s="209" t="s">
        <v>538</v>
      </c>
      <c r="K131" s="210" t="s">
        <v>5</v>
      </c>
      <c r="L131" s="455">
        <f>Supraestrutura!D34</f>
        <v>4301.0996999999998</v>
      </c>
      <c r="M131" s="455">
        <v>6.7137000000000002</v>
      </c>
      <c r="N131" s="285">
        <f t="shared" si="7"/>
        <v>28876.293055890001</v>
      </c>
      <c r="O131" s="462"/>
      <c r="P131" s="213" t="s">
        <v>518</v>
      </c>
      <c r="Q131" s="465"/>
      <c r="R131" s="465"/>
      <c r="S131" s="35"/>
    </row>
    <row r="132" spans="1:19" s="34" customFormat="1" ht="13.9" hidden="1" customHeight="1" outlineLevel="2" x14ac:dyDescent="0.2">
      <c r="A132" s="457">
        <f ca="1">IF($H132="UNIDADE CONSTRUTIVA",OFFSET(A132,-1,0)+1,LARGE(A$3:A131,1))</f>
        <v>0</v>
      </c>
      <c r="B132" s="457">
        <f t="shared" ca="1" si="18"/>
        <v>3</v>
      </c>
      <c r="C132" s="457">
        <f t="shared" ca="1" si="19"/>
        <v>4</v>
      </c>
      <c r="D132" s="458">
        <f t="shared" ca="1" si="20"/>
        <v>2</v>
      </c>
      <c r="E132" s="458">
        <f t="shared" ca="1" si="21"/>
        <v>4</v>
      </c>
      <c r="G132" s="206"/>
      <c r="H132" s="207" t="s">
        <v>212</v>
      </c>
      <c r="I132" s="208" t="str">
        <f t="shared" ca="1" si="22"/>
        <v>03.004.002.004</v>
      </c>
      <c r="J132" s="209" t="s">
        <v>539</v>
      </c>
      <c r="K132" s="210" t="s">
        <v>5</v>
      </c>
      <c r="L132" s="455">
        <f>Supraestrutura!E34</f>
        <v>4467.2342500000004</v>
      </c>
      <c r="M132" s="455">
        <v>6.1637000000000004</v>
      </c>
      <c r="N132" s="285">
        <f t="shared" si="7"/>
        <v>27534.691746725006</v>
      </c>
      <c r="O132" s="462"/>
      <c r="P132" s="213" t="s">
        <v>518</v>
      </c>
      <c r="Q132" s="465"/>
      <c r="R132" s="465"/>
      <c r="S132" s="35"/>
    </row>
    <row r="133" spans="1:19" s="34" customFormat="1" ht="13.9" hidden="1" customHeight="1" outlineLevel="2" x14ac:dyDescent="0.2">
      <c r="A133" s="457">
        <f ca="1">IF($H133="UNIDADE CONSTRUTIVA",OFFSET(A133,-1,0)+1,LARGE(A$3:A132,1))</f>
        <v>0</v>
      </c>
      <c r="B133" s="457">
        <f t="shared" ca="1" si="18"/>
        <v>3</v>
      </c>
      <c r="C133" s="457">
        <f t="shared" ca="1" si="19"/>
        <v>4</v>
      </c>
      <c r="D133" s="458">
        <f t="shared" ca="1" si="20"/>
        <v>2</v>
      </c>
      <c r="E133" s="458">
        <f t="shared" ca="1" si="21"/>
        <v>5</v>
      </c>
      <c r="G133" s="206"/>
      <c r="H133" s="207" t="s">
        <v>212</v>
      </c>
      <c r="I133" s="208" t="str">
        <f t="shared" ca="1" si="22"/>
        <v>03.004.002.005</v>
      </c>
      <c r="J133" s="209" t="s">
        <v>540</v>
      </c>
      <c r="K133" s="210" t="s">
        <v>5</v>
      </c>
      <c r="L133" s="455">
        <f>Supraestrutura!F34</f>
        <v>2169.5138099999999</v>
      </c>
      <c r="M133" s="455">
        <v>6.3396999999999997</v>
      </c>
      <c r="N133" s="285">
        <f t="shared" si="7"/>
        <v>13754.066701256999</v>
      </c>
      <c r="O133" s="462"/>
      <c r="P133" s="213" t="s">
        <v>518</v>
      </c>
      <c r="Q133" s="465"/>
      <c r="R133" s="465"/>
      <c r="S133" s="35"/>
    </row>
    <row r="134" spans="1:19" s="34" customFormat="1" ht="13.9" hidden="1" customHeight="1" outlineLevel="2" x14ac:dyDescent="0.2">
      <c r="A134" s="457">
        <f ca="1">IF($H134="UNIDADE CONSTRUTIVA",OFFSET(A134,-1,0)+1,LARGE(A$3:A133,1))</f>
        <v>0</v>
      </c>
      <c r="B134" s="457">
        <f t="shared" ca="1" si="18"/>
        <v>3</v>
      </c>
      <c r="C134" s="457">
        <f t="shared" ca="1" si="19"/>
        <v>4</v>
      </c>
      <c r="D134" s="458">
        <f t="shared" ca="1" si="20"/>
        <v>2</v>
      </c>
      <c r="E134" s="458">
        <f t="shared" ca="1" si="21"/>
        <v>6</v>
      </c>
      <c r="G134" s="206"/>
      <c r="H134" s="207" t="s">
        <v>212</v>
      </c>
      <c r="I134" s="208" t="str">
        <f t="shared" ca="1" si="22"/>
        <v>03.004.002.006</v>
      </c>
      <c r="J134" s="209" t="s">
        <v>541</v>
      </c>
      <c r="K134" s="210" t="s">
        <v>5</v>
      </c>
      <c r="L134" s="455">
        <f>Supraestrutura!G34</f>
        <v>1823.3316600000003</v>
      </c>
      <c r="M134" s="455">
        <v>6.2930999999999999</v>
      </c>
      <c r="N134" s="285">
        <f t="shared" si="7"/>
        <v>11474.408469546002</v>
      </c>
      <c r="O134" s="462"/>
      <c r="P134" s="213" t="s">
        <v>518</v>
      </c>
      <c r="Q134" s="465"/>
      <c r="R134" s="465"/>
      <c r="S134" s="35"/>
    </row>
    <row r="135" spans="1:19" s="34" customFormat="1" ht="13.9" hidden="1" customHeight="1" outlineLevel="2" x14ac:dyDescent="0.2">
      <c r="A135" s="457">
        <f ca="1">IF($H135="UNIDADE CONSTRUTIVA",OFFSET(A135,-1,0)+1,LARGE(A$3:A134,1))</f>
        <v>0</v>
      </c>
      <c r="B135" s="457">
        <f t="shared" ca="1" si="18"/>
        <v>3</v>
      </c>
      <c r="C135" s="457">
        <f t="shared" ca="1" si="19"/>
        <v>4</v>
      </c>
      <c r="D135" s="458">
        <f t="shared" ca="1" si="20"/>
        <v>2</v>
      </c>
      <c r="E135" s="458">
        <f t="shared" ca="1" si="21"/>
        <v>7</v>
      </c>
      <c r="G135" s="206"/>
      <c r="H135" s="207" t="s">
        <v>212</v>
      </c>
      <c r="I135" s="208" t="str">
        <f t="shared" ca="1" si="22"/>
        <v>03.004.002.007</v>
      </c>
      <c r="J135" s="209" t="s">
        <v>542</v>
      </c>
      <c r="K135" s="210" t="s">
        <v>5</v>
      </c>
      <c r="L135" s="455">
        <f>Supraestrutura!H34</f>
        <v>5421.35304</v>
      </c>
      <c r="M135" s="455">
        <v>6.1637000000000004</v>
      </c>
      <c r="N135" s="285">
        <f t="shared" si="7"/>
        <v>33415.593732648005</v>
      </c>
      <c r="O135" s="462"/>
      <c r="P135" s="213" t="s">
        <v>518</v>
      </c>
      <c r="Q135" s="465"/>
      <c r="R135" s="465"/>
      <c r="S135" s="35"/>
    </row>
    <row r="136" spans="1:19" s="34" customFormat="1" ht="13.9" hidden="1" customHeight="1" outlineLevel="1" x14ac:dyDescent="0.2">
      <c r="A136" s="457">
        <f ca="1">IF($H136="UNIDADE CONSTRUTIVA",OFFSET(A136,-1,0)+1,LARGE(A$3:A135,1))</f>
        <v>0</v>
      </c>
      <c r="B136" s="457">
        <f t="shared" ca="1" si="18"/>
        <v>3</v>
      </c>
      <c r="C136" s="457">
        <f t="shared" ca="1" si="19"/>
        <v>4</v>
      </c>
      <c r="D136" s="458">
        <f t="shared" ca="1" si="20"/>
        <v>3</v>
      </c>
      <c r="E136" s="458">
        <f t="shared" ca="1" si="21"/>
        <v>0</v>
      </c>
      <c r="G136" s="206"/>
      <c r="H136" s="207" t="s">
        <v>211</v>
      </c>
      <c r="I136" s="208" t="str">
        <f t="shared" ca="1" si="22"/>
        <v>03.004.003</v>
      </c>
      <c r="J136" s="209" t="s">
        <v>213</v>
      </c>
      <c r="K136" s="210"/>
      <c r="L136" s="455"/>
      <c r="M136" s="455"/>
      <c r="N136" s="285">
        <f t="shared" ref="N136:N199" ca="1" si="23">IF(H136="Serviço",M136*L136,IF(H136="CÉLULA CONSTRUTIVA",SUMIFS($N$8:$N$1393,$B$8:$B$1393,B136,$H$8:$H$1393,"Serviço"),IF(H136="ETAPA",SUMIFS($N$8:$N$1393,$B$8:$B$1393,B136,$C$8:$C$1393,C136,$H$8:$H$1393,"Serviço"),IF(H136="SUBETAPA",SUMIFS($N$8:$N$1393,$B$8:$B$1393,B136,$C$8:$C$1393,C136,$D$8:$D$1393,D136,$H$8:$H$1393,"Serviço"),0))))</f>
        <v>131687.77801191999</v>
      </c>
      <c r="O136" s="462"/>
      <c r="P136" s="213"/>
      <c r="Q136" s="35"/>
      <c r="R136" s="35"/>
      <c r="S136" s="35"/>
    </row>
    <row r="137" spans="1:19" s="34" customFormat="1" ht="13.15" hidden="1" customHeight="1" outlineLevel="2" x14ac:dyDescent="0.2">
      <c r="A137" s="457">
        <f ca="1">IF($H137="UNIDADE CONSTRUTIVA",OFFSET(A137,-1,0)+1,LARGE(A$3:A136,1))</f>
        <v>0</v>
      </c>
      <c r="B137" s="457">
        <f t="shared" ca="1" si="18"/>
        <v>3</v>
      </c>
      <c r="C137" s="457">
        <f t="shared" ca="1" si="19"/>
        <v>4</v>
      </c>
      <c r="D137" s="458">
        <f t="shared" ca="1" si="20"/>
        <v>3</v>
      </c>
      <c r="E137" s="458">
        <f t="shared" ca="1" si="21"/>
        <v>1</v>
      </c>
      <c r="G137" s="206"/>
      <c r="H137" s="207" t="s">
        <v>212</v>
      </c>
      <c r="I137" s="208" t="str">
        <f t="shared" ca="1" si="22"/>
        <v>03.004.003.001</v>
      </c>
      <c r="J137" s="209" t="s">
        <v>769</v>
      </c>
      <c r="K137" s="210" t="s">
        <v>4</v>
      </c>
      <c r="L137" s="455">
        <f>Supraestrutura!N34</f>
        <v>2.3046000000000002</v>
      </c>
      <c r="M137" s="455">
        <v>521.01919999999996</v>
      </c>
      <c r="N137" s="285">
        <f t="shared" si="23"/>
        <v>1200.7408483199999</v>
      </c>
      <c r="O137" s="462"/>
      <c r="P137" s="213" t="s">
        <v>518</v>
      </c>
      <c r="Q137" s="35"/>
      <c r="R137" s="35"/>
      <c r="S137" s="35"/>
    </row>
    <row r="138" spans="1:19" s="34" customFormat="1" ht="13.15" hidden="1" customHeight="1" outlineLevel="2" x14ac:dyDescent="0.2">
      <c r="A138" s="457">
        <f ca="1">IF($H138="UNIDADE CONSTRUTIVA",OFFSET(A138,-1,0)+1,LARGE(A$3:A137,1))</f>
        <v>0</v>
      </c>
      <c r="B138" s="457">
        <f t="shared" ca="1" si="18"/>
        <v>3</v>
      </c>
      <c r="C138" s="457">
        <f t="shared" ca="1" si="19"/>
        <v>4</v>
      </c>
      <c r="D138" s="458">
        <f t="shared" ca="1" si="20"/>
        <v>3</v>
      </c>
      <c r="E138" s="458">
        <f t="shared" ca="1" si="21"/>
        <v>2</v>
      </c>
      <c r="G138" s="206"/>
      <c r="H138" s="207" t="s">
        <v>212</v>
      </c>
      <c r="I138" s="208" t="str">
        <f t="shared" ca="1" si="22"/>
        <v>03.004.003.002</v>
      </c>
      <c r="J138" s="209" t="s">
        <v>771</v>
      </c>
      <c r="K138" s="210" t="s">
        <v>4</v>
      </c>
      <c r="L138" s="455">
        <f>Supraestrutura!M34</f>
        <v>238.43299999999999</v>
      </c>
      <c r="M138" s="455">
        <v>547.26919999999996</v>
      </c>
      <c r="N138" s="285">
        <f t="shared" si="23"/>
        <v>130487.03716359999</v>
      </c>
      <c r="O138" s="462"/>
      <c r="P138" s="213" t="s">
        <v>518</v>
      </c>
      <c r="Q138" s="35"/>
      <c r="R138" s="35"/>
      <c r="S138" s="35"/>
    </row>
    <row r="139" spans="1:19" s="34" customFormat="1" ht="13.9" hidden="1" customHeight="1" outlineLevel="1" x14ac:dyDescent="0.2">
      <c r="A139" s="457">
        <f ca="1">IF($H139="UNIDADE CONSTRUTIVA",OFFSET(A139,-1,0)+1,LARGE(A$3:A138,1))</f>
        <v>0</v>
      </c>
      <c r="B139" s="457">
        <f t="shared" ca="1" si="18"/>
        <v>3</v>
      </c>
      <c r="C139" s="457">
        <f t="shared" ca="1" si="19"/>
        <v>4</v>
      </c>
      <c r="D139" s="458">
        <f t="shared" ca="1" si="20"/>
        <v>4</v>
      </c>
      <c r="E139" s="458">
        <f t="shared" ca="1" si="21"/>
        <v>0</v>
      </c>
      <c r="G139" s="206"/>
      <c r="H139" s="207" t="s">
        <v>211</v>
      </c>
      <c r="I139" s="208" t="str">
        <f t="shared" ca="1" si="22"/>
        <v>03.004.004</v>
      </c>
      <c r="J139" s="209" t="s">
        <v>128</v>
      </c>
      <c r="K139" s="210"/>
      <c r="L139" s="455"/>
      <c r="M139" s="455"/>
      <c r="N139" s="285">
        <f t="shared" ca="1" si="23"/>
        <v>68046.152399999992</v>
      </c>
      <c r="O139" s="462"/>
      <c r="P139" s="213"/>
      <c r="Q139" s="35"/>
      <c r="R139" s="35"/>
      <c r="S139" s="35"/>
    </row>
    <row r="140" spans="1:19" s="34" customFormat="1" ht="13.9" hidden="1" customHeight="1" outlineLevel="2" x14ac:dyDescent="0.2">
      <c r="A140" s="457">
        <f ca="1">IF($H140="UNIDADE CONSTRUTIVA",OFFSET(A140,-1,0)+1,LARGE(A$3:A139,1))</f>
        <v>0</v>
      </c>
      <c r="B140" s="457">
        <f t="shared" ref="B140:B160" ca="1" si="24">IF(H140="UNIDADE CONSTRUTIVA",0,IF(H140="CÉLULA CONSTRUTIVA",OFFSET(B140,-1,0)+1,OFFSET(B140,-1,0)))</f>
        <v>3</v>
      </c>
      <c r="C140" s="457">
        <f t="shared" ref="C140:C160" ca="1" si="25">IF(H140="CÉLULA CONSTRUTIVA",0,IF(H140="ETAPA",OFFSET(C140,-1,0)+1,OFFSET(C140,-1,0)))</f>
        <v>4</v>
      </c>
      <c r="D140" s="458">
        <f t="shared" ref="D140:D160" ca="1" si="26">IF(H140="ETAPA",0,IF(H140="SUBETAPA",OFFSET(D140,-1,0)+1,OFFSET(D140,-1,0)))</f>
        <v>4</v>
      </c>
      <c r="E140" s="458">
        <f t="shared" ref="E140:E160" ca="1" si="27">IF(H140="Subetapa",0,IF(H140="serviço",OFFSET(E140,-1,0)+1,OFFSET(E140,-1,0)))</f>
        <v>1</v>
      </c>
      <c r="G140" s="206"/>
      <c r="H140" s="207" t="s">
        <v>212</v>
      </c>
      <c r="I140" s="208" t="str">
        <f t="shared" ca="1" si="22"/>
        <v>03.004.004.001</v>
      </c>
      <c r="J140" s="209" t="s">
        <v>1240</v>
      </c>
      <c r="K140" s="210" t="s">
        <v>1</v>
      </c>
      <c r="L140" s="455">
        <f>'Obra '!E20</f>
        <v>796.98</v>
      </c>
      <c r="M140" s="455">
        <v>85.38</v>
      </c>
      <c r="N140" s="285">
        <f t="shared" si="23"/>
        <v>68046.152399999992</v>
      </c>
      <c r="O140" s="462" t="s">
        <v>536</v>
      </c>
      <c r="P140" s="213" t="s">
        <v>518</v>
      </c>
      <c r="Q140" s="35"/>
      <c r="R140" s="35"/>
      <c r="S140" s="35"/>
    </row>
    <row r="141" spans="1:19" s="34" customFormat="1" ht="13.9" hidden="1" customHeight="1" outlineLevel="1" x14ac:dyDescent="0.2">
      <c r="A141" s="457">
        <f ca="1">IF($H141="UNIDADE CONSTRUTIVA",OFFSET(A141,-1,0)+1,LARGE(A$3:A140,1))</f>
        <v>0</v>
      </c>
      <c r="B141" s="457">
        <f t="shared" ca="1" si="24"/>
        <v>3</v>
      </c>
      <c r="C141" s="457">
        <f t="shared" ca="1" si="25"/>
        <v>4</v>
      </c>
      <c r="D141" s="458">
        <f t="shared" ca="1" si="26"/>
        <v>5</v>
      </c>
      <c r="E141" s="458">
        <f t="shared" ca="1" si="27"/>
        <v>0</v>
      </c>
      <c r="G141" s="206"/>
      <c r="H141" s="207" t="s">
        <v>211</v>
      </c>
      <c r="I141" s="208" t="str">
        <f t="shared" ca="1" si="22"/>
        <v>03.004.005</v>
      </c>
      <c r="J141" s="209" t="s">
        <v>130</v>
      </c>
      <c r="K141" s="210"/>
      <c r="L141" s="455"/>
      <c r="M141" s="455"/>
      <c r="N141" s="285">
        <f t="shared" ca="1" si="23"/>
        <v>191275.2</v>
      </c>
      <c r="O141" s="462"/>
      <c r="P141" s="213"/>
      <c r="Q141" s="35"/>
      <c r="R141" s="35"/>
      <c r="S141" s="35"/>
    </row>
    <row r="142" spans="1:19" s="34" customFormat="1" ht="13.9" hidden="1" customHeight="1" outlineLevel="2" x14ac:dyDescent="0.2">
      <c r="A142" s="457">
        <f ca="1">IF($H142="UNIDADE CONSTRUTIVA",OFFSET(A142,-1,0)+1,LARGE(A$3:A141,1))</f>
        <v>0</v>
      </c>
      <c r="B142" s="457">
        <f t="shared" ca="1" si="24"/>
        <v>3</v>
      </c>
      <c r="C142" s="457">
        <f t="shared" ca="1" si="25"/>
        <v>4</v>
      </c>
      <c r="D142" s="458">
        <f t="shared" ca="1" si="26"/>
        <v>5</v>
      </c>
      <c r="E142" s="458">
        <f t="shared" ca="1" si="27"/>
        <v>1</v>
      </c>
      <c r="G142" s="206"/>
      <c r="H142" s="207" t="s">
        <v>212</v>
      </c>
      <c r="I142" s="208" t="str">
        <f t="shared" ca="1" si="22"/>
        <v>03.004.005.001</v>
      </c>
      <c r="J142" s="209" t="s">
        <v>214</v>
      </c>
      <c r="K142" s="210" t="s">
        <v>1</v>
      </c>
      <c r="L142" s="455">
        <f>'Obra '!E20</f>
        <v>796.98</v>
      </c>
      <c r="M142" s="455">
        <v>240</v>
      </c>
      <c r="N142" s="285">
        <f t="shared" si="23"/>
        <v>191275.2</v>
      </c>
      <c r="O142" s="462"/>
      <c r="P142" s="213" t="s">
        <v>518</v>
      </c>
      <c r="Q142" s="35"/>
      <c r="R142" s="35"/>
      <c r="S142" s="35"/>
    </row>
    <row r="143" spans="1:19" s="34" customFormat="1" ht="13.9" hidden="1" customHeight="1" outlineLevel="1" x14ac:dyDescent="0.2">
      <c r="A143" s="457">
        <f ca="1">IF($H143="UNIDADE CONSTRUTIVA",OFFSET(A143,-1,0)+1,LARGE(A$3:A142,1))</f>
        <v>0</v>
      </c>
      <c r="B143" s="457">
        <f t="shared" ca="1" si="24"/>
        <v>3</v>
      </c>
      <c r="C143" s="457">
        <f t="shared" ca="1" si="25"/>
        <v>5</v>
      </c>
      <c r="D143" s="458">
        <f t="shared" ca="1" si="26"/>
        <v>0</v>
      </c>
      <c r="E143" s="458">
        <f t="shared" ca="1" si="27"/>
        <v>1</v>
      </c>
      <c r="G143" s="206"/>
      <c r="H143" s="207" t="s">
        <v>210</v>
      </c>
      <c r="I143" s="208" t="str">
        <f t="shared" ca="1" si="22"/>
        <v>03.005</v>
      </c>
      <c r="J143" s="209" t="s">
        <v>840</v>
      </c>
      <c r="K143" s="210"/>
      <c r="L143" s="455"/>
      <c r="M143" s="455"/>
      <c r="N143" s="285">
        <f t="shared" ca="1" si="23"/>
        <v>537115.82366644405</v>
      </c>
      <c r="O143" s="462"/>
      <c r="P143" s="213"/>
      <c r="Q143" s="35"/>
      <c r="R143" s="35"/>
      <c r="S143" s="35"/>
    </row>
    <row r="144" spans="1:19" s="34" customFormat="1" ht="13.9" hidden="1" customHeight="1" outlineLevel="1" x14ac:dyDescent="0.2">
      <c r="A144" s="457">
        <f ca="1">IF($H144="UNIDADE CONSTRUTIVA",OFFSET(A144,-1,0)+1,LARGE(A$3:A143,1))</f>
        <v>0</v>
      </c>
      <c r="B144" s="457">
        <f t="shared" ca="1" si="24"/>
        <v>3</v>
      </c>
      <c r="C144" s="457">
        <f t="shared" ca="1" si="25"/>
        <v>5</v>
      </c>
      <c r="D144" s="458">
        <f t="shared" ca="1" si="26"/>
        <v>1</v>
      </c>
      <c r="E144" s="458">
        <f t="shared" ca="1" si="27"/>
        <v>0</v>
      </c>
      <c r="G144" s="206"/>
      <c r="H144" s="207" t="s">
        <v>211</v>
      </c>
      <c r="I144" s="208" t="str">
        <f t="shared" ca="1" si="22"/>
        <v>03.005.001</v>
      </c>
      <c r="J144" s="209" t="s">
        <v>115</v>
      </c>
      <c r="K144" s="210"/>
      <c r="L144" s="455"/>
      <c r="M144" s="455"/>
      <c r="N144" s="285">
        <f t="shared" ca="1" si="23"/>
        <v>984.80300999999986</v>
      </c>
      <c r="O144" s="462"/>
      <c r="P144" s="213"/>
      <c r="Q144" s="35"/>
      <c r="R144" s="35"/>
      <c r="S144" s="35"/>
    </row>
    <row r="145" spans="1:19" s="34" customFormat="1" ht="13.9" hidden="1" customHeight="1" outlineLevel="2" x14ac:dyDescent="0.2">
      <c r="A145" s="457">
        <f ca="1">IF($H145="UNIDADE CONSTRUTIVA",OFFSET(A145,-1,0)+1,LARGE(A$3:A144,1))</f>
        <v>0</v>
      </c>
      <c r="B145" s="457">
        <f t="shared" ca="1" si="24"/>
        <v>3</v>
      </c>
      <c r="C145" s="457">
        <f t="shared" ca="1" si="25"/>
        <v>5</v>
      </c>
      <c r="D145" s="458">
        <f t="shared" ca="1" si="26"/>
        <v>1</v>
      </c>
      <c r="E145" s="458">
        <f t="shared" ca="1" si="27"/>
        <v>1</v>
      </c>
      <c r="G145" s="206"/>
      <c r="H145" s="207" t="s">
        <v>212</v>
      </c>
      <c r="I145" s="208" t="str">
        <f t="shared" ca="1" si="22"/>
        <v>03.005.001.001</v>
      </c>
      <c r="J145" s="209" t="s">
        <v>534</v>
      </c>
      <c r="K145" s="210" t="s">
        <v>1</v>
      </c>
      <c r="L145" s="455">
        <f>Supraestrutura!P41</f>
        <v>1053.9599999999998</v>
      </c>
      <c r="M145" s="455">
        <v>0.6855</v>
      </c>
      <c r="N145" s="285">
        <f t="shared" si="23"/>
        <v>722.48957999999982</v>
      </c>
      <c r="O145" s="462"/>
      <c r="P145" s="213" t="s">
        <v>518</v>
      </c>
      <c r="Q145" s="35"/>
      <c r="R145" s="35"/>
      <c r="S145" s="35"/>
    </row>
    <row r="146" spans="1:19" s="34" customFormat="1" ht="13.9" hidden="1" customHeight="1" outlineLevel="2" x14ac:dyDescent="0.2">
      <c r="A146" s="457">
        <f ca="1">IF($H146="UNIDADE CONSTRUTIVA",OFFSET(A146,-1,0)+1,LARGE(A$3:A145,1))</f>
        <v>0</v>
      </c>
      <c r="B146" s="457">
        <f t="shared" ca="1" si="24"/>
        <v>3</v>
      </c>
      <c r="C146" s="457">
        <f t="shared" ca="1" si="25"/>
        <v>5</v>
      </c>
      <c r="D146" s="458">
        <f t="shared" ca="1" si="26"/>
        <v>1</v>
      </c>
      <c r="E146" s="458">
        <f t="shared" ca="1" si="27"/>
        <v>2</v>
      </c>
      <c r="G146" s="206"/>
      <c r="H146" s="207" t="s">
        <v>212</v>
      </c>
      <c r="I146" s="208" t="str">
        <f t="shared" ca="1" si="22"/>
        <v>03.005.001.002</v>
      </c>
      <c r="J146" s="209" t="s">
        <v>835</v>
      </c>
      <c r="K146" s="210" t="s">
        <v>1</v>
      </c>
      <c r="L146" s="455">
        <f>Supraestrutura!P42</f>
        <v>382.66</v>
      </c>
      <c r="M146" s="455">
        <v>0.6855</v>
      </c>
      <c r="N146" s="285">
        <f t="shared" si="23"/>
        <v>262.31343000000004</v>
      </c>
      <c r="O146" s="462"/>
      <c r="P146" s="213" t="s">
        <v>518</v>
      </c>
      <c r="Q146" s="35"/>
      <c r="R146" s="35"/>
      <c r="S146" s="35"/>
    </row>
    <row r="147" spans="1:19" s="34" customFormat="1" ht="13.9" hidden="1" customHeight="1" outlineLevel="1" x14ac:dyDescent="0.2">
      <c r="A147" s="457">
        <f ca="1">IF($H147="UNIDADE CONSTRUTIVA",OFFSET(A147,-1,0)+1,LARGE(A$3:A146,1))</f>
        <v>0</v>
      </c>
      <c r="B147" s="457">
        <f t="shared" ca="1" si="24"/>
        <v>3</v>
      </c>
      <c r="C147" s="457">
        <f t="shared" ca="1" si="25"/>
        <v>5</v>
      </c>
      <c r="D147" s="458">
        <f t="shared" ca="1" si="26"/>
        <v>2</v>
      </c>
      <c r="E147" s="458">
        <f t="shared" ca="1" si="27"/>
        <v>0</v>
      </c>
      <c r="G147" s="206"/>
      <c r="H147" s="207" t="s">
        <v>211</v>
      </c>
      <c r="I147" s="208" t="str">
        <f t="shared" ca="1" si="22"/>
        <v>03.005.002</v>
      </c>
      <c r="J147" s="209" t="s">
        <v>112</v>
      </c>
      <c r="K147" s="210"/>
      <c r="L147" s="455"/>
      <c r="M147" s="455"/>
      <c r="N147" s="285">
        <f t="shared" ca="1" si="23"/>
        <v>321442.67045192403</v>
      </c>
      <c r="O147" s="462"/>
      <c r="P147" s="213"/>
      <c r="Q147" s="35"/>
      <c r="R147" s="35"/>
      <c r="S147" s="35"/>
    </row>
    <row r="148" spans="1:19" s="34" customFormat="1" ht="13.9" hidden="1" customHeight="1" outlineLevel="2" x14ac:dyDescent="0.2">
      <c r="A148" s="457">
        <f ca="1">IF($H148="UNIDADE CONSTRUTIVA",OFFSET(A148,-1,0)+1,LARGE(A$3:A147,1))</f>
        <v>0</v>
      </c>
      <c r="B148" s="457">
        <f t="shared" ca="1" si="24"/>
        <v>3</v>
      </c>
      <c r="C148" s="457">
        <f t="shared" ca="1" si="25"/>
        <v>5</v>
      </c>
      <c r="D148" s="458">
        <f t="shared" ca="1" si="26"/>
        <v>2</v>
      </c>
      <c r="E148" s="458">
        <f t="shared" ca="1" si="27"/>
        <v>1</v>
      </c>
      <c r="G148" s="206"/>
      <c r="H148" s="207" t="s">
        <v>212</v>
      </c>
      <c r="I148" s="208" t="str">
        <f ca="1">IF(H148="Unidade Construtiva",TEXT(A148,"00"),IF(H148="Célula Construtiva",TEXT(B148,"00"),IF(H148="Etapa",CONCATENATE(TEXT(B148,"00"),".",TEXT(C148,"000")),IF(H148="Subetapa",CONCATENATE(TEXT(B148,"00"),".",TEXT(C148,"000"),".",TEXT(D148,"000")),IF(H148="Serviço",CONCATENATE(TEXT(B148,"00"),".",TEXT(C148,"000"),".",TEXT(D148,"000"),".",TEXT(E148,"000")),"")))))</f>
        <v>03.005.002.001</v>
      </c>
      <c r="J148" s="209" t="s">
        <v>535</v>
      </c>
      <c r="K148" s="210" t="s">
        <v>5</v>
      </c>
      <c r="L148" s="455">
        <f>Supraestrutura!B39</f>
        <v>24.635000000000002</v>
      </c>
      <c r="M148" s="455">
        <v>7.6817000000000002</v>
      </c>
      <c r="N148" s="285">
        <f t="shared" si="23"/>
        <v>189.23867950000002</v>
      </c>
      <c r="O148" s="462"/>
      <c r="P148" s="213" t="s">
        <v>518</v>
      </c>
      <c r="Q148" s="35"/>
      <c r="R148" s="35"/>
      <c r="S148" s="35"/>
    </row>
    <row r="149" spans="1:19" s="34" customFormat="1" ht="13.9" hidden="1" customHeight="1" outlineLevel="2" x14ac:dyDescent="0.2">
      <c r="A149" s="457">
        <f ca="1">IF($H149="UNIDADE CONSTRUTIVA",OFFSET(A149,-1,0)+1,LARGE(A$3:A148,1))</f>
        <v>0</v>
      </c>
      <c r="B149" s="457">
        <f t="shared" ca="1" si="24"/>
        <v>3</v>
      </c>
      <c r="C149" s="457">
        <f t="shared" ca="1" si="25"/>
        <v>5</v>
      </c>
      <c r="D149" s="458">
        <f t="shared" ca="1" si="26"/>
        <v>2</v>
      </c>
      <c r="E149" s="458">
        <f t="shared" ca="1" si="27"/>
        <v>2</v>
      </c>
      <c r="G149" s="206"/>
      <c r="H149" s="207" t="s">
        <v>212</v>
      </c>
      <c r="I149" s="208" t="str">
        <f ca="1">IF(H149="Unidade Construtiva",TEXT(A149,"00"),IF(H149="Célula Construtiva",TEXT(B149,"00"),IF(H149="Etapa",CONCATENATE(TEXT(B149,"00"),".",TEXT(C149,"000")),IF(H149="Subetapa",CONCATENATE(TEXT(B149,"00"),".",TEXT(C149,"000"),".",TEXT(D149,"000")),IF(H149="Serviço",CONCATENATE(TEXT(B149,"00"),".",TEXT(C149,"000"),".",TEXT(D149,"000"),".",TEXT(E149,"000")),"")))))</f>
        <v>03.005.002.002</v>
      </c>
      <c r="J149" s="209" t="s">
        <v>537</v>
      </c>
      <c r="K149" s="210" t="s">
        <v>5</v>
      </c>
      <c r="L149" s="455">
        <f>Supraestrutura!C39</f>
        <v>1217.7675999999999</v>
      </c>
      <c r="M149" s="455">
        <v>6.9776999999999996</v>
      </c>
      <c r="N149" s="285">
        <f t="shared" si="23"/>
        <v>8497.2169825199981</v>
      </c>
      <c r="O149" s="462"/>
      <c r="P149" s="213" t="s">
        <v>518</v>
      </c>
      <c r="Q149" s="465"/>
      <c r="R149" s="465"/>
      <c r="S149" s="35"/>
    </row>
    <row r="150" spans="1:19" s="34" customFormat="1" ht="13.9" hidden="1" customHeight="1" outlineLevel="2" x14ac:dyDescent="0.2">
      <c r="A150" s="457">
        <f ca="1">IF($H150="UNIDADE CONSTRUTIVA",OFFSET(A150,-1,0)+1,LARGE(A$3:A149,1))</f>
        <v>0</v>
      </c>
      <c r="B150" s="457">
        <f t="shared" ca="1" si="24"/>
        <v>3</v>
      </c>
      <c r="C150" s="457">
        <f t="shared" ca="1" si="25"/>
        <v>5</v>
      </c>
      <c r="D150" s="458">
        <f t="shared" ca="1" si="26"/>
        <v>2</v>
      </c>
      <c r="E150" s="458">
        <f t="shared" ca="1" si="27"/>
        <v>3</v>
      </c>
      <c r="G150" s="206"/>
      <c r="H150" s="207" t="s">
        <v>212</v>
      </c>
      <c r="I150" s="208" t="str">
        <f t="shared" ref="I150:I160" ca="1" si="28">IF(H150="Unidade Construtiva",TEXT(A150,"00"),IF(H150="Célula Construtiva",TEXT(B150,"00"),IF(H150="Etapa",CONCATENATE(TEXT(B150,"00"),".",TEXT(C150,"000")),IF(H150="Subetapa",CONCATENATE(TEXT(B150,"00"),".",TEXT(C150,"000"),".",TEXT(D150,"000")),IF(H150="Serviço",CONCATENATE(TEXT(B150,"00"),".",TEXT(C150,"000"),".",TEXT(D150,"000"),".",TEXT(E150,"000")),"")))))</f>
        <v>03.005.002.003</v>
      </c>
      <c r="J150" s="209" t="s">
        <v>538</v>
      </c>
      <c r="K150" s="210" t="s">
        <v>5</v>
      </c>
      <c r="L150" s="455">
        <f>Supraestrutura!D39</f>
        <v>6777.0584500000004</v>
      </c>
      <c r="M150" s="455">
        <v>6.7137000000000002</v>
      </c>
      <c r="N150" s="285">
        <f t="shared" si="23"/>
        <v>45499.137315765001</v>
      </c>
      <c r="O150" s="462"/>
      <c r="P150" s="213" t="s">
        <v>518</v>
      </c>
      <c r="Q150" s="465"/>
      <c r="R150" s="465"/>
      <c r="S150" s="35"/>
    </row>
    <row r="151" spans="1:19" s="34" customFormat="1" ht="13.9" hidden="1" customHeight="1" outlineLevel="2" x14ac:dyDescent="0.2">
      <c r="A151" s="457">
        <f ca="1">IF($H151="UNIDADE CONSTRUTIVA",OFFSET(A151,-1,0)+1,LARGE(A$3:A150,1))</f>
        <v>0</v>
      </c>
      <c r="B151" s="457">
        <f t="shared" ca="1" si="24"/>
        <v>3</v>
      </c>
      <c r="C151" s="457">
        <f t="shared" ca="1" si="25"/>
        <v>5</v>
      </c>
      <c r="D151" s="458">
        <f t="shared" ca="1" si="26"/>
        <v>2</v>
      </c>
      <c r="E151" s="458">
        <f t="shared" ca="1" si="27"/>
        <v>4</v>
      </c>
      <c r="G151" s="206"/>
      <c r="H151" s="207" t="s">
        <v>212</v>
      </c>
      <c r="I151" s="208" t="str">
        <f t="shared" ca="1" si="28"/>
        <v>03.005.002.004</v>
      </c>
      <c r="J151" s="209" t="s">
        <v>539</v>
      </c>
      <c r="K151" s="210" t="s">
        <v>5</v>
      </c>
      <c r="L151" s="455">
        <f>Supraestrutura!E39</f>
        <v>11403.215069999998</v>
      </c>
      <c r="M151" s="455">
        <v>6.1637000000000004</v>
      </c>
      <c r="N151" s="285">
        <f t="shared" si="23"/>
        <v>70285.996726958998</v>
      </c>
      <c r="O151" s="462"/>
      <c r="P151" s="213" t="s">
        <v>518</v>
      </c>
      <c r="Q151" s="465"/>
      <c r="R151" s="465"/>
      <c r="S151" s="35"/>
    </row>
    <row r="152" spans="1:19" s="34" customFormat="1" ht="13.9" hidden="1" customHeight="1" outlineLevel="2" x14ac:dyDescent="0.2">
      <c r="A152" s="457">
        <f ca="1">IF($H152="UNIDADE CONSTRUTIVA",OFFSET(A152,-1,0)+1,LARGE(A$3:A151,1))</f>
        <v>0</v>
      </c>
      <c r="B152" s="457">
        <f t="shared" ca="1" si="24"/>
        <v>3</v>
      </c>
      <c r="C152" s="457">
        <f t="shared" ca="1" si="25"/>
        <v>5</v>
      </c>
      <c r="D152" s="458">
        <f t="shared" ca="1" si="26"/>
        <v>2</v>
      </c>
      <c r="E152" s="458">
        <f t="shared" ca="1" si="27"/>
        <v>5</v>
      </c>
      <c r="G152" s="206"/>
      <c r="H152" s="207" t="s">
        <v>212</v>
      </c>
      <c r="I152" s="208" t="str">
        <f t="shared" ca="1" si="28"/>
        <v>03.005.002.005</v>
      </c>
      <c r="J152" s="209" t="s">
        <v>540</v>
      </c>
      <c r="K152" s="210" t="s">
        <v>5</v>
      </c>
      <c r="L152" s="455">
        <f>Supraestrutura!F39</f>
        <v>1402.037</v>
      </c>
      <c r="M152" s="455">
        <v>6.3396999999999997</v>
      </c>
      <c r="N152" s="285">
        <f t="shared" si="23"/>
        <v>8888.4939689000003</v>
      </c>
      <c r="O152" s="462"/>
      <c r="P152" s="213" t="s">
        <v>518</v>
      </c>
      <c r="Q152" s="465"/>
      <c r="R152" s="465"/>
      <c r="S152" s="35"/>
    </row>
    <row r="153" spans="1:19" s="34" customFormat="1" ht="13.9" hidden="1" customHeight="1" outlineLevel="2" x14ac:dyDescent="0.2">
      <c r="A153" s="457">
        <f ca="1">IF($H153="UNIDADE CONSTRUTIVA",OFFSET(A153,-1,0)+1,LARGE(A$3:A152,1))</f>
        <v>0</v>
      </c>
      <c r="B153" s="457">
        <f t="shared" ca="1" si="24"/>
        <v>3</v>
      </c>
      <c r="C153" s="457">
        <f t="shared" ca="1" si="25"/>
        <v>5</v>
      </c>
      <c r="D153" s="458">
        <f t="shared" ca="1" si="26"/>
        <v>2</v>
      </c>
      <c r="E153" s="458">
        <f t="shared" ca="1" si="27"/>
        <v>6</v>
      </c>
      <c r="G153" s="206"/>
      <c r="H153" s="207" t="s">
        <v>212</v>
      </c>
      <c r="I153" s="208" t="str">
        <f t="shared" ca="1" si="28"/>
        <v>03.005.002.006</v>
      </c>
      <c r="J153" s="209" t="s">
        <v>541</v>
      </c>
      <c r="K153" s="210" t="s">
        <v>5</v>
      </c>
      <c r="L153" s="455">
        <f>Supraestrutura!G39</f>
        <v>947.01779999999997</v>
      </c>
      <c r="M153" s="455">
        <v>6.2930999999999999</v>
      </c>
      <c r="N153" s="285">
        <f t="shared" si="23"/>
        <v>5959.6777171799995</v>
      </c>
      <c r="O153" s="462"/>
      <c r="P153" s="213" t="s">
        <v>518</v>
      </c>
      <c r="Q153" s="465"/>
      <c r="R153" s="465"/>
      <c r="S153" s="35"/>
    </row>
    <row r="154" spans="1:19" s="34" customFormat="1" ht="13.9" hidden="1" customHeight="1" outlineLevel="2" x14ac:dyDescent="0.2">
      <c r="A154" s="457">
        <f ca="1">IF($H154="UNIDADE CONSTRUTIVA",OFFSET(A154,-1,0)+1,LARGE(A$3:A153,1))</f>
        <v>0</v>
      </c>
      <c r="B154" s="457">
        <f t="shared" ca="1" si="24"/>
        <v>3</v>
      </c>
      <c r="C154" s="457">
        <f t="shared" ca="1" si="25"/>
        <v>5</v>
      </c>
      <c r="D154" s="458">
        <f t="shared" ca="1" si="26"/>
        <v>2</v>
      </c>
      <c r="E154" s="458">
        <f t="shared" ca="1" si="27"/>
        <v>7</v>
      </c>
      <c r="G154" s="206"/>
      <c r="H154" s="207" t="s">
        <v>212</v>
      </c>
      <c r="I154" s="208" t="str">
        <f t="shared" ca="1" si="28"/>
        <v>03.005.002.007</v>
      </c>
      <c r="J154" s="209" t="s">
        <v>542</v>
      </c>
      <c r="K154" s="210" t="s">
        <v>5</v>
      </c>
      <c r="L154" s="455">
        <f>Supraestrutura!H39</f>
        <v>17918.490000000002</v>
      </c>
      <c r="M154" s="455">
        <v>6.1637000000000004</v>
      </c>
      <c r="N154" s="285">
        <f t="shared" si="23"/>
        <v>110444.19681300002</v>
      </c>
      <c r="O154" s="462"/>
      <c r="P154" s="213" t="s">
        <v>518</v>
      </c>
      <c r="Q154" s="465"/>
      <c r="R154" s="465"/>
      <c r="S154" s="35"/>
    </row>
    <row r="155" spans="1:19" s="34" customFormat="1" ht="13.9" hidden="1" customHeight="1" outlineLevel="2" x14ac:dyDescent="0.2">
      <c r="A155" s="457">
        <f ca="1">IF($H155="UNIDADE CONSTRUTIVA",OFFSET(A155,-1,0)+1,LARGE(A$3:A154,1))</f>
        <v>0</v>
      </c>
      <c r="B155" s="457">
        <f ca="1">IF(H155="UNIDADE CONSTRUTIVA",0,IF(H155="CÉLULA CONSTRUTIVA",OFFSET(B155,-1,0)+1,OFFSET(B155,-1,0)))</f>
        <v>3</v>
      </c>
      <c r="C155" s="457">
        <f ca="1">IF(H155="CÉLULA CONSTRUTIVA",0,IF(H155="ETAPA",OFFSET(C155,-1,0)+1,OFFSET(C155,-1,0)))</f>
        <v>5</v>
      </c>
      <c r="D155" s="458">
        <f ca="1">IF(H155="ETAPA",0,IF(H155="SUBETAPA",OFFSET(D155,-1,0)+1,OFFSET(D155,-1,0)))</f>
        <v>2</v>
      </c>
      <c r="E155" s="458">
        <f ca="1">IF(H155="Subetapa",0,IF(H155="serviço",OFFSET(E155,-1,0)+1,OFFSET(E155,-1,0)))</f>
        <v>8</v>
      </c>
      <c r="G155" s="206"/>
      <c r="H155" s="207" t="s">
        <v>212</v>
      </c>
      <c r="I155" s="208" t="str">
        <f ca="1">IF(H155="Unidade Construtiva",TEXT(A155,"00"),IF(H155="Célula Construtiva",TEXT(B155,"00"),IF(H155="Etapa",CONCATENATE(TEXT(B155,"00"),".",TEXT(C155,"000")),IF(H155="Subetapa",CONCATENATE(TEXT(B155,"00"),".",TEXT(C155,"000"),".",TEXT(D155,"000")),IF(H155="Serviço",CONCATENATE(TEXT(B155,"00"),".",TEXT(C155,"000"),".",TEXT(D155,"000"),".",TEXT(E155,"000")),"")))))</f>
        <v>03.005.002.008</v>
      </c>
      <c r="J155" s="209" t="s">
        <v>767</v>
      </c>
      <c r="K155" s="210" t="s">
        <v>5</v>
      </c>
      <c r="L155" s="455">
        <f>Supraestrutura!I39</f>
        <v>7541.6310000000003</v>
      </c>
      <c r="M155" s="455">
        <v>7.5471000000000004</v>
      </c>
      <c r="N155" s="285">
        <f t="shared" si="23"/>
        <v>56917.443320100007</v>
      </c>
      <c r="O155" s="462"/>
      <c r="P155" s="213" t="s">
        <v>518</v>
      </c>
      <c r="Q155" s="465"/>
      <c r="R155" s="465"/>
      <c r="S155" s="35"/>
    </row>
    <row r="156" spans="1:19" s="34" customFormat="1" ht="13.9" hidden="1" customHeight="1" outlineLevel="2" x14ac:dyDescent="0.2">
      <c r="A156" s="457">
        <f ca="1">IF($H156="UNIDADE CONSTRUTIVA",OFFSET(A156,-1,0)+1,LARGE(A$3:A155,1))</f>
        <v>0</v>
      </c>
      <c r="B156" s="457">
        <f t="shared" ca="1" si="24"/>
        <v>3</v>
      </c>
      <c r="C156" s="457">
        <f t="shared" ca="1" si="25"/>
        <v>5</v>
      </c>
      <c r="D156" s="458">
        <f t="shared" ca="1" si="26"/>
        <v>2</v>
      </c>
      <c r="E156" s="458">
        <f t="shared" ca="1" si="27"/>
        <v>9</v>
      </c>
      <c r="G156" s="206"/>
      <c r="H156" s="207" t="s">
        <v>212</v>
      </c>
      <c r="I156" s="208" t="str">
        <f t="shared" ca="1" si="28"/>
        <v>03.005.002.009</v>
      </c>
      <c r="J156" s="209" t="s">
        <v>768</v>
      </c>
      <c r="K156" s="210" t="s">
        <v>5</v>
      </c>
      <c r="L156" s="455">
        <f>Supraestrutura!K39</f>
        <v>1920.24</v>
      </c>
      <c r="M156" s="455">
        <v>7.6871999999999998</v>
      </c>
      <c r="N156" s="285">
        <f t="shared" si="23"/>
        <v>14761.268928</v>
      </c>
      <c r="O156" s="462"/>
      <c r="P156" s="213" t="s">
        <v>518</v>
      </c>
      <c r="Q156" s="465"/>
      <c r="R156" s="465"/>
      <c r="S156" s="35"/>
    </row>
    <row r="157" spans="1:19" s="34" customFormat="1" ht="13.9" hidden="1" customHeight="1" outlineLevel="1" x14ac:dyDescent="0.2">
      <c r="A157" s="457">
        <f ca="1">IF($H157="UNIDADE CONSTRUTIVA",OFFSET(A157,-1,0)+1,LARGE(A$3:A156,1))</f>
        <v>0</v>
      </c>
      <c r="B157" s="457">
        <f t="shared" ca="1" si="24"/>
        <v>3</v>
      </c>
      <c r="C157" s="457">
        <f t="shared" ca="1" si="25"/>
        <v>5</v>
      </c>
      <c r="D157" s="458">
        <f t="shared" ca="1" si="26"/>
        <v>3</v>
      </c>
      <c r="E157" s="458">
        <f t="shared" ca="1" si="27"/>
        <v>0</v>
      </c>
      <c r="G157" s="206"/>
      <c r="H157" s="207" t="s">
        <v>211</v>
      </c>
      <c r="I157" s="208" t="str">
        <f t="shared" ca="1" si="28"/>
        <v>03.005.003</v>
      </c>
      <c r="J157" s="209" t="s">
        <v>213</v>
      </c>
      <c r="K157" s="210"/>
      <c r="L157" s="455"/>
      <c r="M157" s="455"/>
      <c r="N157" s="285">
        <f t="shared" ca="1" si="23"/>
        <v>122849.95020451999</v>
      </c>
      <c r="O157" s="462"/>
      <c r="P157" s="213"/>
      <c r="Q157" s="35"/>
      <c r="R157" s="35"/>
      <c r="S157" s="35"/>
    </row>
    <row r="158" spans="1:19" s="34" customFormat="1" ht="13.15" hidden="1" customHeight="1" outlineLevel="2" x14ac:dyDescent="0.2">
      <c r="A158" s="457">
        <f ca="1">IF($H158="UNIDADE CONSTRUTIVA",OFFSET(A158,-1,0)+1,LARGE(A$3:A157,1))</f>
        <v>0</v>
      </c>
      <c r="B158" s="457">
        <f t="shared" ca="1" si="24"/>
        <v>3</v>
      </c>
      <c r="C158" s="457">
        <f t="shared" ca="1" si="25"/>
        <v>5</v>
      </c>
      <c r="D158" s="458">
        <f t="shared" ca="1" si="26"/>
        <v>3</v>
      </c>
      <c r="E158" s="458">
        <f t="shared" ca="1" si="27"/>
        <v>1</v>
      </c>
      <c r="G158" s="206"/>
      <c r="H158" s="207" t="s">
        <v>212</v>
      </c>
      <c r="I158" s="208" t="str">
        <f t="shared" ca="1" si="28"/>
        <v>03.005.003.001</v>
      </c>
      <c r="J158" s="209" t="s">
        <v>771</v>
      </c>
      <c r="K158" s="210" t="s">
        <v>4</v>
      </c>
      <c r="L158" s="455">
        <f>Supraestrutura!M39</f>
        <v>224.47810000000001</v>
      </c>
      <c r="M158" s="455">
        <v>547.26919999999996</v>
      </c>
      <c r="N158" s="285">
        <f t="shared" si="23"/>
        <v>122849.95020451999</v>
      </c>
      <c r="O158" s="462"/>
      <c r="P158" s="213" t="s">
        <v>518</v>
      </c>
      <c r="Q158" s="35"/>
      <c r="R158" s="35"/>
      <c r="S158" s="35"/>
    </row>
    <row r="159" spans="1:19" s="34" customFormat="1" ht="13.9" hidden="1" customHeight="1" outlineLevel="1" x14ac:dyDescent="0.2">
      <c r="A159" s="457">
        <f ca="1">IF($H159="UNIDADE CONSTRUTIVA",OFFSET(A159,-1,0)+1,LARGE(A$3:A158,1))</f>
        <v>0</v>
      </c>
      <c r="B159" s="457">
        <f t="shared" ca="1" si="24"/>
        <v>3</v>
      </c>
      <c r="C159" s="457">
        <f t="shared" ca="1" si="25"/>
        <v>5</v>
      </c>
      <c r="D159" s="458">
        <f t="shared" ca="1" si="26"/>
        <v>4</v>
      </c>
      <c r="E159" s="458">
        <f t="shared" ca="1" si="27"/>
        <v>0</v>
      </c>
      <c r="G159" s="206"/>
      <c r="H159" s="207" t="s">
        <v>211</v>
      </c>
      <c r="I159" s="208" t="str">
        <f t="shared" ca="1" si="28"/>
        <v>03.005.004</v>
      </c>
      <c r="J159" s="209" t="s">
        <v>130</v>
      </c>
      <c r="K159" s="210"/>
      <c r="L159" s="455"/>
      <c r="M159" s="455"/>
      <c r="N159" s="285">
        <f t="shared" ca="1" si="23"/>
        <v>91838.400000000009</v>
      </c>
      <c r="O159" s="462"/>
      <c r="P159" s="213"/>
      <c r="Q159" s="35"/>
      <c r="R159" s="35"/>
      <c r="S159" s="35"/>
    </row>
    <row r="160" spans="1:19" s="34" customFormat="1" ht="13.9" hidden="1" customHeight="1" outlineLevel="2" x14ac:dyDescent="0.2">
      <c r="A160" s="457">
        <f ca="1">IF($H160="UNIDADE CONSTRUTIVA",OFFSET(A160,-1,0)+1,LARGE(A$3:A159,1))</f>
        <v>0</v>
      </c>
      <c r="B160" s="457">
        <f t="shared" ca="1" si="24"/>
        <v>3</v>
      </c>
      <c r="C160" s="457">
        <f t="shared" ca="1" si="25"/>
        <v>5</v>
      </c>
      <c r="D160" s="458">
        <f t="shared" ca="1" si="26"/>
        <v>4</v>
      </c>
      <c r="E160" s="458">
        <f t="shared" ca="1" si="27"/>
        <v>1</v>
      </c>
      <c r="G160" s="206"/>
      <c r="H160" s="207" t="s">
        <v>212</v>
      </c>
      <c r="I160" s="208" t="str">
        <f t="shared" ca="1" si="28"/>
        <v>03.005.004.001</v>
      </c>
      <c r="J160" s="209" t="s">
        <v>214</v>
      </c>
      <c r="K160" s="210" t="s">
        <v>1</v>
      </c>
      <c r="L160" s="455">
        <f>Supraestrutura!P42</f>
        <v>382.66</v>
      </c>
      <c r="M160" s="455">
        <v>240</v>
      </c>
      <c r="N160" s="285">
        <f t="shared" si="23"/>
        <v>91838.400000000009</v>
      </c>
      <c r="O160" s="462"/>
      <c r="P160" s="213" t="s">
        <v>518</v>
      </c>
      <c r="Q160" s="35"/>
      <c r="R160" s="35"/>
      <c r="S160" s="35"/>
    </row>
    <row r="161" spans="1:19" s="34" customFormat="1" ht="13.9" hidden="1" customHeight="1" outlineLevel="1" x14ac:dyDescent="0.2">
      <c r="A161" s="457">
        <f ca="1">IF($H161="UNIDADE CONSTRUTIVA",OFFSET(A161,-1,0)+1,LARGE(A$3:A160,1))</f>
        <v>0</v>
      </c>
      <c r="B161" s="457">
        <f t="shared" ref="B161:B171" ca="1" si="29">IF(H161="UNIDADE CONSTRUTIVA",0,IF(H161="CÉLULA CONSTRUTIVA",OFFSET(B161,-1,0)+1,OFFSET(B161,-1,0)))</f>
        <v>3</v>
      </c>
      <c r="C161" s="457">
        <f t="shared" ref="C161:C171" ca="1" si="30">IF(H161="CÉLULA CONSTRUTIVA",0,IF(H161="ETAPA",OFFSET(C161,-1,0)+1,OFFSET(C161,-1,0)))</f>
        <v>6</v>
      </c>
      <c r="D161" s="458">
        <f t="shared" ref="D161:D171" ca="1" si="31">IF(H161="ETAPA",0,IF(H161="SUBETAPA",OFFSET(D161,-1,0)+1,OFFSET(D161,-1,0)))</f>
        <v>0</v>
      </c>
      <c r="E161" s="458">
        <f t="shared" ref="E161:E171" ca="1" si="32">IF(H161="Subetapa",0,IF(H161="serviço",OFFSET(E161,-1,0)+1,OFFSET(E161,-1,0)))</f>
        <v>1</v>
      </c>
      <c r="G161" s="206"/>
      <c r="H161" s="207" t="s">
        <v>210</v>
      </c>
      <c r="I161" s="208" t="str">
        <f t="shared" ref="I161:I166" ca="1" si="33">IF(H161="Unidade Construtiva",TEXT(A161,"00"),IF(H161="Célula Construtiva",TEXT(B161,"00"),IF(H161="Etapa",CONCATENATE(TEXT(B161,"00"),".",TEXT(C161,"000")),IF(H161="Subetapa",CONCATENATE(TEXT(B161,"00"),".",TEXT(C161,"000"),".",TEXT(D161,"000")),IF(H161="Serviço",CONCATENATE(TEXT(B161,"00"),".",TEXT(C161,"000"),".",TEXT(D161,"000"),".",TEXT(E161,"000")),"")))))</f>
        <v>03.006</v>
      </c>
      <c r="J161" s="209" t="s">
        <v>839</v>
      </c>
      <c r="K161" s="210"/>
      <c r="L161" s="455"/>
      <c r="M161" s="455"/>
      <c r="N161" s="285">
        <f t="shared" ca="1" si="23"/>
        <v>2653349.2097267564</v>
      </c>
      <c r="O161" s="462"/>
      <c r="P161" s="213"/>
      <c r="Q161" s="35"/>
      <c r="R161" s="35"/>
      <c r="S161" s="35"/>
    </row>
    <row r="162" spans="1:19" s="34" customFormat="1" ht="13.9" hidden="1" customHeight="1" outlineLevel="1" x14ac:dyDescent="0.2">
      <c r="A162" s="457">
        <f ca="1">IF($H162="UNIDADE CONSTRUTIVA",OFFSET(A162,-1,0)+1,LARGE(A$3:A161,1))</f>
        <v>0</v>
      </c>
      <c r="B162" s="457">
        <f t="shared" ca="1" si="29"/>
        <v>3</v>
      </c>
      <c r="C162" s="457">
        <f t="shared" ca="1" si="30"/>
        <v>6</v>
      </c>
      <c r="D162" s="458">
        <f t="shared" ca="1" si="31"/>
        <v>1</v>
      </c>
      <c r="E162" s="458">
        <f t="shared" ca="1" si="32"/>
        <v>0</v>
      </c>
      <c r="G162" s="206"/>
      <c r="H162" s="207" t="s">
        <v>211</v>
      </c>
      <c r="I162" s="208" t="str">
        <f t="shared" ca="1" si="33"/>
        <v>03.006.001</v>
      </c>
      <c r="J162" s="209" t="s">
        <v>115</v>
      </c>
      <c r="K162" s="210"/>
      <c r="L162" s="455"/>
      <c r="M162" s="455"/>
      <c r="N162" s="285">
        <f t="shared" ca="1" si="23"/>
        <v>53276.559875999999</v>
      </c>
      <c r="O162" s="462"/>
      <c r="P162" s="213"/>
      <c r="Q162" s="35"/>
      <c r="R162" s="35"/>
      <c r="S162" s="35"/>
    </row>
    <row r="163" spans="1:19" s="34" customFormat="1" ht="13.9" hidden="1" customHeight="1" outlineLevel="2" x14ac:dyDescent="0.2">
      <c r="A163" s="457">
        <f ca="1">IF($H163="UNIDADE CONSTRUTIVA",OFFSET(A163,-1,0)+1,LARGE(A$3:A162,1))</f>
        <v>0</v>
      </c>
      <c r="B163" s="457">
        <f t="shared" ca="1" si="29"/>
        <v>3</v>
      </c>
      <c r="C163" s="457">
        <f t="shared" ca="1" si="30"/>
        <v>6</v>
      </c>
      <c r="D163" s="458">
        <f t="shared" ca="1" si="31"/>
        <v>1</v>
      </c>
      <c r="E163" s="458">
        <f t="shared" ca="1" si="32"/>
        <v>1</v>
      </c>
      <c r="G163" s="1000"/>
      <c r="H163" s="1001" t="s">
        <v>212</v>
      </c>
      <c r="I163" s="1002" t="str">
        <f t="shared" ca="1" si="33"/>
        <v>03.006.001.001</v>
      </c>
      <c r="J163" s="1003" t="s">
        <v>531</v>
      </c>
      <c r="K163" s="1004" t="s">
        <v>1</v>
      </c>
      <c r="L163" s="1009">
        <f>Supraestrutura!P47</f>
        <v>524.86</v>
      </c>
      <c r="M163" s="1009">
        <v>92.234099999999998</v>
      </c>
      <c r="N163" s="1006">
        <f t="shared" si="23"/>
        <v>48409.989726</v>
      </c>
      <c r="O163" s="1010" t="s">
        <v>5006</v>
      </c>
      <c r="P163" s="213" t="s">
        <v>518</v>
      </c>
      <c r="Q163" s="35"/>
      <c r="R163" s="35"/>
      <c r="S163" s="35"/>
    </row>
    <row r="164" spans="1:19" s="34" customFormat="1" ht="13.9" hidden="1" customHeight="1" outlineLevel="2" x14ac:dyDescent="0.2">
      <c r="A164" s="457">
        <f ca="1">IF($H164="UNIDADE CONSTRUTIVA",OFFSET(A164,-1,0)+1,LARGE(A$3:A163,1))</f>
        <v>0</v>
      </c>
      <c r="B164" s="457">
        <f t="shared" ca="1" si="29"/>
        <v>3</v>
      </c>
      <c r="C164" s="457">
        <f t="shared" ca="1" si="30"/>
        <v>6</v>
      </c>
      <c r="D164" s="458">
        <f t="shared" ca="1" si="31"/>
        <v>1</v>
      </c>
      <c r="E164" s="458">
        <f t="shared" ca="1" si="32"/>
        <v>2</v>
      </c>
      <c r="G164" s="206"/>
      <c r="H164" s="207" t="s">
        <v>212</v>
      </c>
      <c r="I164" s="208" t="str">
        <f t="shared" ca="1" si="33"/>
        <v>03.006.001.002</v>
      </c>
      <c r="J164" s="209" t="s">
        <v>534</v>
      </c>
      <c r="K164" s="210" t="s">
        <v>1</v>
      </c>
      <c r="L164" s="455">
        <f>(Supraestrutura!P47+Supraestrutura!P48)*13</f>
        <v>7099.3</v>
      </c>
      <c r="M164" s="455">
        <v>0.6855</v>
      </c>
      <c r="N164" s="285">
        <f t="shared" si="23"/>
        <v>4866.5701500000005</v>
      </c>
      <c r="O164" s="462"/>
      <c r="P164" s="213" t="s">
        <v>518</v>
      </c>
      <c r="Q164" s="35"/>
      <c r="R164" s="35"/>
      <c r="S164" s="35"/>
    </row>
    <row r="165" spans="1:19" s="34" customFormat="1" ht="13.9" hidden="1" customHeight="1" outlineLevel="1" x14ac:dyDescent="0.2">
      <c r="A165" s="457">
        <f ca="1">IF($H165="UNIDADE CONSTRUTIVA",OFFSET(A165,-1,0)+1,LARGE(A$3:A164,1))</f>
        <v>0</v>
      </c>
      <c r="B165" s="457">
        <f t="shared" ca="1" si="29"/>
        <v>3</v>
      </c>
      <c r="C165" s="457">
        <f t="shared" ca="1" si="30"/>
        <v>6</v>
      </c>
      <c r="D165" s="458">
        <f t="shared" ca="1" si="31"/>
        <v>2</v>
      </c>
      <c r="E165" s="458">
        <f t="shared" ca="1" si="32"/>
        <v>0</v>
      </c>
      <c r="G165" s="206"/>
      <c r="H165" s="207" t="s">
        <v>211</v>
      </c>
      <c r="I165" s="208" t="str">
        <f t="shared" ca="1" si="33"/>
        <v>03.006.002</v>
      </c>
      <c r="J165" s="209" t="s">
        <v>112</v>
      </c>
      <c r="K165" s="210"/>
      <c r="L165" s="455"/>
      <c r="M165" s="455"/>
      <c r="N165" s="285">
        <f t="shared" ca="1" si="23"/>
        <v>251527.68643363635</v>
      </c>
      <c r="O165" s="462"/>
      <c r="P165" s="213"/>
      <c r="Q165" s="35"/>
      <c r="R165" s="35"/>
      <c r="S165" s="35"/>
    </row>
    <row r="166" spans="1:19" s="34" customFormat="1" ht="13.9" hidden="1" customHeight="1" outlineLevel="2" x14ac:dyDescent="0.2">
      <c r="A166" s="457">
        <f ca="1">IF($H166="UNIDADE CONSTRUTIVA",OFFSET(A166,-1,0)+1,LARGE(A$3:A165,1))</f>
        <v>0</v>
      </c>
      <c r="B166" s="457">
        <f t="shared" ca="1" si="29"/>
        <v>3</v>
      </c>
      <c r="C166" s="457">
        <f t="shared" ca="1" si="30"/>
        <v>6</v>
      </c>
      <c r="D166" s="458">
        <f t="shared" ca="1" si="31"/>
        <v>2</v>
      </c>
      <c r="E166" s="458">
        <f t="shared" ca="1" si="32"/>
        <v>1</v>
      </c>
      <c r="G166" s="206"/>
      <c r="H166" s="207" t="s">
        <v>212</v>
      </c>
      <c r="I166" s="208" t="str">
        <f t="shared" ca="1" si="33"/>
        <v>03.006.002.001</v>
      </c>
      <c r="J166" s="209" t="s">
        <v>537</v>
      </c>
      <c r="K166" s="210" t="s">
        <v>5</v>
      </c>
      <c r="L166" s="455">
        <f>(Supraestrutura!C44*13)</f>
        <v>21967.163636363635</v>
      </c>
      <c r="M166" s="455">
        <v>6.9776999999999996</v>
      </c>
      <c r="N166" s="285">
        <f t="shared" si="23"/>
        <v>153280.27770545453</v>
      </c>
      <c r="O166" s="462"/>
      <c r="P166" s="213" t="s">
        <v>518</v>
      </c>
      <c r="Q166" s="465"/>
      <c r="R166" s="465"/>
      <c r="S166" s="35"/>
    </row>
    <row r="167" spans="1:19" s="34" customFormat="1" ht="13.9" hidden="1" customHeight="1" outlineLevel="2" x14ac:dyDescent="0.2">
      <c r="A167" s="457">
        <f ca="1">IF($H167="UNIDADE CONSTRUTIVA",OFFSET(A167,-1,0)+1,LARGE(A$3:A166,1))</f>
        <v>0</v>
      </c>
      <c r="B167" s="457">
        <f t="shared" ca="1" si="29"/>
        <v>3</v>
      </c>
      <c r="C167" s="457">
        <f t="shared" ca="1" si="30"/>
        <v>6</v>
      </c>
      <c r="D167" s="458">
        <f t="shared" ca="1" si="31"/>
        <v>2</v>
      </c>
      <c r="E167" s="458">
        <f t="shared" ca="1" si="32"/>
        <v>2</v>
      </c>
      <c r="G167" s="206"/>
      <c r="H167" s="207" t="s">
        <v>212</v>
      </c>
      <c r="I167" s="208" t="str">
        <f t="shared" ref="I167:I178" ca="1" si="34">IF(H167="Unidade Construtiva",TEXT(A167,"00"),IF(H167="Célula Construtiva",TEXT(B167,"00"),IF(H167="Etapa",CONCATENATE(TEXT(B167,"00"),".",TEXT(C167,"000")),IF(H167="Subetapa",CONCATENATE(TEXT(B167,"00"),".",TEXT(C167,"000"),".",TEXT(D167,"000")),IF(H167="Serviço",CONCATENATE(TEXT(B167,"00"),".",TEXT(C167,"000"),".",TEXT(D167,"000"),".",TEXT(E167,"000")),"")))))</f>
        <v>03.006.002.002</v>
      </c>
      <c r="J167" s="209" t="s">
        <v>538</v>
      </c>
      <c r="K167" s="210" t="s">
        <v>5</v>
      </c>
      <c r="L167" s="455">
        <f>Supraestrutura!D44*13</f>
        <v>12785.027272727273</v>
      </c>
      <c r="M167" s="455">
        <v>6.7137000000000002</v>
      </c>
      <c r="N167" s="285">
        <f t="shared" si="23"/>
        <v>85834.837600909101</v>
      </c>
      <c r="O167" s="462"/>
      <c r="P167" s="213" t="s">
        <v>518</v>
      </c>
      <c r="Q167" s="465"/>
      <c r="R167" s="465"/>
      <c r="S167" s="35"/>
    </row>
    <row r="168" spans="1:19" s="34" customFormat="1" ht="13.9" hidden="1" customHeight="1" outlineLevel="2" x14ac:dyDescent="0.2">
      <c r="A168" s="457">
        <f ca="1">IF($H168="UNIDADE CONSTRUTIVA",OFFSET(A168,-1,0)+1,LARGE(A$3:A167,1))</f>
        <v>0</v>
      </c>
      <c r="B168" s="457">
        <f t="shared" ca="1" si="29"/>
        <v>3</v>
      </c>
      <c r="C168" s="457">
        <f t="shared" ca="1" si="30"/>
        <v>6</v>
      </c>
      <c r="D168" s="458">
        <f t="shared" ca="1" si="31"/>
        <v>2</v>
      </c>
      <c r="E168" s="458">
        <f t="shared" ca="1" si="32"/>
        <v>3</v>
      </c>
      <c r="G168" s="206"/>
      <c r="H168" s="207" t="s">
        <v>212</v>
      </c>
      <c r="I168" s="208" t="str">
        <f t="shared" ca="1" si="34"/>
        <v>03.006.002.003</v>
      </c>
      <c r="J168" s="209" t="s">
        <v>539</v>
      </c>
      <c r="K168" s="210" t="s">
        <v>5</v>
      </c>
      <c r="L168" s="455">
        <f>(Supraestrutura!E44*13)</f>
        <v>2013.8181818181818</v>
      </c>
      <c r="M168" s="455">
        <v>6.1637000000000004</v>
      </c>
      <c r="N168" s="285">
        <f t="shared" si="23"/>
        <v>12412.571127272728</v>
      </c>
      <c r="O168" s="462"/>
      <c r="P168" s="213" t="s">
        <v>518</v>
      </c>
      <c r="Q168" s="465"/>
      <c r="R168" s="465"/>
      <c r="S168" s="35"/>
    </row>
    <row r="169" spans="1:19" s="34" customFormat="1" ht="13.9" hidden="1" customHeight="1" outlineLevel="1" x14ac:dyDescent="0.2">
      <c r="A169" s="457">
        <f ca="1">IF($H169="UNIDADE CONSTRUTIVA",OFFSET(A169,-1,0)+1,LARGE(A$3:A168,1))</f>
        <v>0</v>
      </c>
      <c r="B169" s="457">
        <f t="shared" ca="1" si="29"/>
        <v>3</v>
      </c>
      <c r="C169" s="457">
        <f t="shared" ca="1" si="30"/>
        <v>6</v>
      </c>
      <c r="D169" s="458">
        <f t="shared" ca="1" si="31"/>
        <v>3</v>
      </c>
      <c r="E169" s="458">
        <f t="shared" ca="1" si="32"/>
        <v>0</v>
      </c>
      <c r="G169" s="206"/>
      <c r="H169" s="207" t="s">
        <v>211</v>
      </c>
      <c r="I169" s="208" t="str">
        <f t="shared" ca="1" si="34"/>
        <v>03.006.003</v>
      </c>
      <c r="J169" s="209" t="s">
        <v>213</v>
      </c>
      <c r="K169" s="210"/>
      <c r="L169" s="455"/>
      <c r="M169" s="455"/>
      <c r="N169" s="285">
        <f t="shared" ca="1" si="23"/>
        <v>34260.190617119995</v>
      </c>
      <c r="O169" s="462"/>
      <c r="P169" s="213"/>
      <c r="Q169" s="35"/>
      <c r="R169" s="35"/>
      <c r="S169" s="35"/>
    </row>
    <row r="170" spans="1:19" s="34" customFormat="1" ht="13.15" hidden="1" customHeight="1" outlineLevel="2" x14ac:dyDescent="0.2">
      <c r="A170" s="457">
        <f ca="1">IF($H170="UNIDADE CONSTRUTIVA",OFFSET(A170,-1,0)+1,LARGE(A$3:A169,1))</f>
        <v>0</v>
      </c>
      <c r="B170" s="457">
        <f t="shared" ca="1" si="29"/>
        <v>3</v>
      </c>
      <c r="C170" s="457">
        <f t="shared" ca="1" si="30"/>
        <v>6</v>
      </c>
      <c r="D170" s="458">
        <f t="shared" ca="1" si="31"/>
        <v>3</v>
      </c>
      <c r="E170" s="458">
        <f t="shared" ca="1" si="32"/>
        <v>1</v>
      </c>
      <c r="G170" s="206"/>
      <c r="H170" s="207" t="s">
        <v>212</v>
      </c>
      <c r="I170" s="208" t="str">
        <f t="shared" ca="1" si="34"/>
        <v>03.006.003.001</v>
      </c>
      <c r="J170" s="209" t="s">
        <v>769</v>
      </c>
      <c r="K170" s="210" t="s">
        <v>4</v>
      </c>
      <c r="L170" s="455">
        <f>Supraestrutura!N44</f>
        <v>65.756100000000004</v>
      </c>
      <c r="M170" s="455">
        <v>521.01919999999996</v>
      </c>
      <c r="N170" s="285">
        <f t="shared" si="23"/>
        <v>34260.190617119995</v>
      </c>
      <c r="O170" s="462"/>
      <c r="P170" s="213" t="s">
        <v>518</v>
      </c>
      <c r="Q170" s="35"/>
      <c r="R170" s="35"/>
      <c r="S170" s="35"/>
    </row>
    <row r="171" spans="1:19" s="34" customFormat="1" ht="13.9" hidden="1" customHeight="1" outlineLevel="1" x14ac:dyDescent="0.2">
      <c r="A171" s="457">
        <f ca="1">IF($H171="UNIDADE CONSTRUTIVA",OFFSET(A171,-1,0)+1,LARGE(A$3:A170,1))</f>
        <v>0</v>
      </c>
      <c r="B171" s="457">
        <f t="shared" ca="1" si="29"/>
        <v>3</v>
      </c>
      <c r="C171" s="457">
        <f t="shared" ca="1" si="30"/>
        <v>6</v>
      </c>
      <c r="D171" s="458">
        <f t="shared" ca="1" si="31"/>
        <v>4</v>
      </c>
      <c r="E171" s="458">
        <f t="shared" ca="1" si="32"/>
        <v>0</v>
      </c>
      <c r="G171" s="206"/>
      <c r="H171" s="207" t="s">
        <v>211</v>
      </c>
      <c r="I171" s="208" t="str">
        <f t="shared" ca="1" si="34"/>
        <v>03.006.004</v>
      </c>
      <c r="J171" s="209" t="s">
        <v>128</v>
      </c>
      <c r="K171" s="210"/>
      <c r="L171" s="455"/>
      <c r="M171" s="455"/>
      <c r="N171" s="285">
        <f t="shared" ca="1" si="23"/>
        <v>607270.37280000001</v>
      </c>
      <c r="O171" s="462"/>
      <c r="P171" s="213"/>
      <c r="Q171" s="35"/>
      <c r="R171" s="35"/>
      <c r="S171" s="35"/>
    </row>
    <row r="172" spans="1:19" s="34" customFormat="1" ht="13.9" hidden="1" customHeight="1" outlineLevel="2" x14ac:dyDescent="0.2">
      <c r="A172" s="457">
        <f ca="1">IF($H172="UNIDADE CONSTRUTIVA",OFFSET(A172,-1,0)+1,LARGE(A$3:A171,1))</f>
        <v>0</v>
      </c>
      <c r="B172" s="457">
        <f t="shared" ref="B172:B187" ca="1" si="35">IF(H172="UNIDADE CONSTRUTIVA",0,IF(H172="CÉLULA CONSTRUTIVA",OFFSET(B172,-1,0)+1,OFFSET(B172,-1,0)))</f>
        <v>3</v>
      </c>
      <c r="C172" s="457">
        <f t="shared" ref="C172:C187" ca="1" si="36">IF(H172="CÉLULA CONSTRUTIVA",0,IF(H172="ETAPA",OFFSET(C172,-1,0)+1,OFFSET(C172,-1,0)))</f>
        <v>6</v>
      </c>
      <c r="D172" s="458">
        <f t="shared" ref="D172:D187" ca="1" si="37">IF(H172="ETAPA",0,IF(H172="SUBETAPA",OFFSET(D172,-1,0)+1,OFFSET(D172,-1,0)))</f>
        <v>4</v>
      </c>
      <c r="E172" s="458">
        <f t="shared" ref="E172:E187" ca="1" si="38">IF(H172="Subetapa",0,IF(H172="serviço",OFFSET(E172,-1,0)+1,OFFSET(E172,-1,0)))</f>
        <v>1</v>
      </c>
      <c r="G172" s="206"/>
      <c r="H172" s="207" t="s">
        <v>212</v>
      </c>
      <c r="I172" s="208" t="str">
        <f t="shared" ca="1" si="34"/>
        <v>03.006.004.001</v>
      </c>
      <c r="J172" s="209" t="s">
        <v>1240</v>
      </c>
      <c r="K172" s="210" t="s">
        <v>1</v>
      </c>
      <c r="L172" s="455">
        <f>'Obra '!E21</f>
        <v>7112.56</v>
      </c>
      <c r="M172" s="455">
        <v>85.38</v>
      </c>
      <c r="N172" s="285">
        <f t="shared" si="23"/>
        <v>607270.37280000001</v>
      </c>
      <c r="O172" s="462"/>
      <c r="P172" s="213" t="s">
        <v>518</v>
      </c>
      <c r="Q172" s="35"/>
      <c r="R172" s="35"/>
      <c r="S172" s="35"/>
    </row>
    <row r="173" spans="1:19" s="34" customFormat="1" ht="13.9" hidden="1" customHeight="1" outlineLevel="1" x14ac:dyDescent="0.2">
      <c r="A173" s="457">
        <f ca="1">IF($H173="UNIDADE CONSTRUTIVA",OFFSET(A173,-1,0)+1,LARGE(A$3:A172,1))</f>
        <v>0</v>
      </c>
      <c r="B173" s="457">
        <f t="shared" ca="1" si="35"/>
        <v>3</v>
      </c>
      <c r="C173" s="457">
        <f t="shared" ca="1" si="36"/>
        <v>6</v>
      </c>
      <c r="D173" s="458">
        <f t="shared" ca="1" si="37"/>
        <v>5</v>
      </c>
      <c r="E173" s="458">
        <f t="shared" ca="1" si="38"/>
        <v>0</v>
      </c>
      <c r="G173" s="206"/>
      <c r="H173" s="207" t="s">
        <v>211</v>
      </c>
      <c r="I173" s="208" t="str">
        <f t="shared" ca="1" si="34"/>
        <v>03.006.005</v>
      </c>
      <c r="J173" s="209" t="s">
        <v>130</v>
      </c>
      <c r="K173" s="210"/>
      <c r="L173" s="455"/>
      <c r="M173" s="455"/>
      <c r="N173" s="285">
        <f t="shared" ca="1" si="23"/>
        <v>1707014.4000000001</v>
      </c>
      <c r="O173" s="462"/>
      <c r="P173" s="213"/>
      <c r="Q173" s="35"/>
      <c r="R173" s="35"/>
      <c r="S173" s="35"/>
    </row>
    <row r="174" spans="1:19" s="34" customFormat="1" ht="13.9" hidden="1" customHeight="1" outlineLevel="2" x14ac:dyDescent="0.2">
      <c r="A174" s="457">
        <f ca="1">IF($H174="UNIDADE CONSTRUTIVA",OFFSET(A174,-1,0)+1,LARGE(A$3:A173,1))</f>
        <v>0</v>
      </c>
      <c r="B174" s="457">
        <f t="shared" ca="1" si="35"/>
        <v>3</v>
      </c>
      <c r="C174" s="457">
        <f t="shared" ca="1" si="36"/>
        <v>6</v>
      </c>
      <c r="D174" s="458">
        <f t="shared" ca="1" si="37"/>
        <v>5</v>
      </c>
      <c r="E174" s="458">
        <f t="shared" ca="1" si="38"/>
        <v>1</v>
      </c>
      <c r="G174" s="206"/>
      <c r="H174" s="207" t="s">
        <v>212</v>
      </c>
      <c r="I174" s="208" t="str">
        <f t="shared" ca="1" si="34"/>
        <v>03.006.005.001</v>
      </c>
      <c r="J174" s="209" t="s">
        <v>214</v>
      </c>
      <c r="K174" s="210" t="s">
        <v>1</v>
      </c>
      <c r="L174" s="455">
        <f>'Obra '!E21</f>
        <v>7112.56</v>
      </c>
      <c r="M174" s="455">
        <v>240</v>
      </c>
      <c r="N174" s="285">
        <f t="shared" si="23"/>
        <v>1707014.4000000001</v>
      </c>
      <c r="O174" s="462"/>
      <c r="P174" s="213" t="s">
        <v>518</v>
      </c>
      <c r="Q174" s="35"/>
      <c r="R174" s="35"/>
      <c r="S174" s="35"/>
    </row>
    <row r="175" spans="1:19" s="34" customFormat="1" ht="13.9" hidden="1" customHeight="1" outlineLevel="1" x14ac:dyDescent="0.2">
      <c r="A175" s="457">
        <f ca="1">IF($H175="UNIDADE CONSTRUTIVA",OFFSET(A175,-1,0)+1,LARGE(A$3:A174,1))</f>
        <v>0</v>
      </c>
      <c r="B175" s="457">
        <f t="shared" ca="1" si="35"/>
        <v>3</v>
      </c>
      <c r="C175" s="457">
        <f t="shared" ca="1" si="36"/>
        <v>7</v>
      </c>
      <c r="D175" s="458">
        <f t="shared" ca="1" si="37"/>
        <v>0</v>
      </c>
      <c r="E175" s="458">
        <f t="shared" ca="1" si="38"/>
        <v>1</v>
      </c>
      <c r="G175" s="206"/>
      <c r="H175" s="207" t="s">
        <v>210</v>
      </c>
      <c r="I175" s="208" t="str">
        <f t="shared" ca="1" si="34"/>
        <v>03.007</v>
      </c>
      <c r="J175" s="209" t="s">
        <v>841</v>
      </c>
      <c r="K175" s="210"/>
      <c r="L175" s="455"/>
      <c r="M175" s="455"/>
      <c r="N175" s="285">
        <f t="shared" ca="1" si="23"/>
        <v>233205.27000086178</v>
      </c>
      <c r="O175" s="462"/>
      <c r="P175" s="213"/>
      <c r="Q175" s="35"/>
      <c r="R175" s="35"/>
      <c r="S175" s="35"/>
    </row>
    <row r="176" spans="1:19" s="34" customFormat="1" ht="13.9" hidden="1" customHeight="1" outlineLevel="1" x14ac:dyDescent="0.2">
      <c r="A176" s="457">
        <f ca="1">IF($H176="UNIDADE CONSTRUTIVA",OFFSET(A176,-1,0)+1,LARGE(A$3:A175,1))</f>
        <v>0</v>
      </c>
      <c r="B176" s="457">
        <f t="shared" ca="1" si="35"/>
        <v>3</v>
      </c>
      <c r="C176" s="457">
        <f t="shared" ca="1" si="36"/>
        <v>7</v>
      </c>
      <c r="D176" s="458">
        <f t="shared" ca="1" si="37"/>
        <v>1</v>
      </c>
      <c r="E176" s="458">
        <f t="shared" ca="1" si="38"/>
        <v>0</v>
      </c>
      <c r="G176" s="206"/>
      <c r="H176" s="207" t="s">
        <v>211</v>
      </c>
      <c r="I176" s="208" t="str">
        <f t="shared" ca="1" si="34"/>
        <v>03.007.001</v>
      </c>
      <c r="J176" s="209" t="s">
        <v>115</v>
      </c>
      <c r="K176" s="210"/>
      <c r="L176" s="455"/>
      <c r="M176" s="455"/>
      <c r="N176" s="285">
        <f t="shared" ca="1" si="23"/>
        <v>381.17227499999996</v>
      </c>
      <c r="O176" s="462"/>
      <c r="P176" s="213"/>
      <c r="Q176" s="35"/>
      <c r="R176" s="35"/>
      <c r="S176" s="35"/>
    </row>
    <row r="177" spans="1:19" s="34" customFormat="1" ht="13.9" hidden="1" customHeight="1" outlineLevel="2" x14ac:dyDescent="0.2">
      <c r="A177" s="457">
        <f ca="1">IF($H177="UNIDADE CONSTRUTIVA",OFFSET(A177,-1,0)+1,LARGE(A$3:A176,1))</f>
        <v>0</v>
      </c>
      <c r="B177" s="457">
        <f t="shared" ca="1" si="35"/>
        <v>3</v>
      </c>
      <c r="C177" s="457">
        <f t="shared" ca="1" si="36"/>
        <v>7</v>
      </c>
      <c r="D177" s="458">
        <f t="shared" ca="1" si="37"/>
        <v>1</v>
      </c>
      <c r="E177" s="458">
        <f t="shared" ca="1" si="38"/>
        <v>1</v>
      </c>
      <c r="G177" s="206"/>
      <c r="H177" s="207" t="s">
        <v>212</v>
      </c>
      <c r="I177" s="208" t="str">
        <f t="shared" ca="1" si="34"/>
        <v>03.007.001.001</v>
      </c>
      <c r="J177" s="209" t="s">
        <v>534</v>
      </c>
      <c r="K177" s="210" t="s">
        <v>1</v>
      </c>
      <c r="L177" s="455">
        <f>Supraestrutura!P52+Supraestrutura!P53</f>
        <v>556.04999999999995</v>
      </c>
      <c r="M177" s="455">
        <v>0.6855</v>
      </c>
      <c r="N177" s="285">
        <f t="shared" si="23"/>
        <v>381.17227499999996</v>
      </c>
      <c r="O177" s="462"/>
      <c r="P177" s="213" t="s">
        <v>518</v>
      </c>
      <c r="Q177" s="35"/>
      <c r="R177" s="35"/>
      <c r="S177" s="35"/>
    </row>
    <row r="178" spans="1:19" s="34" customFormat="1" ht="13.9" hidden="1" customHeight="1" outlineLevel="1" x14ac:dyDescent="0.2">
      <c r="A178" s="457">
        <f ca="1">IF($H178="UNIDADE CONSTRUTIVA",OFFSET(A178,-1,0)+1,LARGE(A$3:A177,1))</f>
        <v>0</v>
      </c>
      <c r="B178" s="457">
        <f t="shared" ca="1" si="35"/>
        <v>3</v>
      </c>
      <c r="C178" s="457">
        <f t="shared" ca="1" si="36"/>
        <v>7</v>
      </c>
      <c r="D178" s="458">
        <f t="shared" ca="1" si="37"/>
        <v>2</v>
      </c>
      <c r="E178" s="458">
        <f t="shared" ca="1" si="38"/>
        <v>0</v>
      </c>
      <c r="G178" s="206"/>
      <c r="H178" s="207" t="s">
        <v>211</v>
      </c>
      <c r="I178" s="208" t="str">
        <f t="shared" ca="1" si="34"/>
        <v>03.007.002</v>
      </c>
      <c r="J178" s="209" t="s">
        <v>112</v>
      </c>
      <c r="K178" s="210"/>
      <c r="L178" s="455"/>
      <c r="M178" s="455"/>
      <c r="N178" s="285">
        <f t="shared" ca="1" si="23"/>
        <v>19893.697318181818</v>
      </c>
      <c r="O178" s="462"/>
      <c r="P178" s="213"/>
      <c r="Q178" s="35"/>
      <c r="R178" s="35"/>
      <c r="S178" s="35"/>
    </row>
    <row r="179" spans="1:19" s="34" customFormat="1" ht="13.9" hidden="1" customHeight="1" outlineLevel="2" x14ac:dyDescent="0.2">
      <c r="A179" s="457">
        <f ca="1">IF($H179="UNIDADE CONSTRUTIVA",OFFSET(A179,-1,0)+1,LARGE(A$3:A178,1))</f>
        <v>0</v>
      </c>
      <c r="B179" s="457">
        <f t="shared" ca="1" si="35"/>
        <v>3</v>
      </c>
      <c r="C179" s="457">
        <f t="shared" ca="1" si="36"/>
        <v>7</v>
      </c>
      <c r="D179" s="458">
        <f t="shared" ca="1" si="37"/>
        <v>2</v>
      </c>
      <c r="E179" s="458">
        <f t="shared" ca="1" si="38"/>
        <v>1</v>
      </c>
      <c r="G179" s="206"/>
      <c r="H179" s="207" t="s">
        <v>212</v>
      </c>
      <c r="I179" s="208" t="str">
        <f ca="1">IF(H179="Unidade Construtiva",TEXT(A179,"00"),IF(H179="Célula Construtiva",TEXT(B179,"00"),IF(H179="Etapa",CONCATENATE(TEXT(B179,"00"),".",TEXT(C179,"000")),IF(H179="Subetapa",CONCATENATE(TEXT(B179,"00"),".",TEXT(C179,"000"),".",TEXT(D179,"000")),IF(H179="Serviço",CONCATENATE(TEXT(B179,"00"),".",TEXT(C179,"000"),".",TEXT(D179,"000"),".",TEXT(E179,"000")),"")))))</f>
        <v>03.007.002.001</v>
      </c>
      <c r="J179" s="209" t="s">
        <v>537</v>
      </c>
      <c r="K179" s="210" t="s">
        <v>5</v>
      </c>
      <c r="L179" s="455">
        <f>Supraestrutura!C49</f>
        <v>1693.681818181818</v>
      </c>
      <c r="M179" s="455">
        <v>6.9776999999999996</v>
      </c>
      <c r="N179" s="285">
        <f t="shared" si="23"/>
        <v>11818.00362272727</v>
      </c>
      <c r="O179" s="462"/>
      <c r="P179" s="213" t="s">
        <v>518</v>
      </c>
      <c r="Q179" s="465"/>
      <c r="R179" s="465"/>
      <c r="S179" s="35"/>
    </row>
    <row r="180" spans="1:19" s="34" customFormat="1" ht="13.9" hidden="1" customHeight="1" outlineLevel="2" x14ac:dyDescent="0.2">
      <c r="A180" s="457">
        <f ca="1">IF($H180="UNIDADE CONSTRUTIVA",OFFSET(A180,-1,0)+1,LARGE(A$3:A179,1))</f>
        <v>0</v>
      </c>
      <c r="B180" s="457">
        <f t="shared" ca="1" si="35"/>
        <v>3</v>
      </c>
      <c r="C180" s="457">
        <f t="shared" ca="1" si="36"/>
        <v>7</v>
      </c>
      <c r="D180" s="458">
        <f t="shared" ca="1" si="37"/>
        <v>2</v>
      </c>
      <c r="E180" s="458">
        <f t="shared" ca="1" si="38"/>
        <v>2</v>
      </c>
      <c r="G180" s="206"/>
      <c r="H180" s="207" t="s">
        <v>212</v>
      </c>
      <c r="I180" s="208" t="str">
        <f t="shared" ref="I180:I191" ca="1" si="39">IF(H180="Unidade Construtiva",TEXT(A180,"00"),IF(H180="Célula Construtiva",TEXT(B180,"00"),IF(H180="Etapa",CONCATENATE(TEXT(B180,"00"),".",TEXT(C180,"000")),IF(H180="Subetapa",CONCATENATE(TEXT(B180,"00"),".",TEXT(C180,"000"),".",TEXT(D180,"000")),IF(H180="Serviço",CONCATENATE(TEXT(B180,"00"),".",TEXT(C180,"000"),".",TEXT(D180,"000"),".",TEXT(E180,"000")),"")))))</f>
        <v>03.007.002.002</v>
      </c>
      <c r="J180" s="209" t="s">
        <v>538</v>
      </c>
      <c r="K180" s="210" t="s">
        <v>5</v>
      </c>
      <c r="L180" s="455">
        <f>Supraestrutura!D49</f>
        <v>1057.2272727272727</v>
      </c>
      <c r="M180" s="455">
        <v>6.7137000000000002</v>
      </c>
      <c r="N180" s="285">
        <f t="shared" si="23"/>
        <v>7097.9067409090912</v>
      </c>
      <c r="O180" s="462"/>
      <c r="P180" s="213" t="s">
        <v>518</v>
      </c>
      <c r="Q180" s="465"/>
      <c r="R180" s="465"/>
      <c r="S180" s="35"/>
    </row>
    <row r="181" spans="1:19" s="34" customFormat="1" ht="13.9" hidden="1" customHeight="1" outlineLevel="2" x14ac:dyDescent="0.2">
      <c r="A181" s="457">
        <f ca="1">IF($H181="UNIDADE CONSTRUTIVA",OFFSET(A181,-1,0)+1,LARGE(A$3:A180,1))</f>
        <v>0</v>
      </c>
      <c r="B181" s="457">
        <f t="shared" ca="1" si="35"/>
        <v>3</v>
      </c>
      <c r="C181" s="457">
        <f t="shared" ca="1" si="36"/>
        <v>7</v>
      </c>
      <c r="D181" s="458">
        <f t="shared" ca="1" si="37"/>
        <v>2</v>
      </c>
      <c r="E181" s="458">
        <f t="shared" ca="1" si="38"/>
        <v>3</v>
      </c>
      <c r="G181" s="206"/>
      <c r="H181" s="207" t="s">
        <v>212</v>
      </c>
      <c r="I181" s="208" t="str">
        <f t="shared" ca="1" si="39"/>
        <v>03.007.002.003</v>
      </c>
      <c r="J181" s="209" t="s">
        <v>539</v>
      </c>
      <c r="K181" s="210" t="s">
        <v>5</v>
      </c>
      <c r="L181" s="455">
        <f>Supraestrutura!E49</f>
        <v>158.63636363636363</v>
      </c>
      <c r="M181" s="455">
        <v>6.1637000000000004</v>
      </c>
      <c r="N181" s="285">
        <f t="shared" si="23"/>
        <v>977.78695454545459</v>
      </c>
      <c r="O181" s="462"/>
      <c r="P181" s="213" t="s">
        <v>518</v>
      </c>
      <c r="Q181" s="465"/>
      <c r="R181" s="465"/>
      <c r="S181" s="35"/>
    </row>
    <row r="182" spans="1:19" s="34" customFormat="1" ht="13.9" hidden="1" customHeight="1" outlineLevel="1" x14ac:dyDescent="0.2">
      <c r="A182" s="457">
        <f ca="1">IF($H182="UNIDADE CONSTRUTIVA",OFFSET(A182,-1,0)+1,LARGE(A$3:A181,1))</f>
        <v>0</v>
      </c>
      <c r="B182" s="457">
        <f t="shared" ca="1" si="35"/>
        <v>3</v>
      </c>
      <c r="C182" s="457">
        <f t="shared" ca="1" si="36"/>
        <v>7</v>
      </c>
      <c r="D182" s="458">
        <f t="shared" ca="1" si="37"/>
        <v>3</v>
      </c>
      <c r="E182" s="458">
        <f t="shared" ca="1" si="38"/>
        <v>0</v>
      </c>
      <c r="G182" s="206"/>
      <c r="H182" s="207" t="s">
        <v>211</v>
      </c>
      <c r="I182" s="208" t="str">
        <f t="shared" ca="1" si="39"/>
        <v>03.007.003</v>
      </c>
      <c r="J182" s="209" t="s">
        <v>213</v>
      </c>
      <c r="K182" s="210"/>
      <c r="L182" s="455"/>
      <c r="M182" s="455"/>
      <c r="N182" s="285">
        <f t="shared" ca="1" si="23"/>
        <v>34908.494807679999</v>
      </c>
      <c r="O182" s="462"/>
      <c r="P182" s="213"/>
      <c r="Q182" s="35"/>
      <c r="R182" s="35"/>
      <c r="S182" s="35"/>
    </row>
    <row r="183" spans="1:19" s="34" customFormat="1" ht="13.15" hidden="1" customHeight="1" outlineLevel="2" x14ac:dyDescent="0.2">
      <c r="A183" s="457">
        <f ca="1">IF($H183="UNIDADE CONSTRUTIVA",OFFSET(A183,-1,0)+1,LARGE(A$3:A182,1))</f>
        <v>0</v>
      </c>
      <c r="B183" s="457">
        <f t="shared" ca="1" si="35"/>
        <v>3</v>
      </c>
      <c r="C183" s="457">
        <f t="shared" ca="1" si="36"/>
        <v>7</v>
      </c>
      <c r="D183" s="458">
        <f t="shared" ca="1" si="37"/>
        <v>3</v>
      </c>
      <c r="E183" s="458">
        <f t="shared" ca="1" si="38"/>
        <v>1</v>
      </c>
      <c r="G183" s="206"/>
      <c r="H183" s="207" t="s">
        <v>212</v>
      </c>
      <c r="I183" s="208" t="str">
        <f t="shared" ca="1" si="39"/>
        <v>03.007.003.001</v>
      </c>
      <c r="J183" s="209" t="s">
        <v>769</v>
      </c>
      <c r="K183" s="210" t="s">
        <v>4</v>
      </c>
      <c r="L183" s="455">
        <f>Supraestrutura!N49</f>
        <v>67.000399999999999</v>
      </c>
      <c r="M183" s="455">
        <v>521.01919999999996</v>
      </c>
      <c r="N183" s="285">
        <f t="shared" si="23"/>
        <v>34908.494807679999</v>
      </c>
      <c r="O183" s="462"/>
      <c r="P183" s="213" t="s">
        <v>518</v>
      </c>
      <c r="Q183" s="35"/>
      <c r="R183" s="35"/>
      <c r="S183" s="35"/>
    </row>
    <row r="184" spans="1:19" s="34" customFormat="1" ht="13.9" hidden="1" customHeight="1" outlineLevel="1" x14ac:dyDescent="0.2">
      <c r="A184" s="457">
        <f ca="1">IF($H184="UNIDADE CONSTRUTIVA",OFFSET(A184,-1,0)+1,LARGE(A$3:A183,1))</f>
        <v>0</v>
      </c>
      <c r="B184" s="457">
        <f t="shared" ca="1" si="35"/>
        <v>3</v>
      </c>
      <c r="C184" s="457">
        <f t="shared" ca="1" si="36"/>
        <v>7</v>
      </c>
      <c r="D184" s="458">
        <f t="shared" ca="1" si="37"/>
        <v>4</v>
      </c>
      <c r="E184" s="458">
        <f t="shared" ca="1" si="38"/>
        <v>0</v>
      </c>
      <c r="G184" s="206"/>
      <c r="H184" s="207" t="s">
        <v>211</v>
      </c>
      <c r="I184" s="208" t="str">
        <f t="shared" ca="1" si="39"/>
        <v>03.007.004</v>
      </c>
      <c r="J184" s="209" t="s">
        <v>128</v>
      </c>
      <c r="K184" s="210"/>
      <c r="L184" s="455"/>
      <c r="M184" s="455"/>
      <c r="N184" s="285">
        <f t="shared" ca="1" si="23"/>
        <v>46713.105599999995</v>
      </c>
      <c r="O184" s="462"/>
      <c r="P184" s="213"/>
      <c r="Q184" s="35"/>
      <c r="R184" s="35"/>
      <c r="S184" s="35"/>
    </row>
    <row r="185" spans="1:19" s="34" customFormat="1" ht="13.9" hidden="1" customHeight="1" outlineLevel="2" x14ac:dyDescent="0.2">
      <c r="A185" s="457">
        <f ca="1">IF($H185="UNIDADE CONSTRUTIVA",OFFSET(A185,-1,0)+1,LARGE(A$3:A184,1))</f>
        <v>0</v>
      </c>
      <c r="B185" s="457">
        <f t="shared" ca="1" si="35"/>
        <v>3</v>
      </c>
      <c r="C185" s="457">
        <f t="shared" ca="1" si="36"/>
        <v>7</v>
      </c>
      <c r="D185" s="458">
        <f t="shared" ca="1" si="37"/>
        <v>4</v>
      </c>
      <c r="E185" s="458">
        <f t="shared" ca="1" si="38"/>
        <v>1</v>
      </c>
      <c r="G185" s="206"/>
      <c r="H185" s="207" t="s">
        <v>212</v>
      </c>
      <c r="I185" s="208" t="str">
        <f t="shared" ca="1" si="39"/>
        <v>03.007.004.001</v>
      </c>
      <c r="J185" s="209" t="s">
        <v>1240</v>
      </c>
      <c r="K185" s="210" t="s">
        <v>1</v>
      </c>
      <c r="L185" s="455">
        <f>'Obra '!E22</f>
        <v>547.12</v>
      </c>
      <c r="M185" s="455">
        <v>85.38</v>
      </c>
      <c r="N185" s="285">
        <f t="shared" si="23"/>
        <v>46713.105599999995</v>
      </c>
      <c r="O185" s="462"/>
      <c r="P185" s="213" t="s">
        <v>518</v>
      </c>
      <c r="Q185" s="35"/>
      <c r="R185" s="35"/>
      <c r="S185" s="35"/>
    </row>
    <row r="186" spans="1:19" s="34" customFormat="1" ht="13.9" hidden="1" customHeight="1" outlineLevel="1" x14ac:dyDescent="0.2">
      <c r="A186" s="457">
        <f ca="1">IF($H186="UNIDADE CONSTRUTIVA",OFFSET(A186,-1,0)+1,LARGE(A$3:A185,1))</f>
        <v>0</v>
      </c>
      <c r="B186" s="457">
        <f t="shared" ca="1" si="35"/>
        <v>3</v>
      </c>
      <c r="C186" s="457">
        <f t="shared" ca="1" si="36"/>
        <v>7</v>
      </c>
      <c r="D186" s="458">
        <f t="shared" ca="1" si="37"/>
        <v>5</v>
      </c>
      <c r="E186" s="458">
        <f t="shared" ca="1" si="38"/>
        <v>0</v>
      </c>
      <c r="G186" s="206"/>
      <c r="H186" s="207" t="s">
        <v>211</v>
      </c>
      <c r="I186" s="208" t="str">
        <f t="shared" ca="1" si="39"/>
        <v>03.007.005</v>
      </c>
      <c r="J186" s="209" t="s">
        <v>130</v>
      </c>
      <c r="K186" s="210"/>
      <c r="L186" s="455"/>
      <c r="M186" s="455"/>
      <c r="N186" s="285">
        <f t="shared" ca="1" si="23"/>
        <v>131308.79999999999</v>
      </c>
      <c r="O186" s="462"/>
      <c r="P186" s="213"/>
      <c r="Q186" s="35"/>
      <c r="R186" s="35"/>
      <c r="S186" s="35"/>
    </row>
    <row r="187" spans="1:19" s="34" customFormat="1" ht="13.9" hidden="1" customHeight="1" outlineLevel="2" x14ac:dyDescent="0.2">
      <c r="A187" s="457">
        <f ca="1">IF($H187="UNIDADE CONSTRUTIVA",OFFSET(A187,-1,0)+1,LARGE(A$3:A186,1))</f>
        <v>0</v>
      </c>
      <c r="B187" s="457">
        <f t="shared" ca="1" si="35"/>
        <v>3</v>
      </c>
      <c r="C187" s="457">
        <f t="shared" ca="1" si="36"/>
        <v>7</v>
      </c>
      <c r="D187" s="458">
        <f t="shared" ca="1" si="37"/>
        <v>5</v>
      </c>
      <c r="E187" s="458">
        <f t="shared" ca="1" si="38"/>
        <v>1</v>
      </c>
      <c r="G187" s="206"/>
      <c r="H187" s="207" t="s">
        <v>212</v>
      </c>
      <c r="I187" s="208" t="str">
        <f t="shared" ca="1" si="39"/>
        <v>03.007.005.001</v>
      </c>
      <c r="J187" s="209" t="s">
        <v>214</v>
      </c>
      <c r="K187" s="210" t="s">
        <v>1</v>
      </c>
      <c r="L187" s="455">
        <f>'Obra '!E22</f>
        <v>547.12</v>
      </c>
      <c r="M187" s="455">
        <v>240</v>
      </c>
      <c r="N187" s="285">
        <f t="shared" si="23"/>
        <v>131308.79999999999</v>
      </c>
      <c r="O187" s="462"/>
      <c r="P187" s="213" t="s">
        <v>518</v>
      </c>
      <c r="Q187" s="35"/>
      <c r="R187" s="35"/>
      <c r="S187" s="35"/>
    </row>
    <row r="188" spans="1:19" s="34" customFormat="1" ht="13.9" hidden="1" customHeight="1" outlineLevel="1" x14ac:dyDescent="0.2">
      <c r="A188" s="457">
        <f ca="1">IF($H188="UNIDADE CONSTRUTIVA",OFFSET(A188,-1,0)+1,LARGE(A$3:A187,1))</f>
        <v>0</v>
      </c>
      <c r="B188" s="457">
        <f t="shared" ref="B188:B201" ca="1" si="40">IF(H188="UNIDADE CONSTRUTIVA",0,IF(H188="CÉLULA CONSTRUTIVA",OFFSET(B188,-1,0)+1,OFFSET(B188,-1,0)))</f>
        <v>3</v>
      </c>
      <c r="C188" s="457">
        <f t="shared" ref="C188:C201" ca="1" si="41">IF(H188="CÉLULA CONSTRUTIVA",0,IF(H188="ETAPA",OFFSET(C188,-1,0)+1,OFFSET(C188,-1,0)))</f>
        <v>8</v>
      </c>
      <c r="D188" s="458">
        <f t="shared" ref="D188:D201" ca="1" si="42">IF(H188="ETAPA",0,IF(H188="SUBETAPA",OFFSET(D188,-1,0)+1,OFFSET(D188,-1,0)))</f>
        <v>0</v>
      </c>
      <c r="E188" s="458">
        <f t="shared" ref="E188:E201" ca="1" si="43">IF(H188="Subetapa",0,IF(H188="serviço",OFFSET(E188,-1,0)+1,OFFSET(E188,-1,0)))</f>
        <v>1</v>
      </c>
      <c r="G188" s="206"/>
      <c r="H188" s="207" t="s">
        <v>210</v>
      </c>
      <c r="I188" s="208" t="str">
        <f t="shared" ca="1" si="39"/>
        <v>03.008</v>
      </c>
      <c r="J188" s="209" t="s">
        <v>842</v>
      </c>
      <c r="K188" s="210"/>
      <c r="L188" s="455"/>
      <c r="M188" s="455"/>
      <c r="N188" s="285">
        <f t="shared" ca="1" si="23"/>
        <v>195035.39285072728</v>
      </c>
      <c r="O188" s="462"/>
      <c r="P188" s="213"/>
      <c r="Q188" s="35"/>
      <c r="R188" s="35"/>
      <c r="S188" s="35"/>
    </row>
    <row r="189" spans="1:19" s="34" customFormat="1" ht="13.9" hidden="1" customHeight="1" outlineLevel="1" x14ac:dyDescent="0.2">
      <c r="A189" s="457">
        <f ca="1">IF($H189="UNIDADE CONSTRUTIVA",OFFSET(A189,-1,0)+1,LARGE(A$3:A188,1))</f>
        <v>0</v>
      </c>
      <c r="B189" s="457">
        <f t="shared" ca="1" si="40"/>
        <v>3</v>
      </c>
      <c r="C189" s="457">
        <f t="shared" ca="1" si="41"/>
        <v>8</v>
      </c>
      <c r="D189" s="458">
        <f t="shared" ca="1" si="42"/>
        <v>1</v>
      </c>
      <c r="E189" s="458">
        <f t="shared" ca="1" si="43"/>
        <v>0</v>
      </c>
      <c r="G189" s="206"/>
      <c r="H189" s="207" t="s">
        <v>211</v>
      </c>
      <c r="I189" s="208" t="str">
        <f t="shared" ca="1" si="39"/>
        <v>03.008.001</v>
      </c>
      <c r="J189" s="209" t="s">
        <v>115</v>
      </c>
      <c r="K189" s="210"/>
      <c r="L189" s="455"/>
      <c r="M189" s="455"/>
      <c r="N189" s="285">
        <f t="shared" ca="1" si="23"/>
        <v>359.79153000000002</v>
      </c>
      <c r="O189" s="462"/>
      <c r="P189" s="213"/>
      <c r="Q189" s="35"/>
      <c r="R189" s="35"/>
      <c r="S189" s="35"/>
    </row>
    <row r="190" spans="1:19" s="34" customFormat="1" ht="13.9" hidden="1" customHeight="1" outlineLevel="2" x14ac:dyDescent="0.2">
      <c r="A190" s="457">
        <f ca="1">IF($H190="UNIDADE CONSTRUTIVA",OFFSET(A190,-1,0)+1,LARGE(A$3:A189,1))</f>
        <v>0</v>
      </c>
      <c r="B190" s="457">
        <f t="shared" ca="1" si="40"/>
        <v>3</v>
      </c>
      <c r="C190" s="457">
        <f t="shared" ca="1" si="41"/>
        <v>8</v>
      </c>
      <c r="D190" s="458">
        <f t="shared" ca="1" si="42"/>
        <v>1</v>
      </c>
      <c r="E190" s="458">
        <f t="shared" ca="1" si="43"/>
        <v>1</v>
      </c>
      <c r="G190" s="206"/>
      <c r="H190" s="207" t="s">
        <v>212</v>
      </c>
      <c r="I190" s="208" t="str">
        <f t="shared" ca="1" si="39"/>
        <v>03.008.001.001</v>
      </c>
      <c r="J190" s="209" t="s">
        <v>534</v>
      </c>
      <c r="K190" s="210" t="s">
        <v>1</v>
      </c>
      <c r="L190" s="455">
        <f>Supraestrutura!P57</f>
        <v>524.86</v>
      </c>
      <c r="M190" s="455">
        <v>0.6855</v>
      </c>
      <c r="N190" s="285">
        <f t="shared" si="23"/>
        <v>359.79153000000002</v>
      </c>
      <c r="O190" s="462"/>
      <c r="P190" s="213" t="s">
        <v>518</v>
      </c>
      <c r="Q190" s="35"/>
      <c r="R190" s="35"/>
      <c r="S190" s="35"/>
    </row>
    <row r="191" spans="1:19" s="34" customFormat="1" ht="13.9" hidden="1" customHeight="1" outlineLevel="1" x14ac:dyDescent="0.2">
      <c r="A191" s="457">
        <f ca="1">IF($H191="UNIDADE CONSTRUTIVA",OFFSET(A191,-1,0)+1,LARGE(A$3:A190,1))</f>
        <v>0</v>
      </c>
      <c r="B191" s="457">
        <f t="shared" ca="1" si="40"/>
        <v>3</v>
      </c>
      <c r="C191" s="457">
        <f t="shared" ca="1" si="41"/>
        <v>8</v>
      </c>
      <c r="D191" s="458">
        <f t="shared" ca="1" si="42"/>
        <v>2</v>
      </c>
      <c r="E191" s="458">
        <f t="shared" ca="1" si="43"/>
        <v>0</v>
      </c>
      <c r="G191" s="206"/>
      <c r="H191" s="207" t="s">
        <v>211</v>
      </c>
      <c r="I191" s="208" t="str">
        <f t="shared" ca="1" si="39"/>
        <v>03.008.002</v>
      </c>
      <c r="J191" s="209" t="s">
        <v>112</v>
      </c>
      <c r="K191" s="210"/>
      <c r="L191" s="455"/>
      <c r="M191" s="455"/>
      <c r="N191" s="285">
        <f t="shared" ca="1" si="23"/>
        <v>10193.730112727271</v>
      </c>
      <c r="O191" s="462"/>
      <c r="P191" s="213"/>
      <c r="Q191" s="35"/>
      <c r="R191" s="35"/>
      <c r="S191" s="35"/>
    </row>
    <row r="192" spans="1:19" s="34" customFormat="1" ht="13.9" hidden="1" customHeight="1" outlineLevel="2" x14ac:dyDescent="0.2">
      <c r="A192" s="457">
        <f ca="1">IF($H192="UNIDADE CONSTRUTIVA",OFFSET(A192,-1,0)+1,LARGE(A$3:A191,1))</f>
        <v>0</v>
      </c>
      <c r="B192" s="457">
        <f t="shared" ca="1" si="40"/>
        <v>3</v>
      </c>
      <c r="C192" s="457">
        <f t="shared" ca="1" si="41"/>
        <v>8</v>
      </c>
      <c r="D192" s="458">
        <f t="shared" ca="1" si="42"/>
        <v>2</v>
      </c>
      <c r="E192" s="458">
        <f t="shared" ca="1" si="43"/>
        <v>1</v>
      </c>
      <c r="G192" s="206"/>
      <c r="H192" s="207" t="s">
        <v>212</v>
      </c>
      <c r="I192" s="208" t="str">
        <f ca="1">IF(H192="Unidade Construtiva",TEXT(A192,"00"),IF(H192="Célula Construtiva",TEXT(B192,"00"),IF(H192="Etapa",CONCATENATE(TEXT(B192,"00"),".",TEXT(C192,"000")),IF(H192="Subetapa",CONCATENATE(TEXT(B192,"00"),".",TEXT(C192,"000"),".",TEXT(D192,"000")),IF(H192="Serviço",CONCATENATE(TEXT(B192,"00"),".",TEXT(C192,"000"),".",TEXT(D192,"000"),".",TEXT(E192,"000")),"")))))</f>
        <v>03.008.002.001</v>
      </c>
      <c r="J192" s="209" t="s">
        <v>537</v>
      </c>
      <c r="K192" s="210" t="s">
        <v>5</v>
      </c>
      <c r="L192" s="455">
        <f>Supraestrutura!C54</f>
        <v>736.72727272727263</v>
      </c>
      <c r="M192" s="455">
        <v>6.9776999999999996</v>
      </c>
      <c r="N192" s="285">
        <f t="shared" si="23"/>
        <v>5140.6618909090903</v>
      </c>
      <c r="O192" s="462"/>
      <c r="P192" s="213" t="s">
        <v>518</v>
      </c>
      <c r="Q192" s="465"/>
      <c r="R192" s="465"/>
      <c r="S192" s="35"/>
    </row>
    <row r="193" spans="1:19" s="34" customFormat="1" ht="13.9" hidden="1" customHeight="1" outlineLevel="2" x14ac:dyDescent="0.2">
      <c r="A193" s="457">
        <f ca="1">IF($H193="UNIDADE CONSTRUTIVA",OFFSET(A193,-1,0)+1,LARGE(A$3:A192,1))</f>
        <v>0</v>
      </c>
      <c r="B193" s="457">
        <f t="shared" ca="1" si="40"/>
        <v>3</v>
      </c>
      <c r="C193" s="457">
        <f t="shared" ca="1" si="41"/>
        <v>8</v>
      </c>
      <c r="D193" s="458">
        <f t="shared" ca="1" si="42"/>
        <v>2</v>
      </c>
      <c r="E193" s="458">
        <f t="shared" ca="1" si="43"/>
        <v>2</v>
      </c>
      <c r="G193" s="206"/>
      <c r="H193" s="207" t="s">
        <v>212</v>
      </c>
      <c r="I193" s="208" t="str">
        <f t="shared" ref="I193:I206" ca="1" si="44">IF(H193="Unidade Construtiva",TEXT(A193,"00"),IF(H193="Célula Construtiva",TEXT(B193,"00"),IF(H193="Etapa",CONCATENATE(TEXT(B193,"00"),".",TEXT(C193,"000")),IF(H193="Subetapa",CONCATENATE(TEXT(B193,"00"),".",TEXT(C193,"000"),".",TEXT(D193,"000")),IF(H193="Serviço",CONCATENATE(TEXT(B193,"00"),".",TEXT(C193,"000"),".",TEXT(D193,"000"),".",TEXT(E193,"000")),"")))))</f>
        <v>03.008.002.002</v>
      </c>
      <c r="J193" s="209" t="s">
        <v>538</v>
      </c>
      <c r="K193" s="210" t="s">
        <v>5</v>
      </c>
      <c r="L193" s="455">
        <f>Supraestrutura!D54</f>
        <v>63.709090909090904</v>
      </c>
      <c r="M193" s="455">
        <v>6.7137000000000002</v>
      </c>
      <c r="N193" s="285">
        <f t="shared" si="23"/>
        <v>427.72372363636362</v>
      </c>
      <c r="O193" s="462"/>
      <c r="P193" s="213" t="s">
        <v>518</v>
      </c>
      <c r="Q193" s="465"/>
      <c r="R193" s="465"/>
      <c r="S193" s="35"/>
    </row>
    <row r="194" spans="1:19" s="34" customFormat="1" ht="13.9" hidden="1" customHeight="1" outlineLevel="2" x14ac:dyDescent="0.2">
      <c r="A194" s="457">
        <f ca="1">IF($H194="UNIDADE CONSTRUTIVA",OFFSET(A194,-1,0)+1,LARGE(A$3:A193,1))</f>
        <v>0</v>
      </c>
      <c r="B194" s="457">
        <f t="shared" ca="1" si="40"/>
        <v>3</v>
      </c>
      <c r="C194" s="457">
        <f t="shared" ca="1" si="41"/>
        <v>8</v>
      </c>
      <c r="D194" s="458">
        <f t="shared" ca="1" si="42"/>
        <v>2</v>
      </c>
      <c r="E194" s="458">
        <f t="shared" ca="1" si="43"/>
        <v>3</v>
      </c>
      <c r="G194" s="206"/>
      <c r="H194" s="207" t="s">
        <v>212</v>
      </c>
      <c r="I194" s="208" t="str">
        <f t="shared" ca="1" si="44"/>
        <v>03.008.002.003</v>
      </c>
      <c r="J194" s="209" t="s">
        <v>539</v>
      </c>
      <c r="K194" s="210" t="s">
        <v>5</v>
      </c>
      <c r="L194" s="455">
        <f>Supraestrutura!E54</f>
        <v>625.37272727272716</v>
      </c>
      <c r="M194" s="455">
        <v>6.1637000000000004</v>
      </c>
      <c r="N194" s="285">
        <f t="shared" si="23"/>
        <v>3854.6098790909086</v>
      </c>
      <c r="O194" s="462"/>
      <c r="P194" s="213" t="s">
        <v>518</v>
      </c>
      <c r="Q194" s="465"/>
      <c r="R194" s="465"/>
      <c r="S194" s="35"/>
    </row>
    <row r="195" spans="1:19" s="34" customFormat="1" ht="13.9" hidden="1" customHeight="1" outlineLevel="2" x14ac:dyDescent="0.2">
      <c r="A195" s="457">
        <f ca="1">IF($H195="UNIDADE CONSTRUTIVA",OFFSET(A195,-1,0)+1,LARGE(A$3:A194,1))</f>
        <v>0</v>
      </c>
      <c r="B195" s="457">
        <f ca="1">IF(H195="UNIDADE CONSTRUTIVA",0,IF(H195="CÉLULA CONSTRUTIVA",OFFSET(B195,-1,0)+1,OFFSET(B195,-1,0)))</f>
        <v>3</v>
      </c>
      <c r="C195" s="457">
        <f ca="1">IF(H195="CÉLULA CONSTRUTIVA",0,IF(H195="ETAPA",OFFSET(C195,-1,0)+1,OFFSET(C195,-1,0)))</f>
        <v>8</v>
      </c>
      <c r="D195" s="458">
        <f ca="1">IF(H195="ETAPA",0,IF(H195="SUBETAPA",OFFSET(D195,-1,0)+1,OFFSET(D195,-1,0)))</f>
        <v>2</v>
      </c>
      <c r="E195" s="458">
        <f ca="1">IF(H195="Subetapa",0,IF(H195="serviço",OFFSET(E195,-1,0)+1,OFFSET(E195,-1,0)))</f>
        <v>4</v>
      </c>
      <c r="G195" s="206"/>
      <c r="H195" s="207" t="s">
        <v>212</v>
      </c>
      <c r="I195" s="208" t="str">
        <f ca="1">IF(H195="Unidade Construtiva",TEXT(A195,"00"),IF(H195="Célula Construtiva",TEXT(B195,"00"),IF(H195="Etapa",CONCATENATE(TEXT(B195,"00"),".",TEXT(C195,"000")),IF(H195="Subetapa",CONCATENATE(TEXT(B195,"00"),".",TEXT(C195,"000"),".",TEXT(D195,"000")),IF(H195="Serviço",CONCATENATE(TEXT(B195,"00"),".",TEXT(C195,"000"),".",TEXT(D195,"000"),".",TEXT(E195,"000")),"")))))</f>
        <v>03.008.002.004</v>
      </c>
      <c r="J195" s="209" t="s">
        <v>540</v>
      </c>
      <c r="K195" s="210" t="s">
        <v>5</v>
      </c>
      <c r="L195" s="455">
        <f>Supraestrutura!F54</f>
        <v>121.57272727272726</v>
      </c>
      <c r="M195" s="455">
        <v>6.3396999999999997</v>
      </c>
      <c r="N195" s="285">
        <f t="shared" si="23"/>
        <v>770.73461909090895</v>
      </c>
      <c r="O195" s="462"/>
      <c r="P195" s="213" t="s">
        <v>518</v>
      </c>
      <c r="Q195" s="465"/>
      <c r="R195" s="465"/>
      <c r="S195" s="35"/>
    </row>
    <row r="196" spans="1:19" s="34" customFormat="1" ht="13.9" hidden="1" customHeight="1" outlineLevel="1" x14ac:dyDescent="0.2">
      <c r="A196" s="457">
        <f ca="1">IF($H196="UNIDADE CONSTRUTIVA",OFFSET(A196,-1,0)+1,LARGE(A$3:A195,1))</f>
        <v>0</v>
      </c>
      <c r="B196" s="457">
        <f t="shared" ca="1" si="40"/>
        <v>3</v>
      </c>
      <c r="C196" s="457">
        <f t="shared" ca="1" si="41"/>
        <v>8</v>
      </c>
      <c r="D196" s="458">
        <f t="shared" ca="1" si="42"/>
        <v>3</v>
      </c>
      <c r="E196" s="458">
        <f t="shared" ca="1" si="43"/>
        <v>0</v>
      </c>
      <c r="G196" s="206"/>
      <c r="H196" s="207" t="s">
        <v>211</v>
      </c>
      <c r="I196" s="208" t="str">
        <f t="shared" ca="1" si="44"/>
        <v>03.008.003</v>
      </c>
      <c r="J196" s="209" t="s">
        <v>213</v>
      </c>
      <c r="K196" s="210"/>
      <c r="L196" s="455"/>
      <c r="M196" s="455"/>
      <c r="N196" s="285">
        <f t="shared" ca="1" si="23"/>
        <v>32818.999407999996</v>
      </c>
      <c r="O196" s="462"/>
      <c r="P196" s="213"/>
      <c r="Q196" s="35"/>
      <c r="R196" s="35"/>
      <c r="S196" s="35"/>
    </row>
    <row r="197" spans="1:19" s="34" customFormat="1" ht="13.15" hidden="1" customHeight="1" outlineLevel="2" x14ac:dyDescent="0.2">
      <c r="A197" s="457">
        <f ca="1">IF($H197="UNIDADE CONSTRUTIVA",OFFSET(A197,-1,0)+1,LARGE(A$3:A196,1))</f>
        <v>0</v>
      </c>
      <c r="B197" s="457">
        <f t="shared" ca="1" si="40"/>
        <v>3</v>
      </c>
      <c r="C197" s="457">
        <f t="shared" ca="1" si="41"/>
        <v>8</v>
      </c>
      <c r="D197" s="458">
        <f t="shared" ca="1" si="42"/>
        <v>3</v>
      </c>
      <c r="E197" s="458">
        <f t="shared" ca="1" si="43"/>
        <v>1</v>
      </c>
      <c r="G197" s="206"/>
      <c r="H197" s="207" t="s">
        <v>212</v>
      </c>
      <c r="I197" s="208" t="str">
        <f t="shared" ca="1" si="44"/>
        <v>03.008.003.001</v>
      </c>
      <c r="J197" s="209" t="s">
        <v>770</v>
      </c>
      <c r="K197" s="210" t="s">
        <v>4</v>
      </c>
      <c r="L197" s="455">
        <f>Supraestrutura!O54</f>
        <v>62.99</v>
      </c>
      <c r="M197" s="455">
        <v>521.01919999999996</v>
      </c>
      <c r="N197" s="285">
        <f t="shared" si="23"/>
        <v>32818.999407999996</v>
      </c>
      <c r="O197" s="462"/>
      <c r="P197" s="213" t="s">
        <v>518</v>
      </c>
      <c r="Q197" s="35"/>
      <c r="R197" s="35"/>
      <c r="S197" s="35"/>
    </row>
    <row r="198" spans="1:19" s="34" customFormat="1" ht="13.9" hidden="1" customHeight="1" outlineLevel="1" x14ac:dyDescent="0.2">
      <c r="A198" s="457">
        <f ca="1">IF($H198="UNIDADE CONSTRUTIVA",OFFSET(A198,-1,0)+1,LARGE(A$3:A197,1))</f>
        <v>0</v>
      </c>
      <c r="B198" s="457">
        <f t="shared" ca="1" si="40"/>
        <v>3</v>
      </c>
      <c r="C198" s="457">
        <f t="shared" ca="1" si="41"/>
        <v>8</v>
      </c>
      <c r="D198" s="458">
        <f t="shared" ca="1" si="42"/>
        <v>4</v>
      </c>
      <c r="E198" s="458">
        <f t="shared" ca="1" si="43"/>
        <v>0</v>
      </c>
      <c r="G198" s="206"/>
      <c r="H198" s="207" t="s">
        <v>211</v>
      </c>
      <c r="I198" s="208" t="str">
        <f t="shared" ca="1" si="44"/>
        <v>03.008.004</v>
      </c>
      <c r="J198" s="209" t="s">
        <v>128</v>
      </c>
      <c r="K198" s="210"/>
      <c r="L198" s="455"/>
      <c r="M198" s="455"/>
      <c r="N198" s="285">
        <f t="shared" ca="1" si="23"/>
        <v>39796.471799999999</v>
      </c>
      <c r="O198" s="462"/>
      <c r="P198" s="213"/>
      <c r="Q198" s="35"/>
      <c r="R198" s="35"/>
      <c r="S198" s="35"/>
    </row>
    <row r="199" spans="1:19" s="34" customFormat="1" ht="13.9" hidden="1" customHeight="1" outlineLevel="2" x14ac:dyDescent="0.2">
      <c r="A199" s="457">
        <f ca="1">IF($H199="UNIDADE CONSTRUTIVA",OFFSET(A199,-1,0)+1,LARGE(A$3:A198,1))</f>
        <v>0</v>
      </c>
      <c r="B199" s="457">
        <f t="shared" ca="1" si="40"/>
        <v>3</v>
      </c>
      <c r="C199" s="457">
        <f t="shared" ca="1" si="41"/>
        <v>8</v>
      </c>
      <c r="D199" s="458">
        <f t="shared" ca="1" si="42"/>
        <v>4</v>
      </c>
      <c r="E199" s="458">
        <f t="shared" ca="1" si="43"/>
        <v>1</v>
      </c>
      <c r="G199" s="206"/>
      <c r="H199" s="207" t="s">
        <v>212</v>
      </c>
      <c r="I199" s="208" t="str">
        <f t="shared" ca="1" si="44"/>
        <v>03.008.004.001</v>
      </c>
      <c r="J199" s="209" t="s">
        <v>1240</v>
      </c>
      <c r="K199" s="210" t="s">
        <v>1</v>
      </c>
      <c r="L199" s="455">
        <f>'Obra '!E23</f>
        <v>466.11</v>
      </c>
      <c r="M199" s="455">
        <v>85.38</v>
      </c>
      <c r="N199" s="285">
        <f t="shared" si="23"/>
        <v>39796.471799999999</v>
      </c>
      <c r="O199" s="462"/>
      <c r="P199" s="213" t="s">
        <v>518</v>
      </c>
      <c r="Q199" s="35"/>
      <c r="R199" s="35"/>
      <c r="S199" s="35"/>
    </row>
    <row r="200" spans="1:19" s="34" customFormat="1" ht="13.9" hidden="1" customHeight="1" outlineLevel="1" x14ac:dyDescent="0.2">
      <c r="A200" s="457">
        <f ca="1">IF($H200="UNIDADE CONSTRUTIVA",OFFSET(A200,-1,0)+1,LARGE(A$3:A199,1))</f>
        <v>0</v>
      </c>
      <c r="B200" s="457">
        <f t="shared" ca="1" si="40"/>
        <v>3</v>
      </c>
      <c r="C200" s="457">
        <f t="shared" ca="1" si="41"/>
        <v>8</v>
      </c>
      <c r="D200" s="458">
        <f t="shared" ca="1" si="42"/>
        <v>5</v>
      </c>
      <c r="E200" s="458">
        <f t="shared" ca="1" si="43"/>
        <v>0</v>
      </c>
      <c r="G200" s="206"/>
      <c r="H200" s="207" t="s">
        <v>211</v>
      </c>
      <c r="I200" s="208" t="str">
        <f t="shared" ca="1" si="44"/>
        <v>03.008.005</v>
      </c>
      <c r="J200" s="209" t="s">
        <v>130</v>
      </c>
      <c r="K200" s="210"/>
      <c r="L200" s="455"/>
      <c r="M200" s="455"/>
      <c r="N200" s="285">
        <f t="shared" ref="N200:N211" ca="1" si="45">IF(H200="Serviço",M200*L200,IF(H200="CÉLULA CONSTRUTIVA",SUMIFS($N$8:$N$1393,$B$8:$B$1393,B200,$H$8:$H$1393,"Serviço"),IF(H200="ETAPA",SUMIFS($N$8:$N$1393,$B$8:$B$1393,B200,$C$8:$C$1393,C200,$H$8:$H$1393,"Serviço"),IF(H200="SUBETAPA",SUMIFS($N$8:$N$1393,$B$8:$B$1393,B200,$C$8:$C$1393,C200,$D$8:$D$1393,D200,$H$8:$H$1393,"Serviço"),0))))</f>
        <v>111866.40000000001</v>
      </c>
      <c r="O200" s="462"/>
      <c r="P200" s="213"/>
      <c r="Q200" s="35"/>
      <c r="R200" s="35"/>
      <c r="S200" s="35"/>
    </row>
    <row r="201" spans="1:19" s="34" customFormat="1" ht="13.9" hidden="1" customHeight="1" outlineLevel="2" x14ac:dyDescent="0.2">
      <c r="A201" s="457">
        <f ca="1">IF($H201="UNIDADE CONSTRUTIVA",OFFSET(A201,-1,0)+1,LARGE(A$3:A200,1))</f>
        <v>0</v>
      </c>
      <c r="B201" s="457">
        <f t="shared" ca="1" si="40"/>
        <v>3</v>
      </c>
      <c r="C201" s="457">
        <f t="shared" ca="1" si="41"/>
        <v>8</v>
      </c>
      <c r="D201" s="458">
        <f t="shared" ca="1" si="42"/>
        <v>5</v>
      </c>
      <c r="E201" s="458">
        <f t="shared" ca="1" si="43"/>
        <v>1</v>
      </c>
      <c r="G201" s="206"/>
      <c r="H201" s="207" t="s">
        <v>212</v>
      </c>
      <c r="I201" s="208" t="str">
        <f t="shared" ca="1" si="44"/>
        <v>03.008.005.001</v>
      </c>
      <c r="J201" s="209" t="s">
        <v>214</v>
      </c>
      <c r="K201" s="210" t="s">
        <v>1</v>
      </c>
      <c r="L201" s="455">
        <f>'Obra '!E23</f>
        <v>466.11</v>
      </c>
      <c r="M201" s="455">
        <v>240</v>
      </c>
      <c r="N201" s="285">
        <f t="shared" si="45"/>
        <v>111866.40000000001</v>
      </c>
      <c r="O201" s="462"/>
      <c r="P201" s="213" t="s">
        <v>518</v>
      </c>
      <c r="Q201" s="35"/>
      <c r="R201" s="35"/>
      <c r="S201" s="35"/>
    </row>
    <row r="202" spans="1:19" s="34" customFormat="1" ht="13.9" hidden="1" customHeight="1" outlineLevel="1" x14ac:dyDescent="0.2">
      <c r="A202" s="457">
        <f ca="1">IF($H202="UNIDADE CONSTRUTIVA",OFFSET(A202,-1,0)+1,LARGE(A$3:A201,1))</f>
        <v>0</v>
      </c>
      <c r="B202" s="457">
        <f t="shared" ref="B202:B225" ca="1" si="46">IF(H202="UNIDADE CONSTRUTIVA",0,IF(H202="CÉLULA CONSTRUTIVA",OFFSET(B202,-1,0)+1,OFFSET(B202,-1,0)))</f>
        <v>3</v>
      </c>
      <c r="C202" s="457">
        <f t="shared" ref="C202:C225" ca="1" si="47">IF(H202="CÉLULA CONSTRUTIVA",0,IF(H202="ETAPA",OFFSET(C202,-1,0)+1,OFFSET(C202,-1,0)))</f>
        <v>9</v>
      </c>
      <c r="D202" s="458">
        <f t="shared" ref="D202:D225" ca="1" si="48">IF(H202="ETAPA",0,IF(H202="SUBETAPA",OFFSET(D202,-1,0)+1,OFFSET(D202,-1,0)))</f>
        <v>0</v>
      </c>
      <c r="E202" s="458">
        <f t="shared" ref="E202:E225" ca="1" si="49">IF(H202="Subetapa",0,IF(H202="serviço",OFFSET(E202,-1,0)+1,OFFSET(E202,-1,0)))</f>
        <v>1</v>
      </c>
      <c r="G202" s="206"/>
      <c r="H202" s="207" t="s">
        <v>210</v>
      </c>
      <c r="I202" s="208" t="str">
        <f t="shared" ca="1" si="44"/>
        <v>03.009</v>
      </c>
      <c r="J202" s="209" t="s">
        <v>843</v>
      </c>
      <c r="K202" s="210"/>
      <c r="L202" s="455"/>
      <c r="M202" s="455"/>
      <c r="N202" s="285">
        <f t="shared" ca="1" si="45"/>
        <v>169797.7825988</v>
      </c>
      <c r="O202" s="462"/>
      <c r="P202" s="213"/>
      <c r="Q202" s="35"/>
      <c r="R202" s="35"/>
      <c r="S202" s="35"/>
    </row>
    <row r="203" spans="1:19" s="34" customFormat="1" ht="13.9" hidden="1" customHeight="1" outlineLevel="1" x14ac:dyDescent="0.2">
      <c r="A203" s="457">
        <f ca="1">IF($H203="UNIDADE CONSTRUTIVA",OFFSET(A203,-1,0)+1,LARGE(A$3:A202,1))</f>
        <v>0</v>
      </c>
      <c r="B203" s="457">
        <f t="shared" ca="1" si="46"/>
        <v>3</v>
      </c>
      <c r="C203" s="457">
        <f t="shared" ca="1" si="47"/>
        <v>9</v>
      </c>
      <c r="D203" s="458">
        <f t="shared" ca="1" si="48"/>
        <v>1</v>
      </c>
      <c r="E203" s="458">
        <f t="shared" ca="1" si="49"/>
        <v>0</v>
      </c>
      <c r="G203" s="206"/>
      <c r="H203" s="207" t="s">
        <v>211</v>
      </c>
      <c r="I203" s="208" t="str">
        <f t="shared" ca="1" si="44"/>
        <v>03.009.001</v>
      </c>
      <c r="J203" s="209" t="s">
        <v>115</v>
      </c>
      <c r="K203" s="210"/>
      <c r="L203" s="455"/>
      <c r="M203" s="455"/>
      <c r="N203" s="285">
        <f t="shared" ca="1" si="45"/>
        <v>396.69199499999996</v>
      </c>
      <c r="O203" s="462"/>
      <c r="P203" s="213"/>
      <c r="Q203" s="35"/>
      <c r="R203" s="35"/>
      <c r="S203" s="35"/>
    </row>
    <row r="204" spans="1:19" s="34" customFormat="1" ht="13.9" hidden="1" customHeight="1" outlineLevel="2" x14ac:dyDescent="0.2">
      <c r="A204" s="457">
        <f ca="1">IF($H204="UNIDADE CONSTRUTIVA",OFFSET(A204,-1,0)+1,LARGE(A$3:A203,1))</f>
        <v>0</v>
      </c>
      <c r="B204" s="457">
        <f t="shared" ca="1" si="46"/>
        <v>3</v>
      </c>
      <c r="C204" s="457">
        <f t="shared" ca="1" si="47"/>
        <v>9</v>
      </c>
      <c r="D204" s="458">
        <f t="shared" ca="1" si="48"/>
        <v>1</v>
      </c>
      <c r="E204" s="458">
        <f t="shared" ca="1" si="49"/>
        <v>1</v>
      </c>
      <c r="G204" s="206"/>
      <c r="H204" s="207" t="s">
        <v>212</v>
      </c>
      <c r="I204" s="208" t="str">
        <f t="shared" ca="1" si="44"/>
        <v>03.009.001.001</v>
      </c>
      <c r="J204" s="209" t="s">
        <v>534</v>
      </c>
      <c r="K204" s="210" t="s">
        <v>1</v>
      </c>
      <c r="L204" s="455">
        <f>Supraestrutura!P62+Supraestrutura!P67</f>
        <v>467.65999999999997</v>
      </c>
      <c r="M204" s="455">
        <v>0.6855</v>
      </c>
      <c r="N204" s="285">
        <f t="shared" si="45"/>
        <v>320.58092999999997</v>
      </c>
      <c r="O204" s="462"/>
      <c r="P204" s="213" t="s">
        <v>518</v>
      </c>
      <c r="Q204" s="35"/>
      <c r="R204" s="35"/>
      <c r="S204" s="35"/>
    </row>
    <row r="205" spans="1:19" s="34" customFormat="1" ht="13.9" hidden="1" customHeight="1" outlineLevel="2" x14ac:dyDescent="0.2">
      <c r="A205" s="457">
        <f ca="1">IF($H205="UNIDADE CONSTRUTIVA",OFFSET(A205,-1,0)+1,LARGE(A$3:A204,1))</f>
        <v>0</v>
      </c>
      <c r="B205" s="457">
        <f ca="1">IF(H205="UNIDADE CONSTRUTIVA",0,IF(H205="CÉLULA CONSTRUTIVA",OFFSET(B205,-1,0)+1,OFFSET(B205,-1,0)))</f>
        <v>3</v>
      </c>
      <c r="C205" s="457">
        <f ca="1">IF(H205="CÉLULA CONSTRUTIVA",0,IF(H205="ETAPA",OFFSET(C205,-1,0)+1,OFFSET(C205,-1,0)))</f>
        <v>9</v>
      </c>
      <c r="D205" s="458">
        <f ca="1">IF(H205="ETAPA",0,IF(H205="SUBETAPA",OFFSET(D205,-1,0)+1,OFFSET(D205,-1,0)))</f>
        <v>1</v>
      </c>
      <c r="E205" s="458">
        <f ca="1">IF(H205="Subetapa",0,IF(H205="serviço",OFFSET(E205,-1,0)+1,OFFSET(E205,-1,0)))</f>
        <v>2</v>
      </c>
      <c r="G205" s="206"/>
      <c r="H205" s="207" t="s">
        <v>212</v>
      </c>
      <c r="I205" s="208" t="str">
        <f ca="1">IF(H205="Unidade Construtiva",TEXT(A205,"00"),IF(H205="Célula Construtiva",TEXT(B205,"00"),IF(H205="Etapa",CONCATENATE(TEXT(B205,"00"),".",TEXT(C205,"000")),IF(H205="Subetapa",CONCATENATE(TEXT(B205,"00"),".",TEXT(C205,"000"),".",TEXT(D205,"000")),IF(H205="Serviço",CONCATENATE(TEXT(B205,"00"),".",TEXT(C205,"000"),".",TEXT(D205,"000"),".",TEXT(E205,"000")),"")))))</f>
        <v>03.009.001.002</v>
      </c>
      <c r="J205" s="209" t="s">
        <v>533</v>
      </c>
      <c r="K205" s="210" t="s">
        <v>1</v>
      </c>
      <c r="L205" s="455">
        <f>Supraestrutura!P61</f>
        <v>111.03</v>
      </c>
      <c r="M205" s="455">
        <v>0.6855</v>
      </c>
      <c r="N205" s="285">
        <f t="shared" si="45"/>
        <v>76.111064999999996</v>
      </c>
      <c r="O205" s="462"/>
      <c r="P205" s="213" t="s">
        <v>518</v>
      </c>
      <c r="Q205" s="35"/>
      <c r="R205" s="35"/>
      <c r="S205" s="35"/>
    </row>
    <row r="206" spans="1:19" s="34" customFormat="1" ht="13.9" hidden="1" customHeight="1" outlineLevel="1" x14ac:dyDescent="0.2">
      <c r="A206" s="457">
        <f ca="1">IF($H206="UNIDADE CONSTRUTIVA",OFFSET(A206,-1,0)+1,LARGE(A$3:A205,1))</f>
        <v>0</v>
      </c>
      <c r="B206" s="457">
        <f t="shared" ca="1" si="46"/>
        <v>3</v>
      </c>
      <c r="C206" s="457">
        <f t="shared" ca="1" si="47"/>
        <v>9</v>
      </c>
      <c r="D206" s="458">
        <f t="shared" ca="1" si="48"/>
        <v>2</v>
      </c>
      <c r="E206" s="458">
        <f t="shared" ca="1" si="49"/>
        <v>0</v>
      </c>
      <c r="G206" s="206"/>
      <c r="H206" s="207" t="s">
        <v>211</v>
      </c>
      <c r="I206" s="208" t="str">
        <f t="shared" ca="1" si="44"/>
        <v>03.009.002</v>
      </c>
      <c r="J206" s="209" t="s">
        <v>112</v>
      </c>
      <c r="K206" s="210"/>
      <c r="L206" s="455"/>
      <c r="M206" s="455"/>
      <c r="N206" s="285">
        <f t="shared" ca="1" si="45"/>
        <v>32730.078506999998</v>
      </c>
      <c r="O206" s="462"/>
      <c r="P206" s="213"/>
      <c r="Q206" s="35"/>
      <c r="R206" s="35"/>
      <c r="S206" s="35"/>
    </row>
    <row r="207" spans="1:19" s="34" customFormat="1" ht="13.9" hidden="1" customHeight="1" outlineLevel="2" x14ac:dyDescent="0.2">
      <c r="A207" s="457">
        <f ca="1">IF($H207="UNIDADE CONSTRUTIVA",OFFSET(A207,-1,0)+1,LARGE(A$3:A206,1))</f>
        <v>0</v>
      </c>
      <c r="B207" s="457">
        <f ca="1">IF(H207="UNIDADE CONSTRUTIVA",0,IF(H207="CÉLULA CONSTRUTIVA",OFFSET(B207,-1,0)+1,OFFSET(B207,-1,0)))</f>
        <v>3</v>
      </c>
      <c r="C207" s="457">
        <f ca="1">IF(H207="CÉLULA CONSTRUTIVA",0,IF(H207="ETAPA",OFFSET(C207,-1,0)+1,OFFSET(C207,-1,0)))</f>
        <v>9</v>
      </c>
      <c r="D207" s="458">
        <f ca="1">IF(H207="ETAPA",0,IF(H207="SUBETAPA",OFFSET(D207,-1,0)+1,OFFSET(D207,-1,0)))</f>
        <v>2</v>
      </c>
      <c r="E207" s="458">
        <f ca="1">IF(H207="Subetapa",0,IF(H207="serviço",OFFSET(E207,-1,0)+1,OFFSET(E207,-1,0)))</f>
        <v>1</v>
      </c>
      <c r="G207" s="206"/>
      <c r="H207" s="207" t="s">
        <v>212</v>
      </c>
      <c r="I207" s="208" t="str">
        <f ca="1">IF(H207="Unidade Construtiva",TEXT(A207,"00"),IF(H207="Célula Construtiva",TEXT(B207,"00"),IF(H207="Etapa",CONCATENATE(TEXT(B207,"00"),".",TEXT(C207,"000")),IF(H207="Subetapa",CONCATENATE(TEXT(B207,"00"),".",TEXT(C207,"000"),".",TEXT(D207,"000")),IF(H207="Serviço",CONCATENATE(TEXT(B207,"00"),".",TEXT(C207,"000"),".",TEXT(D207,"000"),".",TEXT(E207,"000")),"")))))</f>
        <v>03.009.002.001</v>
      </c>
      <c r="J207" s="209" t="s">
        <v>535</v>
      </c>
      <c r="K207" s="210" t="s">
        <v>5</v>
      </c>
      <c r="L207" s="455">
        <f>Supraestrutura!B68</f>
        <v>177.81818181818181</v>
      </c>
      <c r="M207" s="455">
        <v>7.6817000000000002</v>
      </c>
      <c r="N207" s="285">
        <f t="shared" si="45"/>
        <v>1365.9459272727272</v>
      </c>
      <c r="O207" s="462"/>
      <c r="P207" s="213" t="s">
        <v>518</v>
      </c>
      <c r="Q207" s="465"/>
      <c r="R207" s="465"/>
      <c r="S207" s="35"/>
    </row>
    <row r="208" spans="1:19" s="34" customFormat="1" ht="13.9" hidden="1" customHeight="1" outlineLevel="2" x14ac:dyDescent="0.2">
      <c r="A208" s="457">
        <f ca="1">IF($H208="UNIDADE CONSTRUTIVA",OFFSET(A208,-1,0)+1,LARGE(A$3:A207,1))</f>
        <v>0</v>
      </c>
      <c r="B208" s="457">
        <f t="shared" ca="1" si="46"/>
        <v>3</v>
      </c>
      <c r="C208" s="457">
        <f t="shared" ca="1" si="47"/>
        <v>9</v>
      </c>
      <c r="D208" s="458">
        <f t="shared" ca="1" si="48"/>
        <v>2</v>
      </c>
      <c r="E208" s="458">
        <f t="shared" ca="1" si="49"/>
        <v>2</v>
      </c>
      <c r="G208" s="206"/>
      <c r="H208" s="207" t="s">
        <v>212</v>
      </c>
      <c r="I208" s="208" t="str">
        <f ca="1">IF(H208="Unidade Construtiva",TEXT(A208,"00"),IF(H208="Célula Construtiva",TEXT(B208,"00"),IF(H208="Etapa",CONCATENATE(TEXT(B208,"00"),".",TEXT(C208,"000")),IF(H208="Subetapa",CONCATENATE(TEXT(B208,"00"),".",TEXT(C208,"000"),".",TEXT(D208,"000")),IF(H208="Serviço",CONCATENATE(TEXT(B208,"00"),".",TEXT(C208,"000"),".",TEXT(D208,"000"),".",TEXT(E208,"000")),"")))))</f>
        <v>03.009.002.002</v>
      </c>
      <c r="J208" s="209" t="s">
        <v>537</v>
      </c>
      <c r="K208" s="210" t="s">
        <v>5</v>
      </c>
      <c r="L208" s="455">
        <f>Supraestrutura!C68</f>
        <v>1725.3954545454542</v>
      </c>
      <c r="M208" s="455">
        <v>6.9776999999999996</v>
      </c>
      <c r="N208" s="285">
        <f t="shared" si="45"/>
        <v>12039.291863181816</v>
      </c>
      <c r="O208" s="462"/>
      <c r="P208" s="213" t="s">
        <v>518</v>
      </c>
      <c r="Q208" s="465"/>
      <c r="R208" s="465"/>
      <c r="S208" s="35"/>
    </row>
    <row r="209" spans="1:19" s="34" customFormat="1" ht="13.9" hidden="1" customHeight="1" outlineLevel="2" x14ac:dyDescent="0.2">
      <c r="A209" s="457">
        <f ca="1">IF($H209="UNIDADE CONSTRUTIVA",OFFSET(A209,-1,0)+1,LARGE(A$3:A208,1))</f>
        <v>0</v>
      </c>
      <c r="B209" s="457">
        <f t="shared" ca="1" si="46"/>
        <v>3</v>
      </c>
      <c r="C209" s="457">
        <f t="shared" ca="1" si="47"/>
        <v>9</v>
      </c>
      <c r="D209" s="458">
        <f t="shared" ca="1" si="48"/>
        <v>2</v>
      </c>
      <c r="E209" s="458">
        <f t="shared" ca="1" si="49"/>
        <v>3</v>
      </c>
      <c r="G209" s="206"/>
      <c r="H209" s="207" t="s">
        <v>212</v>
      </c>
      <c r="I209" s="208" t="str">
        <f t="shared" ref="I209:I225" ca="1" si="50">IF(H209="Unidade Construtiva",TEXT(A209,"00"),IF(H209="Célula Construtiva",TEXT(B209,"00"),IF(H209="Etapa",CONCATENATE(TEXT(B209,"00"),".",TEXT(C209,"000")),IF(H209="Subetapa",CONCATENATE(TEXT(B209,"00"),".",TEXT(C209,"000"),".",TEXT(D209,"000")),IF(H209="Serviço",CONCATENATE(TEXT(B209,"00"),".",TEXT(C209,"000"),".",TEXT(D209,"000"),".",TEXT(E209,"000")),"")))))</f>
        <v>03.009.002.003</v>
      </c>
      <c r="J209" s="209" t="s">
        <v>538</v>
      </c>
      <c r="K209" s="210" t="s">
        <v>5</v>
      </c>
      <c r="L209" s="455">
        <f>Supraestrutura!D68</f>
        <v>952.4336363636362</v>
      </c>
      <c r="M209" s="455">
        <v>6.7137000000000002</v>
      </c>
      <c r="N209" s="285">
        <f t="shared" si="45"/>
        <v>6394.3537044545446</v>
      </c>
      <c r="O209" s="462"/>
      <c r="P209" s="213" t="s">
        <v>518</v>
      </c>
      <c r="Q209" s="465"/>
      <c r="R209" s="465"/>
      <c r="S209" s="35"/>
    </row>
    <row r="210" spans="1:19" s="34" customFormat="1" ht="13.9" hidden="1" customHeight="1" outlineLevel="2" x14ac:dyDescent="0.2">
      <c r="A210" s="457">
        <f ca="1">IF($H210="UNIDADE CONSTRUTIVA",OFFSET(A210,-1,0)+1,LARGE(A$3:A209,1))</f>
        <v>0</v>
      </c>
      <c r="B210" s="457">
        <f t="shared" ca="1" si="46"/>
        <v>3</v>
      </c>
      <c r="C210" s="457">
        <f t="shared" ca="1" si="47"/>
        <v>9</v>
      </c>
      <c r="D210" s="458">
        <f t="shared" ca="1" si="48"/>
        <v>2</v>
      </c>
      <c r="E210" s="458">
        <f t="shared" ca="1" si="49"/>
        <v>4</v>
      </c>
      <c r="G210" s="206"/>
      <c r="H210" s="207" t="s">
        <v>212</v>
      </c>
      <c r="I210" s="208" t="str">
        <f t="shared" ca="1" si="50"/>
        <v>03.009.002.004</v>
      </c>
      <c r="J210" s="209" t="s">
        <v>539</v>
      </c>
      <c r="K210" s="210" t="s">
        <v>5</v>
      </c>
      <c r="L210" s="455">
        <f>Supraestrutura!E68</f>
        <v>746.35454545454547</v>
      </c>
      <c r="M210" s="455">
        <v>6.1637000000000004</v>
      </c>
      <c r="N210" s="285">
        <f t="shared" si="45"/>
        <v>4600.3055118181819</v>
      </c>
      <c r="O210" s="462"/>
      <c r="P210" s="213" t="s">
        <v>518</v>
      </c>
      <c r="Q210" s="465"/>
      <c r="R210" s="465"/>
      <c r="S210" s="35"/>
    </row>
    <row r="211" spans="1:19" s="34" customFormat="1" ht="13.9" hidden="1" customHeight="1" outlineLevel="2" x14ac:dyDescent="0.2">
      <c r="A211" s="457">
        <f ca="1">IF($H211="UNIDADE CONSTRUTIVA",OFFSET(A211,-1,0)+1,LARGE(A$3:A210,1))</f>
        <v>0</v>
      </c>
      <c r="B211" s="457">
        <f t="shared" ca="1" si="46"/>
        <v>3</v>
      </c>
      <c r="C211" s="457">
        <f t="shared" ca="1" si="47"/>
        <v>9</v>
      </c>
      <c r="D211" s="458">
        <f t="shared" ca="1" si="48"/>
        <v>2</v>
      </c>
      <c r="E211" s="458">
        <f t="shared" ca="1" si="49"/>
        <v>5</v>
      </c>
      <c r="G211" s="206"/>
      <c r="H211" s="207" t="s">
        <v>212</v>
      </c>
      <c r="I211" s="208" t="str">
        <f t="shared" ca="1" si="50"/>
        <v>03.009.002.005</v>
      </c>
      <c r="J211" s="209" t="s">
        <v>540</v>
      </c>
      <c r="K211" s="210" t="s">
        <v>5</v>
      </c>
      <c r="L211" s="455">
        <f>Supraestrutura!F68</f>
        <v>135.36363636363635</v>
      </c>
      <c r="M211" s="455">
        <v>6.3396999999999997</v>
      </c>
      <c r="N211" s="285">
        <f t="shared" si="45"/>
        <v>858.16484545454534</v>
      </c>
      <c r="O211" s="462"/>
      <c r="P211" s="213" t="s">
        <v>518</v>
      </c>
      <c r="Q211" s="465"/>
      <c r="R211" s="465"/>
      <c r="S211" s="35"/>
    </row>
    <row r="212" spans="1:19" s="34" customFormat="1" ht="13.9" hidden="1" customHeight="1" outlineLevel="2" x14ac:dyDescent="0.2">
      <c r="A212" s="457">
        <f ca="1">IF($H212="UNIDADE CONSTRUTIVA",OFFSET(A212,-1,0)+1,LARGE(A$3:A211,1))</f>
        <v>0</v>
      </c>
      <c r="B212" s="457">
        <f t="shared" ca="1" si="46"/>
        <v>3</v>
      </c>
      <c r="C212" s="457">
        <f t="shared" ca="1" si="47"/>
        <v>9</v>
      </c>
      <c r="D212" s="458">
        <f t="shared" ca="1" si="48"/>
        <v>2</v>
      </c>
      <c r="E212" s="458">
        <f t="shared" ca="1" si="49"/>
        <v>6</v>
      </c>
      <c r="G212" s="206"/>
      <c r="H212" s="207" t="s">
        <v>212</v>
      </c>
      <c r="I212" s="208" t="str">
        <f t="shared" ca="1" si="50"/>
        <v>03.009.002.006</v>
      </c>
      <c r="J212" s="209" t="s">
        <v>541</v>
      </c>
      <c r="K212" s="210" t="s">
        <v>5</v>
      </c>
      <c r="L212" s="455">
        <f>Supraestrutura!G68</f>
        <v>1046.83</v>
      </c>
      <c r="M212" s="455">
        <v>6.2930999999999999</v>
      </c>
      <c r="N212" s="285">
        <f>IF(H212="Serviço",M212*L212,IF(H212="CÉLULA CONSTRUTIVA",SUMIFS($N$8:$N$2125,$B$8:$B$2125,B212,$H$8:$H$2125,"Serviço"),IF(H212="ETAPA",SUMIFS($N$8:$N$2125,$B$8:$B$2125,B212,$C$8:$C$2125,C212,$H$8:$H$2125,"Serviço"),IF(H212="SUBETAPA",SUMIFS($N$8:$N$2125,$B$8:$B$2125,B212,$C$8:$C$2125,C212,$D$8:$D$2125,D212,$H$8:$H$2125,"Serviço"),0))))</f>
        <v>6587.8058729999993</v>
      </c>
      <c r="O212" s="462"/>
      <c r="P212" s="213" t="s">
        <v>518</v>
      </c>
      <c r="Q212" s="465"/>
      <c r="R212" s="465"/>
      <c r="S212" s="35"/>
    </row>
    <row r="213" spans="1:19" s="34" customFormat="1" ht="13.9" hidden="1" customHeight="1" outlineLevel="2" x14ac:dyDescent="0.2">
      <c r="A213" s="457">
        <f ca="1">IF($H213="UNIDADE CONSTRUTIVA",OFFSET(A213,-1,0)+1,LARGE(A$3:A212,1))</f>
        <v>0</v>
      </c>
      <c r="B213" s="457">
        <f t="shared" ca="1" si="46"/>
        <v>3</v>
      </c>
      <c r="C213" s="457">
        <f t="shared" ca="1" si="47"/>
        <v>9</v>
      </c>
      <c r="D213" s="458">
        <f t="shared" ca="1" si="48"/>
        <v>2</v>
      </c>
      <c r="E213" s="458">
        <f t="shared" ca="1" si="49"/>
        <v>7</v>
      </c>
      <c r="G213" s="206"/>
      <c r="H213" s="207" t="s">
        <v>212</v>
      </c>
      <c r="I213" s="208" t="str">
        <f t="shared" ca="1" si="50"/>
        <v>03.009.002.007</v>
      </c>
      <c r="J213" s="209" t="s">
        <v>542</v>
      </c>
      <c r="K213" s="210" t="s">
        <v>5</v>
      </c>
      <c r="L213" s="455">
        <f>Supraestrutura!H68</f>
        <v>143.45454545454547</v>
      </c>
      <c r="M213" s="455">
        <v>6.1637000000000004</v>
      </c>
      <c r="N213" s="285">
        <f>IF(H213="Serviço",M213*L213,IF(H213="CÉLULA CONSTRUTIVA",SUMIFS($N$8:$N$2125,$B$8:$B$2125,B213,$H$8:$H$2125,"Serviço"),IF(H213="ETAPA",SUMIFS($N$8:$N$2125,$B$8:$B$2125,B213,$C$8:$C$2125,C213,$H$8:$H$2125,"Serviço"),IF(H213="SUBETAPA",SUMIFS($N$8:$N$2125,$B$8:$B$2125,B213,$C$8:$C$2125,C213,$D$8:$D$2125,D213,$H$8:$H$2125,"Serviço"),0))))</f>
        <v>884.210781818182</v>
      </c>
      <c r="O213" s="462"/>
      <c r="P213" s="213" t="s">
        <v>518</v>
      </c>
      <c r="Q213" s="465"/>
      <c r="R213" s="465"/>
      <c r="S213" s="35"/>
    </row>
    <row r="214" spans="1:19" s="34" customFormat="1" ht="13.9" hidden="1" customHeight="1" outlineLevel="1" x14ac:dyDescent="0.2">
      <c r="A214" s="457">
        <f ca="1">IF($H214="UNIDADE CONSTRUTIVA",OFFSET(A214,-1,0)+1,LARGE(A$3:A213,1))</f>
        <v>0</v>
      </c>
      <c r="B214" s="457">
        <f t="shared" ca="1" si="46"/>
        <v>3</v>
      </c>
      <c r="C214" s="457">
        <f t="shared" ca="1" si="47"/>
        <v>9</v>
      </c>
      <c r="D214" s="458">
        <f t="shared" ca="1" si="48"/>
        <v>3</v>
      </c>
      <c r="E214" s="458">
        <f t="shared" ca="1" si="49"/>
        <v>0</v>
      </c>
      <c r="G214" s="206"/>
      <c r="H214" s="207" t="s">
        <v>211</v>
      </c>
      <c r="I214" s="208" t="str">
        <f t="shared" ca="1" si="50"/>
        <v>03.009.003</v>
      </c>
      <c r="J214" s="209" t="s">
        <v>213</v>
      </c>
      <c r="K214" s="210"/>
      <c r="L214" s="455"/>
      <c r="M214" s="455"/>
      <c r="N214" s="285">
        <f t="shared" ref="N214:N247" ca="1" si="51">IF(H214="Serviço",M214*L214,IF(H214="CÉLULA CONSTRUTIVA",SUMIFS($N$8:$N$1393,$B$8:$B$1393,B214,$H$8:$H$1393,"Serviço"),IF(H214="ETAPA",SUMIFS($N$8:$N$1393,$B$8:$B$1393,B214,$C$8:$C$1393,C214,$H$8:$H$1393,"Serviço"),IF(H214="SUBETAPA",SUMIFS($N$8:$N$1393,$B$8:$B$1393,B214,$C$8:$C$1393,C214,$D$8:$D$1393,D214,$H$8:$H$1393,"Serviço"),0))))</f>
        <v>36558.093696799995</v>
      </c>
      <c r="O214" s="462"/>
      <c r="P214" s="213"/>
      <c r="Q214" s="35"/>
      <c r="R214" s="35"/>
      <c r="S214" s="35"/>
    </row>
    <row r="215" spans="1:19" s="34" customFormat="1" ht="13.15" hidden="1" customHeight="1" outlineLevel="2" x14ac:dyDescent="0.2">
      <c r="A215" s="457">
        <f ca="1">IF($H215="UNIDADE CONSTRUTIVA",OFFSET(A215,-1,0)+1,LARGE(A$3:A214,1))</f>
        <v>0</v>
      </c>
      <c r="B215" s="457">
        <f t="shared" ca="1" si="46"/>
        <v>3</v>
      </c>
      <c r="C215" s="457">
        <f t="shared" ca="1" si="47"/>
        <v>9</v>
      </c>
      <c r="D215" s="458">
        <f t="shared" ca="1" si="48"/>
        <v>3</v>
      </c>
      <c r="E215" s="458">
        <f t="shared" ca="1" si="49"/>
        <v>1</v>
      </c>
      <c r="G215" s="206"/>
      <c r="H215" s="207" t="s">
        <v>212</v>
      </c>
      <c r="I215" s="208" t="str">
        <f t="shared" ca="1" si="50"/>
        <v>03.009.003.001</v>
      </c>
      <c r="J215" s="209" t="s">
        <v>770</v>
      </c>
      <c r="K215" s="210" t="s">
        <v>4</v>
      </c>
      <c r="L215" s="455">
        <f>Supraestrutura!O68</f>
        <v>70.166499999999999</v>
      </c>
      <c r="M215" s="455">
        <v>521.01919999999996</v>
      </c>
      <c r="N215" s="285">
        <f t="shared" si="51"/>
        <v>36558.093696799995</v>
      </c>
      <c r="O215" s="462"/>
      <c r="P215" s="213" t="s">
        <v>518</v>
      </c>
      <c r="Q215" s="35"/>
      <c r="R215" s="35"/>
      <c r="S215" s="35"/>
    </row>
    <row r="216" spans="1:19" s="34" customFormat="1" ht="13.9" hidden="1" customHeight="1" outlineLevel="1" x14ac:dyDescent="0.2">
      <c r="A216" s="457">
        <f ca="1">IF($H216="UNIDADE CONSTRUTIVA",OFFSET(A216,-1,0)+1,LARGE(A$3:A215,1))</f>
        <v>0</v>
      </c>
      <c r="B216" s="457">
        <f t="shared" ca="1" si="46"/>
        <v>3</v>
      </c>
      <c r="C216" s="457">
        <f t="shared" ca="1" si="47"/>
        <v>9</v>
      </c>
      <c r="D216" s="458">
        <f t="shared" ca="1" si="48"/>
        <v>4</v>
      </c>
      <c r="E216" s="458">
        <f t="shared" ca="1" si="49"/>
        <v>0</v>
      </c>
      <c r="G216" s="206"/>
      <c r="H216" s="207" t="s">
        <v>211</v>
      </c>
      <c r="I216" s="208" t="str">
        <f t="shared" ca="1" si="50"/>
        <v>03.009.004</v>
      </c>
      <c r="J216" s="209" t="s">
        <v>128</v>
      </c>
      <c r="K216" s="210"/>
      <c r="L216" s="455"/>
      <c r="M216" s="455"/>
      <c r="N216" s="285">
        <f t="shared" ca="1" si="51"/>
        <v>26269.718399999998</v>
      </c>
      <c r="O216" s="462"/>
      <c r="P216" s="213"/>
      <c r="Q216" s="35"/>
      <c r="R216" s="35"/>
      <c r="S216" s="35"/>
    </row>
    <row r="217" spans="1:19" s="34" customFormat="1" ht="13.9" hidden="1" customHeight="1" outlineLevel="2" x14ac:dyDescent="0.2">
      <c r="A217" s="457">
        <f ca="1">IF($H217="UNIDADE CONSTRUTIVA",OFFSET(A217,-1,0)+1,LARGE(A$3:A216,1))</f>
        <v>0</v>
      </c>
      <c r="B217" s="457">
        <f t="shared" ca="1" si="46"/>
        <v>3</v>
      </c>
      <c r="C217" s="457">
        <f t="shared" ca="1" si="47"/>
        <v>9</v>
      </c>
      <c r="D217" s="458">
        <f t="shared" ca="1" si="48"/>
        <v>4</v>
      </c>
      <c r="E217" s="458">
        <f t="shared" ca="1" si="49"/>
        <v>1</v>
      </c>
      <c r="G217" s="206"/>
      <c r="H217" s="207" t="s">
        <v>212</v>
      </c>
      <c r="I217" s="208" t="str">
        <f t="shared" ca="1" si="50"/>
        <v>03.009.004.001</v>
      </c>
      <c r="J217" s="209" t="s">
        <v>1240</v>
      </c>
      <c r="K217" s="210" t="s">
        <v>1</v>
      </c>
      <c r="L217" s="455">
        <f>'Obra '!E24+'Obra '!E25</f>
        <v>307.68</v>
      </c>
      <c r="M217" s="455">
        <v>85.38</v>
      </c>
      <c r="N217" s="285">
        <f t="shared" si="51"/>
        <v>26269.718399999998</v>
      </c>
      <c r="O217" s="462"/>
      <c r="P217" s="213" t="s">
        <v>518</v>
      </c>
      <c r="Q217" s="35"/>
      <c r="R217" s="35"/>
      <c r="S217" s="35"/>
    </row>
    <row r="218" spans="1:19" s="34" customFormat="1" ht="13.9" hidden="1" customHeight="1" outlineLevel="1" x14ac:dyDescent="0.2">
      <c r="A218" s="457">
        <f ca="1">IF($H218="UNIDADE CONSTRUTIVA",OFFSET(A218,-1,0)+1,LARGE(A$3:A217,1))</f>
        <v>0</v>
      </c>
      <c r="B218" s="457">
        <f t="shared" ca="1" si="46"/>
        <v>3</v>
      </c>
      <c r="C218" s="457">
        <f t="shared" ca="1" si="47"/>
        <v>9</v>
      </c>
      <c r="D218" s="458">
        <f t="shared" ca="1" si="48"/>
        <v>5</v>
      </c>
      <c r="E218" s="458">
        <f t="shared" ca="1" si="49"/>
        <v>0</v>
      </c>
      <c r="G218" s="206"/>
      <c r="H218" s="207" t="s">
        <v>211</v>
      </c>
      <c r="I218" s="208" t="str">
        <f t="shared" ca="1" si="50"/>
        <v>03.009.005</v>
      </c>
      <c r="J218" s="209" t="s">
        <v>130</v>
      </c>
      <c r="K218" s="210"/>
      <c r="L218" s="455"/>
      <c r="M218" s="455"/>
      <c r="N218" s="285">
        <f t="shared" ca="1" si="51"/>
        <v>73843.199999999997</v>
      </c>
      <c r="O218" s="462"/>
      <c r="P218" s="213"/>
      <c r="Q218" s="35"/>
      <c r="R218" s="35"/>
      <c r="S218" s="35"/>
    </row>
    <row r="219" spans="1:19" s="34" customFormat="1" ht="13.9" hidden="1" customHeight="1" outlineLevel="2" x14ac:dyDescent="0.2">
      <c r="A219" s="457">
        <f ca="1">IF($H219="UNIDADE CONSTRUTIVA",OFFSET(A219,-1,0)+1,LARGE(A$3:A218,1))</f>
        <v>0</v>
      </c>
      <c r="B219" s="457">
        <f t="shared" ca="1" si="46"/>
        <v>3</v>
      </c>
      <c r="C219" s="457">
        <f t="shared" ca="1" si="47"/>
        <v>9</v>
      </c>
      <c r="D219" s="458">
        <f t="shared" ca="1" si="48"/>
        <v>5</v>
      </c>
      <c r="E219" s="458">
        <f t="shared" ca="1" si="49"/>
        <v>1</v>
      </c>
      <c r="G219" s="206"/>
      <c r="H219" s="207" t="s">
        <v>212</v>
      </c>
      <c r="I219" s="208" t="str">
        <f t="shared" ca="1" si="50"/>
        <v>03.009.005.001</v>
      </c>
      <c r="J219" s="209" t="s">
        <v>214</v>
      </c>
      <c r="K219" s="210" t="s">
        <v>1</v>
      </c>
      <c r="L219" s="455">
        <f>'Obra '!E24+'Obra '!E25</f>
        <v>307.68</v>
      </c>
      <c r="M219" s="455">
        <v>240</v>
      </c>
      <c r="N219" s="285">
        <f t="shared" si="51"/>
        <v>73843.199999999997</v>
      </c>
      <c r="O219" s="462"/>
      <c r="P219" s="213" t="s">
        <v>518</v>
      </c>
      <c r="Q219" s="35"/>
      <c r="R219" s="35"/>
      <c r="S219" s="35"/>
    </row>
    <row r="220" spans="1:19" s="34" customFormat="1" ht="13.9" customHeight="1" collapsed="1" x14ac:dyDescent="0.2">
      <c r="A220" s="457">
        <f ca="1">IF($H220="UNIDADE CONSTRUTIVA",OFFSET(A220,-1,0)+1,LARGE(A$3:A219,1))</f>
        <v>0</v>
      </c>
      <c r="B220" s="457">
        <f t="shared" ca="1" si="46"/>
        <v>4</v>
      </c>
      <c r="C220" s="457">
        <f t="shared" ca="1" si="47"/>
        <v>0</v>
      </c>
      <c r="D220" s="458">
        <f t="shared" ca="1" si="48"/>
        <v>5</v>
      </c>
      <c r="E220" s="458">
        <f t="shared" ca="1" si="49"/>
        <v>1</v>
      </c>
      <c r="G220" s="206"/>
      <c r="H220" s="207" t="s">
        <v>209</v>
      </c>
      <c r="I220" s="208" t="str">
        <f t="shared" ca="1" si="50"/>
        <v>04</v>
      </c>
      <c r="J220" s="209" t="s">
        <v>1254</v>
      </c>
      <c r="K220" s="210"/>
      <c r="L220" s="455"/>
      <c r="M220" s="455"/>
      <c r="N220" s="285">
        <f t="shared" ca="1" si="51"/>
        <v>1867619.9405596801</v>
      </c>
      <c r="O220" s="462"/>
      <c r="P220" s="213"/>
      <c r="Q220" s="463"/>
      <c r="R220" s="463"/>
      <c r="S220" s="35"/>
    </row>
    <row r="221" spans="1:19" s="34" customFormat="1" ht="13.9" hidden="1" customHeight="1" outlineLevel="1" x14ac:dyDescent="0.2">
      <c r="A221" s="457">
        <f ca="1">IF($H221="UNIDADE CONSTRUTIVA",OFFSET(A221,-1,0)+1,LARGE(A$3:A220,1))</f>
        <v>0</v>
      </c>
      <c r="B221" s="457">
        <f t="shared" ca="1" si="46"/>
        <v>4</v>
      </c>
      <c r="C221" s="457">
        <f t="shared" ca="1" si="47"/>
        <v>1</v>
      </c>
      <c r="D221" s="458">
        <f t="shared" ca="1" si="48"/>
        <v>0</v>
      </c>
      <c r="E221" s="458">
        <f t="shared" ca="1" si="49"/>
        <v>1</v>
      </c>
      <c r="G221" s="206"/>
      <c r="H221" s="207" t="s">
        <v>210</v>
      </c>
      <c r="I221" s="208" t="str">
        <f t="shared" ca="1" si="50"/>
        <v>04.001</v>
      </c>
      <c r="J221" s="209" t="s">
        <v>1256</v>
      </c>
      <c r="K221" s="210"/>
      <c r="L221" s="455"/>
      <c r="M221" s="455"/>
      <c r="N221" s="285">
        <f t="shared" ca="1" si="51"/>
        <v>366039.8244156607</v>
      </c>
      <c r="O221" s="462"/>
      <c r="P221" s="213"/>
      <c r="Q221" s="35"/>
      <c r="R221" s="35"/>
      <c r="S221" s="35"/>
    </row>
    <row r="222" spans="1:19" s="34" customFormat="1" ht="13.9" hidden="1" customHeight="1" outlineLevel="1" x14ac:dyDescent="0.2">
      <c r="A222" s="457">
        <f ca="1">IF($H222="UNIDADE CONSTRUTIVA",OFFSET(A222,-1,0)+1,LARGE(A$3:A221,1))</f>
        <v>0</v>
      </c>
      <c r="B222" s="457">
        <f t="shared" ca="1" si="46"/>
        <v>4</v>
      </c>
      <c r="C222" s="457">
        <f t="shared" ca="1" si="47"/>
        <v>1</v>
      </c>
      <c r="D222" s="458">
        <f t="shared" ca="1" si="48"/>
        <v>1</v>
      </c>
      <c r="E222" s="458">
        <f t="shared" ca="1" si="49"/>
        <v>0</v>
      </c>
      <c r="G222" s="206"/>
      <c r="H222" s="207" t="s">
        <v>211</v>
      </c>
      <c r="I222" s="208" t="str">
        <f t="shared" ca="1" si="50"/>
        <v>04.001.001</v>
      </c>
      <c r="J222" s="209" t="s">
        <v>805</v>
      </c>
      <c r="K222" s="210"/>
      <c r="L222" s="455"/>
      <c r="M222" s="455"/>
      <c r="N222" s="285">
        <f t="shared" ca="1" si="51"/>
        <v>212742.84479999993</v>
      </c>
      <c r="O222" s="462"/>
      <c r="P222" s="213"/>
      <c r="Q222" s="35"/>
      <c r="R222" s="35"/>
      <c r="S222" s="35"/>
    </row>
    <row r="223" spans="1:19" s="34" customFormat="1" ht="13.9" hidden="1" customHeight="1" outlineLevel="2" x14ac:dyDescent="0.2">
      <c r="A223" s="457">
        <f ca="1">IF($H223="UNIDADE CONSTRUTIVA",OFFSET(A223,-1,0)+1,LARGE(A$3:A222,1))</f>
        <v>0</v>
      </c>
      <c r="B223" s="457">
        <f t="shared" ca="1" si="46"/>
        <v>4</v>
      </c>
      <c r="C223" s="457">
        <f t="shared" ca="1" si="47"/>
        <v>1</v>
      </c>
      <c r="D223" s="458">
        <f t="shared" ca="1" si="48"/>
        <v>1</v>
      </c>
      <c r="E223" s="458">
        <f t="shared" ca="1" si="49"/>
        <v>1</v>
      </c>
      <c r="G223" s="206"/>
      <c r="H223" s="207" t="s">
        <v>212</v>
      </c>
      <c r="I223" s="208" t="str">
        <f t="shared" ca="1" si="50"/>
        <v>04.001.001.001</v>
      </c>
      <c r="J223" s="209" t="s">
        <v>1263</v>
      </c>
      <c r="K223" s="210" t="s">
        <v>1</v>
      </c>
      <c r="L223" s="455">
        <f>Arquitetura!H31+Arquitetura!H32</f>
        <v>2895.7999999999997</v>
      </c>
      <c r="M223" s="455">
        <f>'ALVENARIA ESTRUTURAL'!F49</f>
        <v>73.46600069065542</v>
      </c>
      <c r="N223" s="285">
        <f t="shared" si="51"/>
        <v>212742.84479999993</v>
      </c>
      <c r="O223" s="462" t="s">
        <v>1270</v>
      </c>
      <c r="P223" s="213" t="s">
        <v>518</v>
      </c>
      <c r="Q223" s="35"/>
      <c r="R223" s="35"/>
      <c r="S223" s="35"/>
    </row>
    <row r="224" spans="1:19" s="34" customFormat="1" ht="13.9" hidden="1" customHeight="1" outlineLevel="1" x14ac:dyDescent="0.2">
      <c r="A224" s="457">
        <f ca="1">IF($H224="UNIDADE CONSTRUTIVA",OFFSET(A224,-1,0)+1,LARGE(A$3:A223,1))</f>
        <v>0</v>
      </c>
      <c r="B224" s="457">
        <f t="shared" ca="1" si="46"/>
        <v>4</v>
      </c>
      <c r="C224" s="457">
        <f t="shared" ca="1" si="47"/>
        <v>1</v>
      </c>
      <c r="D224" s="458">
        <f t="shared" ca="1" si="48"/>
        <v>2</v>
      </c>
      <c r="E224" s="458">
        <f t="shared" ca="1" si="49"/>
        <v>0</v>
      </c>
      <c r="G224" s="206"/>
      <c r="H224" s="207" t="s">
        <v>211</v>
      </c>
      <c r="I224" s="208" t="str">
        <f t="shared" ca="1" si="50"/>
        <v>04.001.002</v>
      </c>
      <c r="J224" s="209" t="s">
        <v>3704</v>
      </c>
      <c r="K224" s="210"/>
      <c r="L224" s="455"/>
      <c r="M224" s="455"/>
      <c r="N224" s="285">
        <f t="shared" ca="1" si="51"/>
        <v>2715.3796156608</v>
      </c>
      <c r="O224" s="462"/>
      <c r="P224" s="213"/>
      <c r="Q224" s="35"/>
      <c r="R224" s="35"/>
      <c r="S224" s="35"/>
    </row>
    <row r="225" spans="1:19" s="34" customFormat="1" ht="13.9" hidden="1" customHeight="1" outlineLevel="2" x14ac:dyDescent="0.2">
      <c r="A225" s="457">
        <f ca="1">IF($H225="UNIDADE CONSTRUTIVA",OFFSET(A225,-1,0)+1,LARGE(A$3:A224,1))</f>
        <v>0</v>
      </c>
      <c r="B225" s="457">
        <f t="shared" ca="1" si="46"/>
        <v>4</v>
      </c>
      <c r="C225" s="457">
        <f t="shared" ca="1" si="47"/>
        <v>1</v>
      </c>
      <c r="D225" s="458">
        <f t="shared" ca="1" si="48"/>
        <v>2</v>
      </c>
      <c r="E225" s="458">
        <f t="shared" ca="1" si="49"/>
        <v>1</v>
      </c>
      <c r="G225" s="206"/>
      <c r="H225" s="207" t="s">
        <v>212</v>
      </c>
      <c r="I225" s="208" t="str">
        <f t="shared" ca="1" si="50"/>
        <v>04.001.002.001</v>
      </c>
      <c r="J225" s="209" t="s">
        <v>3700</v>
      </c>
      <c r="K225" s="210" t="s">
        <v>4</v>
      </c>
      <c r="L225" s="455">
        <f>'ALVENARIA ESTRUTURAL'!B14</f>
        <v>8.4903671999999997</v>
      </c>
      <c r="M225" s="455">
        <f>'ALVENARIA ESTRUTURAL'!L44</f>
        <v>55.863999999999997</v>
      </c>
      <c r="N225" s="285">
        <f t="shared" si="51"/>
        <v>474.30587326079996</v>
      </c>
      <c r="O225" s="462" t="s">
        <v>1271</v>
      </c>
      <c r="P225" s="213" t="s">
        <v>518</v>
      </c>
      <c r="Q225" s="35"/>
      <c r="R225" s="35"/>
      <c r="S225" s="35"/>
    </row>
    <row r="226" spans="1:19" s="34" customFormat="1" ht="13.9" hidden="1" customHeight="1" outlineLevel="2" x14ac:dyDescent="0.2">
      <c r="A226" s="457">
        <f ca="1">IF($H226="UNIDADE CONSTRUTIVA",OFFSET(A226,-1,0)+1,LARGE(A$3:A225,1))</f>
        <v>0</v>
      </c>
      <c r="B226" s="457">
        <f ca="1">IF(H226="UNIDADE CONSTRUTIVA",0,IF(H226="CÉLULA CONSTRUTIVA",OFFSET(B226,-1,0)+1,OFFSET(B226,-1,0)))</f>
        <v>4</v>
      </c>
      <c r="C226" s="457">
        <f ca="1">IF(H226="CÉLULA CONSTRUTIVA",0,IF(H226="ETAPA",OFFSET(C226,-1,0)+1,OFFSET(C226,-1,0)))</f>
        <v>1</v>
      </c>
      <c r="D226" s="458">
        <f ca="1">IF(H226="ETAPA",0,IF(H226="SUBETAPA",OFFSET(D226,-1,0)+1,OFFSET(D226,-1,0)))</f>
        <v>2</v>
      </c>
      <c r="E226" s="458">
        <f ca="1">IF(H226="Subetapa",0,IF(H226="serviço",OFFSET(E226,-1,0)+1,OFFSET(E226,-1,0)))</f>
        <v>2</v>
      </c>
      <c r="G226" s="206"/>
      <c r="H226" s="207" t="s">
        <v>212</v>
      </c>
      <c r="I226" s="208" t="str">
        <f ca="1">IF(H226="Unidade Construtiva",TEXT(A226,"00"),IF(H226="Célula Construtiva",TEXT(B226,"00"),IF(H226="Etapa",CONCATENATE(TEXT(B226,"00"),".",TEXT(C226,"000")),IF(H226="Subetapa",CONCATENATE(TEXT(B226,"00"),".",TEXT(C226,"000"),".",TEXT(D226,"000")),IF(H226="Serviço",CONCATENATE(TEXT(B226,"00"),".",TEXT(C226,"000"),".",TEXT(D226,"000"),".",TEXT(E226,"000")),"")))))</f>
        <v>04.001.002.002</v>
      </c>
      <c r="J226" s="209" t="s">
        <v>3701</v>
      </c>
      <c r="K226" s="210" t="s">
        <v>4</v>
      </c>
      <c r="L226" s="455">
        <f>'ALVENARIA ESTRUTURAL'!B15</f>
        <v>40.116599999999998</v>
      </c>
      <c r="M226" s="455">
        <f>M225</f>
        <v>55.863999999999997</v>
      </c>
      <c r="N226" s="285">
        <f t="shared" si="51"/>
        <v>2241.0737423999999</v>
      </c>
      <c r="O226" s="462" t="s">
        <v>1271</v>
      </c>
      <c r="P226" s="213" t="s">
        <v>518</v>
      </c>
      <c r="Q226" s="35"/>
      <c r="R226" s="35"/>
      <c r="S226" s="35"/>
    </row>
    <row r="227" spans="1:19" s="34" customFormat="1" ht="13.9" hidden="1" customHeight="1" outlineLevel="1" x14ac:dyDescent="0.2">
      <c r="A227" s="457">
        <f ca="1">IF($H227="UNIDADE CONSTRUTIVA",OFFSET(A227,-1,0)+1,LARGE(A$3:A226,1))</f>
        <v>0</v>
      </c>
      <c r="B227" s="457">
        <f ca="1">IF(H227="UNIDADE CONSTRUTIVA",0,IF(H227="CÉLULA CONSTRUTIVA",OFFSET(B227,-1,0)+1,OFFSET(B227,-1,0)))</f>
        <v>4</v>
      </c>
      <c r="C227" s="457">
        <f ca="1">IF(H227="CÉLULA CONSTRUTIVA",0,IF(H227="ETAPA",OFFSET(C227,-1,0)+1,OFFSET(C227,-1,0)))</f>
        <v>1</v>
      </c>
      <c r="D227" s="458">
        <f ca="1">IF(H227="ETAPA",0,IF(H227="SUBETAPA",OFFSET(D227,-1,0)+1,OFFSET(D227,-1,0)))</f>
        <v>3</v>
      </c>
      <c r="E227" s="458">
        <f ca="1">IF(H227="Subetapa",0,IF(H227="serviço",OFFSET(E227,-1,0)+1,OFFSET(E227,-1,0)))</f>
        <v>0</v>
      </c>
      <c r="G227" s="206"/>
      <c r="H227" s="207" t="s">
        <v>211</v>
      </c>
      <c r="I227" s="208" t="str">
        <f ca="1">IF(H227="Unidade Construtiva",TEXT(A227,"00"),IF(H227="Célula Construtiva",TEXT(B227,"00"),IF(H227="Etapa",CONCATENATE(TEXT(B227,"00"),".",TEXT(C227,"000")),IF(H227="Subetapa",CONCATENATE(TEXT(B227,"00"),".",TEXT(C227,"000"),".",TEXT(D227,"000")),IF(H227="Serviço",CONCATENATE(TEXT(B227,"00"),".",TEXT(C227,"000"),".",TEXT(D227,"000"),".",TEXT(E227,"000")),"")))))</f>
        <v>04.001.003</v>
      </c>
      <c r="J227" s="209" t="s">
        <v>130</v>
      </c>
      <c r="K227" s="210"/>
      <c r="L227" s="455"/>
      <c r="M227" s="455"/>
      <c r="N227" s="285">
        <f t="shared" ca="1" si="51"/>
        <v>150581.59999999998</v>
      </c>
      <c r="O227" s="462"/>
      <c r="P227" s="213"/>
      <c r="Q227" s="35"/>
      <c r="R227" s="35"/>
      <c r="S227" s="35"/>
    </row>
    <row r="228" spans="1:19" s="34" customFormat="1" ht="13.9" hidden="1" customHeight="1" outlineLevel="2" x14ac:dyDescent="0.2">
      <c r="A228" s="457">
        <f ca="1">IF($H228="UNIDADE CONSTRUTIVA",OFFSET(A228,-1,0)+1,LARGE(A$3:A227,1))</f>
        <v>0</v>
      </c>
      <c r="B228" s="457">
        <f ca="1">IF(H228="UNIDADE CONSTRUTIVA",0,IF(H228="CÉLULA CONSTRUTIVA",OFFSET(B228,-1,0)+1,OFFSET(B228,-1,0)))</f>
        <v>4</v>
      </c>
      <c r="C228" s="457">
        <f ca="1">IF(H228="CÉLULA CONSTRUTIVA",0,IF(H228="ETAPA",OFFSET(C228,-1,0)+1,OFFSET(C228,-1,0)))</f>
        <v>1</v>
      </c>
      <c r="D228" s="458">
        <f ca="1">IF(H228="ETAPA",0,IF(H228="SUBETAPA",OFFSET(D228,-1,0)+1,OFFSET(D228,-1,0)))</f>
        <v>3</v>
      </c>
      <c r="E228" s="458">
        <f ca="1">IF(H228="Subetapa",0,IF(H228="serviço",OFFSET(E228,-1,0)+1,OFFSET(E228,-1,0)))</f>
        <v>1</v>
      </c>
      <c r="G228" s="206"/>
      <c r="H228" s="207" t="s">
        <v>212</v>
      </c>
      <c r="I228" s="208" t="str">
        <f ca="1">IF(H228="Unidade Construtiva",TEXT(A228,"00"),IF(H228="Célula Construtiva",TEXT(B228,"00"),IF(H228="Etapa",CONCATENATE(TEXT(B228,"00"),".",TEXT(C228,"000")),IF(H228="Subetapa",CONCATENATE(TEXT(B228,"00"),".",TEXT(C228,"000"),".",TEXT(D228,"000")),IF(H228="Serviço",CONCATENATE(TEXT(B228,"00"),".",TEXT(C228,"000"),".",TEXT(D228,"000"),".",TEXT(E228,"000")),"")))))</f>
        <v>04.001.003.001</v>
      </c>
      <c r="J228" s="209" t="s">
        <v>4993</v>
      </c>
      <c r="K228" s="210" t="s">
        <v>1</v>
      </c>
      <c r="L228" s="455">
        <f>L223</f>
        <v>2895.7999999999997</v>
      </c>
      <c r="M228" s="455">
        <v>52</v>
      </c>
      <c r="N228" s="285">
        <f t="shared" si="51"/>
        <v>150581.59999999998</v>
      </c>
      <c r="O228" s="462"/>
      <c r="P228" s="213" t="s">
        <v>518</v>
      </c>
      <c r="Q228" s="35"/>
      <c r="R228" s="35"/>
      <c r="S228" s="35"/>
    </row>
    <row r="229" spans="1:19" s="34" customFormat="1" ht="13.9" hidden="1" customHeight="1" outlineLevel="1" x14ac:dyDescent="0.2">
      <c r="A229" s="457">
        <f ca="1">IF($H229="UNIDADE CONSTRUTIVA",OFFSET(A229,-1,0)+1,LARGE(A$3:A226,1))</f>
        <v>0</v>
      </c>
      <c r="B229" s="457">
        <f t="shared" ref="B229:B236" ca="1" si="52">IF(H229="UNIDADE CONSTRUTIVA",0,IF(H229="CÉLULA CONSTRUTIVA",OFFSET(B229,-1,0)+1,OFFSET(B229,-1,0)))</f>
        <v>4</v>
      </c>
      <c r="C229" s="457">
        <f t="shared" ref="C229:C236" ca="1" si="53">IF(H229="CÉLULA CONSTRUTIVA",0,IF(H229="ETAPA",OFFSET(C229,-1,0)+1,OFFSET(C229,-1,0)))</f>
        <v>2</v>
      </c>
      <c r="D229" s="458">
        <f t="shared" ref="D229:D236" ca="1" si="54">IF(H229="ETAPA",0,IF(H229="SUBETAPA",OFFSET(D229,-1,0)+1,OFFSET(D229,-1,0)))</f>
        <v>0</v>
      </c>
      <c r="E229" s="458">
        <f t="shared" ref="E229:E236" ca="1" si="55">IF(H229="Subetapa",0,IF(H229="serviço",OFFSET(E229,-1,0)+1,OFFSET(E229,-1,0)))</f>
        <v>1</v>
      </c>
      <c r="G229" s="206"/>
      <c r="H229" s="207" t="s">
        <v>210</v>
      </c>
      <c r="I229" s="208" t="str">
        <f t="shared" ref="I229:I236" ca="1" si="56">IF(H229="Unidade Construtiva",TEXT(A229,"00"),IF(H229="Célula Construtiva",TEXT(B229,"00"),IF(H229="Etapa",CONCATENATE(TEXT(B229,"00"),".",TEXT(C229,"000")),IF(H229="Subetapa",CONCATENATE(TEXT(B229,"00"),".",TEXT(C229,"000"),".",TEXT(D229,"000")),IF(H229="Serviço",CONCATENATE(TEXT(B229,"00"),".",TEXT(C229,"000"),".",TEXT(D229,"000"),".",TEXT(E229,"000")),"")))))</f>
        <v>04.002</v>
      </c>
      <c r="J229" s="209" t="s">
        <v>1255</v>
      </c>
      <c r="K229" s="210"/>
      <c r="L229" s="455"/>
      <c r="M229" s="455"/>
      <c r="N229" s="285">
        <f t="shared" ca="1" si="51"/>
        <v>243413.82453413116</v>
      </c>
      <c r="O229" s="462"/>
      <c r="P229" s="213"/>
      <c r="Q229" s="35"/>
      <c r="R229" s="35"/>
      <c r="S229" s="35"/>
    </row>
    <row r="230" spans="1:19" s="34" customFormat="1" ht="13.9" hidden="1" customHeight="1" outlineLevel="1" x14ac:dyDescent="0.2">
      <c r="A230" s="457">
        <f ca="1">IF($H230="UNIDADE CONSTRUTIVA",OFFSET(A230,-1,0)+1,LARGE(A$3:A229,1))</f>
        <v>0</v>
      </c>
      <c r="B230" s="457">
        <f t="shared" ca="1" si="52"/>
        <v>4</v>
      </c>
      <c r="C230" s="457">
        <f t="shared" ca="1" si="53"/>
        <v>2</v>
      </c>
      <c r="D230" s="458">
        <f t="shared" ca="1" si="54"/>
        <v>1</v>
      </c>
      <c r="E230" s="458">
        <f t="shared" ca="1" si="55"/>
        <v>0</v>
      </c>
      <c r="G230" s="206"/>
      <c r="H230" s="207" t="s">
        <v>211</v>
      </c>
      <c r="I230" s="208" t="str">
        <f t="shared" ca="1" si="56"/>
        <v>04.002.001</v>
      </c>
      <c r="J230" s="209" t="s">
        <v>805</v>
      </c>
      <c r="K230" s="210"/>
      <c r="L230" s="455"/>
      <c r="M230" s="455"/>
      <c r="N230" s="285">
        <f t="shared" ca="1" si="51"/>
        <v>141634.88607999997</v>
      </c>
      <c r="O230" s="462"/>
      <c r="P230" s="213"/>
      <c r="Q230" s="35"/>
      <c r="R230" s="35"/>
      <c r="S230" s="35"/>
    </row>
    <row r="231" spans="1:19" s="34" customFormat="1" ht="13.9" hidden="1" customHeight="1" outlineLevel="2" x14ac:dyDescent="0.2">
      <c r="A231" s="457">
        <f ca="1">IF($H231="UNIDADE CONSTRUTIVA",OFFSET(A231,-1,0)+1,LARGE(A$3:A230,1))</f>
        <v>0</v>
      </c>
      <c r="B231" s="457">
        <f t="shared" ca="1" si="52"/>
        <v>4</v>
      </c>
      <c r="C231" s="457">
        <f t="shared" ca="1" si="53"/>
        <v>2</v>
      </c>
      <c r="D231" s="458">
        <f t="shared" ca="1" si="54"/>
        <v>1</v>
      </c>
      <c r="E231" s="458">
        <f t="shared" ca="1" si="55"/>
        <v>1</v>
      </c>
      <c r="G231" s="206"/>
      <c r="H231" s="207" t="s">
        <v>212</v>
      </c>
      <c r="I231" s="208" t="str">
        <f t="shared" ca="1" si="56"/>
        <v>04.002.001.001</v>
      </c>
      <c r="J231" s="209" t="s">
        <v>1264</v>
      </c>
      <c r="K231" s="210" t="s">
        <v>1</v>
      </c>
      <c r="L231" s="455">
        <f>Arquitetura!H40+Arquitetura!H41</f>
        <v>1920.68</v>
      </c>
      <c r="M231" s="455">
        <f>'ALVENARIA ESTRUTURAL'!F61</f>
        <v>73.742052856280054</v>
      </c>
      <c r="N231" s="285">
        <f t="shared" si="51"/>
        <v>141634.88607999997</v>
      </c>
      <c r="O231" s="462" t="s">
        <v>1270</v>
      </c>
      <c r="P231" s="213" t="s">
        <v>518</v>
      </c>
      <c r="Q231" s="35"/>
      <c r="R231" s="35"/>
      <c r="S231" s="35"/>
    </row>
    <row r="232" spans="1:19" s="34" customFormat="1" ht="13.9" hidden="1" customHeight="1" outlineLevel="1" x14ac:dyDescent="0.2">
      <c r="A232" s="457">
        <f ca="1">IF($H232="UNIDADE CONSTRUTIVA",OFFSET(A232,-1,0)+1,LARGE(A$3:A231,1))</f>
        <v>0</v>
      </c>
      <c r="B232" s="457">
        <f t="shared" ca="1" si="52"/>
        <v>4</v>
      </c>
      <c r="C232" s="457">
        <f t="shared" ca="1" si="53"/>
        <v>2</v>
      </c>
      <c r="D232" s="458">
        <f t="shared" ca="1" si="54"/>
        <v>2</v>
      </c>
      <c r="E232" s="458">
        <f t="shared" ca="1" si="55"/>
        <v>0</v>
      </c>
      <c r="G232" s="206"/>
      <c r="H232" s="207" t="s">
        <v>211</v>
      </c>
      <c r="I232" s="208" t="str">
        <f t="shared" ca="1" si="56"/>
        <v>04.002.002</v>
      </c>
      <c r="J232" s="209" t="s">
        <v>3704</v>
      </c>
      <c r="K232" s="210"/>
      <c r="L232" s="455"/>
      <c r="M232" s="455"/>
      <c r="N232" s="285">
        <f t="shared" ca="1" si="51"/>
        <v>1903.5784541312</v>
      </c>
      <c r="O232" s="462"/>
      <c r="P232" s="213"/>
      <c r="Q232" s="35"/>
      <c r="R232" s="35"/>
      <c r="S232" s="35"/>
    </row>
    <row r="233" spans="1:19" s="34" customFormat="1" ht="13.9" hidden="1" customHeight="1" outlineLevel="2" x14ac:dyDescent="0.2">
      <c r="A233" s="457">
        <f ca="1">IF($H233="UNIDADE CONSTRUTIVA",OFFSET(A233,-1,0)+1,LARGE(A$3:A232,1))</f>
        <v>0</v>
      </c>
      <c r="B233" s="457">
        <f t="shared" ca="1" si="52"/>
        <v>4</v>
      </c>
      <c r="C233" s="457">
        <f t="shared" ca="1" si="53"/>
        <v>2</v>
      </c>
      <c r="D233" s="458">
        <f t="shared" ca="1" si="54"/>
        <v>2</v>
      </c>
      <c r="E233" s="458">
        <f t="shared" ca="1" si="55"/>
        <v>1</v>
      </c>
      <c r="G233" s="206"/>
      <c r="H233" s="207" t="s">
        <v>212</v>
      </c>
      <c r="I233" s="208" t="str">
        <f t="shared" ca="1" si="56"/>
        <v>04.002.002.001</v>
      </c>
      <c r="J233" s="209" t="s">
        <v>4982</v>
      </c>
      <c r="K233" s="210" t="s">
        <v>4</v>
      </c>
      <c r="L233" s="455">
        <f>'ALVENARIA ESTRUTURAL'!C14</f>
        <v>5.6602448000000001</v>
      </c>
      <c r="M233" s="455">
        <f>'ALVENARIA ESTRUTURAL'!$L$49</f>
        <v>58.744</v>
      </c>
      <c r="N233" s="285">
        <f t="shared" si="51"/>
        <v>332.5054205312</v>
      </c>
      <c r="O233" s="462" t="s">
        <v>1271</v>
      </c>
      <c r="P233" s="213" t="s">
        <v>518</v>
      </c>
      <c r="Q233" s="35"/>
      <c r="R233" s="35"/>
      <c r="S233" s="35"/>
    </row>
    <row r="234" spans="1:19" s="34" customFormat="1" ht="13.9" hidden="1" customHeight="1" outlineLevel="2" x14ac:dyDescent="0.2">
      <c r="A234" s="457">
        <f ca="1">IF($H234="UNIDADE CONSTRUTIVA",OFFSET(A234,-1,0)+1,LARGE(A$3:A233,1))</f>
        <v>0</v>
      </c>
      <c r="B234" s="457">
        <f t="shared" ca="1" si="52"/>
        <v>4</v>
      </c>
      <c r="C234" s="457">
        <f t="shared" ca="1" si="53"/>
        <v>2</v>
      </c>
      <c r="D234" s="458">
        <f t="shared" ca="1" si="54"/>
        <v>2</v>
      </c>
      <c r="E234" s="458">
        <f t="shared" ca="1" si="55"/>
        <v>2</v>
      </c>
      <c r="G234" s="206"/>
      <c r="H234" s="207" t="s">
        <v>212</v>
      </c>
      <c r="I234" s="208" t="str">
        <f t="shared" ca="1" si="56"/>
        <v>04.002.002.002</v>
      </c>
      <c r="J234" s="209" t="s">
        <v>3701</v>
      </c>
      <c r="K234" s="210" t="s">
        <v>4</v>
      </c>
      <c r="L234" s="455">
        <f>'ALVENARIA ESTRUTURAL'!C15</f>
        <v>26.744399999999999</v>
      </c>
      <c r="M234" s="455">
        <f>M233</f>
        <v>58.744</v>
      </c>
      <c r="N234" s="285">
        <f t="shared" si="51"/>
        <v>1571.0730335999999</v>
      </c>
      <c r="O234" s="462" t="s">
        <v>1271</v>
      </c>
      <c r="P234" s="213" t="s">
        <v>518</v>
      </c>
      <c r="Q234" s="35"/>
      <c r="R234" s="35"/>
      <c r="S234" s="35"/>
    </row>
    <row r="235" spans="1:19" s="34" customFormat="1" ht="13.9" hidden="1" customHeight="1" outlineLevel="1" x14ac:dyDescent="0.2">
      <c r="A235" s="457">
        <f ca="1">IF($H235="UNIDADE CONSTRUTIVA",OFFSET(A235,-1,0)+1,LARGE(A$3:A234,1))</f>
        <v>0</v>
      </c>
      <c r="B235" s="457">
        <f t="shared" ca="1" si="52"/>
        <v>4</v>
      </c>
      <c r="C235" s="457">
        <f t="shared" ca="1" si="53"/>
        <v>2</v>
      </c>
      <c r="D235" s="458">
        <f t="shared" ca="1" si="54"/>
        <v>3</v>
      </c>
      <c r="E235" s="458">
        <f t="shared" ca="1" si="55"/>
        <v>0</v>
      </c>
      <c r="G235" s="206"/>
      <c r="H235" s="207" t="s">
        <v>211</v>
      </c>
      <c r="I235" s="208" t="str">
        <f t="shared" ca="1" si="56"/>
        <v>04.002.003</v>
      </c>
      <c r="J235" s="209" t="s">
        <v>130</v>
      </c>
      <c r="K235" s="210"/>
      <c r="L235" s="455"/>
      <c r="M235" s="455"/>
      <c r="N235" s="285">
        <f t="shared" ca="1" si="51"/>
        <v>99875.36</v>
      </c>
      <c r="O235" s="462"/>
      <c r="P235" s="213"/>
      <c r="Q235" s="35"/>
      <c r="R235" s="35"/>
      <c r="S235" s="35"/>
    </row>
    <row r="236" spans="1:19" s="34" customFormat="1" ht="13.9" hidden="1" customHeight="1" outlineLevel="2" x14ac:dyDescent="0.2">
      <c r="A236" s="457">
        <f ca="1">IF($H236="UNIDADE CONSTRUTIVA",OFFSET(A236,-1,0)+1,LARGE(A$3:A235,1))</f>
        <v>0</v>
      </c>
      <c r="B236" s="457">
        <f t="shared" ca="1" si="52"/>
        <v>4</v>
      </c>
      <c r="C236" s="457">
        <f t="shared" ca="1" si="53"/>
        <v>2</v>
      </c>
      <c r="D236" s="458">
        <f t="shared" ca="1" si="54"/>
        <v>3</v>
      </c>
      <c r="E236" s="458">
        <f t="shared" ca="1" si="55"/>
        <v>1</v>
      </c>
      <c r="G236" s="206"/>
      <c r="H236" s="207" t="s">
        <v>212</v>
      </c>
      <c r="I236" s="208" t="str">
        <f t="shared" ca="1" si="56"/>
        <v>04.002.003.001</v>
      </c>
      <c r="J236" s="209" t="s">
        <v>4993</v>
      </c>
      <c r="K236" s="210" t="s">
        <v>1</v>
      </c>
      <c r="L236" s="455">
        <f>L231</f>
        <v>1920.68</v>
      </c>
      <c r="M236" s="455">
        <v>52</v>
      </c>
      <c r="N236" s="285">
        <f t="shared" si="51"/>
        <v>99875.36</v>
      </c>
      <c r="O236" s="462"/>
      <c r="P236" s="213" t="s">
        <v>518</v>
      </c>
      <c r="Q236" s="35"/>
      <c r="R236" s="35"/>
      <c r="S236" s="35"/>
    </row>
    <row r="237" spans="1:19" s="34" customFormat="1" ht="13.9" hidden="1" customHeight="1" outlineLevel="1" x14ac:dyDescent="0.2">
      <c r="A237" s="457">
        <f ca="1">IF($H237="UNIDADE CONSTRUTIVA",OFFSET(A237,-1,0)+1,LARGE(A$3:A234,1))</f>
        <v>0</v>
      </c>
      <c r="B237" s="457">
        <f t="shared" ref="B237:B244" ca="1" si="57">IF(H237="UNIDADE CONSTRUTIVA",0,IF(H237="CÉLULA CONSTRUTIVA",OFFSET(B237,-1,0)+1,OFFSET(B237,-1,0)))</f>
        <v>4</v>
      </c>
      <c r="C237" s="457">
        <f t="shared" ref="C237:C244" ca="1" si="58">IF(H237="CÉLULA CONSTRUTIVA",0,IF(H237="ETAPA",OFFSET(C237,-1,0)+1,OFFSET(C237,-1,0)))</f>
        <v>3</v>
      </c>
      <c r="D237" s="458">
        <f t="shared" ref="D237:D244" ca="1" si="59">IF(H237="ETAPA",0,IF(H237="SUBETAPA",OFFSET(D237,-1,0)+1,OFFSET(D237,-1,0)))</f>
        <v>0</v>
      </c>
      <c r="E237" s="458">
        <f t="shared" ref="E237:E244" ca="1" si="60">IF(H237="Subetapa",0,IF(H237="serviço",OFFSET(E237,-1,0)+1,OFFSET(E237,-1,0)))</f>
        <v>1</v>
      </c>
      <c r="G237" s="206"/>
      <c r="H237" s="207" t="s">
        <v>210</v>
      </c>
      <c r="I237" s="208" t="str">
        <f t="shared" ref="I237:I244" ca="1" si="61">IF(H237="Unidade Construtiva",TEXT(A237,"00"),IF(H237="Célula Construtiva",TEXT(B237,"00"),IF(H237="Etapa",CONCATENATE(TEXT(B237,"00"),".",TEXT(C237,"000")),IF(H237="Subetapa",CONCATENATE(TEXT(B237,"00"),".",TEXT(C237,"000"),".",TEXT(D237,"000")),IF(H237="Serviço",CONCATENATE(TEXT(B237,"00"),".",TEXT(C237,"000"),".",TEXT(D237,"000"),".",TEXT(E237,"000")),"")))))</f>
        <v>04.003</v>
      </c>
      <c r="J237" s="209" t="s">
        <v>1258</v>
      </c>
      <c r="K237" s="210"/>
      <c r="L237" s="455"/>
      <c r="M237" s="455"/>
      <c r="N237" s="285">
        <f t="shared" ca="1" si="51"/>
        <v>664144.42488874891</v>
      </c>
      <c r="O237" s="462"/>
      <c r="P237" s="213"/>
      <c r="Q237" s="35"/>
      <c r="R237" s="35"/>
      <c r="S237" s="35"/>
    </row>
    <row r="238" spans="1:19" s="34" customFormat="1" ht="13.9" hidden="1" customHeight="1" outlineLevel="1" x14ac:dyDescent="0.2">
      <c r="A238" s="457">
        <f ca="1">IF($H238="UNIDADE CONSTRUTIVA",OFFSET(A238,-1,0)+1,LARGE(A$3:A237,1))</f>
        <v>0</v>
      </c>
      <c r="B238" s="457">
        <f t="shared" ca="1" si="57"/>
        <v>4</v>
      </c>
      <c r="C238" s="457">
        <f t="shared" ca="1" si="58"/>
        <v>3</v>
      </c>
      <c r="D238" s="458">
        <f t="shared" ca="1" si="59"/>
        <v>1</v>
      </c>
      <c r="E238" s="458">
        <f t="shared" ca="1" si="60"/>
        <v>0</v>
      </c>
      <c r="G238" s="206"/>
      <c r="H238" s="207" t="s">
        <v>211</v>
      </c>
      <c r="I238" s="208" t="str">
        <f t="shared" ca="1" si="61"/>
        <v>04.003.001</v>
      </c>
      <c r="J238" s="209" t="s">
        <v>805</v>
      </c>
      <c r="K238" s="210"/>
      <c r="L238" s="455"/>
      <c r="M238" s="455"/>
      <c r="N238" s="285">
        <f t="shared" ca="1" si="51"/>
        <v>140251.99647999997</v>
      </c>
      <c r="O238" s="462"/>
      <c r="P238" s="213"/>
      <c r="Q238" s="35"/>
      <c r="R238" s="35"/>
      <c r="S238" s="35"/>
    </row>
    <row r="239" spans="1:19" s="34" customFormat="1" ht="13.9" hidden="1" customHeight="1" outlineLevel="2" x14ac:dyDescent="0.2">
      <c r="A239" s="457">
        <f ca="1">IF($H239="UNIDADE CONSTRUTIVA",OFFSET(A239,-1,0)+1,LARGE(A$3:A238,1))</f>
        <v>0</v>
      </c>
      <c r="B239" s="457">
        <f t="shared" ca="1" si="57"/>
        <v>4</v>
      </c>
      <c r="C239" s="457">
        <f t="shared" ca="1" si="58"/>
        <v>3</v>
      </c>
      <c r="D239" s="458">
        <f t="shared" ca="1" si="59"/>
        <v>1</v>
      </c>
      <c r="E239" s="458">
        <f t="shared" ca="1" si="60"/>
        <v>1</v>
      </c>
      <c r="G239" s="206"/>
      <c r="H239" s="207" t="s">
        <v>212</v>
      </c>
      <c r="I239" s="208" t="str">
        <f t="shared" ca="1" si="61"/>
        <v>04.003.001.001</v>
      </c>
      <c r="J239" s="209" t="s">
        <v>1265</v>
      </c>
      <c r="K239" s="210" t="s">
        <v>1</v>
      </c>
      <c r="L239" s="455">
        <f>Arquitetura!H46+Arquitetura!H47</f>
        <v>1920.68</v>
      </c>
      <c r="M239" s="455">
        <f>'ALVENARIA ESTRUTURAL'!F73</f>
        <v>73.022052856280055</v>
      </c>
      <c r="N239" s="285">
        <f t="shared" si="51"/>
        <v>140251.99647999997</v>
      </c>
      <c r="O239" s="462" t="s">
        <v>1270</v>
      </c>
      <c r="P239" s="213" t="s">
        <v>518</v>
      </c>
      <c r="Q239" s="35"/>
      <c r="R239" s="35"/>
      <c r="S239" s="35"/>
    </row>
    <row r="240" spans="1:19" s="34" customFormat="1" ht="13.9" hidden="1" customHeight="1" outlineLevel="1" x14ac:dyDescent="0.2">
      <c r="A240" s="457">
        <f ca="1">IF($H240="UNIDADE CONSTRUTIVA",OFFSET(A240,-1,0)+1,LARGE(A$3:A239,1))</f>
        <v>0</v>
      </c>
      <c r="B240" s="457">
        <f t="shared" ca="1" si="57"/>
        <v>4</v>
      </c>
      <c r="C240" s="457">
        <f t="shared" ca="1" si="58"/>
        <v>3</v>
      </c>
      <c r="D240" s="458">
        <f t="shared" ca="1" si="59"/>
        <v>2</v>
      </c>
      <c r="E240" s="458">
        <f t="shared" ca="1" si="60"/>
        <v>0</v>
      </c>
      <c r="G240" s="206"/>
      <c r="H240" s="207" t="s">
        <v>211</v>
      </c>
      <c r="I240" s="208" t="str">
        <f t="shared" ca="1" si="61"/>
        <v>04.003.002</v>
      </c>
      <c r="J240" s="209" t="s">
        <v>3704</v>
      </c>
      <c r="K240" s="210"/>
      <c r="L240" s="455"/>
      <c r="M240" s="455"/>
      <c r="N240" s="285">
        <f t="shared" ca="1" si="51"/>
        <v>16086.948408748798</v>
      </c>
      <c r="O240" s="462"/>
      <c r="P240" s="213"/>
      <c r="Q240" s="35"/>
      <c r="R240" s="35"/>
      <c r="S240" s="35"/>
    </row>
    <row r="241" spans="1:19" s="34" customFormat="1" ht="13.9" hidden="1" customHeight="1" outlineLevel="2" x14ac:dyDescent="0.2">
      <c r="A241" s="457">
        <f ca="1">IF($H241="UNIDADE CONSTRUTIVA",OFFSET(A241,-1,0)+1,LARGE(A$3:A240,1))</f>
        <v>0</v>
      </c>
      <c r="B241" s="457">
        <f t="shared" ca="1" si="57"/>
        <v>4</v>
      </c>
      <c r="C241" s="457">
        <f t="shared" ca="1" si="58"/>
        <v>3</v>
      </c>
      <c r="D241" s="458">
        <f t="shared" ca="1" si="59"/>
        <v>2</v>
      </c>
      <c r="E241" s="458">
        <f t="shared" ca="1" si="60"/>
        <v>1</v>
      </c>
      <c r="G241" s="206"/>
      <c r="H241" s="207" t="s">
        <v>212</v>
      </c>
      <c r="I241" s="208" t="str">
        <f t="shared" ca="1" si="61"/>
        <v>04.003.002.001</v>
      </c>
      <c r="J241" s="209" t="s">
        <v>4982</v>
      </c>
      <c r="K241" s="210" t="s">
        <v>4</v>
      </c>
      <c r="L241" s="455">
        <f>'ALVENARIA ESTRUTURAL'!D14</f>
        <v>5.6602448000000001</v>
      </c>
      <c r="M241" s="455">
        <f>'ALVENARIA ESTRUTURAL'!$L$49</f>
        <v>58.744</v>
      </c>
      <c r="N241" s="285">
        <f t="shared" si="51"/>
        <v>332.5054205312</v>
      </c>
      <c r="O241" s="462" t="s">
        <v>1271</v>
      </c>
      <c r="P241" s="213" t="s">
        <v>518</v>
      </c>
      <c r="Q241" s="35"/>
      <c r="R241" s="35"/>
      <c r="S241" s="35"/>
    </row>
    <row r="242" spans="1:19" s="34" customFormat="1" ht="13.9" hidden="1" customHeight="1" outlineLevel="2" x14ac:dyDescent="0.2">
      <c r="A242" s="457">
        <f ca="1">IF($H242="UNIDADE CONSTRUTIVA",OFFSET(A242,-1,0)+1,LARGE(A$3:A241,1))</f>
        <v>0</v>
      </c>
      <c r="B242" s="457">
        <f t="shared" ca="1" si="57"/>
        <v>4</v>
      </c>
      <c r="C242" s="457">
        <f t="shared" ca="1" si="58"/>
        <v>3</v>
      </c>
      <c r="D242" s="458">
        <f t="shared" ca="1" si="59"/>
        <v>2</v>
      </c>
      <c r="E242" s="458">
        <f t="shared" ca="1" si="60"/>
        <v>2</v>
      </c>
      <c r="G242" s="206"/>
      <c r="H242" s="207" t="s">
        <v>212</v>
      </c>
      <c r="I242" s="208" t="str">
        <f t="shared" ca="1" si="61"/>
        <v>04.003.002.002</v>
      </c>
      <c r="J242" s="209" t="s">
        <v>3701</v>
      </c>
      <c r="K242" s="210" t="s">
        <v>4</v>
      </c>
      <c r="L242" s="455">
        <f>'ALVENARIA ESTRUTURAL'!D15</f>
        <v>26.744399999999999</v>
      </c>
      <c r="M242" s="455">
        <f>M241</f>
        <v>58.744</v>
      </c>
      <c r="N242" s="285">
        <f t="shared" si="51"/>
        <v>1571.0730335999999</v>
      </c>
      <c r="O242" s="462" t="s">
        <v>1271</v>
      </c>
      <c r="P242" s="213" t="s">
        <v>518</v>
      </c>
      <c r="Q242" s="35"/>
      <c r="R242" s="35"/>
      <c r="S242" s="35"/>
    </row>
    <row r="243" spans="1:19" s="34" customFormat="1" ht="13.9" hidden="1" customHeight="1" outlineLevel="1" x14ac:dyDescent="0.2">
      <c r="A243" s="457">
        <f ca="1">IF($H243="UNIDADE CONSTRUTIVA",OFFSET(A243,-1,0)+1,LARGE(A$3:A242,1))</f>
        <v>0</v>
      </c>
      <c r="B243" s="457">
        <f t="shared" ca="1" si="57"/>
        <v>4</v>
      </c>
      <c r="C243" s="457">
        <f t="shared" ca="1" si="58"/>
        <v>3</v>
      </c>
      <c r="D243" s="458">
        <f t="shared" ca="1" si="59"/>
        <v>3</v>
      </c>
      <c r="E243" s="458">
        <f t="shared" ca="1" si="60"/>
        <v>0</v>
      </c>
      <c r="G243" s="206"/>
      <c r="H243" s="207" t="s">
        <v>211</v>
      </c>
      <c r="I243" s="208" t="str">
        <f t="shared" ca="1" si="61"/>
        <v>04.003.003</v>
      </c>
      <c r="J243" s="209" t="s">
        <v>130</v>
      </c>
      <c r="K243" s="210"/>
      <c r="L243" s="455"/>
      <c r="M243" s="455"/>
      <c r="N243" s="285">
        <f t="shared" ca="1" si="51"/>
        <v>507805.48000000004</v>
      </c>
      <c r="O243" s="462"/>
      <c r="P243" s="213"/>
      <c r="Q243" s="35"/>
      <c r="R243" s="35"/>
      <c r="S243" s="35"/>
    </row>
    <row r="244" spans="1:19" s="34" customFormat="1" ht="13.9" hidden="1" customHeight="1" outlineLevel="2" x14ac:dyDescent="0.2">
      <c r="A244" s="457">
        <f ca="1">IF($H244="UNIDADE CONSTRUTIVA",OFFSET(A244,-1,0)+1,LARGE(A$3:A243,1))</f>
        <v>0</v>
      </c>
      <c r="B244" s="457">
        <f t="shared" ca="1" si="57"/>
        <v>4</v>
      </c>
      <c r="C244" s="457">
        <f t="shared" ca="1" si="58"/>
        <v>3</v>
      </c>
      <c r="D244" s="458">
        <f t="shared" ca="1" si="59"/>
        <v>3</v>
      </c>
      <c r="E244" s="458">
        <f t="shared" ca="1" si="60"/>
        <v>1</v>
      </c>
      <c r="G244" s="206"/>
      <c r="H244" s="207" t="s">
        <v>212</v>
      </c>
      <c r="I244" s="208" t="str">
        <f t="shared" ca="1" si="61"/>
        <v>04.003.003.001</v>
      </c>
      <c r="J244" s="209" t="s">
        <v>4993</v>
      </c>
      <c r="K244" s="210" t="s">
        <v>1</v>
      </c>
      <c r="L244" s="455">
        <f>L239</f>
        <v>1920.68</v>
      </c>
      <c r="M244" s="455">
        <v>52</v>
      </c>
      <c r="N244" s="285">
        <f t="shared" si="51"/>
        <v>99875.36</v>
      </c>
      <c r="O244" s="462"/>
      <c r="P244" s="213" t="s">
        <v>518</v>
      </c>
      <c r="Q244" s="35"/>
      <c r="R244" s="35"/>
      <c r="S244" s="35"/>
    </row>
    <row r="245" spans="1:19" s="34" customFormat="1" ht="13.9" hidden="1" customHeight="1" outlineLevel="1" x14ac:dyDescent="0.2">
      <c r="A245" s="457">
        <f ca="1">IF($H245="UNIDADE CONSTRUTIVA",OFFSET(A245,-1,0)+1,LARGE(A$3:A242,1))</f>
        <v>0</v>
      </c>
      <c r="B245" s="457">
        <f ca="1">IF(H245="UNIDADE CONSTRUTIVA",0,IF(H245="CÉLULA CONSTRUTIVA",OFFSET(B245,-1,0)+1,OFFSET(B245,-1,0)))</f>
        <v>4</v>
      </c>
      <c r="C245" s="457">
        <f ca="1">IF(H245="CÉLULA CONSTRUTIVA",0,IF(H245="ETAPA",OFFSET(C245,-1,0)+1,OFFSET(C245,-1,0)))</f>
        <v>4</v>
      </c>
      <c r="D245" s="458">
        <f ca="1">IF(H245="ETAPA",0,IF(H245="SUBETAPA",OFFSET(D245,-1,0)+1,OFFSET(D245,-1,0)))</f>
        <v>0</v>
      </c>
      <c r="E245" s="458">
        <f ca="1">IF(H245="Subetapa",0,IF(H245="serviço",OFFSET(E245,-1,0)+1,OFFSET(E245,-1,0)))</f>
        <v>1</v>
      </c>
      <c r="G245" s="206"/>
      <c r="H245" s="207" t="s">
        <v>210</v>
      </c>
      <c r="I245" s="208" t="str">
        <f ca="1">IF(H245="Unidade Construtiva",TEXT(A245,"00"),IF(H245="Célula Construtiva",TEXT(B245,"00"),IF(H245="Etapa",CONCATENATE(TEXT(B245,"00"),".",TEXT(C245,"000")),IF(H245="Subetapa",CONCATENATE(TEXT(B245,"00"),".",TEXT(C245,"000"),".",TEXT(D245,"000")),IF(H245="Serviço",CONCATENATE(TEXT(B245,"00"),".",TEXT(C245,"000"),".",TEXT(D245,"000"),".",TEXT(E245,"000")),"")))))</f>
        <v>04.004</v>
      </c>
      <c r="J245" s="209" t="s">
        <v>1259</v>
      </c>
      <c r="K245" s="210"/>
      <c r="L245" s="455"/>
      <c r="M245" s="455"/>
      <c r="N245" s="285">
        <f t="shared" ca="1" si="51"/>
        <v>594021.86672113987</v>
      </c>
      <c r="O245" s="462"/>
      <c r="P245" s="213"/>
      <c r="Q245" s="35"/>
      <c r="R245" s="35"/>
      <c r="S245" s="35"/>
    </row>
    <row r="246" spans="1:19" s="34" customFormat="1" ht="13.9" hidden="1" customHeight="1" outlineLevel="1" x14ac:dyDescent="0.2">
      <c r="A246" s="457">
        <f ca="1">IF($H246="UNIDADE CONSTRUTIVA",OFFSET(A246,-1,0)+1,LARGE(A$3:A245,1))</f>
        <v>0</v>
      </c>
      <c r="B246" s="457">
        <f ca="1">IF(H246="UNIDADE CONSTRUTIVA",0,IF(H246="CÉLULA CONSTRUTIVA",OFFSET(B246,-1,0)+1,OFFSET(B246,-1,0)))</f>
        <v>4</v>
      </c>
      <c r="C246" s="457">
        <f ca="1">IF(H246="CÉLULA CONSTRUTIVA",0,IF(H246="ETAPA",OFFSET(C246,-1,0)+1,OFFSET(C246,-1,0)))</f>
        <v>4</v>
      </c>
      <c r="D246" s="458">
        <f ca="1">IF(H246="ETAPA",0,IF(H246="SUBETAPA",OFFSET(D246,-1,0)+1,OFFSET(D246,-1,0)))</f>
        <v>1</v>
      </c>
      <c r="E246" s="458">
        <f ca="1">IF(H246="Subetapa",0,IF(H246="serviço",OFFSET(E246,-1,0)+1,OFFSET(E246,-1,0)))</f>
        <v>0</v>
      </c>
      <c r="G246" s="206"/>
      <c r="H246" s="207" t="s">
        <v>211</v>
      </c>
      <c r="I246" s="208" t="str">
        <f ca="1">IF(H246="Unidade Construtiva",TEXT(A246,"00"),IF(H246="Célula Construtiva",TEXT(B246,"00"),IF(H246="Etapa",CONCATENATE(TEXT(B246,"00"),".",TEXT(C246,"000")),IF(H246="Subetapa",CONCATENATE(TEXT(B246,"00"),".",TEXT(C246,"000"),".",TEXT(D246,"000")),IF(H246="Serviço",CONCATENATE(TEXT(B246,"00"),".",TEXT(C246,"000"),".",TEXT(D246,"000"),".",TEXT(E246,"000")),"")))))</f>
        <v>04.004.001</v>
      </c>
      <c r="J246" s="209" t="s">
        <v>805</v>
      </c>
      <c r="K246" s="210"/>
      <c r="L246" s="455"/>
      <c r="M246" s="455"/>
      <c r="N246" s="285">
        <f t="shared" ca="1" si="51"/>
        <v>594021.86672113987</v>
      </c>
      <c r="O246" s="462"/>
      <c r="P246" s="213"/>
      <c r="Q246" s="35"/>
      <c r="R246" s="35"/>
      <c r="S246" s="35"/>
    </row>
    <row r="247" spans="1:19" s="34" customFormat="1" ht="13.9" hidden="1" customHeight="1" outlineLevel="2" x14ac:dyDescent="0.2">
      <c r="A247" s="457">
        <f ca="1">IF($H247="UNIDADE CONSTRUTIVA",OFFSET(A247,-1,0)+1,LARGE(A$3:A246,1))</f>
        <v>0</v>
      </c>
      <c r="B247" s="457">
        <f ca="1">IF(H247="UNIDADE CONSTRUTIVA",0,IF(H247="CÉLULA CONSTRUTIVA",OFFSET(B247,-1,0)+1,OFFSET(B247,-1,0)))</f>
        <v>4</v>
      </c>
      <c r="C247" s="457">
        <f ca="1">IF(H247="CÉLULA CONSTRUTIVA",0,IF(H247="ETAPA",OFFSET(C247,-1,0)+1,OFFSET(C247,-1,0)))</f>
        <v>4</v>
      </c>
      <c r="D247" s="458">
        <f ca="1">IF(H247="ETAPA",0,IF(H247="SUBETAPA",OFFSET(D247,-1,0)+1,OFFSET(D247,-1,0)))</f>
        <v>1</v>
      </c>
      <c r="E247" s="458">
        <f ca="1">IF(H247="Subetapa",0,IF(H247="serviço",OFFSET(E247,-1,0)+1,OFFSET(E247,-1,0)))</f>
        <v>1</v>
      </c>
      <c r="G247" s="206"/>
      <c r="H247" s="207" t="s">
        <v>212</v>
      </c>
      <c r="I247" s="208" t="str">
        <f ca="1">IF(H247="Unidade Construtiva",TEXT(A247,"00"),IF(H247="Célula Construtiva",TEXT(B247,"00"),IF(H247="Etapa",CONCATENATE(TEXT(B247,"00"),".",TEXT(C247,"000")),IF(H247="Subetapa",CONCATENATE(TEXT(B247,"00"),".",TEXT(C247,"000"),".",TEXT(D247,"000")),IF(H247="Serviço",CONCATENATE(TEXT(B247,"00"),".",TEXT(C247,"000"),".",TEXT(D247,"000"),".",TEXT(E247,"000")),"")))))</f>
        <v>04.004.001.001</v>
      </c>
      <c r="J247" s="209" t="s">
        <v>1266</v>
      </c>
      <c r="K247" s="210" t="s">
        <v>1</v>
      </c>
      <c r="L247" s="455">
        <f>Arquitetura!H52+Arquitetura!H53</f>
        <v>1920.68</v>
      </c>
      <c r="M247" s="455">
        <f>'ALVENARIA ESTRUTURAL'!F86</f>
        <v>75.791072161942651</v>
      </c>
      <c r="N247" s="285">
        <f t="shared" si="51"/>
        <v>145570.39648000002</v>
      </c>
      <c r="O247" s="462" t="s">
        <v>1270</v>
      </c>
      <c r="P247" s="213" t="s">
        <v>518</v>
      </c>
      <c r="Q247" s="35"/>
      <c r="R247" s="35"/>
      <c r="S247" s="35"/>
    </row>
    <row r="248" spans="1:19" s="34" customFormat="1" ht="13.9" hidden="1" customHeight="1" outlineLevel="1" x14ac:dyDescent="0.2">
      <c r="A248" s="457">
        <f ca="1">IF($H248="UNIDADE CONSTRUTIVA",OFFSET(A248,-1,0)+1,LARGE(A$3:A247,1))</f>
        <v>0</v>
      </c>
      <c r="B248" s="457">
        <v>4</v>
      </c>
      <c r="C248" s="457">
        <v>3</v>
      </c>
      <c r="D248" s="458">
        <v>2</v>
      </c>
      <c r="E248" s="458">
        <v>0</v>
      </c>
      <c r="G248" s="206"/>
      <c r="H248" s="207" t="s">
        <v>211</v>
      </c>
      <c r="I248" s="208" t="s">
        <v>3705</v>
      </c>
      <c r="J248" s="209" t="s">
        <v>3704</v>
      </c>
      <c r="K248" s="210"/>
      <c r="L248" s="455"/>
      <c r="M248" s="455"/>
      <c r="N248" s="285">
        <v>20758.731431723343</v>
      </c>
      <c r="O248" s="462"/>
      <c r="P248" s="213"/>
      <c r="Q248" s="35"/>
      <c r="R248" s="35"/>
      <c r="S248" s="35"/>
    </row>
    <row r="249" spans="1:19" s="34" customFormat="1" ht="13.9" hidden="1" customHeight="1" outlineLevel="2" x14ac:dyDescent="0.2">
      <c r="A249" s="457">
        <f ca="1">IF($H249="UNIDADE CONSTRUTIVA",OFFSET(A249,-1,0)+1,LARGE(A$3:A248,1))</f>
        <v>0</v>
      </c>
      <c r="B249" s="457">
        <v>4</v>
      </c>
      <c r="C249" s="457">
        <v>3</v>
      </c>
      <c r="D249" s="458">
        <v>2</v>
      </c>
      <c r="E249" s="458">
        <v>1</v>
      </c>
      <c r="G249" s="206"/>
      <c r="H249" s="207" t="s">
        <v>212</v>
      </c>
      <c r="I249" s="208" t="s">
        <v>3706</v>
      </c>
      <c r="J249" s="209" t="s">
        <v>4983</v>
      </c>
      <c r="K249" s="210" t="s">
        <v>4</v>
      </c>
      <c r="L249" s="455">
        <f>'ALVENARIA ESTRUTURAL'!E14</f>
        <v>5.6602448000000001</v>
      </c>
      <c r="M249" s="455">
        <f>'ALVENARIA ESTRUTURAL'!$L$54</f>
        <v>61.192</v>
      </c>
      <c r="N249" s="285">
        <f t="shared" ref="N249:N255" si="62">IF(H249="Serviço",M249*L249,IF(H249="CÉLULA CONSTRUTIVA",SUMIFS($N$8:$N$1393,$B$8:$B$1393,B249,$H$8:$H$1393,"Serviço"),IF(H249="ETAPA",SUMIFS($N$8:$N$1393,$B$8:$B$1393,B249,$C$8:$C$1393,C249,$H$8:$H$1393,"Serviço"),IF(H249="SUBETAPA",SUMIFS($N$8:$N$1393,$B$8:$B$1393,B249,$C$8:$C$1393,C249,$D$8:$D$1393,D249,$H$8:$H$1393,"Serviço"),0))))</f>
        <v>346.36169980160003</v>
      </c>
      <c r="O249" s="462" t="s">
        <v>1271</v>
      </c>
      <c r="P249" s="213" t="s">
        <v>518</v>
      </c>
      <c r="Q249" s="35"/>
      <c r="R249" s="35"/>
      <c r="S249" s="35"/>
    </row>
    <row r="250" spans="1:19" s="34" customFormat="1" ht="13.9" hidden="1" customHeight="1" outlineLevel="2" x14ac:dyDescent="0.2">
      <c r="A250" s="457">
        <f ca="1">IF($H250="UNIDADE CONSTRUTIVA",OFFSET(A250,-1,0)+1,LARGE(A$3:A249,1))</f>
        <v>0</v>
      </c>
      <c r="B250" s="457">
        <v>4</v>
      </c>
      <c r="C250" s="457">
        <v>3</v>
      </c>
      <c r="D250" s="458">
        <v>2</v>
      </c>
      <c r="E250" s="458">
        <v>2</v>
      </c>
      <c r="G250" s="206"/>
      <c r="H250" s="207" t="s">
        <v>212</v>
      </c>
      <c r="I250" s="208" t="s">
        <v>3707</v>
      </c>
      <c r="J250" s="209" t="s">
        <v>3701</v>
      </c>
      <c r="K250" s="210" t="s">
        <v>4</v>
      </c>
      <c r="L250" s="455">
        <f>'ALVENARIA ESTRUTURAL'!E15</f>
        <v>26.744399999999999</v>
      </c>
      <c r="M250" s="455">
        <f>M249</f>
        <v>61.192</v>
      </c>
      <c r="N250" s="285">
        <f t="shared" si="62"/>
        <v>1636.5433247999999</v>
      </c>
      <c r="O250" s="462" t="s">
        <v>1271</v>
      </c>
      <c r="P250" s="213" t="s">
        <v>518</v>
      </c>
      <c r="Q250" s="35"/>
      <c r="R250" s="35"/>
      <c r="S250" s="35"/>
    </row>
    <row r="251" spans="1:19" s="34" customFormat="1" ht="13.9" hidden="1" customHeight="1" outlineLevel="1" x14ac:dyDescent="0.2">
      <c r="A251" s="457">
        <f ca="1">IF($H251="UNIDADE CONSTRUTIVA",OFFSET(A251,-1,0)+1,LARGE(A$3:A250,1))</f>
        <v>0</v>
      </c>
      <c r="B251" s="457">
        <f ca="1">IF(H251="UNIDADE CONSTRUTIVA",0,IF(H251="CÉLULA CONSTRUTIVA",OFFSET(B251,-1,0)+1,OFFSET(B251,-1,0)))</f>
        <v>4</v>
      </c>
      <c r="C251" s="457">
        <f ca="1">IF(H251="CÉLULA CONSTRUTIVA",0,IF(H251="ETAPA",OFFSET(C251,-1,0)+1,OFFSET(C251,-1,0)))</f>
        <v>3</v>
      </c>
      <c r="D251" s="458">
        <f ca="1">IF(H251="ETAPA",0,IF(H251="SUBETAPA",OFFSET(D251,-1,0)+1,OFFSET(D251,-1,0)))</f>
        <v>3</v>
      </c>
      <c r="E251" s="458">
        <f ca="1">IF(H251="Subetapa",0,IF(H251="serviço",OFFSET(E251,-1,0)+1,OFFSET(E251,-1,0)))</f>
        <v>0</v>
      </c>
      <c r="G251" s="206"/>
      <c r="H251" s="207" t="s">
        <v>211</v>
      </c>
      <c r="I251" s="208" t="str">
        <f ca="1">IF(H251="Unidade Construtiva",TEXT(A251,"00"),IF(H251="Célula Construtiva",TEXT(B251,"00"),IF(H251="Etapa",CONCATENATE(TEXT(B251,"00"),".",TEXT(C251,"000")),IF(H251="Subetapa",CONCATENATE(TEXT(B251,"00"),".",TEXT(C251,"000"),".",TEXT(D251,"000")),IF(H251="Serviço",CONCATENATE(TEXT(B251,"00"),".",TEXT(C251,"000"),".",TEXT(D251,"000"),".",TEXT(E251,"000")),"")))))</f>
        <v>04.003.003</v>
      </c>
      <c r="J251" s="209" t="s">
        <v>130</v>
      </c>
      <c r="K251" s="210"/>
      <c r="L251" s="455"/>
      <c r="M251" s="455"/>
      <c r="N251" s="285">
        <f t="shared" ca="1" si="62"/>
        <v>507805.48000000004</v>
      </c>
      <c r="O251" s="462"/>
      <c r="P251" s="213"/>
      <c r="Q251" s="35"/>
      <c r="R251" s="35"/>
      <c r="S251" s="35"/>
    </row>
    <row r="252" spans="1:19" s="34" customFormat="1" ht="13.9" hidden="1" customHeight="1" outlineLevel="2" x14ac:dyDescent="0.2">
      <c r="A252" s="457">
        <f ca="1">IF($H252="UNIDADE CONSTRUTIVA",OFFSET(A252,-1,0)+1,LARGE(A$3:A251,1))</f>
        <v>0</v>
      </c>
      <c r="B252" s="457">
        <f ca="1">IF(H252="UNIDADE CONSTRUTIVA",0,IF(H252="CÉLULA CONSTRUTIVA",OFFSET(B252,-1,0)+1,OFFSET(B252,-1,0)))</f>
        <v>4</v>
      </c>
      <c r="C252" s="457">
        <f ca="1">IF(H252="CÉLULA CONSTRUTIVA",0,IF(H252="ETAPA",OFFSET(C252,-1,0)+1,OFFSET(C252,-1,0)))</f>
        <v>3</v>
      </c>
      <c r="D252" s="458">
        <f ca="1">IF(H252="ETAPA",0,IF(H252="SUBETAPA",OFFSET(D252,-1,0)+1,OFFSET(D252,-1,0)))</f>
        <v>3</v>
      </c>
      <c r="E252" s="458">
        <f ca="1">IF(H252="Subetapa",0,IF(H252="serviço",OFFSET(E252,-1,0)+1,OFFSET(E252,-1,0)))</f>
        <v>1</v>
      </c>
      <c r="G252" s="206"/>
      <c r="H252" s="207" t="s">
        <v>212</v>
      </c>
      <c r="I252" s="208" t="str">
        <f ca="1">IF(H252="Unidade Construtiva",TEXT(A252,"00"),IF(H252="Célula Construtiva",TEXT(B252,"00"),IF(H252="Etapa",CONCATENATE(TEXT(B252,"00"),".",TEXT(C252,"000")),IF(H252="Subetapa",CONCATENATE(TEXT(B252,"00"),".",TEXT(C252,"000"),".",TEXT(D252,"000")),IF(H252="Serviço",CONCATENATE(TEXT(B252,"00"),".",TEXT(C252,"000"),".",TEXT(D252,"000"),".",TEXT(E252,"000")),"")))))</f>
        <v>04.003.003.001</v>
      </c>
      <c r="J252" s="209" t="s">
        <v>4993</v>
      </c>
      <c r="K252" s="210" t="s">
        <v>1</v>
      </c>
      <c r="L252" s="455">
        <f>L247</f>
        <v>1920.68</v>
      </c>
      <c r="M252" s="455">
        <v>52</v>
      </c>
      <c r="N252" s="285">
        <f t="shared" si="62"/>
        <v>99875.36</v>
      </c>
      <c r="O252" s="462"/>
      <c r="P252" s="213" t="s">
        <v>518</v>
      </c>
      <c r="Q252" s="35"/>
      <c r="R252" s="35"/>
      <c r="S252" s="35"/>
    </row>
    <row r="253" spans="1:19" s="34" customFormat="1" ht="13.9" hidden="1" customHeight="1" outlineLevel="1" x14ac:dyDescent="0.2">
      <c r="A253" s="457">
        <f ca="1">IF($H253="UNIDADE CONSTRUTIVA",OFFSET(A253,-1,0)+1,LARGE(A$3:A250,1))</f>
        <v>0</v>
      </c>
      <c r="B253" s="457">
        <f ca="1">IF(H253="UNIDADE CONSTRUTIVA",0,IF(H253="CÉLULA CONSTRUTIVA",OFFSET(B253,-1,0)+1,OFFSET(B253,-1,0)))</f>
        <v>4</v>
      </c>
      <c r="C253" s="457">
        <f ca="1">IF(H253="CÉLULA CONSTRUTIVA",0,IF(H253="ETAPA",OFFSET(C253,-1,0)+1,OFFSET(C253,-1,0)))</f>
        <v>4</v>
      </c>
      <c r="D253" s="458">
        <f ca="1">IF(H253="ETAPA",0,IF(H253="SUBETAPA",OFFSET(D253,-1,0)+1,OFFSET(D253,-1,0)))</f>
        <v>0</v>
      </c>
      <c r="E253" s="458">
        <f ca="1">IF(H253="Subetapa",0,IF(H253="serviço",OFFSET(E253,-1,0)+1,OFFSET(E253,-1,0)))</f>
        <v>1</v>
      </c>
      <c r="G253" s="206"/>
      <c r="H253" s="207" t="s">
        <v>210</v>
      </c>
      <c r="I253" s="208" t="str">
        <f ca="1">IF(H253="Unidade Construtiva",TEXT(A253,"00"),IF(H253="Célula Construtiva",TEXT(B253,"00"),IF(H253="Etapa",CONCATENATE(TEXT(B253,"00"),".",TEXT(C253,"000")),IF(H253="Subetapa",CONCATENATE(TEXT(B253,"00"),".",TEXT(C253,"000"),".",TEXT(D253,"000")),IF(H253="Serviço",CONCATENATE(TEXT(B253,"00"),".",TEXT(C253,"000"),".",TEXT(D253,"000"),".",TEXT(E253,"000")),"")))))</f>
        <v>04.004</v>
      </c>
      <c r="J253" s="209" t="s">
        <v>1260</v>
      </c>
      <c r="K253" s="210"/>
      <c r="L253" s="455"/>
      <c r="M253" s="455"/>
      <c r="N253" s="285">
        <f t="shared" ca="1" si="62"/>
        <v>594021.86672113987</v>
      </c>
      <c r="O253" s="462"/>
      <c r="P253" s="213"/>
      <c r="Q253" s="35"/>
      <c r="R253" s="35"/>
      <c r="S253" s="35"/>
    </row>
    <row r="254" spans="1:19" s="34" customFormat="1" ht="13.9" hidden="1" customHeight="1" outlineLevel="1" x14ac:dyDescent="0.2">
      <c r="A254" s="457">
        <f ca="1">IF($H254="UNIDADE CONSTRUTIVA",OFFSET(A254,-1,0)+1,LARGE(A$3:A253,1))</f>
        <v>0</v>
      </c>
      <c r="B254" s="457">
        <f ca="1">IF(H254="UNIDADE CONSTRUTIVA",0,IF(H254="CÉLULA CONSTRUTIVA",OFFSET(B254,-1,0)+1,OFFSET(B254,-1,0)))</f>
        <v>4</v>
      </c>
      <c r="C254" s="457">
        <f ca="1">IF(H254="CÉLULA CONSTRUTIVA",0,IF(H254="ETAPA",OFFSET(C254,-1,0)+1,OFFSET(C254,-1,0)))</f>
        <v>4</v>
      </c>
      <c r="D254" s="458">
        <f ca="1">IF(H254="ETAPA",0,IF(H254="SUBETAPA",OFFSET(D254,-1,0)+1,OFFSET(D254,-1,0)))</f>
        <v>1</v>
      </c>
      <c r="E254" s="458">
        <f ca="1">IF(H254="Subetapa",0,IF(H254="serviço",OFFSET(E254,-1,0)+1,OFFSET(E254,-1,0)))</f>
        <v>0</v>
      </c>
      <c r="G254" s="206"/>
      <c r="H254" s="207" t="s">
        <v>211</v>
      </c>
      <c r="I254" s="208" t="str">
        <f ca="1">IF(H254="Unidade Construtiva",TEXT(A254,"00"),IF(H254="Célula Construtiva",TEXT(B254,"00"),IF(H254="Etapa",CONCATENATE(TEXT(B254,"00"),".",TEXT(C254,"000")),IF(H254="Subetapa",CONCATENATE(TEXT(B254,"00"),".",TEXT(C254,"000"),".",TEXT(D254,"000")),IF(H254="Serviço",CONCATENATE(TEXT(B254,"00"),".",TEXT(C254,"000"),".",TEXT(D254,"000"),".",TEXT(E254,"000")),"")))))</f>
        <v>04.004.001</v>
      </c>
      <c r="J254" s="209" t="s">
        <v>805</v>
      </c>
      <c r="K254" s="210"/>
      <c r="L254" s="455"/>
      <c r="M254" s="455"/>
      <c r="N254" s="285">
        <f t="shared" ca="1" si="62"/>
        <v>594021.86672113987</v>
      </c>
      <c r="O254" s="462"/>
      <c r="P254" s="213"/>
      <c r="Q254" s="35"/>
      <c r="R254" s="35"/>
      <c r="S254" s="35"/>
    </row>
    <row r="255" spans="1:19" s="34" customFormat="1" ht="13.9" hidden="1" customHeight="1" outlineLevel="2" x14ac:dyDescent="0.2">
      <c r="A255" s="457">
        <f ca="1">IF($H255="UNIDADE CONSTRUTIVA",OFFSET(A255,-1,0)+1,LARGE(A$3:A254,1))</f>
        <v>0</v>
      </c>
      <c r="B255" s="457">
        <f ca="1">IF(H255="UNIDADE CONSTRUTIVA",0,IF(H255="CÉLULA CONSTRUTIVA",OFFSET(B255,-1,0)+1,OFFSET(B255,-1,0)))</f>
        <v>4</v>
      </c>
      <c r="C255" s="457">
        <f ca="1">IF(H255="CÉLULA CONSTRUTIVA",0,IF(H255="ETAPA",OFFSET(C255,-1,0)+1,OFFSET(C255,-1,0)))</f>
        <v>4</v>
      </c>
      <c r="D255" s="458">
        <f ca="1">IF(H255="ETAPA",0,IF(H255="SUBETAPA",OFFSET(D255,-1,0)+1,OFFSET(D255,-1,0)))</f>
        <v>1</v>
      </c>
      <c r="E255" s="458">
        <f ca="1">IF(H255="Subetapa",0,IF(H255="serviço",OFFSET(E255,-1,0)+1,OFFSET(E255,-1,0)))</f>
        <v>1</v>
      </c>
      <c r="G255" s="206"/>
      <c r="H255" s="207" t="s">
        <v>212</v>
      </c>
      <c r="I255" s="208" t="str">
        <f ca="1">IF(H255="Unidade Construtiva",TEXT(A255,"00"),IF(H255="Célula Construtiva",TEXT(B255,"00"),IF(H255="Etapa",CONCATENATE(TEXT(B255,"00"),".",TEXT(C255,"000")),IF(H255="Subetapa",CONCATENATE(TEXT(B255,"00"),".",TEXT(C255,"000"),".",TEXT(D255,"000")),IF(H255="Serviço",CONCATENATE(TEXT(B255,"00"),".",TEXT(C255,"000"),".",TEXT(D255,"000"),".",TEXT(E255,"000")),"")))))</f>
        <v>04.004.001.001</v>
      </c>
      <c r="J255" s="209" t="s">
        <v>1267</v>
      </c>
      <c r="K255" s="210" t="s">
        <v>1</v>
      </c>
      <c r="L255" s="455">
        <f>Arquitetura!H58+Arquitetura!H59</f>
        <v>2881.02</v>
      </c>
      <c r="M255" s="455">
        <f>'ALVENARIA ESTRUTURAL'!F99</f>
        <v>74.951072161942648</v>
      </c>
      <c r="N255" s="285">
        <f t="shared" si="62"/>
        <v>215935.53792</v>
      </c>
      <c r="O255" s="462" t="s">
        <v>1270</v>
      </c>
      <c r="P255" s="213" t="s">
        <v>518</v>
      </c>
      <c r="Q255" s="35"/>
      <c r="R255" s="35"/>
      <c r="S255" s="35"/>
    </row>
    <row r="256" spans="1:19" s="34" customFormat="1" ht="13.9" hidden="1" customHeight="1" outlineLevel="1" x14ac:dyDescent="0.2">
      <c r="A256" s="457">
        <f ca="1">IF($H256="UNIDADE CONSTRUTIVA",OFFSET(A256,-1,0)+1,LARGE(A$3:A255,1))</f>
        <v>0</v>
      </c>
      <c r="B256" s="457">
        <v>4</v>
      </c>
      <c r="C256" s="457">
        <v>3</v>
      </c>
      <c r="D256" s="458">
        <v>2</v>
      </c>
      <c r="E256" s="458">
        <v>0</v>
      </c>
      <c r="G256" s="206"/>
      <c r="H256" s="207" t="s">
        <v>211</v>
      </c>
      <c r="I256" s="208" t="s">
        <v>3705</v>
      </c>
      <c r="J256" s="209" t="s">
        <v>3704</v>
      </c>
      <c r="K256" s="210"/>
      <c r="L256" s="455"/>
      <c r="M256" s="455"/>
      <c r="N256" s="285">
        <v>20758.731431723343</v>
      </c>
      <c r="O256" s="462"/>
      <c r="P256" s="213"/>
      <c r="Q256" s="35"/>
      <c r="R256" s="35"/>
      <c r="S256" s="35"/>
    </row>
    <row r="257" spans="1:19" s="34" customFormat="1" ht="13.9" hidden="1" customHeight="1" outlineLevel="2" x14ac:dyDescent="0.2">
      <c r="A257" s="457">
        <f ca="1">IF($H257="UNIDADE CONSTRUTIVA",OFFSET(A257,-1,0)+1,LARGE(A$3:A256,1))</f>
        <v>0</v>
      </c>
      <c r="B257" s="457">
        <v>4</v>
      </c>
      <c r="C257" s="457">
        <v>3</v>
      </c>
      <c r="D257" s="458">
        <v>2</v>
      </c>
      <c r="E257" s="458">
        <v>1</v>
      </c>
      <c r="G257" s="206"/>
      <c r="H257" s="207" t="s">
        <v>212</v>
      </c>
      <c r="I257" s="208" t="s">
        <v>3706</v>
      </c>
      <c r="J257" s="209" t="s">
        <v>4983</v>
      </c>
      <c r="K257" s="210" t="s">
        <v>4</v>
      </c>
      <c r="L257" s="455">
        <f>'ALVENARIA ESTRUTURAL'!F14</f>
        <v>8.4903671999999997</v>
      </c>
      <c r="M257" s="455">
        <f>'ALVENARIA ESTRUTURAL'!$L$54</f>
        <v>61.192</v>
      </c>
      <c r="N257" s="285">
        <f t="shared" ref="N257:N263" si="63">IF(H257="Serviço",M257*L257,IF(H257="CÉLULA CONSTRUTIVA",SUMIFS($N$8:$N$1393,$B$8:$B$1393,B257,$H$8:$H$1393,"Serviço"),IF(H257="ETAPA",SUMIFS($N$8:$N$1393,$B$8:$B$1393,B257,$C$8:$C$1393,C257,$H$8:$H$1393,"Serviço"),IF(H257="SUBETAPA",SUMIFS($N$8:$N$1393,$B$8:$B$1393,B257,$C$8:$C$1393,C257,$D$8:$D$1393,D257,$H$8:$H$1393,"Serviço"),0))))</f>
        <v>519.54254970240004</v>
      </c>
      <c r="O257" s="462" t="s">
        <v>1271</v>
      </c>
      <c r="P257" s="213" t="s">
        <v>518</v>
      </c>
      <c r="Q257" s="35"/>
      <c r="R257" s="35"/>
      <c r="S257" s="35"/>
    </row>
    <row r="258" spans="1:19" s="34" customFormat="1" ht="13.9" hidden="1" customHeight="1" outlineLevel="2" x14ac:dyDescent="0.2">
      <c r="A258" s="457">
        <f ca="1">IF($H258="UNIDADE CONSTRUTIVA",OFFSET(A258,-1,0)+1,LARGE(A$3:A257,1))</f>
        <v>0</v>
      </c>
      <c r="B258" s="457">
        <v>4</v>
      </c>
      <c r="C258" s="457">
        <v>3</v>
      </c>
      <c r="D258" s="458">
        <v>2</v>
      </c>
      <c r="E258" s="458">
        <v>2</v>
      </c>
      <c r="G258" s="206"/>
      <c r="H258" s="207" t="s">
        <v>212</v>
      </c>
      <c r="I258" s="208" t="s">
        <v>3707</v>
      </c>
      <c r="J258" s="209" t="s">
        <v>3701</v>
      </c>
      <c r="K258" s="210" t="s">
        <v>4</v>
      </c>
      <c r="L258" s="455">
        <f>'ALVENARIA ESTRUTURAL'!F15</f>
        <v>40.116599999999998</v>
      </c>
      <c r="M258" s="455">
        <f>M257</f>
        <v>61.192</v>
      </c>
      <c r="N258" s="285">
        <f t="shared" si="63"/>
        <v>2454.8149871999999</v>
      </c>
      <c r="O258" s="462" t="s">
        <v>1271</v>
      </c>
      <c r="P258" s="213" t="s">
        <v>518</v>
      </c>
      <c r="Q258" s="35"/>
      <c r="R258" s="35"/>
      <c r="S258" s="35"/>
    </row>
    <row r="259" spans="1:19" s="34" customFormat="1" ht="13.9" hidden="1" customHeight="1" outlineLevel="1" x14ac:dyDescent="0.2">
      <c r="A259" s="457">
        <f ca="1">IF($H259="UNIDADE CONSTRUTIVA",OFFSET(A259,-1,0)+1,LARGE(A$3:A258,1))</f>
        <v>0</v>
      </c>
      <c r="B259" s="457">
        <f ca="1">IF(H259="UNIDADE CONSTRUTIVA",0,IF(H259="CÉLULA CONSTRUTIVA",OFFSET(B259,-1,0)+1,OFFSET(B259,-1,0)))</f>
        <v>4</v>
      </c>
      <c r="C259" s="457">
        <f ca="1">IF(H259="CÉLULA CONSTRUTIVA",0,IF(H259="ETAPA",OFFSET(C259,-1,0)+1,OFFSET(C259,-1,0)))</f>
        <v>3</v>
      </c>
      <c r="D259" s="458">
        <f ca="1">IF(H259="ETAPA",0,IF(H259="SUBETAPA",OFFSET(D259,-1,0)+1,OFFSET(D259,-1,0)))</f>
        <v>3</v>
      </c>
      <c r="E259" s="458">
        <f ca="1">IF(H259="Subetapa",0,IF(H259="serviço",OFFSET(E259,-1,0)+1,OFFSET(E259,-1,0)))</f>
        <v>0</v>
      </c>
      <c r="G259" s="206"/>
      <c r="H259" s="207" t="s">
        <v>211</v>
      </c>
      <c r="I259" s="208" t="str">
        <f ca="1">IF(H259="Unidade Construtiva",TEXT(A259,"00"),IF(H259="Célula Construtiva",TEXT(B259,"00"),IF(H259="Etapa",CONCATENATE(TEXT(B259,"00"),".",TEXT(C259,"000")),IF(H259="Subetapa",CONCATENATE(TEXT(B259,"00"),".",TEXT(C259,"000"),".",TEXT(D259,"000")),IF(H259="Serviço",CONCATENATE(TEXT(B259,"00"),".",TEXT(C259,"000"),".",TEXT(D259,"000"),".",TEXT(E259,"000")),"")))))</f>
        <v>04.003.003</v>
      </c>
      <c r="J259" s="209" t="s">
        <v>130</v>
      </c>
      <c r="K259" s="210"/>
      <c r="L259" s="455"/>
      <c r="M259" s="455"/>
      <c r="N259" s="285">
        <f t="shared" ca="1" si="63"/>
        <v>507805.48000000004</v>
      </c>
      <c r="O259" s="462"/>
      <c r="P259" s="213"/>
      <c r="Q259" s="35"/>
      <c r="R259" s="35"/>
      <c r="S259" s="35"/>
    </row>
    <row r="260" spans="1:19" s="34" customFormat="1" ht="13.9" hidden="1" customHeight="1" outlineLevel="2" x14ac:dyDescent="0.2">
      <c r="A260" s="457">
        <f ca="1">IF($H260="UNIDADE CONSTRUTIVA",OFFSET(A260,-1,0)+1,LARGE(A$3:A259,1))</f>
        <v>0</v>
      </c>
      <c r="B260" s="457">
        <f ca="1">IF(H260="UNIDADE CONSTRUTIVA",0,IF(H260="CÉLULA CONSTRUTIVA",OFFSET(B260,-1,0)+1,OFFSET(B260,-1,0)))</f>
        <v>4</v>
      </c>
      <c r="C260" s="457">
        <f ca="1">IF(H260="CÉLULA CONSTRUTIVA",0,IF(H260="ETAPA",OFFSET(C260,-1,0)+1,OFFSET(C260,-1,0)))</f>
        <v>3</v>
      </c>
      <c r="D260" s="458">
        <f ca="1">IF(H260="ETAPA",0,IF(H260="SUBETAPA",OFFSET(D260,-1,0)+1,OFFSET(D260,-1,0)))</f>
        <v>3</v>
      </c>
      <c r="E260" s="458">
        <f ca="1">IF(H260="Subetapa",0,IF(H260="serviço",OFFSET(E260,-1,0)+1,OFFSET(E260,-1,0)))</f>
        <v>1</v>
      </c>
      <c r="G260" s="206"/>
      <c r="H260" s="207" t="s">
        <v>212</v>
      </c>
      <c r="I260" s="208" t="str">
        <f ca="1">IF(H260="Unidade Construtiva",TEXT(A260,"00"),IF(H260="Célula Construtiva",TEXT(B260,"00"),IF(H260="Etapa",CONCATENATE(TEXT(B260,"00"),".",TEXT(C260,"000")),IF(H260="Subetapa",CONCATENATE(TEXT(B260,"00"),".",TEXT(C260,"000"),".",TEXT(D260,"000")),IF(H260="Serviço",CONCATENATE(TEXT(B260,"00"),".",TEXT(C260,"000"),".",TEXT(D260,"000"),".",TEXT(E260,"000")),"")))))</f>
        <v>04.003.003.001</v>
      </c>
      <c r="J260" s="209" t="s">
        <v>4993</v>
      </c>
      <c r="K260" s="210" t="s">
        <v>1</v>
      </c>
      <c r="L260" s="455">
        <f>L255</f>
        <v>2881.02</v>
      </c>
      <c r="M260" s="455">
        <v>52</v>
      </c>
      <c r="N260" s="285">
        <f t="shared" si="63"/>
        <v>149813.04</v>
      </c>
      <c r="O260" s="462"/>
      <c r="P260" s="213" t="s">
        <v>518</v>
      </c>
      <c r="Q260" s="35"/>
      <c r="R260" s="35"/>
      <c r="S260" s="35"/>
    </row>
    <row r="261" spans="1:19" s="34" customFormat="1" ht="13.9" hidden="1" customHeight="1" outlineLevel="1" x14ac:dyDescent="0.2">
      <c r="A261" s="457">
        <f ca="1">IF($H261="UNIDADE CONSTRUTIVA",OFFSET(A261,-1,0)+1,LARGE(A$3:A258,1))</f>
        <v>0</v>
      </c>
      <c r="B261" s="457">
        <f ca="1">IF(H261="UNIDADE CONSTRUTIVA",0,IF(H261="CÉLULA CONSTRUTIVA",OFFSET(B261,-1,0)+1,OFFSET(B261,-1,0)))</f>
        <v>4</v>
      </c>
      <c r="C261" s="457">
        <f ca="1">IF(H261="CÉLULA CONSTRUTIVA",0,IF(H261="ETAPA",OFFSET(C261,-1,0)+1,OFFSET(C261,-1,0)))</f>
        <v>4</v>
      </c>
      <c r="D261" s="458">
        <f ca="1">IF(H261="ETAPA",0,IF(H261="SUBETAPA",OFFSET(D261,-1,0)+1,OFFSET(D261,-1,0)))</f>
        <v>0</v>
      </c>
      <c r="E261" s="458">
        <f ca="1">IF(H261="Subetapa",0,IF(H261="serviço",OFFSET(E261,-1,0)+1,OFFSET(E261,-1,0)))</f>
        <v>1</v>
      </c>
      <c r="G261" s="206"/>
      <c r="H261" s="207" t="s">
        <v>210</v>
      </c>
      <c r="I261" s="208" t="str">
        <f ca="1">IF(H261="Unidade Construtiva",TEXT(A261,"00"),IF(H261="Célula Construtiva",TEXT(B261,"00"),IF(H261="Etapa",CONCATENATE(TEXT(B261,"00"),".",TEXT(C261,"000")),IF(H261="Subetapa",CONCATENATE(TEXT(B261,"00"),".",TEXT(C261,"000"),".",TEXT(D261,"000")),IF(H261="Serviço",CONCATENATE(TEXT(B261,"00"),".",TEXT(C261,"000"),".",TEXT(D261,"000"),".",TEXT(E261,"000")),"")))))</f>
        <v>04.004</v>
      </c>
      <c r="J261" s="209" t="s">
        <v>1269</v>
      </c>
      <c r="K261" s="210"/>
      <c r="L261" s="455"/>
      <c r="M261" s="455"/>
      <c r="N261" s="285">
        <f t="shared" ca="1" si="63"/>
        <v>594021.86672113987</v>
      </c>
      <c r="O261" s="462"/>
      <c r="P261" s="213"/>
      <c r="Q261" s="35"/>
      <c r="R261" s="35"/>
      <c r="S261" s="35"/>
    </row>
    <row r="262" spans="1:19" s="34" customFormat="1" ht="13.9" hidden="1" customHeight="1" outlineLevel="1" x14ac:dyDescent="0.2">
      <c r="A262" s="457">
        <f ca="1">IF($H262="UNIDADE CONSTRUTIVA",OFFSET(A262,-1,0)+1,LARGE(A$3:A261,1))</f>
        <v>0</v>
      </c>
      <c r="B262" s="457">
        <f ca="1">IF(H262="UNIDADE CONSTRUTIVA",0,IF(H262="CÉLULA CONSTRUTIVA",OFFSET(B262,-1,0)+1,OFFSET(B262,-1,0)))</f>
        <v>4</v>
      </c>
      <c r="C262" s="457">
        <f ca="1">IF(H262="CÉLULA CONSTRUTIVA",0,IF(H262="ETAPA",OFFSET(C262,-1,0)+1,OFFSET(C262,-1,0)))</f>
        <v>4</v>
      </c>
      <c r="D262" s="458">
        <f ca="1">IF(H262="ETAPA",0,IF(H262="SUBETAPA",OFFSET(D262,-1,0)+1,OFFSET(D262,-1,0)))</f>
        <v>1</v>
      </c>
      <c r="E262" s="458">
        <f ca="1">IF(H262="Subetapa",0,IF(H262="serviço",OFFSET(E262,-1,0)+1,OFFSET(E262,-1,0)))</f>
        <v>0</v>
      </c>
      <c r="G262" s="206"/>
      <c r="H262" s="207" t="s">
        <v>211</v>
      </c>
      <c r="I262" s="208" t="str">
        <f ca="1">IF(H262="Unidade Construtiva",TEXT(A262,"00"),IF(H262="Célula Construtiva",TEXT(B262,"00"),IF(H262="Etapa",CONCATENATE(TEXT(B262,"00"),".",TEXT(C262,"000")),IF(H262="Subetapa",CONCATENATE(TEXT(B262,"00"),".",TEXT(C262,"000"),".",TEXT(D262,"000")),IF(H262="Serviço",CONCATENATE(TEXT(B262,"00"),".",TEXT(C262,"000"),".",TEXT(D262,"000"),".",TEXT(E262,"000")),"")))))</f>
        <v>04.004.001</v>
      </c>
      <c r="J262" s="209" t="s">
        <v>805</v>
      </c>
      <c r="K262" s="210"/>
      <c r="L262" s="455"/>
      <c r="M262" s="455"/>
      <c r="N262" s="285">
        <f t="shared" ca="1" si="63"/>
        <v>594021.86672113987</v>
      </c>
      <c r="O262" s="462"/>
      <c r="P262" s="213"/>
      <c r="Q262" s="35"/>
      <c r="R262" s="35"/>
      <c r="S262" s="35"/>
    </row>
    <row r="263" spans="1:19" s="34" customFormat="1" ht="13.9" hidden="1" customHeight="1" outlineLevel="2" x14ac:dyDescent="0.2">
      <c r="A263" s="457">
        <f ca="1">IF($H263="UNIDADE CONSTRUTIVA",OFFSET(A263,-1,0)+1,LARGE(A$3:A262,1))</f>
        <v>0</v>
      </c>
      <c r="B263" s="457">
        <f ca="1">IF(H263="UNIDADE CONSTRUTIVA",0,IF(H263="CÉLULA CONSTRUTIVA",OFFSET(B263,-1,0)+1,OFFSET(B263,-1,0)))</f>
        <v>4</v>
      </c>
      <c r="C263" s="457">
        <f ca="1">IF(H263="CÉLULA CONSTRUTIVA",0,IF(H263="ETAPA",OFFSET(C263,-1,0)+1,OFFSET(C263,-1,0)))</f>
        <v>4</v>
      </c>
      <c r="D263" s="458">
        <f ca="1">IF(H263="ETAPA",0,IF(H263="SUBETAPA",OFFSET(D263,-1,0)+1,OFFSET(D263,-1,0)))</f>
        <v>1</v>
      </c>
      <c r="E263" s="458">
        <f ca="1">IF(H263="Subetapa",0,IF(H263="serviço",OFFSET(E263,-1,0)+1,OFFSET(E263,-1,0)))</f>
        <v>1</v>
      </c>
      <c r="G263" s="206"/>
      <c r="H263" s="207" t="s">
        <v>212</v>
      </c>
      <c r="I263" s="208" t="str">
        <f ca="1">IF(H263="Unidade Construtiva",TEXT(A263,"00"),IF(H263="Célula Construtiva",TEXT(B263,"00"),IF(H263="Etapa",CONCATENATE(TEXT(B263,"00"),".",TEXT(C263,"000")),IF(H263="Subetapa",CONCATENATE(TEXT(B263,"00"),".",TEXT(C263,"000"),".",TEXT(D263,"000")),IF(H263="Serviço",CONCATENATE(TEXT(B263,"00"),".",TEXT(C263,"000"),".",TEXT(D263,"000"),".",TEXT(E263,"000")),"")))))</f>
        <v>04.004.001.001</v>
      </c>
      <c r="J263" s="209" t="s">
        <v>1268</v>
      </c>
      <c r="K263" s="210" t="s">
        <v>1</v>
      </c>
      <c r="L263" s="455">
        <f>Arquitetura!H67+Arquitetura!H68</f>
        <v>3043.1100000000006</v>
      </c>
      <c r="M263" s="455">
        <f>'ALVENARIA ESTRUTURAL'!F112</f>
        <v>58.048065587882064</v>
      </c>
      <c r="N263" s="285">
        <f t="shared" si="63"/>
        <v>176646.64887113983</v>
      </c>
      <c r="O263" s="462" t="s">
        <v>1262</v>
      </c>
      <c r="P263" s="213" t="s">
        <v>518</v>
      </c>
      <c r="Q263" s="35"/>
      <c r="R263" s="35"/>
      <c r="S263" s="35"/>
    </row>
    <row r="264" spans="1:19" s="34" customFormat="1" ht="13.9" hidden="1" customHeight="1" outlineLevel="1" x14ac:dyDescent="0.2">
      <c r="A264" s="457">
        <f ca="1">IF($H264="UNIDADE CONSTRUTIVA",OFFSET(A264,-1,0)+1,LARGE(A$3:A263,1))</f>
        <v>0</v>
      </c>
      <c r="B264" s="457">
        <v>4</v>
      </c>
      <c r="C264" s="457">
        <v>3</v>
      </c>
      <c r="D264" s="458">
        <v>2</v>
      </c>
      <c r="E264" s="458">
        <v>0</v>
      </c>
      <c r="G264" s="206"/>
      <c r="H264" s="207" t="s">
        <v>211</v>
      </c>
      <c r="I264" s="208" t="s">
        <v>3705</v>
      </c>
      <c r="J264" s="209" t="s">
        <v>3704</v>
      </c>
      <c r="K264" s="210"/>
      <c r="L264" s="455"/>
      <c r="M264" s="455"/>
      <c r="N264" s="285">
        <v>20758.731431723343</v>
      </c>
      <c r="O264" s="462"/>
      <c r="P264" s="213"/>
      <c r="Q264" s="35"/>
      <c r="R264" s="35"/>
      <c r="S264" s="35"/>
    </row>
    <row r="265" spans="1:19" s="34" customFormat="1" ht="13.9" hidden="1" customHeight="1" outlineLevel="2" x14ac:dyDescent="0.2">
      <c r="A265" s="457">
        <f ca="1">IF($H265="UNIDADE CONSTRUTIVA",OFFSET(A265,-1,0)+1,LARGE(A$3:A264,1))</f>
        <v>0</v>
      </c>
      <c r="B265" s="457">
        <v>4</v>
      </c>
      <c r="C265" s="457">
        <v>3</v>
      </c>
      <c r="D265" s="458">
        <v>2</v>
      </c>
      <c r="E265" s="458">
        <v>1</v>
      </c>
      <c r="G265" s="206"/>
      <c r="H265" s="207" t="s">
        <v>212</v>
      </c>
      <c r="I265" s="208" t="s">
        <v>3706</v>
      </c>
      <c r="J265" s="209" t="s">
        <v>4984</v>
      </c>
      <c r="K265" s="210" t="s">
        <v>4</v>
      </c>
      <c r="L265" s="455">
        <f>SUM('ALVENARIA ESTRUTURAL'!G14:J14)</f>
        <v>10.2856782</v>
      </c>
      <c r="M265" s="455">
        <f>'ALVENARIA ESTRUTURAL'!$L$59</f>
        <v>62.847999999999999</v>
      </c>
      <c r="N265" s="285">
        <f t="shared" ref="N265:N278" si="64">IF(H265="Serviço",M265*L265,IF(H265="CÉLULA CONSTRUTIVA",SUMIFS($N$8:$N$1393,$B$8:$B$1393,B265,$H$8:$H$1393,"Serviço"),IF(H265="ETAPA",SUMIFS($N$8:$N$1393,$B$8:$B$1393,B265,$C$8:$C$1393,C265,$H$8:$H$1393,"Serviço"),IF(H265="SUBETAPA",SUMIFS($N$8:$N$1393,$B$8:$B$1393,B265,$C$8:$C$1393,C265,$D$8:$D$1393,D265,$H$8:$H$1393,"Serviço"),0))))</f>
        <v>646.43430351359996</v>
      </c>
      <c r="O265" s="636" t="s">
        <v>1271</v>
      </c>
      <c r="P265" s="213" t="s">
        <v>518</v>
      </c>
      <c r="Q265" s="35"/>
      <c r="R265" s="35"/>
      <c r="S265" s="35"/>
    </row>
    <row r="266" spans="1:19" s="34" customFormat="1" ht="13.9" hidden="1" customHeight="1" outlineLevel="2" x14ac:dyDescent="0.2">
      <c r="A266" s="457">
        <f ca="1">IF($H266="UNIDADE CONSTRUTIVA",OFFSET(A266,-1,0)+1,LARGE(A$3:A265,1))</f>
        <v>0</v>
      </c>
      <c r="B266" s="457">
        <v>4</v>
      </c>
      <c r="C266" s="457">
        <v>3</v>
      </c>
      <c r="D266" s="458">
        <v>2</v>
      </c>
      <c r="E266" s="458">
        <v>2</v>
      </c>
      <c r="G266" s="206"/>
      <c r="H266" s="207" t="s">
        <v>212</v>
      </c>
      <c r="I266" s="208" t="s">
        <v>3707</v>
      </c>
      <c r="J266" s="209" t="s">
        <v>3701</v>
      </c>
      <c r="K266" s="210" t="s">
        <v>4</v>
      </c>
      <c r="L266" s="455">
        <f>SUM('ALVENARIA ESTRUTURAL'!G15:J15)</f>
        <v>36.115200000000002</v>
      </c>
      <c r="M266" s="455">
        <f>M265</f>
        <v>62.847999999999999</v>
      </c>
      <c r="N266" s="285">
        <f t="shared" si="64"/>
        <v>2269.7680896000002</v>
      </c>
      <c r="O266" s="636" t="s">
        <v>1271</v>
      </c>
      <c r="P266" s="213" t="s">
        <v>518</v>
      </c>
      <c r="Q266" s="35"/>
      <c r="R266" s="35"/>
      <c r="S266" s="35"/>
    </row>
    <row r="267" spans="1:19" s="34" customFormat="1" ht="13.9" hidden="1" customHeight="1" outlineLevel="2" x14ac:dyDescent="0.2">
      <c r="A267" s="457">
        <f ca="1">IF($H267="UNIDADE CONSTRUTIVA",OFFSET(A267,-1,0)+1,LARGE(A$3:A266,1))</f>
        <v>0</v>
      </c>
      <c r="B267" s="457">
        <v>4</v>
      </c>
      <c r="C267" s="457">
        <v>3</v>
      </c>
      <c r="D267" s="458">
        <v>2</v>
      </c>
      <c r="E267" s="458">
        <v>3</v>
      </c>
      <c r="G267" s="206"/>
      <c r="H267" s="207" t="s">
        <v>212</v>
      </c>
      <c r="I267" s="208" t="s">
        <v>3708</v>
      </c>
      <c r="J267" s="209" t="s">
        <v>4175</v>
      </c>
      <c r="K267" s="210" t="s">
        <v>3</v>
      </c>
      <c r="L267" s="455">
        <f>Arquitetura!D121</f>
        <v>453.95</v>
      </c>
      <c r="M267" s="455">
        <v>13.9</v>
      </c>
      <c r="N267" s="285">
        <f t="shared" si="64"/>
        <v>6309.9049999999997</v>
      </c>
      <c r="O267" s="636" t="s">
        <v>4178</v>
      </c>
      <c r="P267" s="213" t="s">
        <v>518</v>
      </c>
      <c r="Q267" s="35"/>
      <c r="R267" s="35"/>
      <c r="S267" s="35"/>
    </row>
    <row r="268" spans="1:19" s="34" customFormat="1" ht="13.9" hidden="1" customHeight="1" outlineLevel="1" x14ac:dyDescent="0.2">
      <c r="A268" s="457">
        <f ca="1">IF($H268="UNIDADE CONSTRUTIVA",OFFSET(A268,-1,0)+1,LARGE(A$3:A267,1))</f>
        <v>0</v>
      </c>
      <c r="B268" s="457">
        <f t="shared" ref="B268:B286" ca="1" si="65">IF(H268="UNIDADE CONSTRUTIVA",0,IF(H268="CÉLULA CONSTRUTIVA",OFFSET(B268,-1,0)+1,OFFSET(B268,-1,0)))</f>
        <v>4</v>
      </c>
      <c r="C268" s="457">
        <f t="shared" ref="C268:C286" ca="1" si="66">IF(H268="CÉLULA CONSTRUTIVA",0,IF(H268="ETAPA",OFFSET(C268,-1,0)+1,OFFSET(C268,-1,0)))</f>
        <v>3</v>
      </c>
      <c r="D268" s="458">
        <f t="shared" ref="D268:D286" ca="1" si="67">IF(H268="ETAPA",0,IF(H268="SUBETAPA",OFFSET(D268,-1,0)+1,OFFSET(D268,-1,0)))</f>
        <v>3</v>
      </c>
      <c r="E268" s="458">
        <f t="shared" ref="E268:E286" ca="1" si="68">IF(H268="Subetapa",0,IF(H268="serviço",OFFSET(E268,-1,0)+1,OFFSET(E268,-1,0)))</f>
        <v>0</v>
      </c>
      <c r="G268" s="206"/>
      <c r="H268" s="207" t="s">
        <v>211</v>
      </c>
      <c r="I268" s="208" t="str">
        <f t="shared" ref="I268:I286" ca="1" si="69">IF(H268="Unidade Construtiva",TEXT(A268,"00"),IF(H268="Célula Construtiva",TEXT(B268,"00"),IF(H268="Etapa",CONCATENATE(TEXT(B268,"00"),".",TEXT(C268,"000")),IF(H268="Subetapa",CONCATENATE(TEXT(B268,"00"),".",TEXT(C268,"000"),".",TEXT(D268,"000")),IF(H268="Serviço",CONCATENATE(TEXT(B268,"00"),".",TEXT(C268,"000"),".",TEXT(D268,"000"),".",TEXT(E268,"000")),"")))))</f>
        <v>04.003.003</v>
      </c>
      <c r="J268" s="209" t="s">
        <v>130</v>
      </c>
      <c r="K268" s="210"/>
      <c r="L268" s="455"/>
      <c r="M268" s="455"/>
      <c r="N268" s="285">
        <f t="shared" ca="1" si="64"/>
        <v>507805.48000000004</v>
      </c>
      <c r="O268" s="462"/>
      <c r="P268" s="213"/>
      <c r="Q268" s="35"/>
      <c r="R268" s="35"/>
      <c r="S268" s="35"/>
    </row>
    <row r="269" spans="1:19" s="34" customFormat="1" ht="13.9" hidden="1" customHeight="1" outlineLevel="2" x14ac:dyDescent="0.2">
      <c r="A269" s="457">
        <f ca="1">IF($H269="UNIDADE CONSTRUTIVA",OFFSET(A269,-1,0)+1,LARGE(A$3:A268,1))</f>
        <v>0</v>
      </c>
      <c r="B269" s="457">
        <f t="shared" ca="1" si="65"/>
        <v>4</v>
      </c>
      <c r="C269" s="457">
        <f t="shared" ca="1" si="66"/>
        <v>3</v>
      </c>
      <c r="D269" s="458">
        <f t="shared" ca="1" si="67"/>
        <v>3</v>
      </c>
      <c r="E269" s="458">
        <f t="shared" ca="1" si="68"/>
        <v>1</v>
      </c>
      <c r="G269" s="206"/>
      <c r="H269" s="207" t="s">
        <v>212</v>
      </c>
      <c r="I269" s="208" t="str">
        <f t="shared" ca="1" si="69"/>
        <v>04.003.003.001</v>
      </c>
      <c r="J269" s="209" t="s">
        <v>4993</v>
      </c>
      <c r="K269" s="210" t="s">
        <v>1</v>
      </c>
      <c r="L269" s="455">
        <f>L263</f>
        <v>3043.1100000000006</v>
      </c>
      <c r="M269" s="455">
        <v>52</v>
      </c>
      <c r="N269" s="285">
        <f t="shared" si="64"/>
        <v>158241.72000000003</v>
      </c>
      <c r="O269" s="462"/>
      <c r="P269" s="213" t="s">
        <v>518</v>
      </c>
      <c r="Q269" s="35"/>
      <c r="R269" s="35"/>
      <c r="S269" s="35"/>
    </row>
    <row r="270" spans="1:19" s="34" customFormat="1" ht="13.9" hidden="1" customHeight="1" outlineLevel="1" x14ac:dyDescent="0.2">
      <c r="A270" s="457">
        <f ca="1">IF($H270="UNIDADE CONSTRUTIVA",OFFSET(A270,-1,0)+1,LARGE(A$3:A267,1))</f>
        <v>0</v>
      </c>
      <c r="B270" s="457">
        <f t="shared" ca="1" si="65"/>
        <v>4</v>
      </c>
      <c r="C270" s="457">
        <f t="shared" ca="1" si="66"/>
        <v>4</v>
      </c>
      <c r="D270" s="458">
        <f t="shared" ca="1" si="67"/>
        <v>0</v>
      </c>
      <c r="E270" s="458">
        <f t="shared" ca="1" si="68"/>
        <v>1</v>
      </c>
      <c r="G270" s="206"/>
      <c r="H270" s="207" t="s">
        <v>210</v>
      </c>
      <c r="I270" s="208" t="str">
        <f t="shared" ca="1" si="69"/>
        <v>04.004</v>
      </c>
      <c r="J270" s="209" t="s">
        <v>1261</v>
      </c>
      <c r="K270" s="210"/>
      <c r="L270" s="455"/>
      <c r="M270" s="455"/>
      <c r="N270" s="285">
        <f t="shared" ca="1" si="64"/>
        <v>594021.86672113987</v>
      </c>
      <c r="O270" s="462"/>
      <c r="P270" s="213"/>
      <c r="Q270" s="35"/>
      <c r="R270" s="35"/>
      <c r="S270" s="35"/>
    </row>
    <row r="271" spans="1:19" s="34" customFormat="1" ht="13.9" hidden="1" customHeight="1" outlineLevel="1" x14ac:dyDescent="0.2">
      <c r="A271" s="457">
        <f ca="1">IF($H271="UNIDADE CONSTRUTIVA",OFFSET(A271,-1,0)+1,LARGE(A$3:A270,1))</f>
        <v>0</v>
      </c>
      <c r="B271" s="457">
        <f t="shared" ca="1" si="65"/>
        <v>4</v>
      </c>
      <c r="C271" s="457">
        <f t="shared" ca="1" si="66"/>
        <v>4</v>
      </c>
      <c r="D271" s="458">
        <f t="shared" ca="1" si="67"/>
        <v>1</v>
      </c>
      <c r="E271" s="458">
        <f t="shared" ca="1" si="68"/>
        <v>0</v>
      </c>
      <c r="G271" s="206"/>
      <c r="H271" s="207" t="s">
        <v>211</v>
      </c>
      <c r="I271" s="208" t="str">
        <f t="shared" ca="1" si="69"/>
        <v>04.004.001</v>
      </c>
      <c r="J271" s="209" t="s">
        <v>1257</v>
      </c>
      <c r="K271" s="210"/>
      <c r="L271" s="455"/>
      <c r="M271" s="455"/>
      <c r="N271" s="285">
        <f t="shared" ca="1" si="64"/>
        <v>594021.86672113987</v>
      </c>
      <c r="O271" s="462"/>
      <c r="P271" s="213"/>
      <c r="Q271" s="35"/>
      <c r="R271" s="35"/>
      <c r="S271" s="35"/>
    </row>
    <row r="272" spans="1:19" s="34" customFormat="1" ht="13.9" hidden="1" customHeight="1" outlineLevel="2" x14ac:dyDescent="0.2">
      <c r="A272" s="457">
        <f ca="1">IF($H272="UNIDADE CONSTRUTIVA",OFFSET(A272,-1,0)+1,LARGE(A$3:A271,1))</f>
        <v>0</v>
      </c>
      <c r="B272" s="457">
        <f t="shared" ca="1" si="65"/>
        <v>4</v>
      </c>
      <c r="C272" s="457">
        <f t="shared" ca="1" si="66"/>
        <v>4</v>
      </c>
      <c r="D272" s="458">
        <f t="shared" ca="1" si="67"/>
        <v>1</v>
      </c>
      <c r="E272" s="458">
        <f t="shared" ca="1" si="68"/>
        <v>1</v>
      </c>
      <c r="G272" s="206"/>
      <c r="H272" s="207" t="s">
        <v>212</v>
      </c>
      <c r="I272" s="208" t="str">
        <f t="shared" ca="1" si="69"/>
        <v>04.004.001.001</v>
      </c>
      <c r="J272" s="209" t="s">
        <v>539</v>
      </c>
      <c r="K272" s="210" t="s">
        <v>5</v>
      </c>
      <c r="L272" s="455">
        <f>'ALVENARIA ESTRUTURAL'!D31</f>
        <v>2566.454545454545</v>
      </c>
      <c r="M272" s="455">
        <v>6.9222999999999999</v>
      </c>
      <c r="N272" s="285">
        <f t="shared" si="64"/>
        <v>17765.768299999996</v>
      </c>
      <c r="O272" s="462"/>
      <c r="P272" s="213" t="s">
        <v>518</v>
      </c>
      <c r="Q272" s="465"/>
      <c r="R272" s="465"/>
      <c r="S272" s="35"/>
    </row>
    <row r="273" spans="1:20" s="34" customFormat="1" ht="13.9" hidden="1" customHeight="1" outlineLevel="2" x14ac:dyDescent="0.2">
      <c r="A273" s="457">
        <f ca="1">IF($H273="UNIDADE CONSTRUTIVA",OFFSET(A273,-1,0)+1,LARGE(A$3:A272,1))</f>
        <v>0</v>
      </c>
      <c r="B273" s="457">
        <f t="shared" ca="1" si="65"/>
        <v>4</v>
      </c>
      <c r="C273" s="457">
        <f t="shared" ca="1" si="66"/>
        <v>4</v>
      </c>
      <c r="D273" s="458">
        <f t="shared" ca="1" si="67"/>
        <v>1</v>
      </c>
      <c r="E273" s="458">
        <f t="shared" ca="1" si="68"/>
        <v>2</v>
      </c>
      <c r="G273" s="206"/>
      <c r="H273" s="207" t="s">
        <v>212</v>
      </c>
      <c r="I273" s="208" t="str">
        <f t="shared" ca="1" si="69"/>
        <v>04.004.001.002</v>
      </c>
      <c r="J273" s="209" t="s">
        <v>540</v>
      </c>
      <c r="K273" s="210" t="s">
        <v>5</v>
      </c>
      <c r="L273" s="455">
        <f>'ALVENARIA ESTRUTURAL'!D32</f>
        <v>2317.0454545454545</v>
      </c>
      <c r="M273" s="455">
        <v>6.7462999999999997</v>
      </c>
      <c r="N273" s="285">
        <f t="shared" si="64"/>
        <v>15631.483749999999</v>
      </c>
      <c r="O273" s="462"/>
      <c r="P273" s="213" t="s">
        <v>518</v>
      </c>
      <c r="Q273" s="465"/>
      <c r="R273" s="465"/>
      <c r="S273" s="35"/>
    </row>
    <row r="274" spans="1:20" s="34" customFormat="1" ht="13.9" hidden="1" customHeight="1" outlineLevel="2" x14ac:dyDescent="0.2">
      <c r="A274" s="457">
        <f ca="1">IF($H274="UNIDADE CONSTRUTIVA",OFFSET(A274,-1,0)+1,LARGE(A$3:A273,1))</f>
        <v>0</v>
      </c>
      <c r="B274" s="457">
        <f t="shared" ca="1" si="65"/>
        <v>4</v>
      </c>
      <c r="C274" s="457">
        <f t="shared" ca="1" si="66"/>
        <v>4</v>
      </c>
      <c r="D274" s="458">
        <f t="shared" ca="1" si="67"/>
        <v>1</v>
      </c>
      <c r="E274" s="458">
        <f t="shared" ca="1" si="68"/>
        <v>3</v>
      </c>
      <c r="G274" s="206"/>
      <c r="H274" s="207" t="s">
        <v>212</v>
      </c>
      <c r="I274" s="208" t="str">
        <f t="shared" ca="1" si="69"/>
        <v>04.004.001.003</v>
      </c>
      <c r="J274" s="209" t="s">
        <v>1253</v>
      </c>
      <c r="K274" s="210" t="s">
        <v>5</v>
      </c>
      <c r="L274" s="455">
        <f>'ALVENARIA ESTRUTURAL'!D33</f>
        <v>3267.090909090909</v>
      </c>
      <c r="M274" s="455">
        <v>6.8783000000000003</v>
      </c>
      <c r="N274" s="285">
        <f t="shared" si="64"/>
        <v>22472.0314</v>
      </c>
      <c r="O274" s="462"/>
      <c r="P274" s="213" t="s">
        <v>518</v>
      </c>
      <c r="Q274" s="465"/>
      <c r="R274" s="465"/>
      <c r="S274" s="35"/>
    </row>
    <row r="275" spans="1:20" s="34" customFormat="1" ht="13.9" customHeight="1" x14ac:dyDescent="0.2">
      <c r="A275" s="457">
        <f ca="1">IF($H275="UNIDADE CONSTRUTIVA",OFFSET(A275,-1,0)+1,LARGE(A$3:A274,1))</f>
        <v>0</v>
      </c>
      <c r="B275" s="457">
        <f t="shared" ca="1" si="65"/>
        <v>5</v>
      </c>
      <c r="C275" s="457">
        <f t="shared" ca="1" si="66"/>
        <v>0</v>
      </c>
      <c r="D275" s="458">
        <f t="shared" ca="1" si="67"/>
        <v>1</v>
      </c>
      <c r="E275" s="458">
        <f t="shared" ca="1" si="68"/>
        <v>3</v>
      </c>
      <c r="G275" s="206"/>
      <c r="H275" s="207" t="s">
        <v>209</v>
      </c>
      <c r="I275" s="208" t="str">
        <f t="shared" ca="1" si="69"/>
        <v>05</v>
      </c>
      <c r="J275" s="466" t="s">
        <v>405</v>
      </c>
      <c r="K275" s="210"/>
      <c r="L275" s="455"/>
      <c r="M275" s="455"/>
      <c r="N275" s="285">
        <f t="shared" ca="1" si="64"/>
        <v>743245.34266589128</v>
      </c>
      <c r="O275" s="462"/>
      <c r="P275" s="213"/>
      <c r="Q275" s="463"/>
      <c r="R275" s="463"/>
      <c r="S275" s="35"/>
    </row>
    <row r="276" spans="1:20" s="34" customFormat="1" ht="13.9" customHeight="1" outlineLevel="1" x14ac:dyDescent="0.2">
      <c r="A276" s="457">
        <f ca="1">IF($H276="UNIDADE CONSTRUTIVA",OFFSET(A276,-1,0)+1,LARGE(A$3:A275,1))</f>
        <v>0</v>
      </c>
      <c r="B276" s="457">
        <f t="shared" ca="1" si="65"/>
        <v>5</v>
      </c>
      <c r="C276" s="457">
        <f t="shared" ca="1" si="66"/>
        <v>1</v>
      </c>
      <c r="D276" s="458">
        <f t="shared" ca="1" si="67"/>
        <v>0</v>
      </c>
      <c r="E276" s="458">
        <f t="shared" ca="1" si="68"/>
        <v>3</v>
      </c>
      <c r="G276" s="206"/>
      <c r="H276" s="207" t="s">
        <v>210</v>
      </c>
      <c r="I276" s="208" t="str">
        <f t="shared" ca="1" si="69"/>
        <v>05.001</v>
      </c>
      <c r="J276" s="209" t="s">
        <v>822</v>
      </c>
      <c r="K276" s="210"/>
      <c r="L276" s="455"/>
      <c r="M276" s="455"/>
      <c r="N276" s="285">
        <f t="shared" ca="1" si="64"/>
        <v>86046.370984000008</v>
      </c>
      <c r="O276" s="462"/>
      <c r="P276" s="213"/>
      <c r="Q276" s="35"/>
      <c r="R276" s="35"/>
      <c r="S276" s="35"/>
    </row>
    <row r="277" spans="1:20" s="34" customFormat="1" ht="13.9" customHeight="1" outlineLevel="1" x14ac:dyDescent="0.2">
      <c r="A277" s="457">
        <f ca="1">IF($H277="UNIDADE CONSTRUTIVA",OFFSET(A277,-1,0)+1,LARGE(A$3:A276,1))</f>
        <v>0</v>
      </c>
      <c r="B277" s="457">
        <f t="shared" ca="1" si="65"/>
        <v>5</v>
      </c>
      <c r="C277" s="457">
        <f t="shared" ca="1" si="66"/>
        <v>1</v>
      </c>
      <c r="D277" s="458">
        <f t="shared" ca="1" si="67"/>
        <v>1</v>
      </c>
      <c r="E277" s="458">
        <f t="shared" ca="1" si="68"/>
        <v>0</v>
      </c>
      <c r="G277" s="206"/>
      <c r="H277" s="207" t="s">
        <v>211</v>
      </c>
      <c r="I277" s="208" t="str">
        <f t="shared" ca="1" si="69"/>
        <v>05.001.001</v>
      </c>
      <c r="J277" s="209" t="s">
        <v>406</v>
      </c>
      <c r="K277" s="210"/>
      <c r="L277" s="455"/>
      <c r="M277" s="455"/>
      <c r="N277" s="285">
        <f t="shared" ca="1" si="64"/>
        <v>38362.829310000001</v>
      </c>
      <c r="O277" s="462"/>
      <c r="P277" s="213"/>
      <c r="Q277" s="35"/>
      <c r="R277" s="35"/>
      <c r="S277" s="35"/>
    </row>
    <row r="278" spans="1:20" s="34" customFormat="1" ht="13.9" customHeight="1" outlineLevel="2" x14ac:dyDescent="0.2">
      <c r="A278" s="457">
        <f ca="1">IF($H278="UNIDADE CONSTRUTIVA",OFFSET(A278,-1,0)+1,LARGE(A$3:A277,1))</f>
        <v>0</v>
      </c>
      <c r="B278" s="457">
        <f t="shared" ca="1" si="65"/>
        <v>5</v>
      </c>
      <c r="C278" s="457">
        <f t="shared" ca="1" si="66"/>
        <v>1</v>
      </c>
      <c r="D278" s="458">
        <f t="shared" ca="1" si="67"/>
        <v>1</v>
      </c>
      <c r="E278" s="458">
        <f t="shared" ca="1" si="68"/>
        <v>1</v>
      </c>
      <c r="G278" s="206"/>
      <c r="H278" s="207" t="s">
        <v>212</v>
      </c>
      <c r="I278" s="208" t="str">
        <f t="shared" ca="1" si="69"/>
        <v>05.001.001.001</v>
      </c>
      <c r="J278" s="209" t="s">
        <v>3709</v>
      </c>
      <c r="K278" s="210" t="s">
        <v>1</v>
      </c>
      <c r="L278" s="455">
        <f>Arquitetura!D19</f>
        <v>711.49</v>
      </c>
      <c r="M278" s="455">
        <v>53.918999999999997</v>
      </c>
      <c r="N278" s="285">
        <f t="shared" si="64"/>
        <v>38362.829310000001</v>
      </c>
      <c r="O278" s="462"/>
      <c r="P278" s="213" t="s">
        <v>518</v>
      </c>
      <c r="Q278" s="35"/>
      <c r="R278" s="35"/>
      <c r="S278" s="35"/>
    </row>
    <row r="279" spans="1:20" s="34" customFormat="1" ht="13.9" customHeight="1" outlineLevel="1" x14ac:dyDescent="0.2">
      <c r="A279" s="457">
        <f ca="1">IF($H279="UNIDADE CONSTRUTIVA",OFFSET(A279,-1,0)+1,LARGE(A$3:A278,1))</f>
        <v>0</v>
      </c>
      <c r="B279" s="457">
        <f t="shared" ca="1" si="65"/>
        <v>5</v>
      </c>
      <c r="C279" s="457">
        <f t="shared" ca="1" si="66"/>
        <v>1</v>
      </c>
      <c r="D279" s="458">
        <f t="shared" ca="1" si="67"/>
        <v>2</v>
      </c>
      <c r="E279" s="458">
        <f t="shared" ca="1" si="68"/>
        <v>0</v>
      </c>
      <c r="G279" s="206"/>
      <c r="H279" s="207" t="s">
        <v>211</v>
      </c>
      <c r="I279" s="208" t="str">
        <f t="shared" ca="1" si="69"/>
        <v>05.001.002</v>
      </c>
      <c r="J279" s="209" t="s">
        <v>824</v>
      </c>
      <c r="K279" s="210"/>
      <c r="L279" s="455"/>
      <c r="M279" s="455"/>
      <c r="N279" s="285">
        <f ca="1">IF(H279="Serviço",M279*L279,IF(H279="CÉLULA CONSTRUTIVA",SUMIFS($N$8:$N$2360,$B$8:$B$2360,B279,$H$8:$H$2360,"Serviço"),IF(H279="ETAPA",SUMIFS($N$8:$N$2360,$B$8:$B$2360,B279,$C$8:$C$2360,C279,$H$8:$H$2360,"Serviço"),IF(H279="SUBETAPA",SUMIFS($N$8:$N$2360,$B$8:$B$2360,B279,$C$8:$C$2360,C279,$D$8:$D$2360,D279,$H$8:$H$2360,"Serviço"),0))))</f>
        <v>11017.403504</v>
      </c>
      <c r="O279" s="462"/>
      <c r="P279" s="213"/>
      <c r="Q279" s="35"/>
      <c r="R279" s="35"/>
      <c r="S279" s="35"/>
    </row>
    <row r="280" spans="1:20" s="34" customFormat="1" ht="22.5" outlineLevel="2" x14ac:dyDescent="0.2">
      <c r="A280" s="457">
        <f ca="1">IF($H280="UNIDADE CONSTRUTIVA",OFFSET(A280,-1,0)+1,LARGE(A$3:A279,1))</f>
        <v>0</v>
      </c>
      <c r="B280" s="457">
        <f t="shared" ca="1" si="65"/>
        <v>5</v>
      </c>
      <c r="C280" s="457">
        <f t="shared" ca="1" si="66"/>
        <v>1</v>
      </c>
      <c r="D280" s="458">
        <f t="shared" ca="1" si="67"/>
        <v>2</v>
      </c>
      <c r="E280" s="458">
        <f t="shared" ca="1" si="68"/>
        <v>1</v>
      </c>
      <c r="G280" s="206"/>
      <c r="H280" s="207" t="s">
        <v>212</v>
      </c>
      <c r="I280" s="208" t="str">
        <f t="shared" ca="1" si="69"/>
        <v>05.001.002.001</v>
      </c>
      <c r="J280" s="468" t="s">
        <v>4919</v>
      </c>
      <c r="K280" s="210" t="s">
        <v>1</v>
      </c>
      <c r="L280" s="455">
        <f>Arquitetura!D132</f>
        <v>55.28</v>
      </c>
      <c r="M280" s="455">
        <v>199.30179999999999</v>
      </c>
      <c r="N280" s="285">
        <f>IF(H280="Serviço",M280*L280,IF(H280="CÉLULA CONSTRUTIVA",SUMIFS($N$8:$N$2360,$B$8:$B$2360,B280,$H$8:$H$2360,"Serviço"),IF(H280="ETAPA",SUMIFS($N$8:$N$2360,$B$8:$B$2360,B280,$C$8:$C$2360,C280,$H$8:$H$2360,"Serviço"),IF(H280="SUBETAPA",SUMIFS($N$8:$N$2360,$B$8:$B$2360,B280,$C$8:$C$2360,C280,$D$8:$D$2360,D280,$H$8:$H$2360,"Serviço"),0))))</f>
        <v>11017.403504</v>
      </c>
      <c r="O280" s="462"/>
      <c r="P280" s="213" t="s">
        <v>518</v>
      </c>
      <c r="Q280" s="35"/>
      <c r="R280" s="35"/>
      <c r="S280" s="35"/>
    </row>
    <row r="281" spans="1:20" s="34" customFormat="1" ht="13.9" customHeight="1" outlineLevel="1" x14ac:dyDescent="0.2">
      <c r="A281" s="457">
        <f ca="1">IF($H281="UNIDADE CONSTRUTIVA",OFFSET(A281,-1,0)+1,LARGE(A$3:A280,1))</f>
        <v>0</v>
      </c>
      <c r="B281" s="457">
        <f t="shared" ca="1" si="65"/>
        <v>5</v>
      </c>
      <c r="C281" s="457">
        <f t="shared" ca="1" si="66"/>
        <v>1</v>
      </c>
      <c r="D281" s="458">
        <f t="shared" ca="1" si="67"/>
        <v>3</v>
      </c>
      <c r="E281" s="458">
        <f t="shared" ca="1" si="68"/>
        <v>0</v>
      </c>
      <c r="G281" s="206"/>
      <c r="H281" s="207" t="s">
        <v>211</v>
      </c>
      <c r="I281" s="208" t="str">
        <f t="shared" ca="1" si="69"/>
        <v>05.001.003</v>
      </c>
      <c r="J281" s="209" t="s">
        <v>129</v>
      </c>
      <c r="K281" s="210"/>
      <c r="L281" s="455"/>
      <c r="M281" s="455"/>
      <c r="N281" s="285">
        <f t="shared" ref="N281:N289" ca="1" si="70">IF(H281="Serviço",M281*L281,IF(H281="CÉLULA CONSTRUTIVA",SUMIFS($N$8:$N$1393,$B$8:$B$1393,B281,$H$8:$H$1393,"Serviço"),IF(H281="ETAPA",SUMIFS($N$8:$N$1393,$B$8:$B$1393,B281,$C$8:$C$1393,C281,$H$8:$H$1393,"Serviço"),IF(H281="SUBETAPA",SUMIFS($N$8:$N$1393,$B$8:$B$1393,B281,$C$8:$C$1393,C281,$D$8:$D$1393,D281,$H$8:$H$1393,"Serviço"),0))))</f>
        <v>11763.988169999999</v>
      </c>
      <c r="O281" s="462"/>
      <c r="P281" s="213"/>
      <c r="Q281" s="35"/>
      <c r="R281" s="35"/>
      <c r="S281" s="35"/>
    </row>
    <row r="282" spans="1:20" s="34" customFormat="1" ht="13.9" customHeight="1" outlineLevel="2" x14ac:dyDescent="0.2">
      <c r="A282" s="457">
        <f ca="1">IF($H282="UNIDADE CONSTRUTIVA",OFFSET(A282,-1,0)+1,LARGE(A$3:A281,1))</f>
        <v>0</v>
      </c>
      <c r="B282" s="457">
        <f t="shared" ca="1" si="65"/>
        <v>5</v>
      </c>
      <c r="C282" s="457">
        <f t="shared" ca="1" si="66"/>
        <v>1</v>
      </c>
      <c r="D282" s="458">
        <f t="shared" ca="1" si="67"/>
        <v>3</v>
      </c>
      <c r="E282" s="458">
        <f t="shared" ca="1" si="68"/>
        <v>1</v>
      </c>
      <c r="G282" s="206"/>
      <c r="H282" s="207" t="s">
        <v>212</v>
      </c>
      <c r="I282" s="208" t="str">
        <f t="shared" ca="1" si="69"/>
        <v>05.001.003.001</v>
      </c>
      <c r="J282" s="209" t="s">
        <v>407</v>
      </c>
      <c r="K282" s="210" t="s">
        <v>3</v>
      </c>
      <c r="L282" s="455">
        <f>Arquitetura!D83</f>
        <v>281.63</v>
      </c>
      <c r="M282" s="455">
        <v>19.07</v>
      </c>
      <c r="N282" s="285">
        <f t="shared" si="70"/>
        <v>5370.6841000000004</v>
      </c>
      <c r="O282" s="462"/>
      <c r="P282" s="213" t="s">
        <v>518</v>
      </c>
      <c r="Q282" s="35"/>
      <c r="R282" s="35"/>
      <c r="S282" s="35"/>
    </row>
    <row r="283" spans="1:20" s="34" customFormat="1" ht="13.9" customHeight="1" outlineLevel="2" x14ac:dyDescent="0.2">
      <c r="A283" s="457">
        <f ca="1">IF($H283="UNIDADE CONSTRUTIVA",OFFSET(A283,-1,0)+1,LARGE(A$3:A282,1))</f>
        <v>0</v>
      </c>
      <c r="B283" s="457">
        <f t="shared" ca="1" si="65"/>
        <v>5</v>
      </c>
      <c r="C283" s="457">
        <f t="shared" ca="1" si="66"/>
        <v>1</v>
      </c>
      <c r="D283" s="458">
        <f t="shared" ca="1" si="67"/>
        <v>3</v>
      </c>
      <c r="E283" s="458">
        <f t="shared" ca="1" si="68"/>
        <v>2</v>
      </c>
      <c r="G283" s="206"/>
      <c r="H283" s="207" t="s">
        <v>212</v>
      </c>
      <c r="I283" s="208" t="str">
        <f t="shared" ca="1" si="69"/>
        <v>05.001.003.002</v>
      </c>
      <c r="J283" s="209" t="s">
        <v>408</v>
      </c>
      <c r="K283" s="210" t="s">
        <v>2</v>
      </c>
      <c r="L283" s="455">
        <f>L282*0.04</f>
        <v>11.2652</v>
      </c>
      <c r="M283" s="455">
        <v>4.0999999999999996</v>
      </c>
      <c r="N283" s="285">
        <f t="shared" si="70"/>
        <v>46.18732</v>
      </c>
      <c r="O283" s="462"/>
      <c r="P283" s="213" t="s">
        <v>518</v>
      </c>
      <c r="Q283" s="35"/>
      <c r="R283" s="35"/>
      <c r="S283" s="35"/>
      <c r="T283" s="467"/>
    </row>
    <row r="284" spans="1:20" s="34" customFormat="1" ht="13.9" customHeight="1" outlineLevel="2" x14ac:dyDescent="0.2">
      <c r="A284" s="457">
        <f ca="1">IF($H284="UNIDADE CONSTRUTIVA",OFFSET(A284,-1,0)+1,LARGE(A$3:A283,1))</f>
        <v>0</v>
      </c>
      <c r="B284" s="457">
        <f t="shared" ca="1" si="65"/>
        <v>5</v>
      </c>
      <c r="C284" s="457">
        <f t="shared" ca="1" si="66"/>
        <v>1</v>
      </c>
      <c r="D284" s="458">
        <f t="shared" ca="1" si="67"/>
        <v>3</v>
      </c>
      <c r="E284" s="458">
        <f t="shared" ca="1" si="68"/>
        <v>3</v>
      </c>
      <c r="G284" s="206"/>
      <c r="H284" s="207" t="s">
        <v>212</v>
      </c>
      <c r="I284" s="208" t="str">
        <f t="shared" ca="1" si="69"/>
        <v>05.001.003.003</v>
      </c>
      <c r="J284" s="209" t="s">
        <v>409</v>
      </c>
      <c r="K284" s="210" t="s">
        <v>3</v>
      </c>
      <c r="L284" s="455">
        <f>Arquitetura!H2333</f>
        <v>93.21999999999997</v>
      </c>
      <c r="M284" s="455">
        <v>68.087500000000006</v>
      </c>
      <c r="N284" s="285">
        <f t="shared" si="70"/>
        <v>6347.1167499999983</v>
      </c>
      <c r="O284" s="462"/>
      <c r="P284" s="213" t="s">
        <v>518</v>
      </c>
      <c r="Q284" s="35"/>
      <c r="R284" s="35"/>
      <c r="S284" s="35"/>
      <c r="T284" s="467"/>
    </row>
    <row r="285" spans="1:20" s="34" customFormat="1" ht="13.9" customHeight="1" outlineLevel="1" x14ac:dyDescent="0.2">
      <c r="A285" s="457">
        <f ca="1">IF($H285="UNIDADE CONSTRUTIVA",OFFSET(A285,-1,0)+1,LARGE(A$3:A284,1))</f>
        <v>0</v>
      </c>
      <c r="B285" s="457">
        <f t="shared" ca="1" si="65"/>
        <v>5</v>
      </c>
      <c r="C285" s="457">
        <f t="shared" ca="1" si="66"/>
        <v>1</v>
      </c>
      <c r="D285" s="458">
        <f t="shared" ca="1" si="67"/>
        <v>4</v>
      </c>
      <c r="E285" s="458">
        <f t="shared" ca="1" si="68"/>
        <v>0</v>
      </c>
      <c r="G285" s="206"/>
      <c r="H285" s="207" t="s">
        <v>211</v>
      </c>
      <c r="I285" s="208" t="str">
        <f t="shared" ca="1" si="69"/>
        <v>05.001.004</v>
      </c>
      <c r="J285" s="209" t="s">
        <v>130</v>
      </c>
      <c r="K285" s="210"/>
      <c r="L285" s="455"/>
      <c r="M285" s="455"/>
      <c r="N285" s="285">
        <f t="shared" ca="1" si="70"/>
        <v>24902.15</v>
      </c>
      <c r="O285" s="462"/>
      <c r="P285" s="213"/>
      <c r="Q285" s="35"/>
      <c r="R285" s="35"/>
      <c r="S285" s="35"/>
      <c r="T285" s="467"/>
    </row>
    <row r="286" spans="1:20" s="34" customFormat="1" ht="13.9" customHeight="1" outlineLevel="2" x14ac:dyDescent="0.2">
      <c r="A286" s="457">
        <f ca="1">IF($H286="UNIDADE CONSTRUTIVA",OFFSET(A286,-1,0)+1,LARGE(A$3:A285,1))</f>
        <v>0</v>
      </c>
      <c r="B286" s="457">
        <f t="shared" ca="1" si="65"/>
        <v>5</v>
      </c>
      <c r="C286" s="457">
        <f t="shared" ca="1" si="66"/>
        <v>1</v>
      </c>
      <c r="D286" s="458">
        <f t="shared" ca="1" si="67"/>
        <v>4</v>
      </c>
      <c r="E286" s="458">
        <f t="shared" ca="1" si="68"/>
        <v>1</v>
      </c>
      <c r="G286" s="206"/>
      <c r="H286" s="207" t="s">
        <v>212</v>
      </c>
      <c r="I286" s="208" t="str">
        <f t="shared" ca="1" si="69"/>
        <v>05.001.004.001</v>
      </c>
      <c r="J286" s="209" t="s">
        <v>4152</v>
      </c>
      <c r="K286" s="210" t="s">
        <v>1</v>
      </c>
      <c r="L286" s="455">
        <f>SUM(L278:L278)</f>
        <v>711.49</v>
      </c>
      <c r="M286" s="455">
        <v>35</v>
      </c>
      <c r="N286" s="285">
        <f t="shared" si="70"/>
        <v>24902.15</v>
      </c>
      <c r="O286" s="462"/>
      <c r="P286" s="213" t="s">
        <v>518</v>
      </c>
      <c r="Q286" s="35"/>
      <c r="R286" s="35"/>
      <c r="S286" s="35"/>
      <c r="T286" s="467"/>
    </row>
    <row r="287" spans="1:20" s="34" customFormat="1" ht="13.9" customHeight="1" outlineLevel="1" x14ac:dyDescent="0.2">
      <c r="A287" s="457">
        <f ca="1">IF($H287="UNIDADE CONSTRUTIVA",OFFSET(A287,-1,0)+1,LARGE(A$3:A286,1))</f>
        <v>0</v>
      </c>
      <c r="B287" s="457">
        <f t="shared" ref="B287:B297" ca="1" si="71">IF(H287="UNIDADE CONSTRUTIVA",0,IF(H287="CÉLULA CONSTRUTIVA",OFFSET(B287,-1,0)+1,OFFSET(B287,-1,0)))</f>
        <v>5</v>
      </c>
      <c r="C287" s="457">
        <f t="shared" ref="C287:C297" ca="1" si="72">IF(H287="CÉLULA CONSTRUTIVA",0,IF(H287="ETAPA",OFFSET(C287,-1,0)+1,OFFSET(C287,-1,0)))</f>
        <v>2</v>
      </c>
      <c r="D287" s="458">
        <f t="shared" ref="D287:D297" ca="1" si="73">IF(H287="ETAPA",0,IF(H287="SUBETAPA",OFFSET(D287,-1,0)+1,OFFSET(D287,-1,0)))</f>
        <v>0</v>
      </c>
      <c r="E287" s="458">
        <f t="shared" ref="E287:E297" ca="1" si="74">IF(H287="Subetapa",0,IF(H287="serviço",OFFSET(E287,-1,0)+1,OFFSET(E287,-1,0)))</f>
        <v>1</v>
      </c>
      <c r="G287" s="206"/>
      <c r="H287" s="207" t="s">
        <v>210</v>
      </c>
      <c r="I287" s="208" t="str">
        <f t="shared" ref="I287:I297" ca="1" si="75">IF(H287="Unidade Construtiva",TEXT(A287,"00"),IF(H287="Célula Construtiva",TEXT(B287,"00"),IF(H287="Etapa",CONCATENATE(TEXT(B287,"00"),".",TEXT(C287,"000")),IF(H287="Subetapa",CONCATENATE(TEXT(B287,"00"),".",TEXT(C287,"000"),".",TEXT(D287,"000")),IF(H287="Serviço",CONCATENATE(TEXT(B287,"00"),".",TEXT(C287,"000"),".",TEXT(D287,"000"),".",TEXT(E287,"000")),"")))))</f>
        <v>05.002</v>
      </c>
      <c r="J287" s="209" t="s">
        <v>825</v>
      </c>
      <c r="K287" s="210"/>
      <c r="L287" s="455"/>
      <c r="M287" s="455"/>
      <c r="N287" s="285">
        <f t="shared" ca="1" si="70"/>
        <v>169882.47082799999</v>
      </c>
      <c r="O287" s="462"/>
      <c r="P287" s="213"/>
      <c r="Q287" s="35"/>
      <c r="R287" s="35"/>
      <c r="S287" s="35"/>
    </row>
    <row r="288" spans="1:20" s="34" customFormat="1" ht="13.9" customHeight="1" outlineLevel="1" x14ac:dyDescent="0.2">
      <c r="A288" s="457">
        <f ca="1">IF($H288="UNIDADE CONSTRUTIVA",OFFSET(A288,-1,0)+1,LARGE(A$3:A287,1))</f>
        <v>0</v>
      </c>
      <c r="B288" s="457">
        <f t="shared" ca="1" si="71"/>
        <v>5</v>
      </c>
      <c r="C288" s="457">
        <f t="shared" ca="1" si="72"/>
        <v>2</v>
      </c>
      <c r="D288" s="458">
        <f t="shared" ca="1" si="73"/>
        <v>1</v>
      </c>
      <c r="E288" s="458">
        <f t="shared" ca="1" si="74"/>
        <v>0</v>
      </c>
      <c r="G288" s="206"/>
      <c r="H288" s="207" t="s">
        <v>211</v>
      </c>
      <c r="I288" s="208" t="str">
        <f t="shared" ca="1" si="75"/>
        <v>05.002.001</v>
      </c>
      <c r="J288" s="209" t="s">
        <v>406</v>
      </c>
      <c r="K288" s="210"/>
      <c r="L288" s="455"/>
      <c r="M288" s="455"/>
      <c r="N288" s="285">
        <f t="shared" ca="1" si="70"/>
        <v>70001.959319999994</v>
      </c>
      <c r="O288" s="462"/>
      <c r="P288" s="213"/>
      <c r="Q288" s="35"/>
      <c r="R288" s="35"/>
      <c r="S288" s="35"/>
    </row>
    <row r="289" spans="1:20" s="34" customFormat="1" ht="13.9" customHeight="1" outlineLevel="2" x14ac:dyDescent="0.2">
      <c r="A289" s="457">
        <f ca="1">IF($H289="UNIDADE CONSTRUTIVA",OFFSET(A289,-1,0)+1,LARGE(A$3:A288,1))</f>
        <v>0</v>
      </c>
      <c r="B289" s="457">
        <f t="shared" ca="1" si="71"/>
        <v>5</v>
      </c>
      <c r="C289" s="457">
        <f t="shared" ca="1" si="72"/>
        <v>2</v>
      </c>
      <c r="D289" s="458">
        <f t="shared" ca="1" si="73"/>
        <v>1</v>
      </c>
      <c r="E289" s="458">
        <f t="shared" ca="1" si="74"/>
        <v>1</v>
      </c>
      <c r="G289" s="206"/>
      <c r="H289" s="207" t="s">
        <v>212</v>
      </c>
      <c r="I289" s="208" t="str">
        <f t="shared" ca="1" si="75"/>
        <v>05.002.001.001</v>
      </c>
      <c r="J289" s="209" t="s">
        <v>3709</v>
      </c>
      <c r="K289" s="210" t="s">
        <v>1</v>
      </c>
      <c r="L289" s="455">
        <f>Arquitetura!D21+Arquitetura!D23+Arquitetura!D25</f>
        <v>1298.28</v>
      </c>
      <c r="M289" s="455">
        <v>53.918999999999997</v>
      </c>
      <c r="N289" s="285">
        <f t="shared" si="70"/>
        <v>70001.959319999994</v>
      </c>
      <c r="O289" s="462"/>
      <c r="P289" s="213" t="s">
        <v>518</v>
      </c>
      <c r="Q289" s="35"/>
      <c r="R289" s="35"/>
      <c r="S289" s="35"/>
    </row>
    <row r="290" spans="1:20" s="34" customFormat="1" ht="13.9" customHeight="1" outlineLevel="1" x14ac:dyDescent="0.2">
      <c r="A290" s="457">
        <f ca="1">IF($H290="UNIDADE CONSTRUTIVA",OFFSET(A290,-1,0)+1,LARGE(A$3:A289,1))</f>
        <v>0</v>
      </c>
      <c r="B290" s="457">
        <f t="shared" ca="1" si="71"/>
        <v>5</v>
      </c>
      <c r="C290" s="457">
        <f t="shared" ca="1" si="72"/>
        <v>2</v>
      </c>
      <c r="D290" s="458">
        <f t="shared" ca="1" si="73"/>
        <v>2</v>
      </c>
      <c r="E290" s="458">
        <f t="shared" ca="1" si="74"/>
        <v>0</v>
      </c>
      <c r="G290" s="206"/>
      <c r="H290" s="207" t="s">
        <v>211</v>
      </c>
      <c r="I290" s="208" t="str">
        <f t="shared" ca="1" si="75"/>
        <v>05.002.002</v>
      </c>
      <c r="J290" s="209" t="s">
        <v>824</v>
      </c>
      <c r="K290" s="210"/>
      <c r="L290" s="455"/>
      <c r="M290" s="455"/>
      <c r="N290" s="285">
        <f ca="1">IF(H290="Serviço",M290*L290,IF(H290="CÉLULA CONSTRUTIVA",SUMIFS($N$8:$N$2360,$B$8:$B$2360,B290,$H$8:$H$2360,"Serviço"),IF(H290="ETAPA",SUMIFS($N$8:$N$2360,$B$8:$B$2360,B290,$C$8:$C$2360,C290,$H$8:$H$2360,"Serviço"),IF(H290="SUBETAPA",SUMIFS($N$8:$N$2360,$B$8:$B$2360,B290,$C$8:$C$2360,C290,$D$8:$D$2360,D290,$H$8:$H$2360,"Serviço"),0))))</f>
        <v>32817.034388</v>
      </c>
      <c r="O290" s="462"/>
      <c r="P290" s="213"/>
      <c r="Q290" s="35"/>
      <c r="R290" s="35"/>
      <c r="S290" s="35"/>
    </row>
    <row r="291" spans="1:20" s="34" customFormat="1" ht="22.5" outlineLevel="2" x14ac:dyDescent="0.2">
      <c r="A291" s="457">
        <f ca="1">IF($H291="UNIDADE CONSTRUTIVA",OFFSET(A291,-1,0)+1,LARGE(A$3:A290,1))</f>
        <v>0</v>
      </c>
      <c r="B291" s="457">
        <f t="shared" ca="1" si="71"/>
        <v>5</v>
      </c>
      <c r="C291" s="457">
        <f t="shared" ca="1" si="72"/>
        <v>2</v>
      </c>
      <c r="D291" s="458">
        <f t="shared" ca="1" si="73"/>
        <v>2</v>
      </c>
      <c r="E291" s="458">
        <f t="shared" ca="1" si="74"/>
        <v>1</v>
      </c>
      <c r="G291" s="206"/>
      <c r="H291" s="207" t="s">
        <v>212</v>
      </c>
      <c r="I291" s="208" t="str">
        <f t="shared" ca="1" si="75"/>
        <v>05.002.002.001</v>
      </c>
      <c r="J291" s="468" t="s">
        <v>4919</v>
      </c>
      <c r="K291" s="210" t="s">
        <v>1</v>
      </c>
      <c r="L291" s="455">
        <f>Arquitetura!D134+Arquitetura!D136+Arquitetura!D138</f>
        <v>164.66</v>
      </c>
      <c r="M291" s="455">
        <v>199.30179999999999</v>
      </c>
      <c r="N291" s="285">
        <f>IF(H291="Serviço",M291*L291,IF(H291="CÉLULA CONSTRUTIVA",SUMIFS($N$8:$N$2360,$B$8:$B$2360,B291,$H$8:$H$2360,"Serviço"),IF(H291="ETAPA",SUMIFS($N$8:$N$2360,$B$8:$B$2360,B291,$C$8:$C$2360,C291,$H$8:$H$2360,"Serviço"),IF(H291="SUBETAPA",SUMIFS($N$8:$N$2360,$B$8:$B$2360,B291,$C$8:$C$2360,C291,$D$8:$D$2360,D291,$H$8:$H$2360,"Serviço"),0))))</f>
        <v>32817.034388</v>
      </c>
      <c r="O291" s="462"/>
      <c r="P291" s="213" t="s">
        <v>518</v>
      </c>
      <c r="Q291" s="35"/>
      <c r="R291" s="35"/>
      <c r="S291" s="35"/>
    </row>
    <row r="292" spans="1:20" s="34" customFormat="1" ht="13.9" customHeight="1" outlineLevel="1" x14ac:dyDescent="0.2">
      <c r="A292" s="457">
        <f ca="1">IF($H292="UNIDADE CONSTRUTIVA",OFFSET(A292,-1,0)+1,LARGE(A$3:A291,1))</f>
        <v>0</v>
      </c>
      <c r="B292" s="457">
        <f t="shared" ca="1" si="71"/>
        <v>5</v>
      </c>
      <c r="C292" s="457">
        <f t="shared" ca="1" si="72"/>
        <v>2</v>
      </c>
      <c r="D292" s="458">
        <f t="shared" ca="1" si="73"/>
        <v>3</v>
      </c>
      <c r="E292" s="458">
        <f t="shared" ca="1" si="74"/>
        <v>0</v>
      </c>
      <c r="G292" s="206"/>
      <c r="H292" s="207" t="s">
        <v>211</v>
      </c>
      <c r="I292" s="208" t="str">
        <f t="shared" ca="1" si="75"/>
        <v>05.002.003</v>
      </c>
      <c r="J292" s="209" t="s">
        <v>129</v>
      </c>
      <c r="K292" s="210"/>
      <c r="L292" s="455"/>
      <c r="M292" s="455"/>
      <c r="N292" s="285">
        <f t="shared" ref="N292:N300" ca="1" si="76">IF(H292="Serviço",M292*L292,IF(H292="CÉLULA CONSTRUTIVA",SUMIFS($N$8:$N$1393,$B$8:$B$1393,B292,$H$8:$H$1393,"Serviço"),IF(H292="ETAPA",SUMIFS($N$8:$N$1393,$B$8:$B$1393,B292,$C$8:$C$1393,C292,$H$8:$H$1393,"Serviço"),IF(H292="SUBETAPA",SUMIFS($N$8:$N$1393,$B$8:$B$1393,B292,$C$8:$C$1393,C292,$D$8:$D$1393,D292,$H$8:$H$1393,"Serviço"),0))))</f>
        <v>21623.67712</v>
      </c>
      <c r="O292" s="462"/>
      <c r="P292" s="213"/>
      <c r="Q292" s="35"/>
      <c r="R292" s="35"/>
      <c r="S292" s="35"/>
    </row>
    <row r="293" spans="1:20" s="34" customFormat="1" ht="13.9" customHeight="1" outlineLevel="2" x14ac:dyDescent="0.2">
      <c r="A293" s="457">
        <f ca="1">IF($H293="UNIDADE CONSTRUTIVA",OFFSET(A293,-1,0)+1,LARGE(A$3:A292,1))</f>
        <v>0</v>
      </c>
      <c r="B293" s="457">
        <f t="shared" ca="1" si="71"/>
        <v>5</v>
      </c>
      <c r="C293" s="457">
        <f t="shared" ca="1" si="72"/>
        <v>2</v>
      </c>
      <c r="D293" s="458">
        <f t="shared" ca="1" si="73"/>
        <v>3</v>
      </c>
      <c r="E293" s="458">
        <f t="shared" ca="1" si="74"/>
        <v>1</v>
      </c>
      <c r="G293" s="206"/>
      <c r="H293" s="207" t="s">
        <v>212</v>
      </c>
      <c r="I293" s="208" t="str">
        <f t="shared" ca="1" si="75"/>
        <v>05.002.003.001</v>
      </c>
      <c r="J293" s="209" t="s">
        <v>407</v>
      </c>
      <c r="K293" s="210" t="s">
        <v>3</v>
      </c>
      <c r="L293" s="455">
        <f>Arquitetura!D85+Arquitetura!D87+Arquitetura!D89</f>
        <v>577.76</v>
      </c>
      <c r="M293" s="455">
        <v>19.07</v>
      </c>
      <c r="N293" s="285">
        <f t="shared" si="76"/>
        <v>11017.8832</v>
      </c>
      <c r="O293" s="462"/>
      <c r="P293" s="213" t="s">
        <v>518</v>
      </c>
      <c r="Q293" s="35"/>
      <c r="R293" s="35"/>
      <c r="S293" s="35"/>
    </row>
    <row r="294" spans="1:20" s="34" customFormat="1" ht="13.9" customHeight="1" outlineLevel="2" x14ac:dyDescent="0.2">
      <c r="A294" s="457">
        <f ca="1">IF($H294="UNIDADE CONSTRUTIVA",OFFSET(A294,-1,0)+1,LARGE(A$3:A293,1))</f>
        <v>0</v>
      </c>
      <c r="B294" s="457">
        <f t="shared" ca="1" si="71"/>
        <v>5</v>
      </c>
      <c r="C294" s="457">
        <f t="shared" ca="1" si="72"/>
        <v>2</v>
      </c>
      <c r="D294" s="458">
        <f t="shared" ca="1" si="73"/>
        <v>3</v>
      </c>
      <c r="E294" s="458">
        <f t="shared" ca="1" si="74"/>
        <v>2</v>
      </c>
      <c r="G294" s="206"/>
      <c r="H294" s="207" t="s">
        <v>212</v>
      </c>
      <c r="I294" s="208" t="str">
        <f t="shared" ca="1" si="75"/>
        <v>05.002.003.002</v>
      </c>
      <c r="J294" s="209" t="s">
        <v>408</v>
      </c>
      <c r="K294" s="210" t="s">
        <v>2</v>
      </c>
      <c r="L294" s="455">
        <f>L289*0.04</f>
        <v>51.931199999999997</v>
      </c>
      <c r="M294" s="455">
        <v>4.0999999999999996</v>
      </c>
      <c r="N294" s="285">
        <f t="shared" si="76"/>
        <v>212.91791999999998</v>
      </c>
      <c r="O294" s="462"/>
      <c r="P294" s="213" t="s">
        <v>518</v>
      </c>
      <c r="Q294" s="35"/>
      <c r="R294" s="35"/>
      <c r="S294" s="35"/>
      <c r="T294" s="467"/>
    </row>
    <row r="295" spans="1:20" s="34" customFormat="1" ht="13.9" customHeight="1" outlineLevel="2" x14ac:dyDescent="0.2">
      <c r="A295" s="457">
        <f ca="1">IF($H295="UNIDADE CONSTRUTIVA",OFFSET(A295,-1,0)+1,LARGE(A$3:A294,1))</f>
        <v>0</v>
      </c>
      <c r="B295" s="457">
        <f t="shared" ca="1" si="71"/>
        <v>5</v>
      </c>
      <c r="C295" s="457">
        <f t="shared" ca="1" si="72"/>
        <v>2</v>
      </c>
      <c r="D295" s="458">
        <f t="shared" ca="1" si="73"/>
        <v>3</v>
      </c>
      <c r="E295" s="458">
        <f t="shared" ca="1" si="74"/>
        <v>3</v>
      </c>
      <c r="G295" s="206"/>
      <c r="H295" s="207" t="s">
        <v>212</v>
      </c>
      <c r="I295" s="208" t="str">
        <f t="shared" ca="1" si="75"/>
        <v>05.002.003.003</v>
      </c>
      <c r="J295" s="209" t="s">
        <v>409</v>
      </c>
      <c r="K295" s="210" t="s">
        <v>3</v>
      </c>
      <c r="L295" s="455">
        <f>Arquitetura!H2351</f>
        <v>152.64000000000001</v>
      </c>
      <c r="M295" s="455">
        <v>68.087500000000006</v>
      </c>
      <c r="N295" s="285">
        <f t="shared" si="76"/>
        <v>10392.876000000002</v>
      </c>
      <c r="O295" s="462"/>
      <c r="P295" s="213" t="s">
        <v>518</v>
      </c>
      <c r="Q295" s="35"/>
      <c r="R295" s="35"/>
      <c r="S295" s="35"/>
      <c r="T295" s="467"/>
    </row>
    <row r="296" spans="1:20" s="34" customFormat="1" ht="13.9" customHeight="1" outlineLevel="1" x14ac:dyDescent="0.2">
      <c r="A296" s="457">
        <f ca="1">IF($H296="UNIDADE CONSTRUTIVA",OFFSET(A296,-1,0)+1,LARGE(A$3:A295,1))</f>
        <v>0</v>
      </c>
      <c r="B296" s="457">
        <f t="shared" ca="1" si="71"/>
        <v>5</v>
      </c>
      <c r="C296" s="457">
        <f t="shared" ca="1" si="72"/>
        <v>2</v>
      </c>
      <c r="D296" s="458">
        <f t="shared" ca="1" si="73"/>
        <v>4</v>
      </c>
      <c r="E296" s="458">
        <f t="shared" ca="1" si="74"/>
        <v>0</v>
      </c>
      <c r="G296" s="206"/>
      <c r="H296" s="207" t="s">
        <v>211</v>
      </c>
      <c r="I296" s="208" t="str">
        <f t="shared" ca="1" si="75"/>
        <v>05.002.004</v>
      </c>
      <c r="J296" s="209" t="s">
        <v>130</v>
      </c>
      <c r="K296" s="210"/>
      <c r="L296" s="455"/>
      <c r="M296" s="455"/>
      <c r="N296" s="285">
        <f t="shared" ca="1" si="76"/>
        <v>45439.799999999996</v>
      </c>
      <c r="O296" s="462"/>
      <c r="P296" s="213"/>
      <c r="Q296" s="35"/>
      <c r="R296" s="35"/>
      <c r="S296" s="35"/>
      <c r="T296" s="467"/>
    </row>
    <row r="297" spans="1:20" s="34" customFormat="1" ht="13.9" customHeight="1" outlineLevel="2" x14ac:dyDescent="0.2">
      <c r="A297" s="457">
        <f ca="1">IF($H297="UNIDADE CONSTRUTIVA",OFFSET(A297,-1,0)+1,LARGE(A$3:A296,1))</f>
        <v>0</v>
      </c>
      <c r="B297" s="457">
        <f t="shared" ca="1" si="71"/>
        <v>5</v>
      </c>
      <c r="C297" s="457">
        <f t="shared" ca="1" si="72"/>
        <v>2</v>
      </c>
      <c r="D297" s="458">
        <f t="shared" ca="1" si="73"/>
        <v>4</v>
      </c>
      <c r="E297" s="458">
        <f t="shared" ca="1" si="74"/>
        <v>1</v>
      </c>
      <c r="G297" s="206"/>
      <c r="H297" s="207" t="s">
        <v>212</v>
      </c>
      <c r="I297" s="208" t="str">
        <f t="shared" ca="1" si="75"/>
        <v>05.002.004.001</v>
      </c>
      <c r="J297" s="209" t="s">
        <v>4152</v>
      </c>
      <c r="K297" s="210" t="s">
        <v>1</v>
      </c>
      <c r="L297" s="455">
        <f>SUM(L289:L289)</f>
        <v>1298.28</v>
      </c>
      <c r="M297" s="455">
        <v>35</v>
      </c>
      <c r="N297" s="285">
        <f t="shared" si="76"/>
        <v>45439.799999999996</v>
      </c>
      <c r="O297" s="462"/>
      <c r="P297" s="213" t="s">
        <v>518</v>
      </c>
      <c r="Q297" s="35"/>
      <c r="R297" s="35"/>
      <c r="S297" s="35"/>
      <c r="T297" s="467"/>
    </row>
    <row r="298" spans="1:20" s="34" customFormat="1" ht="13.9" customHeight="1" outlineLevel="1" x14ac:dyDescent="0.2">
      <c r="A298" s="457">
        <f ca="1">IF($H298="UNIDADE CONSTRUTIVA",OFFSET(A298,-1,0)+1,LARGE(A$3:A297,1))</f>
        <v>0</v>
      </c>
      <c r="B298" s="457">
        <f t="shared" ref="B298:B308" ca="1" si="77">IF(H298="UNIDADE CONSTRUTIVA",0,IF(H298="CÉLULA CONSTRUTIVA",OFFSET(B298,-1,0)+1,OFFSET(B298,-1,0)))</f>
        <v>5</v>
      </c>
      <c r="C298" s="457">
        <f t="shared" ref="C298:C308" ca="1" si="78">IF(H298="CÉLULA CONSTRUTIVA",0,IF(H298="ETAPA",OFFSET(C298,-1,0)+1,OFFSET(C298,-1,0)))</f>
        <v>3</v>
      </c>
      <c r="D298" s="458">
        <f t="shared" ref="D298:D308" ca="1" si="79">IF(H298="ETAPA",0,IF(H298="SUBETAPA",OFFSET(D298,-1,0)+1,OFFSET(D298,-1,0)))</f>
        <v>0</v>
      </c>
      <c r="E298" s="458">
        <f t="shared" ref="E298:E308" ca="1" si="80">IF(H298="Subetapa",0,IF(H298="serviço",OFFSET(E298,-1,0)+1,OFFSET(E298,-1,0)))</f>
        <v>1</v>
      </c>
      <c r="G298" s="206"/>
      <c r="H298" s="207" t="s">
        <v>210</v>
      </c>
      <c r="I298" s="208" t="str">
        <f t="shared" ref="I298:I308" ca="1" si="81">IF(H298="Unidade Construtiva",TEXT(A298,"00"),IF(H298="Célula Construtiva",TEXT(B298,"00"),IF(H298="Etapa",CONCATENATE(TEXT(B298,"00"),".",TEXT(C298,"000")),IF(H298="Subetapa",CONCATENATE(TEXT(B298,"00"),".",TEXT(C298,"000"),".",TEXT(D298,"000")),IF(H298="Serviço",CONCATENATE(TEXT(B298,"00"),".",TEXT(C298,"000"),".",TEXT(D298,"000"),".",TEXT(E298,"000")),"")))))</f>
        <v>05.003</v>
      </c>
      <c r="J298" s="209" t="s">
        <v>826</v>
      </c>
      <c r="K298" s="210"/>
      <c r="L298" s="455"/>
      <c r="M298" s="455"/>
      <c r="N298" s="285">
        <f t="shared" ca="1" si="76"/>
        <v>60545.923935999999</v>
      </c>
      <c r="O298" s="462"/>
      <c r="P298" s="213"/>
      <c r="Q298" s="35"/>
      <c r="R298" s="35"/>
      <c r="S298" s="35"/>
    </row>
    <row r="299" spans="1:20" s="34" customFormat="1" ht="13.9" customHeight="1" outlineLevel="1" x14ac:dyDescent="0.2">
      <c r="A299" s="457">
        <f ca="1">IF($H299="UNIDADE CONSTRUTIVA",OFFSET(A299,-1,0)+1,LARGE(A$3:A298,1))</f>
        <v>0</v>
      </c>
      <c r="B299" s="457">
        <f t="shared" ca="1" si="77"/>
        <v>5</v>
      </c>
      <c r="C299" s="457">
        <f t="shared" ca="1" si="78"/>
        <v>3</v>
      </c>
      <c r="D299" s="458">
        <f t="shared" ca="1" si="79"/>
        <v>1</v>
      </c>
      <c r="E299" s="458">
        <f t="shared" ca="1" si="80"/>
        <v>0</v>
      </c>
      <c r="G299" s="206"/>
      <c r="H299" s="207" t="s">
        <v>211</v>
      </c>
      <c r="I299" s="208" t="str">
        <f t="shared" ca="1" si="81"/>
        <v>05.003.001</v>
      </c>
      <c r="J299" s="209" t="s">
        <v>406</v>
      </c>
      <c r="K299" s="210"/>
      <c r="L299" s="455"/>
      <c r="M299" s="455"/>
      <c r="N299" s="285">
        <f t="shared" ca="1" si="76"/>
        <v>24909.499619999999</v>
      </c>
      <c r="O299" s="462"/>
      <c r="P299" s="213"/>
      <c r="Q299" s="35"/>
      <c r="R299" s="35"/>
      <c r="S299" s="35"/>
    </row>
    <row r="300" spans="1:20" s="34" customFormat="1" ht="13.9" customHeight="1" outlineLevel="2" x14ac:dyDescent="0.2">
      <c r="A300" s="457">
        <f ca="1">IF($H300="UNIDADE CONSTRUTIVA",OFFSET(A300,-1,0)+1,LARGE(A$3:A299,1))</f>
        <v>0</v>
      </c>
      <c r="B300" s="457">
        <f t="shared" ca="1" si="77"/>
        <v>5</v>
      </c>
      <c r="C300" s="457">
        <f t="shared" ca="1" si="78"/>
        <v>3</v>
      </c>
      <c r="D300" s="458">
        <f t="shared" ca="1" si="79"/>
        <v>1</v>
      </c>
      <c r="E300" s="458">
        <f t="shared" ca="1" si="80"/>
        <v>1</v>
      </c>
      <c r="G300" s="206"/>
      <c r="H300" s="207" t="s">
        <v>212</v>
      </c>
      <c r="I300" s="208" t="str">
        <f t="shared" ca="1" si="81"/>
        <v>05.003.001.001</v>
      </c>
      <c r="J300" s="209" t="s">
        <v>3709</v>
      </c>
      <c r="K300" s="210" t="s">
        <v>1</v>
      </c>
      <c r="L300" s="455">
        <f>Arquitetura!D27</f>
        <v>461.98</v>
      </c>
      <c r="M300" s="455">
        <v>53.918999999999997</v>
      </c>
      <c r="N300" s="285">
        <f t="shared" si="76"/>
        <v>24909.499619999999</v>
      </c>
      <c r="O300" s="462"/>
      <c r="P300" s="213" t="s">
        <v>518</v>
      </c>
      <c r="Q300" s="35"/>
      <c r="R300" s="35"/>
      <c r="S300" s="35"/>
    </row>
    <row r="301" spans="1:20" s="34" customFormat="1" ht="13.9" customHeight="1" outlineLevel="1" x14ac:dyDescent="0.2">
      <c r="A301" s="457">
        <f ca="1">IF($H301="UNIDADE CONSTRUTIVA",OFFSET(A301,-1,0)+1,LARGE(A$3:A300,1))</f>
        <v>0</v>
      </c>
      <c r="B301" s="457">
        <f t="shared" ca="1" si="77"/>
        <v>5</v>
      </c>
      <c r="C301" s="457">
        <f t="shared" ca="1" si="78"/>
        <v>3</v>
      </c>
      <c r="D301" s="458">
        <f t="shared" ca="1" si="79"/>
        <v>2</v>
      </c>
      <c r="E301" s="458">
        <f t="shared" ca="1" si="80"/>
        <v>0</v>
      </c>
      <c r="G301" s="206"/>
      <c r="H301" s="207" t="s">
        <v>211</v>
      </c>
      <c r="I301" s="208" t="str">
        <f t="shared" ca="1" si="81"/>
        <v>05.003.002</v>
      </c>
      <c r="J301" s="209" t="s">
        <v>824</v>
      </c>
      <c r="K301" s="210"/>
      <c r="L301" s="455"/>
      <c r="M301" s="455"/>
      <c r="N301" s="285">
        <f ca="1">IF(H301="Serviço",M301*L301,IF(H301="CÉLULA CONSTRUTIVA",SUMIFS($N$8:$N$2360,$B$8:$B$2360,B301,$H$8:$H$2360,"Serviço"),IF(H301="ETAPA",SUMIFS($N$8:$N$2360,$B$8:$B$2360,B301,$C$8:$C$2360,C301,$H$8:$H$2360,"Serviço"),IF(H301="SUBETAPA",SUMIFS($N$8:$N$2360,$B$8:$B$2360,B301,$C$8:$C$2360,C301,$D$8:$D$2360,D301,$H$8:$H$2360,"Serviço"),0))))</f>
        <v>12300.907095999999</v>
      </c>
      <c r="O301" s="462"/>
      <c r="P301" s="213"/>
      <c r="Q301" s="35"/>
      <c r="R301" s="35"/>
      <c r="S301" s="35"/>
    </row>
    <row r="302" spans="1:20" s="34" customFormat="1" ht="22.5" outlineLevel="2" x14ac:dyDescent="0.2">
      <c r="A302" s="457">
        <f ca="1">IF($H302="UNIDADE CONSTRUTIVA",OFFSET(A302,-1,0)+1,LARGE(A$3:A301,1))</f>
        <v>0</v>
      </c>
      <c r="B302" s="457">
        <f t="shared" ca="1" si="77"/>
        <v>5</v>
      </c>
      <c r="C302" s="457">
        <f t="shared" ca="1" si="78"/>
        <v>3</v>
      </c>
      <c r="D302" s="458">
        <f t="shared" ca="1" si="79"/>
        <v>2</v>
      </c>
      <c r="E302" s="458">
        <f t="shared" ca="1" si="80"/>
        <v>1</v>
      </c>
      <c r="G302" s="206"/>
      <c r="H302" s="207" t="s">
        <v>212</v>
      </c>
      <c r="I302" s="208" t="str">
        <f t="shared" ca="1" si="81"/>
        <v>05.003.002.001</v>
      </c>
      <c r="J302" s="468" t="s">
        <v>4919</v>
      </c>
      <c r="K302" s="210" t="s">
        <v>1</v>
      </c>
      <c r="L302" s="455">
        <f>Arquitetura!D140</f>
        <v>61.72</v>
      </c>
      <c r="M302" s="455">
        <v>199.30179999999999</v>
      </c>
      <c r="N302" s="285">
        <f>IF(H302="Serviço",M302*L302,IF(H302="CÉLULA CONSTRUTIVA",SUMIFS($N$8:$N$2360,$B$8:$B$2360,B302,$H$8:$H$2360,"Serviço"),IF(H302="ETAPA",SUMIFS($N$8:$N$2360,$B$8:$B$2360,B302,$C$8:$C$2360,C302,$H$8:$H$2360,"Serviço"),IF(H302="SUBETAPA",SUMIFS($N$8:$N$2360,$B$8:$B$2360,B302,$C$8:$C$2360,C302,$D$8:$D$2360,D302,$H$8:$H$2360,"Serviço"),0))))</f>
        <v>12300.907095999999</v>
      </c>
      <c r="O302" s="462"/>
      <c r="P302" s="213" t="s">
        <v>518</v>
      </c>
      <c r="Q302" s="35"/>
      <c r="R302" s="35"/>
      <c r="S302" s="35"/>
    </row>
    <row r="303" spans="1:20" s="34" customFormat="1" ht="13.9" customHeight="1" outlineLevel="1" x14ac:dyDescent="0.2">
      <c r="A303" s="457">
        <f ca="1">IF($H303="UNIDADE CONSTRUTIVA",OFFSET(A303,-1,0)+1,LARGE(A$3:A302,1))</f>
        <v>0</v>
      </c>
      <c r="B303" s="457">
        <f t="shared" ca="1" si="77"/>
        <v>5</v>
      </c>
      <c r="C303" s="457">
        <f t="shared" ca="1" si="78"/>
        <v>3</v>
      </c>
      <c r="D303" s="458">
        <f t="shared" ca="1" si="79"/>
        <v>3</v>
      </c>
      <c r="E303" s="458">
        <f t="shared" ca="1" si="80"/>
        <v>0</v>
      </c>
      <c r="G303" s="206"/>
      <c r="H303" s="207" t="s">
        <v>211</v>
      </c>
      <c r="I303" s="208" t="str">
        <f t="shared" ca="1" si="81"/>
        <v>05.003.003</v>
      </c>
      <c r="J303" s="209" t="s">
        <v>129</v>
      </c>
      <c r="K303" s="210"/>
      <c r="L303" s="455"/>
      <c r="M303" s="455"/>
      <c r="N303" s="285">
        <f t="shared" ref="N303:N311" ca="1" si="82">IF(H303="Serviço",M303*L303,IF(H303="CÉLULA CONSTRUTIVA",SUMIFS($N$8:$N$1393,$B$8:$B$1393,B303,$H$8:$H$1393,"Serviço"),IF(H303="ETAPA",SUMIFS($N$8:$N$1393,$B$8:$B$1393,B303,$C$8:$C$1393,C303,$H$8:$H$1393,"Serviço"),IF(H303="SUBETAPA",SUMIFS($N$8:$N$1393,$B$8:$B$1393,B303,$C$8:$C$1393,C303,$D$8:$D$1393,D303,$H$8:$H$1393,"Serviço"),0))))</f>
        <v>7166.2172200000005</v>
      </c>
      <c r="O303" s="462"/>
      <c r="P303" s="213"/>
      <c r="Q303" s="35"/>
      <c r="R303" s="35"/>
      <c r="S303" s="35"/>
    </row>
    <row r="304" spans="1:20" s="34" customFormat="1" ht="13.9" customHeight="1" outlineLevel="2" x14ac:dyDescent="0.2">
      <c r="A304" s="457">
        <f ca="1">IF($H304="UNIDADE CONSTRUTIVA",OFFSET(A304,-1,0)+1,LARGE(A$3:A303,1))</f>
        <v>0</v>
      </c>
      <c r="B304" s="457">
        <f t="shared" ca="1" si="77"/>
        <v>5</v>
      </c>
      <c r="C304" s="457">
        <f t="shared" ca="1" si="78"/>
        <v>3</v>
      </c>
      <c r="D304" s="458">
        <f t="shared" ca="1" si="79"/>
        <v>3</v>
      </c>
      <c r="E304" s="458">
        <f t="shared" ca="1" si="80"/>
        <v>1</v>
      </c>
      <c r="G304" s="206"/>
      <c r="H304" s="207" t="s">
        <v>212</v>
      </c>
      <c r="I304" s="208" t="str">
        <f t="shared" ca="1" si="81"/>
        <v>05.003.003.001</v>
      </c>
      <c r="J304" s="209" t="s">
        <v>407</v>
      </c>
      <c r="K304" s="210" t="s">
        <v>3</v>
      </c>
      <c r="L304" s="455">
        <f>Arquitetura!D91</f>
        <v>190.15</v>
      </c>
      <c r="M304" s="455">
        <v>19.07</v>
      </c>
      <c r="N304" s="285">
        <f t="shared" si="82"/>
        <v>3626.1605</v>
      </c>
      <c r="O304" s="462"/>
      <c r="P304" s="213" t="s">
        <v>518</v>
      </c>
      <c r="Q304" s="35"/>
      <c r="R304" s="35"/>
      <c r="S304" s="35"/>
    </row>
    <row r="305" spans="1:20" s="34" customFormat="1" ht="13.9" customHeight="1" outlineLevel="2" x14ac:dyDescent="0.2">
      <c r="A305" s="457">
        <f ca="1">IF($H305="UNIDADE CONSTRUTIVA",OFFSET(A305,-1,0)+1,LARGE(A$3:A304,1))</f>
        <v>0</v>
      </c>
      <c r="B305" s="457">
        <f t="shared" ca="1" si="77"/>
        <v>5</v>
      </c>
      <c r="C305" s="457">
        <f t="shared" ca="1" si="78"/>
        <v>3</v>
      </c>
      <c r="D305" s="458">
        <f t="shared" ca="1" si="79"/>
        <v>3</v>
      </c>
      <c r="E305" s="458">
        <f t="shared" ca="1" si="80"/>
        <v>2</v>
      </c>
      <c r="G305" s="206"/>
      <c r="H305" s="207" t="s">
        <v>212</v>
      </c>
      <c r="I305" s="208" t="str">
        <f t="shared" ca="1" si="81"/>
        <v>05.003.003.002</v>
      </c>
      <c r="J305" s="209" t="s">
        <v>408</v>
      </c>
      <c r="K305" s="210" t="s">
        <v>2</v>
      </c>
      <c r="L305" s="455">
        <f>L300*0.04</f>
        <v>18.479200000000002</v>
      </c>
      <c r="M305" s="455">
        <v>4.0999999999999996</v>
      </c>
      <c r="N305" s="285">
        <f t="shared" si="82"/>
        <v>75.764719999999997</v>
      </c>
      <c r="O305" s="462"/>
      <c r="P305" s="213" t="s">
        <v>518</v>
      </c>
      <c r="Q305" s="35"/>
      <c r="R305" s="35"/>
      <c r="S305" s="35"/>
      <c r="T305" s="467"/>
    </row>
    <row r="306" spans="1:20" s="34" customFormat="1" ht="13.9" customHeight="1" outlineLevel="2" x14ac:dyDescent="0.2">
      <c r="A306" s="457">
        <f ca="1">IF($H306="UNIDADE CONSTRUTIVA",OFFSET(A306,-1,0)+1,LARGE(A$3:A305,1))</f>
        <v>0</v>
      </c>
      <c r="B306" s="457">
        <f t="shared" ca="1" si="77"/>
        <v>5</v>
      </c>
      <c r="C306" s="457">
        <f t="shared" ca="1" si="78"/>
        <v>3</v>
      </c>
      <c r="D306" s="458">
        <f t="shared" ca="1" si="79"/>
        <v>3</v>
      </c>
      <c r="E306" s="458">
        <f t="shared" ca="1" si="80"/>
        <v>3</v>
      </c>
      <c r="G306" s="206"/>
      <c r="H306" s="207" t="s">
        <v>212</v>
      </c>
      <c r="I306" s="208" t="str">
        <f t="shared" ca="1" si="81"/>
        <v>05.003.003.003</v>
      </c>
      <c r="J306" s="209" t="s">
        <v>409</v>
      </c>
      <c r="K306" s="210" t="s">
        <v>3</v>
      </c>
      <c r="L306" s="455">
        <f>Arquitetura!H2384</f>
        <v>50.88</v>
      </c>
      <c r="M306" s="455">
        <v>68.087500000000006</v>
      </c>
      <c r="N306" s="285">
        <f t="shared" si="82"/>
        <v>3464.2920000000004</v>
      </c>
      <c r="O306" s="462"/>
      <c r="P306" s="213" t="s">
        <v>518</v>
      </c>
      <c r="Q306" s="35"/>
      <c r="R306" s="35"/>
      <c r="S306" s="35"/>
      <c r="T306" s="467"/>
    </row>
    <row r="307" spans="1:20" s="34" customFormat="1" ht="13.9" customHeight="1" outlineLevel="1" x14ac:dyDescent="0.2">
      <c r="A307" s="457">
        <f ca="1">IF($H307="UNIDADE CONSTRUTIVA",OFFSET(A307,-1,0)+1,LARGE(A$3:A306,1))</f>
        <v>0</v>
      </c>
      <c r="B307" s="457">
        <f t="shared" ca="1" si="77"/>
        <v>5</v>
      </c>
      <c r="C307" s="457">
        <f t="shared" ca="1" si="78"/>
        <v>3</v>
      </c>
      <c r="D307" s="458">
        <f t="shared" ca="1" si="79"/>
        <v>4</v>
      </c>
      <c r="E307" s="458">
        <f t="shared" ca="1" si="80"/>
        <v>0</v>
      </c>
      <c r="G307" s="206"/>
      <c r="H307" s="207" t="s">
        <v>211</v>
      </c>
      <c r="I307" s="208" t="str">
        <f t="shared" ca="1" si="81"/>
        <v>05.003.004</v>
      </c>
      <c r="J307" s="209" t="s">
        <v>130</v>
      </c>
      <c r="K307" s="210"/>
      <c r="L307" s="455"/>
      <c r="M307" s="455"/>
      <c r="N307" s="285">
        <f t="shared" ca="1" si="82"/>
        <v>16169.300000000001</v>
      </c>
      <c r="O307" s="462"/>
      <c r="P307" s="213"/>
      <c r="Q307" s="35"/>
      <c r="R307" s="35"/>
      <c r="S307" s="35"/>
      <c r="T307" s="467"/>
    </row>
    <row r="308" spans="1:20" s="34" customFormat="1" ht="13.9" customHeight="1" outlineLevel="2" x14ac:dyDescent="0.2">
      <c r="A308" s="457">
        <f ca="1">IF($H308="UNIDADE CONSTRUTIVA",OFFSET(A308,-1,0)+1,LARGE(A$3:A307,1))</f>
        <v>0</v>
      </c>
      <c r="B308" s="457">
        <f t="shared" ca="1" si="77"/>
        <v>5</v>
      </c>
      <c r="C308" s="457">
        <f t="shared" ca="1" si="78"/>
        <v>3</v>
      </c>
      <c r="D308" s="458">
        <f t="shared" ca="1" si="79"/>
        <v>4</v>
      </c>
      <c r="E308" s="458">
        <f t="shared" ca="1" si="80"/>
        <v>1</v>
      </c>
      <c r="G308" s="206"/>
      <c r="H308" s="207" t="s">
        <v>212</v>
      </c>
      <c r="I308" s="208" t="str">
        <f t="shared" ca="1" si="81"/>
        <v>05.003.004.001</v>
      </c>
      <c r="J308" s="209" t="s">
        <v>410</v>
      </c>
      <c r="K308" s="210" t="s">
        <v>1</v>
      </c>
      <c r="L308" s="455">
        <f>SUM(L300:L300)</f>
        <v>461.98</v>
      </c>
      <c r="M308" s="455">
        <v>35</v>
      </c>
      <c r="N308" s="285">
        <f t="shared" si="82"/>
        <v>16169.300000000001</v>
      </c>
      <c r="O308" s="462"/>
      <c r="P308" s="213" t="s">
        <v>518</v>
      </c>
      <c r="Q308" s="35"/>
      <c r="R308" s="35"/>
      <c r="S308" s="35"/>
      <c r="T308" s="467"/>
    </row>
    <row r="309" spans="1:20" s="34" customFormat="1" ht="13.9" customHeight="1" outlineLevel="1" x14ac:dyDescent="0.2">
      <c r="A309" s="457">
        <f ca="1">IF($H309="UNIDADE CONSTRUTIVA",OFFSET(A309,-1,0)+1,LARGE(A$3:A308,1))</f>
        <v>0</v>
      </c>
      <c r="B309" s="457">
        <f t="shared" ref="B309:B319" ca="1" si="83">IF(H309="UNIDADE CONSTRUTIVA",0,IF(H309="CÉLULA CONSTRUTIVA",OFFSET(B309,-1,0)+1,OFFSET(B309,-1,0)))</f>
        <v>5</v>
      </c>
      <c r="C309" s="457">
        <f t="shared" ref="C309:C319" ca="1" si="84">IF(H309="CÉLULA CONSTRUTIVA",0,IF(H309="ETAPA",OFFSET(C309,-1,0)+1,OFFSET(C309,-1,0)))</f>
        <v>4</v>
      </c>
      <c r="D309" s="458">
        <f t="shared" ref="D309:D319" ca="1" si="85">IF(H309="ETAPA",0,IF(H309="SUBETAPA",OFFSET(D309,-1,0)+1,OFFSET(D309,-1,0)))</f>
        <v>0</v>
      </c>
      <c r="E309" s="458">
        <f t="shared" ref="E309:E319" ca="1" si="86">IF(H309="Subetapa",0,IF(H309="serviço",OFFSET(E309,-1,0)+1,OFFSET(E309,-1,0)))</f>
        <v>1</v>
      </c>
      <c r="G309" s="206"/>
      <c r="H309" s="207" t="s">
        <v>210</v>
      </c>
      <c r="I309" s="208" t="str">
        <f t="shared" ref="I309:I319" ca="1" si="87">IF(H309="Unidade Construtiva",TEXT(A309,"00"),IF(H309="Célula Construtiva",TEXT(B309,"00"),IF(H309="Etapa",CONCATENATE(TEXT(B309,"00"),".",TEXT(C309,"000")),IF(H309="Subetapa",CONCATENATE(TEXT(B309,"00"),".",TEXT(C309,"000"),".",TEXT(D309,"000")),IF(H309="Serviço",CONCATENATE(TEXT(B309,"00"),".",TEXT(C309,"000"),".",TEXT(D309,"000"),".",TEXT(E309,"000")),"")))))</f>
        <v>05.004</v>
      </c>
      <c r="J309" s="209" t="s">
        <v>827</v>
      </c>
      <c r="K309" s="210"/>
      <c r="L309" s="455"/>
      <c r="M309" s="455"/>
      <c r="N309" s="285">
        <f t="shared" ca="1" si="82"/>
        <v>107233.488319</v>
      </c>
      <c r="O309" s="462"/>
      <c r="P309" s="213"/>
      <c r="Q309" s="35"/>
      <c r="R309" s="35"/>
      <c r="S309" s="35"/>
    </row>
    <row r="310" spans="1:20" s="34" customFormat="1" ht="13.9" customHeight="1" outlineLevel="1" x14ac:dyDescent="0.2">
      <c r="A310" s="457">
        <f ca="1">IF($H310="UNIDADE CONSTRUTIVA",OFFSET(A310,-1,0)+1,LARGE(A$3:A309,1))</f>
        <v>0</v>
      </c>
      <c r="B310" s="457">
        <f t="shared" ca="1" si="83"/>
        <v>5</v>
      </c>
      <c r="C310" s="457">
        <f t="shared" ca="1" si="84"/>
        <v>4</v>
      </c>
      <c r="D310" s="458">
        <f t="shared" ca="1" si="85"/>
        <v>1</v>
      </c>
      <c r="E310" s="458">
        <f t="shared" ca="1" si="86"/>
        <v>0</v>
      </c>
      <c r="G310" s="206"/>
      <c r="H310" s="207" t="s">
        <v>211</v>
      </c>
      <c r="I310" s="208" t="str">
        <f t="shared" ca="1" si="87"/>
        <v>05.004.001</v>
      </c>
      <c r="J310" s="209" t="s">
        <v>406</v>
      </c>
      <c r="K310" s="210"/>
      <c r="L310" s="455"/>
      <c r="M310" s="455"/>
      <c r="N310" s="285">
        <f t="shared" ca="1" si="82"/>
        <v>43277.546159999998</v>
      </c>
      <c r="O310" s="462"/>
      <c r="P310" s="213"/>
      <c r="Q310" s="35"/>
      <c r="R310" s="35"/>
      <c r="S310" s="35"/>
    </row>
    <row r="311" spans="1:20" s="34" customFormat="1" ht="13.9" customHeight="1" outlineLevel="2" x14ac:dyDescent="0.2">
      <c r="A311" s="457">
        <f ca="1">IF($H311="UNIDADE CONSTRUTIVA",OFFSET(A311,-1,0)+1,LARGE(A$3:A310,1))</f>
        <v>0</v>
      </c>
      <c r="B311" s="457">
        <f t="shared" ca="1" si="83"/>
        <v>5</v>
      </c>
      <c r="C311" s="457">
        <f t="shared" ca="1" si="84"/>
        <v>4</v>
      </c>
      <c r="D311" s="458">
        <f t="shared" ca="1" si="85"/>
        <v>1</v>
      </c>
      <c r="E311" s="458">
        <f t="shared" ca="1" si="86"/>
        <v>1</v>
      </c>
      <c r="G311" s="206"/>
      <c r="H311" s="207" t="s">
        <v>212</v>
      </c>
      <c r="I311" s="208" t="str">
        <f t="shared" ca="1" si="87"/>
        <v>05.004.001.001</v>
      </c>
      <c r="J311" s="209" t="s">
        <v>3709</v>
      </c>
      <c r="K311" s="210" t="s">
        <v>1</v>
      </c>
      <c r="L311" s="455">
        <f>Arquitetura!D29</f>
        <v>802.64</v>
      </c>
      <c r="M311" s="455">
        <v>53.918999999999997</v>
      </c>
      <c r="N311" s="285">
        <f t="shared" si="82"/>
        <v>43277.546159999998</v>
      </c>
      <c r="O311" s="462"/>
      <c r="P311" s="213" t="s">
        <v>518</v>
      </c>
      <c r="Q311" s="35"/>
      <c r="R311" s="35"/>
      <c r="S311" s="35"/>
    </row>
    <row r="312" spans="1:20" s="34" customFormat="1" ht="13.9" customHeight="1" outlineLevel="1" x14ac:dyDescent="0.2">
      <c r="A312" s="457">
        <f ca="1">IF($H312="UNIDADE CONSTRUTIVA",OFFSET(A312,-1,0)+1,LARGE(A$3:A311,1))</f>
        <v>0</v>
      </c>
      <c r="B312" s="457">
        <f t="shared" ca="1" si="83"/>
        <v>5</v>
      </c>
      <c r="C312" s="457">
        <f t="shared" ca="1" si="84"/>
        <v>4</v>
      </c>
      <c r="D312" s="458">
        <f t="shared" ca="1" si="85"/>
        <v>2</v>
      </c>
      <c r="E312" s="458">
        <f t="shared" ca="1" si="86"/>
        <v>0</v>
      </c>
      <c r="G312" s="206"/>
      <c r="H312" s="207" t="s">
        <v>211</v>
      </c>
      <c r="I312" s="208" t="str">
        <f t="shared" ca="1" si="87"/>
        <v>05.004.002</v>
      </c>
      <c r="J312" s="209" t="s">
        <v>824</v>
      </c>
      <c r="K312" s="210"/>
      <c r="L312" s="455"/>
      <c r="M312" s="455"/>
      <c r="N312" s="285">
        <f ca="1">IF(H312="Serviço",M312*L312,IF(H312="CÉLULA CONSTRUTIVA",SUMIFS($N$8:$N$2360,$B$8:$B$2360,B312,$H$8:$H$2360,"Serviço"),IF(H312="ETAPA",SUMIFS($N$8:$N$2360,$B$8:$B$2360,B312,$C$8:$C$2360,C312,$H$8:$H$2360,"Serviço"),IF(H312="SUBETAPA",SUMIFS($N$8:$N$2360,$B$8:$B$2360,B312,$C$8:$C$2360,C312,$D$8:$D$2360,D312,$H$8:$H$2360,"Serviço"),0))))</f>
        <v>18321.814473999999</v>
      </c>
      <c r="O312" s="462"/>
      <c r="P312" s="213"/>
      <c r="Q312" s="35"/>
      <c r="R312" s="35"/>
      <c r="S312" s="35"/>
    </row>
    <row r="313" spans="1:20" s="34" customFormat="1" ht="22.5" outlineLevel="2" x14ac:dyDescent="0.2">
      <c r="A313" s="457">
        <f ca="1">IF($H313="UNIDADE CONSTRUTIVA",OFFSET(A313,-1,0)+1,LARGE(A$3:A312,1))</f>
        <v>0</v>
      </c>
      <c r="B313" s="457">
        <f t="shared" ca="1" si="83"/>
        <v>5</v>
      </c>
      <c r="C313" s="457">
        <f t="shared" ca="1" si="84"/>
        <v>4</v>
      </c>
      <c r="D313" s="458">
        <f t="shared" ca="1" si="85"/>
        <v>2</v>
      </c>
      <c r="E313" s="458">
        <f t="shared" ca="1" si="86"/>
        <v>1</v>
      </c>
      <c r="G313" s="206"/>
      <c r="H313" s="207" t="s">
        <v>212</v>
      </c>
      <c r="I313" s="208" t="str">
        <f t="shared" ca="1" si="87"/>
        <v>05.004.002.001</v>
      </c>
      <c r="J313" s="468" t="s">
        <v>4919</v>
      </c>
      <c r="K313" s="210" t="s">
        <v>1</v>
      </c>
      <c r="L313" s="455">
        <f>Arquitetura!D142</f>
        <v>91.93</v>
      </c>
      <c r="M313" s="455">
        <v>199.30179999999999</v>
      </c>
      <c r="N313" s="285">
        <f>IF(H313="Serviço",M313*L313,IF(H313="CÉLULA CONSTRUTIVA",SUMIFS($N$8:$N$2360,$B$8:$B$2360,B313,$H$8:$H$2360,"Serviço"),IF(H313="ETAPA",SUMIFS($N$8:$N$2360,$B$8:$B$2360,B313,$C$8:$C$2360,C313,$H$8:$H$2360,"Serviço"),IF(H313="SUBETAPA",SUMIFS($N$8:$N$2360,$B$8:$B$2360,B313,$C$8:$C$2360,C313,$D$8:$D$2360,D313,$H$8:$H$2360,"Serviço"),0))))</f>
        <v>18321.814473999999</v>
      </c>
      <c r="O313" s="462"/>
      <c r="P313" s="213" t="s">
        <v>518</v>
      </c>
      <c r="Q313" s="35"/>
      <c r="R313" s="35"/>
      <c r="S313" s="35"/>
    </row>
    <row r="314" spans="1:20" s="34" customFormat="1" ht="13.9" customHeight="1" outlineLevel="1" x14ac:dyDescent="0.2">
      <c r="A314" s="457">
        <f ca="1">IF($H314="UNIDADE CONSTRUTIVA",OFFSET(A314,-1,0)+1,LARGE(A$3:A313,1))</f>
        <v>0</v>
      </c>
      <c r="B314" s="457">
        <f t="shared" ca="1" si="83"/>
        <v>5</v>
      </c>
      <c r="C314" s="457">
        <f t="shared" ca="1" si="84"/>
        <v>4</v>
      </c>
      <c r="D314" s="458">
        <f t="shared" ca="1" si="85"/>
        <v>3</v>
      </c>
      <c r="E314" s="458">
        <f t="shared" ca="1" si="86"/>
        <v>0</v>
      </c>
      <c r="G314" s="206"/>
      <c r="H314" s="207" t="s">
        <v>211</v>
      </c>
      <c r="I314" s="208" t="str">
        <f t="shared" ca="1" si="87"/>
        <v>05.004.003</v>
      </c>
      <c r="J314" s="209" t="s">
        <v>129</v>
      </c>
      <c r="K314" s="210"/>
      <c r="L314" s="455"/>
      <c r="M314" s="455"/>
      <c r="N314" s="285">
        <f t="shared" ref="N314:N320" ca="1" si="88">IF(H314="Serviço",M314*L314,IF(H314="CÉLULA CONSTRUTIVA",SUMIFS($N$8:$N$1393,$B$8:$B$1393,B314,$H$8:$H$1393,"Serviço"),IF(H314="ETAPA",SUMIFS($N$8:$N$1393,$B$8:$B$1393,B314,$C$8:$C$1393,C314,$H$8:$H$1393,"Serviço"),IF(H314="SUBETAPA",SUMIFS($N$8:$N$1393,$B$8:$B$1393,B314,$C$8:$C$1393,C314,$D$8:$D$1393,D314,$H$8:$H$1393,"Serviço"),0))))</f>
        <v>17541.727685000002</v>
      </c>
      <c r="O314" s="462"/>
      <c r="P314" s="213"/>
      <c r="Q314" s="35"/>
      <c r="R314" s="35"/>
      <c r="S314" s="35"/>
    </row>
    <row r="315" spans="1:20" s="34" customFormat="1" ht="13.9" customHeight="1" outlineLevel="2" x14ac:dyDescent="0.2">
      <c r="A315" s="457">
        <f ca="1">IF($H315="UNIDADE CONSTRUTIVA",OFFSET(A315,-1,0)+1,LARGE(A$3:A314,1))</f>
        <v>0</v>
      </c>
      <c r="B315" s="457">
        <f t="shared" ca="1" si="83"/>
        <v>5</v>
      </c>
      <c r="C315" s="457">
        <f t="shared" ca="1" si="84"/>
        <v>4</v>
      </c>
      <c r="D315" s="458">
        <f t="shared" ca="1" si="85"/>
        <v>3</v>
      </c>
      <c r="E315" s="458">
        <f t="shared" ca="1" si="86"/>
        <v>1</v>
      </c>
      <c r="G315" s="206"/>
      <c r="H315" s="207" t="s">
        <v>212</v>
      </c>
      <c r="I315" s="208" t="str">
        <f t="shared" ca="1" si="87"/>
        <v>05.004.003.001</v>
      </c>
      <c r="J315" s="209" t="s">
        <v>407</v>
      </c>
      <c r="K315" s="210" t="s">
        <v>3</v>
      </c>
      <c r="L315" s="455">
        <f>Arquitetura!D93</f>
        <v>388.43</v>
      </c>
      <c r="M315" s="455">
        <v>19.07</v>
      </c>
      <c r="N315" s="285">
        <f t="shared" si="88"/>
        <v>7407.3600999999999</v>
      </c>
      <c r="O315" s="462"/>
      <c r="P315" s="213" t="s">
        <v>518</v>
      </c>
      <c r="Q315" s="35"/>
      <c r="R315" s="35"/>
      <c r="S315" s="35"/>
    </row>
    <row r="316" spans="1:20" s="34" customFormat="1" ht="13.9" customHeight="1" outlineLevel="2" x14ac:dyDescent="0.2">
      <c r="A316" s="457">
        <f ca="1">IF($H316="UNIDADE CONSTRUTIVA",OFFSET(A316,-1,0)+1,LARGE(A$3:A315,1))</f>
        <v>0</v>
      </c>
      <c r="B316" s="457">
        <f t="shared" ca="1" si="83"/>
        <v>5</v>
      </c>
      <c r="C316" s="457">
        <f t="shared" ca="1" si="84"/>
        <v>4</v>
      </c>
      <c r="D316" s="458">
        <f t="shared" ca="1" si="85"/>
        <v>3</v>
      </c>
      <c r="E316" s="458">
        <f t="shared" ca="1" si="86"/>
        <v>2</v>
      </c>
      <c r="G316" s="206"/>
      <c r="H316" s="207" t="s">
        <v>212</v>
      </c>
      <c r="I316" s="208" t="str">
        <f t="shared" ca="1" si="87"/>
        <v>05.004.003.002</v>
      </c>
      <c r="J316" s="209" t="s">
        <v>408</v>
      </c>
      <c r="K316" s="210" t="s">
        <v>2</v>
      </c>
      <c r="L316" s="455">
        <f>L311*0.04</f>
        <v>32.105600000000003</v>
      </c>
      <c r="M316" s="455">
        <v>4.0999999999999996</v>
      </c>
      <c r="N316" s="285">
        <f t="shared" si="88"/>
        <v>131.63296</v>
      </c>
      <c r="O316" s="462"/>
      <c r="P316" s="213" t="s">
        <v>518</v>
      </c>
      <c r="Q316" s="35"/>
      <c r="R316" s="35"/>
      <c r="S316" s="35"/>
      <c r="T316" s="467"/>
    </row>
    <row r="317" spans="1:20" s="34" customFormat="1" ht="13.9" customHeight="1" outlineLevel="2" x14ac:dyDescent="0.2">
      <c r="A317" s="457">
        <f ca="1">IF($H317="UNIDADE CONSTRUTIVA",OFFSET(A317,-1,0)+1,LARGE(A$3:A316,1))</f>
        <v>0</v>
      </c>
      <c r="B317" s="457">
        <f t="shared" ca="1" si="83"/>
        <v>5</v>
      </c>
      <c r="C317" s="457">
        <f t="shared" ca="1" si="84"/>
        <v>4</v>
      </c>
      <c r="D317" s="458">
        <f t="shared" ca="1" si="85"/>
        <v>3</v>
      </c>
      <c r="E317" s="458">
        <f t="shared" ca="1" si="86"/>
        <v>3</v>
      </c>
      <c r="G317" s="206"/>
      <c r="H317" s="207" t="s">
        <v>212</v>
      </c>
      <c r="I317" s="208" t="str">
        <f t="shared" ca="1" si="87"/>
        <v>05.004.003.003</v>
      </c>
      <c r="J317" s="209" t="s">
        <v>409</v>
      </c>
      <c r="K317" s="210" t="s">
        <v>3</v>
      </c>
      <c r="L317" s="455">
        <f>Arquitetura!H2395</f>
        <v>146.91000000000003</v>
      </c>
      <c r="M317" s="455">
        <v>68.087500000000006</v>
      </c>
      <c r="N317" s="285">
        <f t="shared" si="88"/>
        <v>10002.734625000003</v>
      </c>
      <c r="O317" s="462"/>
      <c r="P317" s="213" t="s">
        <v>518</v>
      </c>
      <c r="Q317" s="35"/>
      <c r="R317" s="35"/>
      <c r="S317" s="35"/>
      <c r="T317" s="467"/>
    </row>
    <row r="318" spans="1:20" s="34" customFormat="1" ht="13.9" customHeight="1" outlineLevel="1" x14ac:dyDescent="0.2">
      <c r="A318" s="457">
        <f ca="1">IF($H318="UNIDADE CONSTRUTIVA",OFFSET(A318,-1,0)+1,LARGE(A$3:A317,1))</f>
        <v>0</v>
      </c>
      <c r="B318" s="457">
        <f t="shared" ca="1" si="83"/>
        <v>5</v>
      </c>
      <c r="C318" s="457">
        <f t="shared" ca="1" si="84"/>
        <v>4</v>
      </c>
      <c r="D318" s="458">
        <f t="shared" ca="1" si="85"/>
        <v>4</v>
      </c>
      <c r="E318" s="458">
        <f t="shared" ca="1" si="86"/>
        <v>0</v>
      </c>
      <c r="G318" s="206"/>
      <c r="H318" s="207" t="s">
        <v>211</v>
      </c>
      <c r="I318" s="208" t="str">
        <f t="shared" ca="1" si="87"/>
        <v>05.004.004</v>
      </c>
      <c r="J318" s="209" t="s">
        <v>130</v>
      </c>
      <c r="K318" s="210"/>
      <c r="L318" s="455"/>
      <c r="M318" s="455"/>
      <c r="N318" s="285">
        <f t="shared" ca="1" si="88"/>
        <v>28092.399999999998</v>
      </c>
      <c r="O318" s="462"/>
      <c r="P318" s="213"/>
      <c r="Q318" s="35"/>
      <c r="R318" s="35"/>
      <c r="S318" s="35"/>
      <c r="T318" s="467"/>
    </row>
    <row r="319" spans="1:20" s="34" customFormat="1" ht="13.9" customHeight="1" outlineLevel="2" x14ac:dyDescent="0.2">
      <c r="A319" s="457">
        <f ca="1">IF($H319="UNIDADE CONSTRUTIVA",OFFSET(A319,-1,0)+1,LARGE(A$3:A318,1))</f>
        <v>0</v>
      </c>
      <c r="B319" s="457">
        <f t="shared" ca="1" si="83"/>
        <v>5</v>
      </c>
      <c r="C319" s="457">
        <f t="shared" ca="1" si="84"/>
        <v>4</v>
      </c>
      <c r="D319" s="458">
        <f t="shared" ca="1" si="85"/>
        <v>4</v>
      </c>
      <c r="E319" s="458">
        <f t="shared" ca="1" si="86"/>
        <v>1</v>
      </c>
      <c r="G319" s="206"/>
      <c r="H319" s="207" t="s">
        <v>212</v>
      </c>
      <c r="I319" s="208" t="str">
        <f t="shared" ca="1" si="87"/>
        <v>05.004.004.001</v>
      </c>
      <c r="J319" s="209" t="s">
        <v>821</v>
      </c>
      <c r="K319" s="210" t="s">
        <v>1</v>
      </c>
      <c r="L319" s="455">
        <f>L311</f>
        <v>802.64</v>
      </c>
      <c r="M319" s="455">
        <v>35</v>
      </c>
      <c r="N319" s="285">
        <f t="shared" si="88"/>
        <v>28092.399999999998</v>
      </c>
      <c r="O319" s="462"/>
      <c r="P319" s="213" t="s">
        <v>518</v>
      </c>
      <c r="Q319" s="35"/>
      <c r="R319" s="35"/>
      <c r="S319" s="35"/>
      <c r="T319" s="467"/>
    </row>
    <row r="320" spans="1:20" s="34" customFormat="1" ht="13.9" customHeight="1" outlineLevel="1" x14ac:dyDescent="0.2">
      <c r="A320" s="457">
        <f ca="1">IF($H320="UNIDADE CONSTRUTIVA",OFFSET(A320,-1,0)+1,LARGE(A$3:A319,1))</f>
        <v>0</v>
      </c>
      <c r="B320" s="457">
        <f t="shared" ref="B320:B345" ca="1" si="89">IF(H320="UNIDADE CONSTRUTIVA",0,IF(H320="CÉLULA CONSTRUTIVA",OFFSET(B320,-1,0)+1,OFFSET(B320,-1,0)))</f>
        <v>5</v>
      </c>
      <c r="C320" s="457">
        <f t="shared" ref="C320:C345" ca="1" si="90">IF(H320="CÉLULA CONSTRUTIVA",0,IF(H320="ETAPA",OFFSET(C320,-1,0)+1,OFFSET(C320,-1,0)))</f>
        <v>5</v>
      </c>
      <c r="D320" s="458">
        <f t="shared" ref="D320:D345" ca="1" si="91">IF(H320="ETAPA",0,IF(H320="SUBETAPA",OFFSET(D320,-1,0)+1,OFFSET(D320,-1,0)))</f>
        <v>0</v>
      </c>
      <c r="E320" s="458">
        <f t="shared" ref="E320:E345" ca="1" si="92">IF(H320="Subetapa",0,IF(H320="serviço",OFFSET(E320,-1,0)+1,OFFSET(E320,-1,0)))</f>
        <v>1</v>
      </c>
      <c r="G320" s="206"/>
      <c r="H320" s="207" t="s">
        <v>210</v>
      </c>
      <c r="I320" s="208" t="str">
        <f t="shared" ref="I320:I329" ca="1" si="93">IF(H320="Unidade Construtiva",TEXT(A320,"00"),IF(H320="Célula Construtiva",TEXT(B320,"00"),IF(H320="Etapa",CONCATENATE(TEXT(B320,"00"),".",TEXT(C320,"000")),IF(H320="Subetapa",CONCATENATE(TEXT(B320,"00"),".",TEXT(C320,"000"),".",TEXT(D320,"000")),IF(H320="Serviço",CONCATENATE(TEXT(B320,"00"),".",TEXT(C320,"000"),".",TEXT(D320,"000"),".",TEXT(E320,"000")),"")))))</f>
        <v>05.005</v>
      </c>
      <c r="J320" s="209" t="s">
        <v>4154</v>
      </c>
      <c r="K320" s="210"/>
      <c r="L320" s="455"/>
      <c r="M320" s="455"/>
      <c r="N320" s="285">
        <f t="shared" ca="1" si="88"/>
        <v>285884.48097399995</v>
      </c>
      <c r="O320" s="462"/>
      <c r="P320" s="213"/>
      <c r="Q320" s="35"/>
      <c r="R320" s="35"/>
      <c r="S320" s="35"/>
    </row>
    <row r="321" spans="1:20" s="34" customFormat="1" ht="13.9" customHeight="1" outlineLevel="1" x14ac:dyDescent="0.2">
      <c r="A321" s="457">
        <f ca="1">IF($H321="UNIDADE CONSTRUTIVA",OFFSET(A321,-1,0)+1,LARGE(A$3:A320,1))</f>
        <v>0</v>
      </c>
      <c r="B321" s="457">
        <f t="shared" ca="1" si="89"/>
        <v>5</v>
      </c>
      <c r="C321" s="457">
        <f t="shared" ca="1" si="90"/>
        <v>5</v>
      </c>
      <c r="D321" s="458">
        <f t="shared" ca="1" si="91"/>
        <v>1</v>
      </c>
      <c r="E321" s="458">
        <f t="shared" ca="1" si="92"/>
        <v>0</v>
      </c>
      <c r="G321" s="206"/>
      <c r="H321" s="207" t="s">
        <v>211</v>
      </c>
      <c r="I321" s="208" t="str">
        <f t="shared" ca="1" si="93"/>
        <v>05.005.001</v>
      </c>
      <c r="J321" s="209" t="s">
        <v>824</v>
      </c>
      <c r="K321" s="210"/>
      <c r="L321" s="455"/>
      <c r="M321" s="455"/>
      <c r="N321" s="285">
        <f ca="1">IF(H321="Serviço",M321*L321,IF(H321="CÉLULA CONSTRUTIVA",SUMIFS($N$8:$N$2360,$B$8:$B$2360,B321,$H$8:$H$2360,"Serviço"),IF(H321="ETAPA",SUMIFS($N$8:$N$2360,$B$8:$B$2360,B321,$C$8:$C$2360,C321,$H$8:$H$2360,"Serviço"),IF(H321="SUBETAPA",SUMIFS($N$8:$N$2360,$B$8:$B$2360,B321,$C$8:$C$2360,C321,$D$8:$D$2360,D321,$H$8:$H$2360,"Serviço"),0))))</f>
        <v>285884.48097399995</v>
      </c>
      <c r="O321" s="462"/>
      <c r="P321" s="213"/>
      <c r="Q321" s="35"/>
      <c r="R321" s="35"/>
      <c r="S321" s="35"/>
    </row>
    <row r="322" spans="1:20" s="34" customFormat="1" ht="22.5" outlineLevel="2" x14ac:dyDescent="0.2">
      <c r="A322" s="457">
        <f ca="1">IF($H322="UNIDADE CONSTRUTIVA",OFFSET(A322,-1,0)+1,LARGE(A$3:A321,1))</f>
        <v>0</v>
      </c>
      <c r="B322" s="457">
        <f t="shared" ca="1" si="89"/>
        <v>5</v>
      </c>
      <c r="C322" s="457">
        <f t="shared" ca="1" si="90"/>
        <v>5</v>
      </c>
      <c r="D322" s="458">
        <f t="shared" ca="1" si="91"/>
        <v>1</v>
      </c>
      <c r="E322" s="458">
        <f t="shared" ca="1" si="92"/>
        <v>1</v>
      </c>
      <c r="G322" s="206"/>
      <c r="H322" s="207" t="s">
        <v>212</v>
      </c>
      <c r="I322" s="208" t="str">
        <f t="shared" ca="1" si="93"/>
        <v>05.005.001.001</v>
      </c>
      <c r="J322" s="468" t="s">
        <v>4919</v>
      </c>
      <c r="K322" s="210" t="s">
        <v>1</v>
      </c>
      <c r="L322" s="455">
        <f>Arquitetura!H144</f>
        <v>1434.4299999999998</v>
      </c>
      <c r="M322" s="455">
        <v>199.30179999999999</v>
      </c>
      <c r="N322" s="285">
        <f>IF(H322="Serviço",M322*L322,IF(H322="CÉLULA CONSTRUTIVA",SUMIFS($N$8:$N$2360,$B$8:$B$2360,B322,$H$8:$H$2360,"Serviço"),IF(H322="ETAPA",SUMIFS($N$8:$N$2360,$B$8:$B$2360,B322,$C$8:$C$2360,C322,$H$8:$H$2360,"Serviço"),IF(H322="SUBETAPA",SUMIFS($N$8:$N$2360,$B$8:$B$2360,B322,$C$8:$C$2360,C322,$D$8:$D$2360,D322,$H$8:$H$2360,"Serviço"),0))))</f>
        <v>285884.48097399995</v>
      </c>
      <c r="O322" s="462"/>
      <c r="P322" s="213" t="s">
        <v>518</v>
      </c>
      <c r="Q322" s="35"/>
      <c r="R322" s="35"/>
      <c r="S322" s="35"/>
    </row>
    <row r="323" spans="1:20" s="34" customFormat="1" ht="13.9" customHeight="1" outlineLevel="1" x14ac:dyDescent="0.2">
      <c r="A323" s="457">
        <f ca="1">IF($H323="UNIDADE CONSTRUTIVA",OFFSET(A323,-1,0)+1,LARGE(A$3:A322,1))</f>
        <v>0</v>
      </c>
      <c r="B323" s="457">
        <f t="shared" ca="1" si="89"/>
        <v>5</v>
      </c>
      <c r="C323" s="457">
        <f t="shared" ca="1" si="90"/>
        <v>6</v>
      </c>
      <c r="D323" s="458">
        <f t="shared" ca="1" si="91"/>
        <v>0</v>
      </c>
      <c r="E323" s="458">
        <f t="shared" ca="1" si="92"/>
        <v>1</v>
      </c>
      <c r="G323" s="206"/>
      <c r="H323" s="207" t="s">
        <v>210</v>
      </c>
      <c r="I323" s="208" t="str">
        <f t="shared" ca="1" si="93"/>
        <v>05.006</v>
      </c>
      <c r="J323" s="209" t="s">
        <v>828</v>
      </c>
      <c r="K323" s="210"/>
      <c r="L323" s="455"/>
      <c r="M323" s="455"/>
      <c r="N323" s="285">
        <f ca="1">IF(H323="Serviço",M323*L323,IF(H323="CÉLULA CONSTRUTIVA",SUMIFS($N$8:$N$1393,$B$8:$B$1393,B323,$H$8:$H$1393,"Serviço"),IF(H323="ETAPA",SUMIFS($N$8:$N$1393,$B$8:$B$1393,B323,$C$8:$C$1393,C323,$H$8:$H$1393,"Serviço"),IF(H323="SUBETAPA",SUMIFS($N$8:$N$1393,$B$8:$B$1393,B323,$C$8:$C$1393,C323,$D$8:$D$1393,D323,$H$8:$H$1393,"Serviço"),0))))</f>
        <v>21245.571879999996</v>
      </c>
      <c r="O323" s="462"/>
      <c r="P323" s="213"/>
      <c r="Q323" s="35"/>
      <c r="R323" s="35"/>
      <c r="S323" s="35"/>
    </row>
    <row r="324" spans="1:20" s="34" customFormat="1" ht="13.9" customHeight="1" outlineLevel="1" x14ac:dyDescent="0.2">
      <c r="A324" s="457">
        <f ca="1">IF($H324="UNIDADE CONSTRUTIVA",OFFSET(A324,-1,0)+1,LARGE(A$3:A323,1))</f>
        <v>0</v>
      </c>
      <c r="B324" s="457">
        <f t="shared" ca="1" si="89"/>
        <v>5</v>
      </c>
      <c r="C324" s="457">
        <f t="shared" ca="1" si="90"/>
        <v>6</v>
      </c>
      <c r="D324" s="458">
        <f t="shared" ca="1" si="91"/>
        <v>1</v>
      </c>
      <c r="E324" s="458">
        <f t="shared" ca="1" si="92"/>
        <v>0</v>
      </c>
      <c r="G324" s="206"/>
      <c r="H324" s="207" t="s">
        <v>211</v>
      </c>
      <c r="I324" s="208" t="str">
        <f t="shared" ca="1" si="93"/>
        <v>05.006.001</v>
      </c>
      <c r="J324" s="209" t="s">
        <v>824</v>
      </c>
      <c r="K324" s="210"/>
      <c r="L324" s="455"/>
      <c r="M324" s="455"/>
      <c r="N324" s="285">
        <f ca="1">IF(H324="Serviço",M324*L324,IF(H324="CÉLULA CONSTRUTIVA",SUMIFS($N$8:$N$2360,$B$8:$B$2360,B324,$H$8:$H$2360,"Serviço"),IF(H324="ETAPA",SUMIFS($N$8:$N$2360,$B$8:$B$2360,B324,$C$8:$C$2360,C324,$H$8:$H$2360,"Serviço"),IF(H324="SUBETAPA",SUMIFS($N$8:$N$2360,$B$8:$B$2360,B324,$C$8:$C$2360,C324,$D$8:$D$2360,D324,$H$8:$H$2360,"Serviço"),0))))</f>
        <v>21245.571879999996</v>
      </c>
      <c r="O324" s="462"/>
      <c r="P324" s="213"/>
      <c r="Q324" s="35"/>
      <c r="R324" s="35"/>
      <c r="S324" s="35"/>
    </row>
    <row r="325" spans="1:20" s="34" customFormat="1" ht="22.5" outlineLevel="2" x14ac:dyDescent="0.2">
      <c r="A325" s="457">
        <f ca="1">IF($H325="UNIDADE CONSTRUTIVA",OFFSET(A325,-1,0)+1,LARGE(A$3:A324,1))</f>
        <v>0</v>
      </c>
      <c r="B325" s="457">
        <f t="shared" ca="1" si="89"/>
        <v>5</v>
      </c>
      <c r="C325" s="457">
        <f t="shared" ca="1" si="90"/>
        <v>6</v>
      </c>
      <c r="D325" s="458">
        <f t="shared" ca="1" si="91"/>
        <v>1</v>
      </c>
      <c r="E325" s="458">
        <f t="shared" ca="1" si="92"/>
        <v>1</v>
      </c>
      <c r="G325" s="206"/>
      <c r="H325" s="207" t="s">
        <v>212</v>
      </c>
      <c r="I325" s="208" t="str">
        <f t="shared" ca="1" si="93"/>
        <v>05.006.001.001</v>
      </c>
      <c r="J325" s="468" t="s">
        <v>4919</v>
      </c>
      <c r="K325" s="210" t="s">
        <v>1</v>
      </c>
      <c r="L325" s="455">
        <f>Arquitetura!D170</f>
        <v>106.6</v>
      </c>
      <c r="M325" s="455">
        <v>199.30179999999999</v>
      </c>
      <c r="N325" s="285">
        <f>IF(H325="Serviço",M325*L325,IF(H325="CÉLULA CONSTRUTIVA",SUMIFS($N$8:$N$2360,$B$8:$B$2360,B325,$H$8:$H$2360,"Serviço"),IF(H325="ETAPA",SUMIFS($N$8:$N$2360,$B$8:$B$2360,B325,$C$8:$C$2360,C325,$H$8:$H$2360,"Serviço"),IF(H325="SUBETAPA",SUMIFS($N$8:$N$2360,$B$8:$B$2360,B325,$C$8:$C$2360,C325,$D$8:$D$2360,D325,$H$8:$H$2360,"Serviço"),0))))</f>
        <v>21245.571879999996</v>
      </c>
      <c r="O325" s="462"/>
      <c r="P325" s="213" t="s">
        <v>518</v>
      </c>
      <c r="Q325" s="35"/>
      <c r="R325" s="35"/>
      <c r="S325" s="35"/>
    </row>
    <row r="326" spans="1:20" s="34" customFormat="1" ht="13.9" customHeight="1" outlineLevel="1" x14ac:dyDescent="0.2">
      <c r="A326" s="457">
        <f ca="1">IF($H326="UNIDADE CONSTRUTIVA",OFFSET(A326,-1,0)+1,LARGE(A$3:A325,1))</f>
        <v>0</v>
      </c>
      <c r="B326" s="457">
        <f t="shared" ca="1" si="89"/>
        <v>5</v>
      </c>
      <c r="C326" s="457">
        <f t="shared" ca="1" si="90"/>
        <v>7</v>
      </c>
      <c r="D326" s="458">
        <f t="shared" ca="1" si="91"/>
        <v>0</v>
      </c>
      <c r="E326" s="458">
        <f t="shared" ca="1" si="92"/>
        <v>1</v>
      </c>
      <c r="G326" s="206"/>
      <c r="H326" s="207" t="s">
        <v>210</v>
      </c>
      <c r="I326" s="208" t="str">
        <f t="shared" ca="1" si="93"/>
        <v>05.007</v>
      </c>
      <c r="J326" s="209" t="s">
        <v>829</v>
      </c>
      <c r="K326" s="210"/>
      <c r="L326" s="455"/>
      <c r="M326" s="455"/>
      <c r="N326" s="285">
        <f ca="1">IF(H326="Serviço",M326*L326,IF(H326="CÉLULA CONSTRUTIVA",SUMIFS($N$8:$N$1393,$B$8:$B$1393,B326,$H$8:$H$1393,"Serviço"),IF(H326="ETAPA",SUMIFS($N$8:$N$1393,$B$8:$B$1393,B326,$C$8:$C$1393,C326,$H$8:$H$1393,"Serviço"),IF(H326="SUBETAPA",SUMIFS($N$8:$N$1393,$B$8:$B$1393,B326,$C$8:$C$1393,C326,$D$8:$D$1393,D326,$H$8:$H$1393,"Serviço"),0))))</f>
        <v>12407.035744891371</v>
      </c>
      <c r="O326" s="462"/>
      <c r="P326" s="213"/>
      <c r="Q326" s="35"/>
      <c r="R326" s="35"/>
      <c r="S326" s="35"/>
    </row>
    <row r="327" spans="1:20" s="34" customFormat="1" ht="13.9" customHeight="1" outlineLevel="1" x14ac:dyDescent="0.2">
      <c r="A327" s="457">
        <f ca="1">IF($H327="UNIDADE CONSTRUTIVA",OFFSET(A327,-1,0)+1,LARGE(A$3:A326,1))</f>
        <v>0</v>
      </c>
      <c r="B327" s="457">
        <f t="shared" ca="1" si="89"/>
        <v>5</v>
      </c>
      <c r="C327" s="457">
        <f t="shared" ca="1" si="90"/>
        <v>7</v>
      </c>
      <c r="D327" s="458">
        <f t="shared" ca="1" si="91"/>
        <v>1</v>
      </c>
      <c r="E327" s="458">
        <f t="shared" ca="1" si="92"/>
        <v>0</v>
      </c>
      <c r="G327" s="206"/>
      <c r="H327" s="207" t="s">
        <v>211</v>
      </c>
      <c r="I327" s="208" t="str">
        <f t="shared" ca="1" si="93"/>
        <v>05.007.001</v>
      </c>
      <c r="J327" s="209" t="s">
        <v>824</v>
      </c>
      <c r="K327" s="210"/>
      <c r="L327" s="455"/>
      <c r="M327" s="455"/>
      <c r="N327" s="285">
        <f ca="1">IF(H327="Serviço",M327*L327,IF(H327="CÉLULA CONSTRUTIVA",SUMIFS($N$8:$N$2360,$B$8:$B$2360,B327,$H$8:$H$2360,"Serviço"),IF(H327="ETAPA",SUMIFS($N$8:$N$2360,$B$8:$B$2360,B327,$C$8:$C$2360,C327,$H$8:$H$2360,"Serviço"),IF(H327="SUBETAPA",SUMIFS($N$8:$N$2360,$B$8:$B$2360,B327,$C$8:$C$2360,C327,$D$8:$D$2360,D327,$H$8:$H$2360,"Serviço"),0))))</f>
        <v>12407.035744891371</v>
      </c>
      <c r="O327" s="462"/>
      <c r="P327" s="213"/>
      <c r="Q327" s="35"/>
      <c r="R327" s="35"/>
      <c r="S327" s="35"/>
    </row>
    <row r="328" spans="1:20" s="34" customFormat="1" ht="22.5" outlineLevel="2" x14ac:dyDescent="0.2">
      <c r="A328" s="457">
        <f ca="1">IF($H328="UNIDADE CONSTRUTIVA",OFFSET(A328,-1,0)+1,LARGE(A$3:A327,1))</f>
        <v>0</v>
      </c>
      <c r="B328" s="457">
        <f t="shared" ca="1" si="89"/>
        <v>5</v>
      </c>
      <c r="C328" s="457">
        <f t="shared" ca="1" si="90"/>
        <v>7</v>
      </c>
      <c r="D328" s="458">
        <f t="shared" ca="1" si="91"/>
        <v>1</v>
      </c>
      <c r="E328" s="458">
        <f t="shared" ca="1" si="92"/>
        <v>1</v>
      </c>
      <c r="G328" s="206"/>
      <c r="H328" s="207" t="s">
        <v>212</v>
      </c>
      <c r="I328" s="208" t="str">
        <f t="shared" ca="1" si="93"/>
        <v>05.007.001.001</v>
      </c>
      <c r="J328" s="468" t="s">
        <v>4919</v>
      </c>
      <c r="K328" s="210" t="s">
        <v>1</v>
      </c>
      <c r="L328" s="455">
        <f>Complementares!J21</f>
        <v>62.252502209670823</v>
      </c>
      <c r="M328" s="455">
        <v>199.30179999999999</v>
      </c>
      <c r="N328" s="285">
        <f>IF(H328="Serviço",M328*L328,IF(H328="CÉLULA CONSTRUTIVA",SUMIFS($N$8:$N$2360,$B$8:$B$2360,B328,$H$8:$H$2360,"Serviço"),IF(H328="ETAPA",SUMIFS($N$8:$N$2360,$B$8:$B$2360,B328,$C$8:$C$2360,C328,$H$8:$H$2360,"Serviço"),IF(H328="SUBETAPA",SUMIFS($N$8:$N$2360,$B$8:$B$2360,B328,$C$8:$C$2360,C328,$D$8:$D$2360,D328,$H$8:$H$2360,"Serviço"),0))))</f>
        <v>12407.035744891371</v>
      </c>
      <c r="O328" s="462"/>
      <c r="P328" s="213" t="s">
        <v>518</v>
      </c>
      <c r="Q328" s="35"/>
      <c r="R328" s="35"/>
      <c r="S328" s="35"/>
    </row>
    <row r="329" spans="1:20" s="34" customFormat="1" ht="13.9" customHeight="1" collapsed="1" x14ac:dyDescent="0.2">
      <c r="A329" s="457">
        <f ca="1">IF($H329="UNIDADE CONSTRUTIVA",OFFSET(A329,-1,0)+1,LARGE(A$3:A328,1))</f>
        <v>0</v>
      </c>
      <c r="B329" s="457">
        <f t="shared" ca="1" si="89"/>
        <v>6</v>
      </c>
      <c r="C329" s="457">
        <f t="shared" ca="1" si="90"/>
        <v>0</v>
      </c>
      <c r="D329" s="458">
        <f t="shared" ca="1" si="91"/>
        <v>1</v>
      </c>
      <c r="E329" s="458">
        <f t="shared" ca="1" si="92"/>
        <v>1</v>
      </c>
      <c r="G329" s="206"/>
      <c r="H329" s="207" t="s">
        <v>209</v>
      </c>
      <c r="I329" s="208" t="str">
        <f t="shared" ca="1" si="93"/>
        <v>06</v>
      </c>
      <c r="J329" s="209" t="s">
        <v>215</v>
      </c>
      <c r="K329" s="210"/>
      <c r="L329" s="455"/>
      <c r="M329" s="455"/>
      <c r="N329" s="285">
        <f ca="1">IF(H329="Serviço",M329*L329,IF(H329="CÉLULA CONSTRUTIVA",SUMIFS($N$8:$N$1393,$B$8:$B$1393,B329,$H$8:$H$1393,"Serviço"),IF(H329="ETAPA",SUMIFS($N$8:$N$1393,$B$8:$B$1393,B329,$C$8:$C$1393,C329,$H$8:$H$1393,"Serviço"),IF(H329="SUBETAPA",SUMIFS($N$8:$N$1393,$B$8:$B$1393,B329,$C$8:$C$1393,C329,$D$8:$D$1393,D329,$H$8:$H$1393,"Serviço"),0))))</f>
        <v>570028.95319700032</v>
      </c>
      <c r="O329" s="462"/>
      <c r="P329" s="213"/>
      <c r="Q329" s="463"/>
      <c r="R329" s="463"/>
      <c r="S329" s="35"/>
      <c r="T329" s="467"/>
    </row>
    <row r="330" spans="1:20" s="34" customFormat="1" ht="13.9" hidden="1" customHeight="1" outlineLevel="1" x14ac:dyDescent="0.2">
      <c r="A330" s="457">
        <f ca="1">IF($H330="UNIDADE CONSTRUTIVA",OFFSET(A330,-1,0)+1,LARGE(A$3:A329,1))</f>
        <v>0</v>
      </c>
      <c r="B330" s="457">
        <f t="shared" ca="1" si="89"/>
        <v>6</v>
      </c>
      <c r="C330" s="457">
        <f t="shared" ca="1" si="90"/>
        <v>1</v>
      </c>
      <c r="D330" s="458">
        <f t="shared" ca="1" si="91"/>
        <v>0</v>
      </c>
      <c r="E330" s="458">
        <f t="shared" ca="1" si="92"/>
        <v>1</v>
      </c>
      <c r="G330" s="206"/>
      <c r="H330" s="207" t="s">
        <v>210</v>
      </c>
      <c r="I330" s="208" t="str">
        <f t="shared" ref="I330:I610" ca="1" si="94">IF(H330="Unidade Construtiva",TEXT(A330,"00"),IF(H330="Célula Construtiva",TEXT(B330,"00"),IF(H330="Etapa",CONCATENATE(TEXT(B330,"00"),".",TEXT(C330,"000")),IF(H330="Subetapa",CONCATENATE(TEXT(B330,"00"),".",TEXT(C330,"000"),".",TEXT(D330,"000")),IF(H330="Serviço",CONCATENATE(TEXT(B330,"00"),".",TEXT(C330,"000"),".",TEXT(D330,"000"),".",TEXT(E330,"000")),"")))))</f>
        <v>06.001</v>
      </c>
      <c r="J330" s="209" t="s">
        <v>863</v>
      </c>
      <c r="K330" s="210"/>
      <c r="L330" s="455"/>
      <c r="M330" s="455"/>
      <c r="N330" s="285">
        <f ca="1">IF(H330="Serviço",M330*L330,IF(H330="CÉLULA CONSTRUTIVA",SUMIFS($N$8:$N$1393,$B$8:$B$1393,B330,$H$8:$H$1393,"Serviço"),IF(H330="ETAPA",SUMIFS($N$8:$N$1393,$B$8:$B$1393,B330,$C$8:$C$1393,C330,$H$8:$H$1393,"Serviço"),IF(H330="SUBETAPA",SUMIFS($N$8:$N$1393,$B$8:$B$1393,B330,$C$8:$C$1393,C330,$D$8:$D$1393,D330,$H$8:$H$1393,"Serviço"),0))))</f>
        <v>72030.203024000002</v>
      </c>
      <c r="O330" s="462"/>
      <c r="P330" s="213"/>
      <c r="S330" s="35"/>
      <c r="T330" s="467"/>
    </row>
    <row r="331" spans="1:20" s="34" customFormat="1" ht="13.9" hidden="1" customHeight="1" outlineLevel="2" x14ac:dyDescent="0.2">
      <c r="A331" s="457">
        <f ca="1">IF($H331="UNIDADE CONSTRUTIVA",OFFSET(A331,-1,0)+1,LARGE(A$3:A330,1))</f>
        <v>0</v>
      </c>
      <c r="B331" s="457">
        <f t="shared" ca="1" si="89"/>
        <v>6</v>
      </c>
      <c r="C331" s="457">
        <f t="shared" ca="1" si="90"/>
        <v>1</v>
      </c>
      <c r="D331" s="458">
        <f t="shared" ca="1" si="91"/>
        <v>1</v>
      </c>
      <c r="E331" s="458">
        <f t="shared" ca="1" si="92"/>
        <v>0</v>
      </c>
      <c r="G331" s="206"/>
      <c r="H331" s="207" t="s">
        <v>211</v>
      </c>
      <c r="I331" s="208" t="str">
        <f t="shared" ca="1" si="94"/>
        <v>06.001.001</v>
      </c>
      <c r="J331" s="209" t="s">
        <v>131</v>
      </c>
      <c r="K331" s="210"/>
      <c r="L331" s="455"/>
      <c r="M331" s="455"/>
      <c r="N331" s="285">
        <f t="shared" ref="N331:N337" ca="1" si="95">IF(H331="Serviço",M331*L331,IF(H331="CÉLULA CONSTRUTIVA",SUMIFS($N$8:$N$2125,$B$8:$B$2125,B331,$H$8:$H$2125,"Serviço"),IF(H331="ETAPA",SUMIFS($N$8:$N$2125,$B$8:$B$2125,B331,$C$8:$C$2125,C331,$H$8:$H$2125,"Serviço"),IF(H331="SUBETAPA",SUMIFS($N$8:$N$2125,$B$8:$B$2125,B331,$C$8:$C$2125,C331,$D$8:$D$2125,D331,$H$8:$H$2125,"Serviço"),0))))</f>
        <v>227.61354</v>
      </c>
      <c r="O331" s="462"/>
      <c r="P331" s="213"/>
      <c r="S331" s="35"/>
      <c r="T331" s="467"/>
    </row>
    <row r="332" spans="1:20" s="34" customFormat="1" ht="13.9" hidden="1" customHeight="1" outlineLevel="2" x14ac:dyDescent="0.2">
      <c r="A332" s="457">
        <f ca="1">IF($H332="UNIDADE CONSTRUTIVA",OFFSET(A332,-1,0)+1,LARGE(A$3:A331,1))</f>
        <v>0</v>
      </c>
      <c r="B332" s="457">
        <f t="shared" ca="1" si="89"/>
        <v>6</v>
      </c>
      <c r="C332" s="457">
        <f t="shared" ca="1" si="90"/>
        <v>1</v>
      </c>
      <c r="D332" s="458">
        <f t="shared" ca="1" si="91"/>
        <v>1</v>
      </c>
      <c r="E332" s="458">
        <f t="shared" ca="1" si="92"/>
        <v>1</v>
      </c>
      <c r="G332" s="206"/>
      <c r="H332" s="207" t="s">
        <v>212</v>
      </c>
      <c r="I332" s="208" t="str">
        <f t="shared" ca="1" si="94"/>
        <v>06.001.001.001</v>
      </c>
      <c r="J332" s="209" t="s">
        <v>850</v>
      </c>
      <c r="K332" s="210" t="s">
        <v>1</v>
      </c>
      <c r="L332" s="455">
        <f>Arquitetura!D176</f>
        <v>7.81</v>
      </c>
      <c r="M332" s="455">
        <v>7.89</v>
      </c>
      <c r="N332" s="285">
        <f t="shared" si="95"/>
        <v>61.620899999999992</v>
      </c>
      <c r="O332" s="462"/>
      <c r="P332" s="213" t="s">
        <v>518</v>
      </c>
      <c r="S332" s="35"/>
      <c r="T332" s="467"/>
    </row>
    <row r="333" spans="1:20" s="34" customFormat="1" ht="13.9" hidden="1" customHeight="1" outlineLevel="2" x14ac:dyDescent="0.2">
      <c r="A333" s="457">
        <f ca="1">IF($H333="UNIDADE CONSTRUTIVA",OFFSET(A333,-1,0)+1,LARGE(A$3:A332,1))</f>
        <v>0</v>
      </c>
      <c r="B333" s="457">
        <f t="shared" ca="1" si="89"/>
        <v>6</v>
      </c>
      <c r="C333" s="457">
        <f t="shared" ca="1" si="90"/>
        <v>1</v>
      </c>
      <c r="D333" s="458">
        <f t="shared" ca="1" si="91"/>
        <v>1</v>
      </c>
      <c r="E333" s="458">
        <f t="shared" ca="1" si="92"/>
        <v>2</v>
      </c>
      <c r="G333" s="206"/>
      <c r="H333" s="207" t="s">
        <v>212</v>
      </c>
      <c r="I333" s="208" t="str">
        <f ca="1">IF(H333="Unidade Construtiva",TEXT(A333,"00"),IF(H333="Célula Construtiva",TEXT(B333,"00"),IF(H333="Etapa",CONCATENATE(TEXT(B333,"00"),".",TEXT(C333,"000")),IF(H333="Subetapa",CONCATENATE(TEXT(B333,"00"),".",TEXT(C333,"000"),".",TEXT(D333,"000")),IF(H333="Serviço",CONCATENATE(TEXT(B333,"00"),".",TEXT(C333,"000"),".",TEXT(D333,"000"),".",TEXT(E333,"000")),"")))))</f>
        <v>06.001.001.002</v>
      </c>
      <c r="J333" s="209" t="s">
        <v>849</v>
      </c>
      <c r="K333" s="210" t="s">
        <v>1</v>
      </c>
      <c r="L333" s="455">
        <f>Arquitetura!D175</f>
        <v>4.84</v>
      </c>
      <c r="M333" s="455">
        <v>34.295999999999999</v>
      </c>
      <c r="N333" s="285">
        <f t="shared" si="95"/>
        <v>165.99263999999999</v>
      </c>
      <c r="O333" s="462"/>
      <c r="P333" s="213" t="s">
        <v>518</v>
      </c>
      <c r="S333" s="35"/>
      <c r="T333" s="467"/>
    </row>
    <row r="334" spans="1:20" s="34" customFormat="1" ht="13.9" hidden="1" customHeight="1" outlineLevel="2" x14ac:dyDescent="0.2">
      <c r="A334" s="457">
        <f ca="1">IF($H334="UNIDADE CONSTRUTIVA",OFFSET(A334,-1,0)+1,LARGE(A$3:A333,1))</f>
        <v>0</v>
      </c>
      <c r="B334" s="457">
        <f t="shared" ca="1" si="89"/>
        <v>6</v>
      </c>
      <c r="C334" s="457">
        <f t="shared" ca="1" si="90"/>
        <v>1</v>
      </c>
      <c r="D334" s="458">
        <f t="shared" ca="1" si="91"/>
        <v>2</v>
      </c>
      <c r="E334" s="458">
        <f t="shared" ca="1" si="92"/>
        <v>0</v>
      </c>
      <c r="G334" s="206"/>
      <c r="H334" s="207" t="s">
        <v>211</v>
      </c>
      <c r="I334" s="208" t="str">
        <f t="shared" ca="1" si="94"/>
        <v>06.001.002</v>
      </c>
      <c r="J334" s="209" t="s">
        <v>853</v>
      </c>
      <c r="K334" s="210"/>
      <c r="L334" s="455"/>
      <c r="M334" s="455"/>
      <c r="N334" s="285">
        <f t="shared" ca="1" si="95"/>
        <v>26484.5718825</v>
      </c>
      <c r="O334" s="462"/>
      <c r="P334" s="213"/>
      <c r="S334" s="35"/>
      <c r="T334" s="467"/>
    </row>
    <row r="335" spans="1:20" s="34" customFormat="1" ht="13.9" hidden="1" customHeight="1" outlineLevel="2" x14ac:dyDescent="0.2">
      <c r="A335" s="457">
        <f ca="1">IF($H335="UNIDADE CONSTRUTIVA",OFFSET(A335,-1,0)+1,LARGE(A$3:A334,1))</f>
        <v>0</v>
      </c>
      <c r="B335" s="457">
        <f t="shared" ca="1" si="89"/>
        <v>6</v>
      </c>
      <c r="C335" s="457">
        <f t="shared" ca="1" si="90"/>
        <v>1</v>
      </c>
      <c r="D335" s="458">
        <f t="shared" ca="1" si="91"/>
        <v>2</v>
      </c>
      <c r="E335" s="458">
        <f t="shared" ca="1" si="92"/>
        <v>1</v>
      </c>
      <c r="G335" s="206"/>
      <c r="H335" s="207" t="s">
        <v>212</v>
      </c>
      <c r="I335" s="208" t="str">
        <f t="shared" ca="1" si="94"/>
        <v>06.001.002.001</v>
      </c>
      <c r="J335" s="209" t="s">
        <v>845</v>
      </c>
      <c r="K335" s="210" t="s">
        <v>1</v>
      </c>
      <c r="L335" s="455">
        <f>'Fundação Rasa'!N7</f>
        <v>1063.6374250000001</v>
      </c>
      <c r="M335" s="455">
        <v>24.9</v>
      </c>
      <c r="N335" s="285">
        <f t="shared" si="95"/>
        <v>26484.5718825</v>
      </c>
      <c r="O335" s="462"/>
      <c r="P335" s="213" t="s">
        <v>518</v>
      </c>
      <c r="S335" s="35"/>
      <c r="T335" s="467"/>
    </row>
    <row r="336" spans="1:20" s="34" customFormat="1" ht="11.25" hidden="1" outlineLevel="2" x14ac:dyDescent="0.2">
      <c r="A336" s="457">
        <f ca="1">IF($H336="UNIDADE CONSTRUTIVA",OFFSET(A336,-1,0)+1,LARGE(A$3:A335,1))</f>
        <v>0</v>
      </c>
      <c r="B336" s="457">
        <f t="shared" ca="1" si="89"/>
        <v>6</v>
      </c>
      <c r="C336" s="457">
        <f t="shared" ca="1" si="90"/>
        <v>1</v>
      </c>
      <c r="D336" s="458">
        <f t="shared" ca="1" si="91"/>
        <v>3</v>
      </c>
      <c r="E336" s="458">
        <f t="shared" ca="1" si="92"/>
        <v>0</v>
      </c>
      <c r="G336" s="206"/>
      <c r="H336" s="207" t="s">
        <v>211</v>
      </c>
      <c r="I336" s="208" t="str">
        <f t="shared" ca="1" si="94"/>
        <v>06.001.003</v>
      </c>
      <c r="J336" s="468" t="s">
        <v>851</v>
      </c>
      <c r="K336" s="210"/>
      <c r="L336" s="455"/>
      <c r="M336" s="455"/>
      <c r="N336" s="285">
        <f t="shared" ca="1" si="95"/>
        <v>2275.0437240000001</v>
      </c>
      <c r="O336" s="462"/>
      <c r="P336" s="213"/>
      <c r="S336" s="35"/>
      <c r="T336" s="467"/>
    </row>
    <row r="337" spans="1:20" s="34" customFormat="1" ht="13.9" hidden="1" customHeight="1" outlineLevel="2" x14ac:dyDescent="0.2">
      <c r="A337" s="457">
        <f ca="1">IF($H337="UNIDADE CONSTRUTIVA",OFFSET(A337,-1,0)+1,LARGE(A$3:A336,1))</f>
        <v>0</v>
      </c>
      <c r="B337" s="457">
        <f t="shared" ca="1" si="89"/>
        <v>6</v>
      </c>
      <c r="C337" s="457">
        <f t="shared" ca="1" si="90"/>
        <v>1</v>
      </c>
      <c r="D337" s="458">
        <f t="shared" ca="1" si="91"/>
        <v>3</v>
      </c>
      <c r="E337" s="458">
        <f t="shared" ca="1" si="92"/>
        <v>1</v>
      </c>
      <c r="G337" s="206"/>
      <c r="H337" s="207" t="s">
        <v>212</v>
      </c>
      <c r="I337" s="208" t="str">
        <f t="shared" ca="1" si="94"/>
        <v>06.001.003.001</v>
      </c>
      <c r="J337" s="209" t="s">
        <v>848</v>
      </c>
      <c r="K337" s="210" t="s">
        <v>1</v>
      </c>
      <c r="L337" s="455">
        <f>Arquitetura!H228</f>
        <v>62.760000000000005</v>
      </c>
      <c r="M337" s="455">
        <v>36.249899999999997</v>
      </c>
      <c r="N337" s="285">
        <f t="shared" si="95"/>
        <v>2275.0437240000001</v>
      </c>
      <c r="O337" s="462"/>
      <c r="P337" s="213" t="s">
        <v>518</v>
      </c>
      <c r="S337" s="35"/>
      <c r="T337" s="467"/>
    </row>
    <row r="338" spans="1:20" s="34" customFormat="1" ht="13.9" hidden="1" customHeight="1" outlineLevel="2" x14ac:dyDescent="0.2">
      <c r="A338" s="457">
        <f ca="1">IF($H338="UNIDADE CONSTRUTIVA",OFFSET(A338,-1,0)+1,LARGE(A$3:A337,1))</f>
        <v>0</v>
      </c>
      <c r="B338" s="457">
        <f t="shared" ca="1" si="89"/>
        <v>6</v>
      </c>
      <c r="C338" s="457">
        <f t="shared" ca="1" si="90"/>
        <v>1</v>
      </c>
      <c r="D338" s="458">
        <f t="shared" ca="1" si="91"/>
        <v>4</v>
      </c>
      <c r="E338" s="458">
        <f t="shared" ca="1" si="92"/>
        <v>0</v>
      </c>
      <c r="G338" s="206"/>
      <c r="H338" s="207" t="s">
        <v>211</v>
      </c>
      <c r="I338" s="208" t="str">
        <f ca="1">IF(H338="Unidade Construtiva",TEXT(A338,"00"),IF(H338="Célula Construtiva",TEXT(B338,"00"),IF(H338="Etapa",CONCATENATE(TEXT(B338,"00"),".",TEXT(C338,"000")),IF(H338="Subetapa",CONCATENATE(TEXT(B338,"00"),".",TEXT(C338,"000"),".",TEXT(D338,"000")),IF(H338="Serviço",CONCATENATE(TEXT(B338,"00"),".",TEXT(C338,"000"),".",TEXT(D338,"000"),".",TEXT(E338,"000")),"")))))</f>
        <v>06.001.004</v>
      </c>
      <c r="J338" s="209" t="s">
        <v>864</v>
      </c>
      <c r="K338" s="210"/>
      <c r="L338" s="455"/>
      <c r="M338" s="455"/>
      <c r="N338" s="285">
        <f ca="1">IF(H338="Serviço",M338*L338,IF(H338="CÉLULA CONSTRUTIVA",SUMIFS($N$8:$N$2116,$B$8:$B$2116,B338,$H$8:$H$2116,"Serviço"),IF(H338="ETAPA",SUMIFS($N$8:$N$2116,$B$8:$B$2116,B338,$C$8:$C$2116,C338,$H$8:$H$2116,"Serviço"),IF(H338="SUBETAPA",SUMIFS($N$8:$N$2116,$B$8:$B$2116,B338,$C$8:$C$2116,C338,$D$8:$D$2116,D338,$H$8:$H$2116,"Serviço"),0))))</f>
        <v>26.110500000000002</v>
      </c>
      <c r="O338" s="462"/>
      <c r="P338" s="213"/>
      <c r="Q338" s="35"/>
      <c r="R338" s="35"/>
      <c r="S338" s="35"/>
      <c r="T338" s="467"/>
    </row>
    <row r="339" spans="1:20" s="34" customFormat="1" ht="13.9" hidden="1" customHeight="1" outlineLevel="2" x14ac:dyDescent="0.2">
      <c r="A339" s="457">
        <f ca="1">IF($H339="UNIDADE CONSTRUTIVA",OFFSET(A339,-1,0)+1,LARGE(A$3:A338,1))</f>
        <v>0</v>
      </c>
      <c r="B339" s="457">
        <f t="shared" ca="1" si="89"/>
        <v>6</v>
      </c>
      <c r="C339" s="457">
        <f t="shared" ca="1" si="90"/>
        <v>1</v>
      </c>
      <c r="D339" s="458">
        <f t="shared" ca="1" si="91"/>
        <v>4</v>
      </c>
      <c r="E339" s="458">
        <f t="shared" ca="1" si="92"/>
        <v>1</v>
      </c>
      <c r="G339" s="206"/>
      <c r="H339" s="207" t="s">
        <v>212</v>
      </c>
      <c r="I339" s="208" t="str">
        <f ca="1">IF(H339="Unidade Construtiva",TEXT(A339,"00"),IF(H339="Célula Construtiva",TEXT(B339,"00"),IF(H339="Etapa",CONCATENATE(TEXT(B339,"00"),".",TEXT(C339,"000")),IF(H339="Subetapa",CONCATENATE(TEXT(B339,"00"),".",TEXT(C339,"000"),".",TEXT(D339,"000")),IF(H339="Serviço",CONCATENATE(TEXT(B339,"00"),".",TEXT(C339,"000"),".",TEXT(D339,"000"),".",TEXT(E339,"000")),"")))))</f>
        <v>06.001.004.001</v>
      </c>
      <c r="J339" s="209" t="s">
        <v>847</v>
      </c>
      <c r="K339" s="210" t="s">
        <v>1</v>
      </c>
      <c r="L339" s="455">
        <f>Arquitetura!H229</f>
        <v>0.65</v>
      </c>
      <c r="M339" s="455">
        <v>40.17</v>
      </c>
      <c r="N339" s="285">
        <f>IF(H339="Serviço",M339*L339,IF(H339="CÉLULA CONSTRUTIVA",SUMIFS($N$8:$N$2116,$B$8:$B$2116,B339,$H$8:$H$2116,"Serviço"),IF(H339="ETAPA",SUMIFS($N$8:$N$2116,$B$8:$B$2116,B339,$C$8:$C$2116,C339,$H$8:$H$2116,"Serviço"),IF(H339="SUBETAPA",SUMIFS($N$8:$N$2116,$B$8:$B$2116,B339,$C$8:$C$2116,C339,$D$8:$D$2116,D339,$H$8:$H$2116,"Serviço"),0))))</f>
        <v>26.110500000000002</v>
      </c>
      <c r="O339" s="462"/>
      <c r="P339" s="213" t="s">
        <v>518</v>
      </c>
      <c r="Q339" s="35"/>
      <c r="R339" s="35"/>
      <c r="S339" s="35"/>
      <c r="T339" s="467"/>
    </row>
    <row r="340" spans="1:20" s="34" customFormat="1" ht="13.9" hidden="1" customHeight="1" outlineLevel="2" x14ac:dyDescent="0.2">
      <c r="A340" s="457">
        <f ca="1">IF($H340="UNIDADE CONSTRUTIVA",OFFSET(A340,-1,0)+1,LARGE(A$3:A339,1))</f>
        <v>0</v>
      </c>
      <c r="B340" s="457">
        <f t="shared" ca="1" si="89"/>
        <v>6</v>
      </c>
      <c r="C340" s="457">
        <f t="shared" ca="1" si="90"/>
        <v>1</v>
      </c>
      <c r="D340" s="458">
        <f t="shared" ca="1" si="91"/>
        <v>5</v>
      </c>
      <c r="E340" s="458">
        <f t="shared" ca="1" si="92"/>
        <v>0</v>
      </c>
      <c r="G340" s="206"/>
      <c r="H340" s="207" t="s">
        <v>211</v>
      </c>
      <c r="I340" s="208" t="str">
        <f t="shared" ca="1" si="94"/>
        <v>06.001.005</v>
      </c>
      <c r="J340" s="209" t="s">
        <v>114</v>
      </c>
      <c r="K340" s="210"/>
      <c r="L340" s="455"/>
      <c r="M340" s="455"/>
      <c r="N340" s="285">
        <f ca="1">IF(H340="Serviço",M340*L340,IF(H340="CÉLULA CONSTRUTIVA",SUMIFS($N$8:$N$2125,$B$8:$B$2125,B340,$H$8:$H$2125,"Serviço"),IF(H340="ETAPA",SUMIFS($N$8:$N$2125,$B$8:$B$2125,B340,$C$8:$C$2125,C340,$H$8:$H$2125,"Serviço"),IF(H340="SUBETAPA",SUMIFS($N$8:$N$2125,$B$8:$B$2125,B340,$C$8:$C$2125,C340,$D$8:$D$2125,D340,$H$8:$H$2125,"Serviço"),0))))</f>
        <v>43016.863377500005</v>
      </c>
      <c r="O340" s="462"/>
      <c r="P340" s="213"/>
      <c r="Q340" s="35"/>
      <c r="R340" s="35"/>
      <c r="S340" s="35"/>
    </row>
    <row r="341" spans="1:20" s="34" customFormat="1" ht="13.9" hidden="1" customHeight="1" outlineLevel="2" x14ac:dyDescent="0.2">
      <c r="A341" s="457">
        <f ca="1">IF($H341="UNIDADE CONSTRUTIVA",OFFSET(A341,-1,0)+1,LARGE(A$3:A340,1))</f>
        <v>0</v>
      </c>
      <c r="B341" s="457">
        <f t="shared" ca="1" si="89"/>
        <v>6</v>
      </c>
      <c r="C341" s="457">
        <f t="shared" ca="1" si="90"/>
        <v>1</v>
      </c>
      <c r="D341" s="458">
        <f t="shared" ca="1" si="91"/>
        <v>5</v>
      </c>
      <c r="E341" s="458">
        <f t="shared" ca="1" si="92"/>
        <v>1</v>
      </c>
      <c r="G341" s="206"/>
      <c r="H341" s="207" t="s">
        <v>212</v>
      </c>
      <c r="I341" s="208" t="str">
        <f t="shared" ca="1" si="94"/>
        <v>06.001.005.001</v>
      </c>
      <c r="J341" s="209" t="s">
        <v>216</v>
      </c>
      <c r="K341" s="210" t="s">
        <v>1</v>
      </c>
      <c r="L341" s="455">
        <f>L332</f>
        <v>7.81</v>
      </c>
      <c r="M341" s="455">
        <v>20</v>
      </c>
      <c r="N341" s="285">
        <f>IF(H341="Serviço",M341*L341,IF(H341="CÉLULA CONSTRUTIVA",SUMIFS($N$8:$N$2125,$B$8:$B$2125,B341,$H$8:$H$2125,"Serviço"),IF(H341="ETAPA",SUMIFS($N$8:$N$2125,$B$8:$B$2125,B341,$C$8:$C$2125,C341,$H$8:$H$2125,"Serviço"),IF(H341="SUBETAPA",SUMIFS($N$8:$N$2125,$B$8:$B$2125,B341,$C$8:$C$2125,C341,$D$8:$D$2125,D341,$H$8:$H$2125,"Serviço"),0))))</f>
        <v>156.19999999999999</v>
      </c>
      <c r="O341" s="462"/>
      <c r="P341" s="213" t="s">
        <v>518</v>
      </c>
      <c r="Q341" s="35"/>
      <c r="R341" s="35"/>
      <c r="S341" s="35"/>
    </row>
    <row r="342" spans="1:20" s="34" customFormat="1" ht="13.9" hidden="1" customHeight="1" outlineLevel="2" x14ac:dyDescent="0.2">
      <c r="A342" s="457">
        <f ca="1">IF($H342="UNIDADE CONSTRUTIVA",OFFSET(A342,-1,0)+1,LARGE(A$3:A341,1))</f>
        <v>0</v>
      </c>
      <c r="B342" s="457">
        <f t="shared" ca="1" si="89"/>
        <v>6</v>
      </c>
      <c r="C342" s="457">
        <f t="shared" ca="1" si="90"/>
        <v>1</v>
      </c>
      <c r="D342" s="458">
        <f t="shared" ca="1" si="91"/>
        <v>5</v>
      </c>
      <c r="E342" s="458">
        <f t="shared" ca="1" si="92"/>
        <v>2</v>
      </c>
      <c r="G342" s="206"/>
      <c r="H342" s="207" t="s">
        <v>212</v>
      </c>
      <c r="I342" s="208" t="str">
        <f ca="1">IF(H342="Unidade Construtiva",TEXT(A342,"00"),IF(H342="Célula Construtiva",TEXT(B342,"00"),IF(H342="Etapa",CONCATENATE(TEXT(B342,"00"),".",TEXT(C342,"000")),IF(H342="Subetapa",CONCATENATE(TEXT(B342,"00"),".",TEXT(C342,"000"),".",TEXT(D342,"000")),IF(H342="Serviço",CONCATENATE(TEXT(B342,"00"),".",TEXT(C342,"000"),".",TEXT(D342,"000"),".",TEXT(E342,"000")),"")))))</f>
        <v>06.001.005.002</v>
      </c>
      <c r="J342" s="209" t="s">
        <v>217</v>
      </c>
      <c r="K342" s="210" t="s">
        <v>1</v>
      </c>
      <c r="L342" s="455">
        <f>L333</f>
        <v>4.84</v>
      </c>
      <c r="M342" s="455">
        <v>45</v>
      </c>
      <c r="N342" s="285">
        <f>L342*M342</f>
        <v>217.79999999999998</v>
      </c>
      <c r="O342" s="462"/>
      <c r="P342" s="213" t="s">
        <v>518</v>
      </c>
      <c r="Q342" s="35"/>
      <c r="R342" s="35"/>
      <c r="S342" s="35"/>
    </row>
    <row r="343" spans="1:20" s="34" customFormat="1" ht="13.9" hidden="1" customHeight="1" outlineLevel="2" x14ac:dyDescent="0.2">
      <c r="A343" s="457">
        <f ca="1">IF($H343="UNIDADE CONSTRUTIVA",OFFSET(A343,-1,0)+1,LARGE(A$3:A342,1))</f>
        <v>0</v>
      </c>
      <c r="B343" s="457">
        <f t="shared" ca="1" si="89"/>
        <v>6</v>
      </c>
      <c r="C343" s="457">
        <f t="shared" ca="1" si="90"/>
        <v>1</v>
      </c>
      <c r="D343" s="458">
        <f t="shared" ca="1" si="91"/>
        <v>5</v>
      </c>
      <c r="E343" s="458">
        <f t="shared" ca="1" si="92"/>
        <v>3</v>
      </c>
      <c r="G343" s="206"/>
      <c r="H343" s="207" t="s">
        <v>212</v>
      </c>
      <c r="I343" s="208" t="str">
        <f ca="1">IF(H343="Unidade Construtiva",TEXT(A343,"00"),IF(H343="Célula Construtiva",TEXT(B343,"00"),IF(H343="Etapa",CONCATENATE(TEXT(B343,"00"),".",TEXT(C343,"000")),IF(H343="Subetapa",CONCATENATE(TEXT(B343,"00"),".",TEXT(C343,"000"),".",TEXT(D343,"000")),IF(H343="Serviço",CONCATENATE(TEXT(B343,"00"),".",TEXT(C343,"000"),".",TEXT(D343,"000"),".",TEXT(E343,"000")),"")))))</f>
        <v>06.001.005.003</v>
      </c>
      <c r="J343" s="209" t="s">
        <v>854</v>
      </c>
      <c r="K343" s="210" t="s">
        <v>1</v>
      </c>
      <c r="L343" s="455">
        <f>L335</f>
        <v>1063.6374250000001</v>
      </c>
      <c r="M343" s="455">
        <v>38.299999999999997</v>
      </c>
      <c r="N343" s="285">
        <f>IF(H343="Serviço",M343*L343,IF(H343="CÉLULA CONSTRUTIVA",SUMIFS($N$8:$N$2132,$B$8:$B$2132,B343,$H$8:$H$2132,"Serviço"),IF(H343="ETAPA",SUMIFS($N$8:$N$2132,$B$8:$B$2132,B343,$C$8:$C$2132,C343,$H$8:$H$2132,"Serviço"),IF(H343="SUBETAPA",SUMIFS($N$8:$N$2132,$B$8:$B$2132,B343,$C$8:$C$2132,C343,$D$8:$D$2132,D343,$H$8:$H$2132,"Serviço"),0))))</f>
        <v>40737.313377500002</v>
      </c>
      <c r="O343" s="462"/>
      <c r="P343" s="213" t="s">
        <v>518</v>
      </c>
      <c r="Q343" s="35"/>
      <c r="R343" s="35"/>
      <c r="S343" s="35"/>
    </row>
    <row r="344" spans="1:20" s="34" customFormat="1" ht="13.9" hidden="1" customHeight="1" outlineLevel="2" x14ac:dyDescent="0.2">
      <c r="A344" s="457">
        <f ca="1">IF($H344="UNIDADE CONSTRUTIVA",OFFSET(A344,-1,0)+1,LARGE(A$3:A343,1))</f>
        <v>0</v>
      </c>
      <c r="B344" s="457">
        <f t="shared" ca="1" si="89"/>
        <v>6</v>
      </c>
      <c r="C344" s="457">
        <f t="shared" ca="1" si="90"/>
        <v>1</v>
      </c>
      <c r="D344" s="458">
        <f t="shared" ca="1" si="91"/>
        <v>5</v>
      </c>
      <c r="E344" s="458">
        <f t="shared" ca="1" si="92"/>
        <v>4</v>
      </c>
      <c r="G344" s="206"/>
      <c r="H344" s="207" t="s">
        <v>212</v>
      </c>
      <c r="I344" s="208" t="str">
        <f t="shared" ca="1" si="94"/>
        <v>06.001.005.004</v>
      </c>
      <c r="J344" s="209" t="s">
        <v>218</v>
      </c>
      <c r="K344" s="210" t="s">
        <v>1</v>
      </c>
      <c r="L344" s="455">
        <f>L337</f>
        <v>62.760000000000005</v>
      </c>
      <c r="M344" s="455">
        <v>30</v>
      </c>
      <c r="N344" s="285">
        <f>IF(H344="Serviço",M344*L344,IF(H344="CÉLULA CONSTRUTIVA",SUMIFS($N$8:$N$2125,$B$8:$B$2125,B344,$H$8:$H$2125,"Serviço"),IF(H344="ETAPA",SUMIFS($N$8:$N$2125,$B$8:$B$2125,B344,$C$8:$C$2125,C344,$H$8:$H$2125,"Serviço"),IF(H344="SUBETAPA",SUMIFS($N$8:$N$2125,$B$8:$B$2125,B344,$C$8:$C$2125,C344,$D$8:$D$2125,D344,$H$8:$H$2125,"Serviço"),0))))</f>
        <v>1882.8000000000002</v>
      </c>
      <c r="O344" s="462"/>
      <c r="P344" s="213" t="s">
        <v>518</v>
      </c>
      <c r="Q344" s="35"/>
      <c r="R344" s="35"/>
      <c r="S344" s="35"/>
    </row>
    <row r="345" spans="1:20" s="34" customFormat="1" ht="13.9" hidden="1" customHeight="1" outlineLevel="2" x14ac:dyDescent="0.2">
      <c r="A345" s="457">
        <f ca="1">IF($H345="UNIDADE CONSTRUTIVA",OFFSET(A345,-1,0)+1,LARGE(A$3:A344,1))</f>
        <v>0</v>
      </c>
      <c r="B345" s="457">
        <f t="shared" ca="1" si="89"/>
        <v>6</v>
      </c>
      <c r="C345" s="457">
        <f t="shared" ca="1" si="90"/>
        <v>1</v>
      </c>
      <c r="D345" s="458">
        <f t="shared" ca="1" si="91"/>
        <v>5</v>
      </c>
      <c r="E345" s="458">
        <f t="shared" ca="1" si="92"/>
        <v>5</v>
      </c>
      <c r="G345" s="206"/>
      <c r="H345" s="207" t="s">
        <v>212</v>
      </c>
      <c r="I345" s="208" t="str">
        <f ca="1">IF(H345="Unidade Construtiva",TEXT(A345,"00"),IF(H345="Célula Construtiva",TEXT(B345,"00"),IF(H345="Etapa",CONCATENATE(TEXT(B345,"00"),".",TEXT(C345,"000")),IF(H345="Subetapa",CONCATENATE(TEXT(B345,"00"),".",TEXT(C345,"000"),".",TEXT(D345,"000")),IF(H345="Serviço",CONCATENATE(TEXT(B345,"00"),".",TEXT(C345,"000"),".",TEXT(D345,"000"),".",TEXT(E345,"000")),"")))))</f>
        <v>06.001.005.005</v>
      </c>
      <c r="J345" s="209" t="s">
        <v>865</v>
      </c>
      <c r="K345" s="210" t="s">
        <v>1</v>
      </c>
      <c r="L345" s="455">
        <f>L339</f>
        <v>0.65</v>
      </c>
      <c r="M345" s="455">
        <v>35</v>
      </c>
      <c r="N345" s="285">
        <f>IF(H345="Serviço",M345*L345,IF(H345="CÉLULA CONSTRUTIVA",SUMIFS($N$8:$N$2116,$B$8:$B$2116,B345,$H$8:$H$2116,"Serviço"),IF(H345="ETAPA",SUMIFS($N$8:$N$2116,$B$8:$B$2116,B345,$C$8:$C$2116,C345,$H$8:$H$2116,"Serviço"),IF(H345="SUBETAPA",SUMIFS($N$8:$N$2116,$B$8:$B$2116,B345,$C$8:$C$2116,C345,$D$8:$D$2116,D345,$H$8:$H$2116,"Serviço"),0))))</f>
        <v>22.75</v>
      </c>
      <c r="O345" s="462"/>
      <c r="P345" s="213" t="s">
        <v>518</v>
      </c>
      <c r="Q345" s="35"/>
      <c r="R345" s="35"/>
      <c r="S345" s="35"/>
    </row>
    <row r="346" spans="1:20" s="34" customFormat="1" ht="13.9" hidden="1" customHeight="1" outlineLevel="1" x14ac:dyDescent="0.2">
      <c r="A346" s="457">
        <f ca="1">IF($H346="UNIDADE CONSTRUTIVA",OFFSET(A346,-1,0)+1,LARGE(A$3:A345,1))</f>
        <v>0</v>
      </c>
      <c r="B346" s="457">
        <f t="shared" ref="B346:B353" ca="1" si="96">IF(H346="UNIDADE CONSTRUTIVA",0,IF(H346="CÉLULA CONSTRUTIVA",OFFSET(B346,-1,0)+1,OFFSET(B346,-1,0)))</f>
        <v>6</v>
      </c>
      <c r="C346" s="457">
        <f t="shared" ref="C346:C353" ca="1" si="97">IF(H346="CÉLULA CONSTRUTIVA",0,IF(H346="ETAPA",OFFSET(C346,-1,0)+1,OFFSET(C346,-1,0)))</f>
        <v>2</v>
      </c>
      <c r="D346" s="458">
        <f t="shared" ref="D346:D353" ca="1" si="98">IF(H346="ETAPA",0,IF(H346="SUBETAPA",OFFSET(D346,-1,0)+1,OFFSET(D346,-1,0)))</f>
        <v>0</v>
      </c>
      <c r="E346" s="458">
        <f t="shared" ref="E346:E353" ca="1" si="99">IF(H346="Subetapa",0,IF(H346="serviço",OFFSET(E346,-1,0)+1,OFFSET(E346,-1,0)))</f>
        <v>5</v>
      </c>
      <c r="G346" s="206"/>
      <c r="H346" s="207" t="s">
        <v>210</v>
      </c>
      <c r="I346" s="208" t="str">
        <f t="shared" ref="I346:I353" ca="1" si="100">IF(H346="Unidade Construtiva",TEXT(A346,"00"),IF(H346="Célula Construtiva",TEXT(B346,"00"),IF(H346="Etapa",CONCATENATE(TEXT(B346,"00"),".",TEXT(C346,"000")),IF(H346="Subetapa",CONCATENATE(TEXT(B346,"00"),".",TEXT(C346,"000"),".",TEXT(D346,"000")),IF(H346="Serviço",CONCATENATE(TEXT(B346,"00"),".",TEXT(C346,"000"),".",TEXT(D346,"000"),".",TEXT(E346,"000")),"")))))</f>
        <v>06.002</v>
      </c>
      <c r="J346" s="209" t="s">
        <v>4155</v>
      </c>
      <c r="K346" s="210"/>
      <c r="L346" s="455"/>
      <c r="M346" s="455"/>
      <c r="N346" s="285">
        <f ca="1">IF(H346="Serviço",M346*L346,IF(H346="CÉLULA CONSTRUTIVA",SUMIFS($N$8:$N$1393,$B$8:$B$1393,B346,$H$8:$H$1393,"Serviço"),IF(H346="ETAPA",SUMIFS($N$8:$N$1393,$B$8:$B$1393,B346,$C$8:$C$1393,C346,$H$8:$H$1393,"Serviço"),IF(H346="SUBETAPA",SUMIFS($N$8:$N$1393,$B$8:$B$1393,B346,$C$8:$C$1393,C346,$D$8:$D$1393,D346,$H$8:$H$1393,"Serviço"),0))))</f>
        <v>5531.4699659999987</v>
      </c>
      <c r="O346" s="462"/>
      <c r="P346" s="213"/>
      <c r="S346" s="35"/>
      <c r="T346" s="467"/>
    </row>
    <row r="347" spans="1:20" s="34" customFormat="1" ht="13.9" hidden="1" customHeight="1" outlineLevel="2" x14ac:dyDescent="0.2">
      <c r="A347" s="457">
        <f ca="1">IF($H347="UNIDADE CONSTRUTIVA",OFFSET(A347,-1,0)+1,LARGE(A$3:A346,1))</f>
        <v>0</v>
      </c>
      <c r="B347" s="457">
        <f t="shared" ca="1" si="96"/>
        <v>6</v>
      </c>
      <c r="C347" s="457">
        <f t="shared" ca="1" si="97"/>
        <v>2</v>
      </c>
      <c r="D347" s="458">
        <f t="shared" ca="1" si="98"/>
        <v>1</v>
      </c>
      <c r="E347" s="458">
        <f t="shared" ca="1" si="99"/>
        <v>0</v>
      </c>
      <c r="G347" s="206"/>
      <c r="H347" s="207" t="s">
        <v>211</v>
      </c>
      <c r="I347" s="208" t="str">
        <f t="shared" ca="1" si="100"/>
        <v>06.002.001</v>
      </c>
      <c r="J347" s="209" t="s">
        <v>131</v>
      </c>
      <c r="K347" s="210"/>
      <c r="L347" s="455"/>
      <c r="M347" s="455"/>
      <c r="N347" s="285">
        <f t="shared" ref="N347:N353" ca="1" si="101">IF(H347="Serviço",M347*L347,IF(H347="CÉLULA CONSTRUTIVA",SUMIFS($N$8:$N$2125,$B$8:$B$2125,B347,$H$8:$H$2125,"Serviço"),IF(H347="ETAPA",SUMIFS($N$8:$N$2125,$B$8:$B$2125,B347,$C$8:$C$2125,C347,$H$8:$H$2125,"Serviço"),IF(H347="SUBETAPA",SUMIFS($N$8:$N$2125,$B$8:$B$2125,B347,$C$8:$C$2125,C347,$D$8:$D$2125,D347,$H$8:$H$2125,"Serviço"),0))))</f>
        <v>985.66703999999993</v>
      </c>
      <c r="O347" s="462"/>
      <c r="P347" s="213"/>
      <c r="S347" s="35"/>
      <c r="T347" s="467"/>
    </row>
    <row r="348" spans="1:20" s="34" customFormat="1" ht="13.9" hidden="1" customHeight="1" outlineLevel="2" x14ac:dyDescent="0.2">
      <c r="A348" s="457">
        <f ca="1">IF($H348="UNIDADE CONSTRUTIVA",OFFSET(A348,-1,0)+1,LARGE(A$3:A347,1))</f>
        <v>0</v>
      </c>
      <c r="B348" s="457">
        <f t="shared" ca="1" si="96"/>
        <v>6</v>
      </c>
      <c r="C348" s="457">
        <f t="shared" ca="1" si="97"/>
        <v>2</v>
      </c>
      <c r="D348" s="458">
        <f t="shared" ca="1" si="98"/>
        <v>1</v>
      </c>
      <c r="E348" s="458">
        <f t="shared" ca="1" si="99"/>
        <v>1</v>
      </c>
      <c r="G348" s="206"/>
      <c r="H348" s="207" t="s">
        <v>212</v>
      </c>
      <c r="I348" s="208" t="str">
        <f t="shared" ca="1" si="100"/>
        <v>06.002.001.001</v>
      </c>
      <c r="J348" s="209" t="s">
        <v>849</v>
      </c>
      <c r="K348" s="210" t="s">
        <v>1</v>
      </c>
      <c r="L348" s="455">
        <f>Arquitetura!H178</f>
        <v>28.74</v>
      </c>
      <c r="M348" s="455">
        <v>34.295999999999999</v>
      </c>
      <c r="N348" s="285">
        <f t="shared" si="101"/>
        <v>985.66703999999993</v>
      </c>
      <c r="O348" s="462"/>
      <c r="P348" s="213" t="s">
        <v>518</v>
      </c>
      <c r="S348" s="35"/>
      <c r="T348" s="467"/>
    </row>
    <row r="349" spans="1:20" s="34" customFormat="1" ht="13.9" hidden="1" customHeight="1" outlineLevel="2" x14ac:dyDescent="0.2">
      <c r="A349" s="457">
        <f ca="1">IF($H349="UNIDADE CONSTRUTIVA",OFFSET(A349,-1,0)+1,LARGE(A$3:A348,1))</f>
        <v>0</v>
      </c>
      <c r="B349" s="457">
        <f t="shared" ca="1" si="96"/>
        <v>6</v>
      </c>
      <c r="C349" s="457">
        <f t="shared" ca="1" si="97"/>
        <v>2</v>
      </c>
      <c r="D349" s="458">
        <f t="shared" ca="1" si="98"/>
        <v>2</v>
      </c>
      <c r="E349" s="458">
        <f t="shared" ca="1" si="99"/>
        <v>0</v>
      </c>
      <c r="G349" s="206"/>
      <c r="H349" s="207" t="s">
        <v>211</v>
      </c>
      <c r="I349" s="208" t="str">
        <f t="shared" ca="1" si="100"/>
        <v>06.002.002</v>
      </c>
      <c r="J349" s="466" t="s">
        <v>852</v>
      </c>
      <c r="K349" s="210"/>
      <c r="L349" s="455"/>
      <c r="M349" s="455"/>
      <c r="N349" s="285">
        <f t="shared" ca="1" si="101"/>
        <v>2591.4829259999997</v>
      </c>
      <c r="O349" s="462"/>
      <c r="P349" s="213"/>
      <c r="S349" s="35"/>
      <c r="T349" s="467"/>
    </row>
    <row r="350" spans="1:20" s="34" customFormat="1" ht="13.9" hidden="1" customHeight="1" outlineLevel="2" x14ac:dyDescent="0.2">
      <c r="A350" s="457">
        <f ca="1">IF($H350="UNIDADE CONSTRUTIVA",OFFSET(A350,-1,0)+1,LARGE(A$3:A349,1))</f>
        <v>0</v>
      </c>
      <c r="B350" s="457">
        <f t="shared" ca="1" si="96"/>
        <v>6</v>
      </c>
      <c r="C350" s="457">
        <f t="shared" ca="1" si="97"/>
        <v>2</v>
      </c>
      <c r="D350" s="458">
        <f t="shared" ca="1" si="98"/>
        <v>2</v>
      </c>
      <c r="E350" s="458">
        <f t="shared" ca="1" si="99"/>
        <v>1</v>
      </c>
      <c r="G350" s="206"/>
      <c r="H350" s="207" t="s">
        <v>212</v>
      </c>
      <c r="I350" s="208" t="str">
        <f t="shared" ca="1" si="100"/>
        <v>06.002.002.001</v>
      </c>
      <c r="J350" s="209" t="s">
        <v>545</v>
      </c>
      <c r="K350" s="210" t="s">
        <v>1</v>
      </c>
      <c r="L350" s="455">
        <f>Arquitetura!H233</f>
        <v>28.74</v>
      </c>
      <c r="M350" s="455">
        <v>90.169899999999998</v>
      </c>
      <c r="N350" s="285">
        <f t="shared" si="101"/>
        <v>2591.4829259999997</v>
      </c>
      <c r="O350" s="462"/>
      <c r="P350" s="213" t="s">
        <v>518</v>
      </c>
      <c r="Q350" s="35"/>
      <c r="R350" s="35"/>
      <c r="S350" s="35"/>
      <c r="T350" s="467"/>
    </row>
    <row r="351" spans="1:20" s="34" customFormat="1" ht="13.9" hidden="1" customHeight="1" outlineLevel="2" x14ac:dyDescent="0.2">
      <c r="A351" s="457">
        <f ca="1">IF($H351="UNIDADE CONSTRUTIVA",OFFSET(A351,-1,0)+1,LARGE(A$3:A350,1))</f>
        <v>0</v>
      </c>
      <c r="B351" s="457">
        <f t="shared" ca="1" si="96"/>
        <v>6</v>
      </c>
      <c r="C351" s="457">
        <f t="shared" ca="1" si="97"/>
        <v>2</v>
      </c>
      <c r="D351" s="458">
        <f t="shared" ca="1" si="98"/>
        <v>3</v>
      </c>
      <c r="E351" s="458">
        <f t="shared" ca="1" si="99"/>
        <v>0</v>
      </c>
      <c r="G351" s="206"/>
      <c r="H351" s="207" t="s">
        <v>211</v>
      </c>
      <c r="I351" s="208" t="str">
        <f t="shared" ca="1" si="100"/>
        <v>06.002.003</v>
      </c>
      <c r="J351" s="209" t="s">
        <v>114</v>
      </c>
      <c r="K351" s="210"/>
      <c r="L351" s="455"/>
      <c r="M351" s="455"/>
      <c r="N351" s="285">
        <f t="shared" ca="1" si="101"/>
        <v>1954.32</v>
      </c>
      <c r="O351" s="462"/>
      <c r="P351" s="213"/>
      <c r="Q351" s="35"/>
      <c r="R351" s="35"/>
      <c r="S351" s="35"/>
    </row>
    <row r="352" spans="1:20" s="34" customFormat="1" ht="13.9" hidden="1" customHeight="1" outlineLevel="2" x14ac:dyDescent="0.2">
      <c r="A352" s="457">
        <f ca="1">IF($H352="UNIDADE CONSTRUTIVA",OFFSET(A352,-1,0)+1,LARGE(A$3:A351,1))</f>
        <v>0</v>
      </c>
      <c r="B352" s="457">
        <f t="shared" ca="1" si="96"/>
        <v>6</v>
      </c>
      <c r="C352" s="457">
        <f t="shared" ca="1" si="97"/>
        <v>2</v>
      </c>
      <c r="D352" s="458">
        <f t="shared" ca="1" si="98"/>
        <v>3</v>
      </c>
      <c r="E352" s="458">
        <f t="shared" ca="1" si="99"/>
        <v>1</v>
      </c>
      <c r="G352" s="206"/>
      <c r="H352" s="207" t="s">
        <v>212</v>
      </c>
      <c r="I352" s="208" t="str">
        <f t="shared" ca="1" si="100"/>
        <v>06.002.003.001</v>
      </c>
      <c r="J352" s="209" t="s">
        <v>217</v>
      </c>
      <c r="K352" s="210" t="s">
        <v>1</v>
      </c>
      <c r="L352" s="455">
        <f>L348</f>
        <v>28.74</v>
      </c>
      <c r="M352" s="455">
        <v>20</v>
      </c>
      <c r="N352" s="285">
        <f t="shared" si="101"/>
        <v>574.79999999999995</v>
      </c>
      <c r="O352" s="462"/>
      <c r="P352" s="213" t="s">
        <v>518</v>
      </c>
      <c r="Q352" s="35"/>
      <c r="R352" s="35"/>
      <c r="S352" s="35"/>
    </row>
    <row r="353" spans="1:20" s="34" customFormat="1" ht="13.9" hidden="1" customHeight="1" outlineLevel="2" x14ac:dyDescent="0.2">
      <c r="A353" s="457">
        <f ca="1">IF($H353="UNIDADE CONSTRUTIVA",OFFSET(A353,-1,0)+1,LARGE(A$3:A352,1))</f>
        <v>0</v>
      </c>
      <c r="B353" s="457">
        <f t="shared" ca="1" si="96"/>
        <v>6</v>
      </c>
      <c r="C353" s="457">
        <f t="shared" ca="1" si="97"/>
        <v>2</v>
      </c>
      <c r="D353" s="458">
        <f t="shared" ca="1" si="98"/>
        <v>3</v>
      </c>
      <c r="E353" s="458">
        <f t="shared" ca="1" si="99"/>
        <v>2</v>
      </c>
      <c r="G353" s="206"/>
      <c r="H353" s="207" t="s">
        <v>212</v>
      </c>
      <c r="I353" s="208" t="str">
        <f t="shared" ca="1" si="100"/>
        <v>06.002.003.002</v>
      </c>
      <c r="J353" s="209" t="s">
        <v>132</v>
      </c>
      <c r="K353" s="210" t="s">
        <v>1</v>
      </c>
      <c r="L353" s="455">
        <f>L350</f>
        <v>28.74</v>
      </c>
      <c r="M353" s="455">
        <v>48</v>
      </c>
      <c r="N353" s="285">
        <f t="shared" si="101"/>
        <v>1379.52</v>
      </c>
      <c r="O353" s="462"/>
      <c r="P353" s="213" t="s">
        <v>518</v>
      </c>
      <c r="Q353" s="35"/>
      <c r="R353" s="35"/>
      <c r="S353" s="35"/>
    </row>
    <row r="354" spans="1:20" s="34" customFormat="1" ht="13.9" hidden="1" customHeight="1" outlineLevel="1" x14ac:dyDescent="0.2">
      <c r="A354" s="457">
        <f ca="1">IF($H354="UNIDADE CONSTRUTIVA",OFFSET(A354,-1,0)+1,LARGE(A$3:A353,1))</f>
        <v>0</v>
      </c>
      <c r="B354" s="457">
        <f t="shared" ref="B354:B361" ca="1" si="102">IF(H354="UNIDADE CONSTRUTIVA",0,IF(H354="CÉLULA CONSTRUTIVA",OFFSET(B354,-1,0)+1,OFFSET(B354,-1,0)))</f>
        <v>6</v>
      </c>
      <c r="C354" s="457">
        <f t="shared" ref="C354:C361" ca="1" si="103">IF(H354="CÉLULA CONSTRUTIVA",0,IF(H354="ETAPA",OFFSET(C354,-1,0)+1,OFFSET(C354,-1,0)))</f>
        <v>3</v>
      </c>
      <c r="D354" s="458">
        <f t="shared" ref="D354:D361" ca="1" si="104">IF(H354="ETAPA",0,IF(H354="SUBETAPA",OFFSET(D354,-1,0)+1,OFFSET(D354,-1,0)))</f>
        <v>0</v>
      </c>
      <c r="E354" s="458">
        <f t="shared" ref="E354:E361" ca="1" si="105">IF(H354="Subetapa",0,IF(H354="serviço",OFFSET(E354,-1,0)+1,OFFSET(E354,-1,0)))</f>
        <v>2</v>
      </c>
      <c r="G354" s="206"/>
      <c r="H354" s="207" t="s">
        <v>210</v>
      </c>
      <c r="I354" s="208" t="str">
        <f t="shared" ref="I354:I361" ca="1" si="106">IF(H354="Unidade Construtiva",TEXT(A354,"00"),IF(H354="Célula Construtiva",TEXT(B354,"00"),IF(H354="Etapa",CONCATENATE(TEXT(B354,"00"),".",TEXT(C354,"000")),IF(H354="Subetapa",CONCATENATE(TEXT(B354,"00"),".",TEXT(C354,"000"),".",TEXT(D354,"000")),IF(H354="Serviço",CONCATENATE(TEXT(B354,"00"),".",TEXT(C354,"000"),".",TEXT(D354,"000"),".",TEXT(E354,"000")),"")))))</f>
        <v>06.003</v>
      </c>
      <c r="J354" s="209" t="s">
        <v>4156</v>
      </c>
      <c r="K354" s="210"/>
      <c r="L354" s="455"/>
      <c r="M354" s="455"/>
      <c r="N354" s="285">
        <f ca="1">IF(H354="Serviço",M354*L354,IF(H354="CÉLULA CONSTRUTIVA",SUMIFS($N$8:$N$1393,$B$8:$B$1393,B354,$H$8:$H$1393,"Serviço"),IF(H354="ETAPA",SUMIFS($N$8:$N$1393,$B$8:$B$1393,B354,$C$8:$C$1393,C354,$H$8:$H$1393,"Serviço"),IF(H354="SUBETAPA",SUMIFS($N$8:$N$1393,$B$8:$B$1393,B354,$C$8:$C$1393,C354,$D$8:$D$1393,D354,$H$8:$H$1393,"Serviço"),0))))</f>
        <v>835.69166099999984</v>
      </c>
      <c r="O354" s="462"/>
      <c r="P354" s="213"/>
      <c r="S354" s="35"/>
      <c r="T354" s="467"/>
    </row>
    <row r="355" spans="1:20" s="34" customFormat="1" ht="13.9" hidden="1" customHeight="1" outlineLevel="2" x14ac:dyDescent="0.2">
      <c r="A355" s="457">
        <f ca="1">IF($H355="UNIDADE CONSTRUTIVA",OFFSET(A355,-1,0)+1,LARGE(A$3:A354,1))</f>
        <v>0</v>
      </c>
      <c r="B355" s="457">
        <f t="shared" ca="1" si="102"/>
        <v>6</v>
      </c>
      <c r="C355" s="457">
        <f t="shared" ca="1" si="103"/>
        <v>3</v>
      </c>
      <c r="D355" s="458">
        <f t="shared" ca="1" si="104"/>
        <v>1</v>
      </c>
      <c r="E355" s="458">
        <f t="shared" ca="1" si="105"/>
        <v>0</v>
      </c>
      <c r="G355" s="206"/>
      <c r="H355" s="207" t="s">
        <v>211</v>
      </c>
      <c r="I355" s="208" t="str">
        <f t="shared" ca="1" si="106"/>
        <v>06.003.001</v>
      </c>
      <c r="J355" s="209" t="s">
        <v>131</v>
      </c>
      <c r="K355" s="210"/>
      <c r="L355" s="455"/>
      <c r="M355" s="455"/>
      <c r="N355" s="285">
        <f t="shared" ref="N355:N361" ca="1" si="107">IF(H355="Serviço",M355*L355,IF(H355="CÉLULA CONSTRUTIVA",SUMIFS($N$8:$N$2125,$B$8:$B$2125,B355,$H$8:$H$2125,"Serviço"),IF(H355="ETAPA",SUMIFS($N$8:$N$2125,$B$8:$B$2125,B355,$C$8:$C$2125,C355,$H$8:$H$2125,"Serviço"),IF(H355="SUBETAPA",SUMIFS($N$8:$N$2125,$B$8:$B$2125,B355,$C$8:$C$2125,C355,$D$8:$D$2125,D355,$H$8:$H$2125,"Serviço"),0))))</f>
        <v>164.27784</v>
      </c>
      <c r="O355" s="462"/>
      <c r="P355" s="213"/>
      <c r="S355" s="35"/>
      <c r="T355" s="467"/>
    </row>
    <row r="356" spans="1:20" s="34" customFormat="1" ht="13.9" hidden="1" customHeight="1" outlineLevel="2" x14ac:dyDescent="0.2">
      <c r="A356" s="457">
        <f ca="1">IF($H356="UNIDADE CONSTRUTIVA",OFFSET(A356,-1,0)+1,LARGE(A$3:A355,1))</f>
        <v>0</v>
      </c>
      <c r="B356" s="457">
        <f t="shared" ca="1" si="102"/>
        <v>6</v>
      </c>
      <c r="C356" s="457">
        <f t="shared" ca="1" si="103"/>
        <v>3</v>
      </c>
      <c r="D356" s="458">
        <f t="shared" ca="1" si="104"/>
        <v>1</v>
      </c>
      <c r="E356" s="458">
        <f t="shared" ca="1" si="105"/>
        <v>1</v>
      </c>
      <c r="G356" s="206"/>
      <c r="H356" s="207" t="s">
        <v>212</v>
      </c>
      <c r="I356" s="208" t="str">
        <f t="shared" ca="1" si="106"/>
        <v>06.003.001.001</v>
      </c>
      <c r="J356" s="209" t="s">
        <v>849</v>
      </c>
      <c r="K356" s="210" t="s">
        <v>1</v>
      </c>
      <c r="L356" s="455">
        <f>Arquitetura!D184</f>
        <v>4.79</v>
      </c>
      <c r="M356" s="455">
        <v>34.295999999999999</v>
      </c>
      <c r="N356" s="285">
        <f t="shared" si="107"/>
        <v>164.27784</v>
      </c>
      <c r="O356" s="462"/>
      <c r="P356" s="213" t="s">
        <v>518</v>
      </c>
      <c r="S356" s="35"/>
      <c r="T356" s="467"/>
    </row>
    <row r="357" spans="1:20" s="34" customFormat="1" ht="13.9" hidden="1" customHeight="1" outlineLevel="2" x14ac:dyDescent="0.2">
      <c r="A357" s="457">
        <f ca="1">IF($H357="UNIDADE CONSTRUTIVA",OFFSET(A357,-1,0)+1,LARGE(A$3:A356,1))</f>
        <v>0</v>
      </c>
      <c r="B357" s="457">
        <f t="shared" ca="1" si="102"/>
        <v>6</v>
      </c>
      <c r="C357" s="457">
        <f t="shared" ca="1" si="103"/>
        <v>3</v>
      </c>
      <c r="D357" s="458">
        <f t="shared" ca="1" si="104"/>
        <v>2</v>
      </c>
      <c r="E357" s="458">
        <f t="shared" ca="1" si="105"/>
        <v>0</v>
      </c>
      <c r="G357" s="206"/>
      <c r="H357" s="207" t="s">
        <v>211</v>
      </c>
      <c r="I357" s="208" t="str">
        <f t="shared" ca="1" si="106"/>
        <v>06.003.002</v>
      </c>
      <c r="J357" s="209" t="s">
        <v>852</v>
      </c>
      <c r="K357" s="210"/>
      <c r="L357" s="455"/>
      <c r="M357" s="455"/>
      <c r="N357" s="285">
        <f t="shared" ca="1" si="107"/>
        <v>431.91382099999998</v>
      </c>
      <c r="O357" s="462"/>
      <c r="P357" s="213"/>
      <c r="S357" s="35"/>
      <c r="T357" s="467"/>
    </row>
    <row r="358" spans="1:20" s="34" customFormat="1" ht="13.9" hidden="1" customHeight="1" outlineLevel="2" x14ac:dyDescent="0.2">
      <c r="A358" s="457">
        <f ca="1">IF($H358="UNIDADE CONSTRUTIVA",OFFSET(A358,-1,0)+1,LARGE(A$3:A357,1))</f>
        <v>0</v>
      </c>
      <c r="B358" s="457">
        <f t="shared" ca="1" si="102"/>
        <v>6</v>
      </c>
      <c r="C358" s="457">
        <f t="shared" ca="1" si="103"/>
        <v>3</v>
      </c>
      <c r="D358" s="458">
        <f t="shared" ca="1" si="104"/>
        <v>2</v>
      </c>
      <c r="E358" s="458">
        <f t="shared" ca="1" si="105"/>
        <v>1</v>
      </c>
      <c r="G358" s="206"/>
      <c r="H358" s="207" t="s">
        <v>212</v>
      </c>
      <c r="I358" s="208" t="str">
        <f t="shared" ca="1" si="106"/>
        <v>06.003.002.001</v>
      </c>
      <c r="J358" s="209" t="s">
        <v>545</v>
      </c>
      <c r="K358" s="210" t="s">
        <v>1</v>
      </c>
      <c r="L358" s="455">
        <f>Arquitetura!H237</f>
        <v>4.79</v>
      </c>
      <c r="M358" s="455">
        <v>90.169899999999998</v>
      </c>
      <c r="N358" s="285">
        <f t="shared" si="107"/>
        <v>431.91382099999998</v>
      </c>
      <c r="O358" s="462"/>
      <c r="P358" s="213" t="s">
        <v>518</v>
      </c>
      <c r="S358" s="35"/>
      <c r="T358" s="467"/>
    </row>
    <row r="359" spans="1:20" s="34" customFormat="1" ht="13.9" hidden="1" customHeight="1" outlineLevel="2" x14ac:dyDescent="0.2">
      <c r="A359" s="457">
        <f ca="1">IF($H359="UNIDADE CONSTRUTIVA",OFFSET(A359,-1,0)+1,LARGE(A$3:A358,1))</f>
        <v>0</v>
      </c>
      <c r="B359" s="457">
        <f t="shared" ca="1" si="102"/>
        <v>6</v>
      </c>
      <c r="C359" s="457">
        <f t="shared" ca="1" si="103"/>
        <v>3</v>
      </c>
      <c r="D359" s="458">
        <f t="shared" ca="1" si="104"/>
        <v>3</v>
      </c>
      <c r="E359" s="458">
        <f t="shared" ca="1" si="105"/>
        <v>0</v>
      </c>
      <c r="G359" s="206"/>
      <c r="H359" s="207" t="s">
        <v>211</v>
      </c>
      <c r="I359" s="208" t="str">
        <f t="shared" ca="1" si="106"/>
        <v>06.003.003</v>
      </c>
      <c r="J359" s="209" t="s">
        <v>114</v>
      </c>
      <c r="K359" s="210"/>
      <c r="L359" s="455"/>
      <c r="M359" s="455"/>
      <c r="N359" s="285">
        <f t="shared" ca="1" si="107"/>
        <v>239.5</v>
      </c>
      <c r="O359" s="462"/>
      <c r="P359" s="213"/>
      <c r="Q359" s="35"/>
      <c r="R359" s="35"/>
      <c r="S359" s="35"/>
    </row>
    <row r="360" spans="1:20" s="34" customFormat="1" ht="13.9" hidden="1" customHeight="1" outlineLevel="2" x14ac:dyDescent="0.2">
      <c r="A360" s="457">
        <f ca="1">IF($H360="UNIDADE CONSTRUTIVA",OFFSET(A360,-1,0)+1,LARGE(A$3:A359,1))</f>
        <v>0</v>
      </c>
      <c r="B360" s="457">
        <f t="shared" ca="1" si="102"/>
        <v>6</v>
      </c>
      <c r="C360" s="457">
        <f t="shared" ca="1" si="103"/>
        <v>3</v>
      </c>
      <c r="D360" s="458">
        <f t="shared" ca="1" si="104"/>
        <v>3</v>
      </c>
      <c r="E360" s="458">
        <f t="shared" ca="1" si="105"/>
        <v>1</v>
      </c>
      <c r="G360" s="206"/>
      <c r="H360" s="207" t="s">
        <v>212</v>
      </c>
      <c r="I360" s="208" t="str">
        <f t="shared" ca="1" si="106"/>
        <v>06.003.003.001</v>
      </c>
      <c r="J360" s="209" t="s">
        <v>217</v>
      </c>
      <c r="K360" s="210" t="s">
        <v>1</v>
      </c>
      <c r="L360" s="455">
        <f>L356</f>
        <v>4.79</v>
      </c>
      <c r="M360" s="455">
        <v>20</v>
      </c>
      <c r="N360" s="285">
        <f t="shared" si="107"/>
        <v>95.8</v>
      </c>
      <c r="O360" s="462"/>
      <c r="P360" s="213" t="s">
        <v>518</v>
      </c>
      <c r="Q360" s="35"/>
      <c r="R360" s="35"/>
      <c r="S360" s="35"/>
    </row>
    <row r="361" spans="1:20" s="34" customFormat="1" ht="13.9" hidden="1" customHeight="1" outlineLevel="2" x14ac:dyDescent="0.2">
      <c r="A361" s="457">
        <f ca="1">IF($H361="UNIDADE CONSTRUTIVA",OFFSET(A361,-1,0)+1,LARGE(A$3:A360,1))</f>
        <v>0</v>
      </c>
      <c r="B361" s="457">
        <f t="shared" ca="1" si="102"/>
        <v>6</v>
      </c>
      <c r="C361" s="457">
        <f t="shared" ca="1" si="103"/>
        <v>3</v>
      </c>
      <c r="D361" s="458">
        <f t="shared" ca="1" si="104"/>
        <v>3</v>
      </c>
      <c r="E361" s="458">
        <f t="shared" ca="1" si="105"/>
        <v>2</v>
      </c>
      <c r="G361" s="206"/>
      <c r="H361" s="207" t="s">
        <v>212</v>
      </c>
      <c r="I361" s="208" t="str">
        <f t="shared" ca="1" si="106"/>
        <v>06.003.003.002</v>
      </c>
      <c r="J361" s="209" t="s">
        <v>132</v>
      </c>
      <c r="K361" s="210" t="s">
        <v>1</v>
      </c>
      <c r="L361" s="455">
        <f>L358</f>
        <v>4.79</v>
      </c>
      <c r="M361" s="455">
        <v>30</v>
      </c>
      <c r="N361" s="285">
        <f t="shared" si="107"/>
        <v>143.69999999999999</v>
      </c>
      <c r="O361" s="462"/>
      <c r="P361" s="213" t="s">
        <v>518</v>
      </c>
      <c r="Q361" s="35"/>
      <c r="R361" s="35"/>
      <c r="S361" s="35"/>
    </row>
    <row r="362" spans="1:20" s="34" customFormat="1" ht="13.9" hidden="1" customHeight="1" outlineLevel="1" x14ac:dyDescent="0.2">
      <c r="A362" s="457">
        <f ca="1">IF($H362="UNIDADE CONSTRUTIVA",OFFSET(A362,-1,0)+1,LARGE(A$3:A361,1))</f>
        <v>0</v>
      </c>
      <c r="B362" s="457">
        <f t="shared" ref="B362:B390" ca="1" si="108">IF(H362="UNIDADE CONSTRUTIVA",0,IF(H362="CÉLULA CONSTRUTIVA",OFFSET(B362,-1,0)+1,OFFSET(B362,-1,0)))</f>
        <v>6</v>
      </c>
      <c r="C362" s="457">
        <f t="shared" ref="C362:C390" ca="1" si="109">IF(H362="CÉLULA CONSTRUTIVA",0,IF(H362="ETAPA",OFFSET(C362,-1,0)+1,OFFSET(C362,-1,0)))</f>
        <v>4</v>
      </c>
      <c r="D362" s="458">
        <f t="shared" ref="D362:D390" ca="1" si="110">IF(H362="ETAPA",0,IF(H362="SUBETAPA",OFFSET(D362,-1,0)+1,OFFSET(D362,-1,0)))</f>
        <v>0</v>
      </c>
      <c r="E362" s="458">
        <f t="shared" ref="E362:E390" ca="1" si="111">IF(H362="Subetapa",0,IF(H362="serviço",OFFSET(E362,-1,0)+1,OFFSET(E362,-1,0)))</f>
        <v>2</v>
      </c>
      <c r="G362" s="206"/>
      <c r="H362" s="207" t="s">
        <v>210</v>
      </c>
      <c r="I362" s="208" t="str">
        <f t="shared" ca="1" si="94"/>
        <v>06.004</v>
      </c>
      <c r="J362" s="209" t="s">
        <v>866</v>
      </c>
      <c r="K362" s="210"/>
      <c r="L362" s="455"/>
      <c r="M362" s="455"/>
      <c r="N362" s="285">
        <f t="shared" ref="N362:N371" ca="1" si="112">IF(H362="Serviço",M362*L362,IF(H362="CÉLULA CONSTRUTIVA",SUMIFS($N$8:$N$2116,$B$8:$B$2116,B362,$H$8:$H$2116,"Serviço"),IF(H362="ETAPA",SUMIFS($N$8:$N$2116,$B$8:$B$2116,B362,$C$8:$C$2116,C362,$H$8:$H$2116,"Serviço"),IF(H362="SUBETAPA",SUMIFS($N$8:$N$2116,$B$8:$B$2116,B362,$C$8:$C$2116,C362,$D$8:$D$2116,D362,$H$8:$H$2116,"Serviço"),0))))</f>
        <v>126908.76427799997</v>
      </c>
      <c r="O362" s="462"/>
      <c r="P362" s="213"/>
      <c r="S362" s="35"/>
      <c r="T362" s="467"/>
    </row>
    <row r="363" spans="1:20" s="34" customFormat="1" ht="13.9" hidden="1" customHeight="1" outlineLevel="2" x14ac:dyDescent="0.2">
      <c r="A363" s="457">
        <f ca="1">IF($H363="UNIDADE CONSTRUTIVA",OFFSET(A363,-1,0)+1,LARGE(A$3:A362,1))</f>
        <v>0</v>
      </c>
      <c r="B363" s="457">
        <f t="shared" ca="1" si="108"/>
        <v>6</v>
      </c>
      <c r="C363" s="457">
        <f t="shared" ca="1" si="109"/>
        <v>4</v>
      </c>
      <c r="D363" s="458">
        <f t="shared" ca="1" si="110"/>
        <v>1</v>
      </c>
      <c r="E363" s="458">
        <f t="shared" ca="1" si="111"/>
        <v>0</v>
      </c>
      <c r="G363" s="206"/>
      <c r="H363" s="207" t="s">
        <v>211</v>
      </c>
      <c r="I363" s="208" t="str">
        <f t="shared" ca="1" si="94"/>
        <v>06.004.001</v>
      </c>
      <c r="J363" s="209" t="s">
        <v>131</v>
      </c>
      <c r="K363" s="210"/>
      <c r="L363" s="455"/>
      <c r="M363" s="455"/>
      <c r="N363" s="285">
        <f t="shared" ca="1" si="112"/>
        <v>13593.953160000001</v>
      </c>
      <c r="O363" s="462"/>
      <c r="P363" s="213"/>
      <c r="S363" s="35"/>
      <c r="T363" s="467"/>
    </row>
    <row r="364" spans="1:20" s="34" customFormat="1" ht="13.9" hidden="1" customHeight="1" outlineLevel="2" x14ac:dyDescent="0.2">
      <c r="A364" s="457">
        <f ca="1">IF($H364="UNIDADE CONSTRUTIVA",OFFSET(A364,-1,0)+1,LARGE(A$3:A363,1))</f>
        <v>0</v>
      </c>
      <c r="B364" s="457">
        <f t="shared" ca="1" si="108"/>
        <v>6</v>
      </c>
      <c r="C364" s="457">
        <f t="shared" ca="1" si="109"/>
        <v>4</v>
      </c>
      <c r="D364" s="458">
        <f t="shared" ca="1" si="110"/>
        <v>1</v>
      </c>
      <c r="E364" s="458">
        <f t="shared" ca="1" si="111"/>
        <v>1</v>
      </c>
      <c r="G364" s="206"/>
      <c r="H364" s="207" t="s">
        <v>212</v>
      </c>
      <c r="I364" s="208" t="str">
        <f t="shared" ca="1" si="94"/>
        <v>06.004.001.001</v>
      </c>
      <c r="J364" s="209" t="s">
        <v>850</v>
      </c>
      <c r="K364" s="210" t="s">
        <v>1</v>
      </c>
      <c r="L364" s="455">
        <f>Arquitetura!D187</f>
        <v>49.82</v>
      </c>
      <c r="M364" s="455">
        <v>7.89</v>
      </c>
      <c r="N364" s="285">
        <f t="shared" si="112"/>
        <v>393.07979999999998</v>
      </c>
      <c r="O364" s="462"/>
      <c r="P364" s="213" t="s">
        <v>518</v>
      </c>
      <c r="S364" s="35"/>
      <c r="T364" s="467"/>
    </row>
    <row r="365" spans="1:20" s="34" customFormat="1" ht="13.9" hidden="1" customHeight="1" outlineLevel="2" x14ac:dyDescent="0.2">
      <c r="A365" s="457">
        <f ca="1">IF($H365="UNIDADE CONSTRUTIVA",OFFSET(A365,-1,0)+1,LARGE(A$3:A364,1))</f>
        <v>0</v>
      </c>
      <c r="B365" s="457">
        <f t="shared" ca="1" si="108"/>
        <v>6</v>
      </c>
      <c r="C365" s="457">
        <f t="shared" ca="1" si="109"/>
        <v>4</v>
      </c>
      <c r="D365" s="458">
        <f t="shared" ca="1" si="110"/>
        <v>1</v>
      </c>
      <c r="E365" s="458">
        <f t="shared" ca="1" si="111"/>
        <v>2</v>
      </c>
      <c r="G365" s="206"/>
      <c r="H365" s="207" t="s">
        <v>212</v>
      </c>
      <c r="I365" s="208" t="str">
        <f t="shared" ca="1" si="94"/>
        <v>06.004.001.002</v>
      </c>
      <c r="J365" s="209" t="s">
        <v>849</v>
      </c>
      <c r="K365" s="210" t="s">
        <v>1</v>
      </c>
      <c r="L365" s="455">
        <f>Arquitetura!D186</f>
        <v>384.91</v>
      </c>
      <c r="M365" s="455">
        <v>34.295999999999999</v>
      </c>
      <c r="N365" s="285">
        <f t="shared" si="112"/>
        <v>13200.873360000001</v>
      </c>
      <c r="O365" s="462"/>
      <c r="P365" s="213" t="s">
        <v>518</v>
      </c>
      <c r="S365" s="35"/>
      <c r="T365" s="467"/>
    </row>
    <row r="366" spans="1:20" s="34" customFormat="1" ht="13.9" hidden="1" customHeight="1" outlineLevel="2" x14ac:dyDescent="0.2">
      <c r="A366" s="457">
        <f ca="1">IF($H366="UNIDADE CONSTRUTIVA",OFFSET(A366,-1,0)+1,LARGE(A$3:A365,1))</f>
        <v>0</v>
      </c>
      <c r="B366" s="457">
        <f t="shared" ca="1" si="108"/>
        <v>6</v>
      </c>
      <c r="C366" s="457">
        <f t="shared" ca="1" si="109"/>
        <v>4</v>
      </c>
      <c r="D366" s="458">
        <f t="shared" ca="1" si="110"/>
        <v>2</v>
      </c>
      <c r="E366" s="458">
        <f t="shared" ca="1" si="111"/>
        <v>0</v>
      </c>
      <c r="G366" s="206"/>
      <c r="H366" s="207" t="s">
        <v>211</v>
      </c>
      <c r="I366" s="208" t="str">
        <f t="shared" ca="1" si="94"/>
        <v>06.004.002</v>
      </c>
      <c r="J366" s="209" t="s">
        <v>4162</v>
      </c>
      <c r="K366" s="210"/>
      <c r="L366" s="455"/>
      <c r="M366" s="455"/>
      <c r="N366" s="285">
        <f t="shared" ca="1" si="112"/>
        <v>3849.7393799999995</v>
      </c>
      <c r="O366" s="462"/>
      <c r="P366" s="213"/>
      <c r="S366" s="35"/>
      <c r="T366" s="467"/>
    </row>
    <row r="367" spans="1:20" s="34" customFormat="1" ht="13.9" hidden="1" customHeight="1" outlineLevel="2" x14ac:dyDescent="0.2">
      <c r="A367" s="457">
        <f ca="1">IF($H367="UNIDADE CONSTRUTIVA",OFFSET(A367,-1,0)+1,LARGE(A$3:A366,1))</f>
        <v>0</v>
      </c>
      <c r="B367" s="457">
        <f t="shared" ca="1" si="108"/>
        <v>6</v>
      </c>
      <c r="C367" s="457">
        <f t="shared" ca="1" si="109"/>
        <v>4</v>
      </c>
      <c r="D367" s="458">
        <f t="shared" ca="1" si="110"/>
        <v>2</v>
      </c>
      <c r="E367" s="458">
        <f t="shared" ca="1" si="111"/>
        <v>1</v>
      </c>
      <c r="G367" s="206"/>
      <c r="H367" s="207" t="s">
        <v>212</v>
      </c>
      <c r="I367" s="208" t="str">
        <f t="shared" ca="1" si="94"/>
        <v>06.004.002.001</v>
      </c>
      <c r="J367" s="209" t="s">
        <v>848</v>
      </c>
      <c r="K367" s="210" t="s">
        <v>1</v>
      </c>
      <c r="L367" s="455">
        <f>Arquitetura!H241</f>
        <v>106.2</v>
      </c>
      <c r="M367" s="455">
        <v>36.249899999999997</v>
      </c>
      <c r="N367" s="285">
        <f t="shared" si="112"/>
        <v>3849.7393799999995</v>
      </c>
      <c r="O367" s="462"/>
      <c r="P367" s="213" t="s">
        <v>518</v>
      </c>
      <c r="S367" s="35"/>
      <c r="T367" s="467"/>
    </row>
    <row r="368" spans="1:20" s="34" customFormat="1" ht="13.9" hidden="1" customHeight="1" outlineLevel="2" x14ac:dyDescent="0.2">
      <c r="A368" s="457">
        <f ca="1">IF($H368="UNIDADE CONSTRUTIVA",OFFSET(A368,-1,0)+1,LARGE(A$3:A367,1))</f>
        <v>0</v>
      </c>
      <c r="B368" s="457">
        <f t="shared" ca="1" si="108"/>
        <v>6</v>
      </c>
      <c r="C368" s="457">
        <f t="shared" ca="1" si="109"/>
        <v>4</v>
      </c>
      <c r="D368" s="458">
        <f t="shared" ca="1" si="110"/>
        <v>3</v>
      </c>
      <c r="E368" s="458">
        <f t="shared" ca="1" si="111"/>
        <v>0</v>
      </c>
      <c r="G368" s="206"/>
      <c r="H368" s="207" t="s">
        <v>211</v>
      </c>
      <c r="I368" s="208" t="str">
        <f t="shared" ca="1" si="94"/>
        <v>06.004.003</v>
      </c>
      <c r="J368" s="466" t="s">
        <v>4163</v>
      </c>
      <c r="K368" s="210"/>
      <c r="L368" s="455"/>
      <c r="M368" s="455"/>
      <c r="N368" s="285">
        <f t="shared" ca="1" si="112"/>
        <v>57403.961737999991</v>
      </c>
      <c r="O368" s="462"/>
      <c r="P368" s="213"/>
      <c r="S368" s="35"/>
      <c r="T368" s="467"/>
    </row>
    <row r="369" spans="1:20" s="34" customFormat="1" ht="13.9" hidden="1" customHeight="1" outlineLevel="2" x14ac:dyDescent="0.2">
      <c r="A369" s="457">
        <f ca="1">IF($H369="UNIDADE CONSTRUTIVA",OFFSET(A369,-1,0)+1,LARGE(A$3:A368,1))</f>
        <v>0</v>
      </c>
      <c r="B369" s="457">
        <f t="shared" ca="1" si="108"/>
        <v>6</v>
      </c>
      <c r="C369" s="457">
        <f t="shared" ca="1" si="109"/>
        <v>4</v>
      </c>
      <c r="D369" s="458">
        <f t="shared" ca="1" si="110"/>
        <v>3</v>
      </c>
      <c r="E369" s="458">
        <f t="shared" ca="1" si="111"/>
        <v>1</v>
      </c>
      <c r="G369" s="206"/>
      <c r="H369" s="207" t="s">
        <v>212</v>
      </c>
      <c r="I369" s="208" t="str">
        <f t="shared" ca="1" si="94"/>
        <v>06.004.003.001</v>
      </c>
      <c r="J369" s="209" t="s">
        <v>545</v>
      </c>
      <c r="K369" s="210" t="s">
        <v>1</v>
      </c>
      <c r="L369" s="455">
        <f>Arquitetura!H242</f>
        <v>636.61999999999989</v>
      </c>
      <c r="M369" s="455">
        <v>90.169899999999998</v>
      </c>
      <c r="N369" s="285">
        <f t="shared" si="112"/>
        <v>57403.961737999991</v>
      </c>
      <c r="O369" s="462"/>
      <c r="P369" s="213" t="s">
        <v>518</v>
      </c>
      <c r="Q369" s="35"/>
      <c r="R369" s="35"/>
      <c r="S369" s="35"/>
      <c r="T369" s="467"/>
    </row>
    <row r="370" spans="1:20" s="34" customFormat="1" ht="13.9" hidden="1" customHeight="1" outlineLevel="2" x14ac:dyDescent="0.2">
      <c r="A370" s="457">
        <f ca="1">IF($H370="UNIDADE CONSTRUTIVA",OFFSET(A370,-1,0)+1,LARGE(A$3:A369,1))</f>
        <v>0</v>
      </c>
      <c r="B370" s="457">
        <f t="shared" ca="1" si="108"/>
        <v>6</v>
      </c>
      <c r="C370" s="457">
        <f t="shared" ca="1" si="109"/>
        <v>4</v>
      </c>
      <c r="D370" s="458">
        <f t="shared" ca="1" si="110"/>
        <v>4</v>
      </c>
      <c r="E370" s="458">
        <f t="shared" ca="1" si="111"/>
        <v>0</v>
      </c>
      <c r="G370" s="206"/>
      <c r="H370" s="207" t="s">
        <v>211</v>
      </c>
      <c r="I370" s="208" t="str">
        <f t="shared" ca="1" si="94"/>
        <v>06.004.004</v>
      </c>
      <c r="J370" s="209" t="s">
        <v>114</v>
      </c>
      <c r="K370" s="210"/>
      <c r="L370" s="455"/>
      <c r="M370" s="455"/>
      <c r="N370" s="285">
        <f t="shared" ca="1" si="112"/>
        <v>52061.11</v>
      </c>
      <c r="O370" s="462"/>
      <c r="P370" s="213"/>
      <c r="Q370" s="35"/>
      <c r="R370" s="35"/>
      <c r="S370" s="35"/>
    </row>
    <row r="371" spans="1:20" s="34" customFormat="1" ht="13.9" hidden="1" customHeight="1" outlineLevel="2" x14ac:dyDescent="0.2">
      <c r="A371" s="457">
        <f ca="1">IF($H371="UNIDADE CONSTRUTIVA",OFFSET(A371,-1,0)+1,LARGE(A$3:A370,1))</f>
        <v>0</v>
      </c>
      <c r="B371" s="457">
        <f t="shared" ca="1" si="108"/>
        <v>6</v>
      </c>
      <c r="C371" s="457">
        <f t="shared" ca="1" si="109"/>
        <v>4</v>
      </c>
      <c r="D371" s="458">
        <f t="shared" ca="1" si="110"/>
        <v>4</v>
      </c>
      <c r="E371" s="458">
        <f t="shared" ca="1" si="111"/>
        <v>1</v>
      </c>
      <c r="G371" s="206"/>
      <c r="H371" s="207" t="s">
        <v>212</v>
      </c>
      <c r="I371" s="208" t="str">
        <f t="shared" ca="1" si="94"/>
        <v>06.004.004.001</v>
      </c>
      <c r="J371" s="209" t="s">
        <v>216</v>
      </c>
      <c r="K371" s="210" t="s">
        <v>1</v>
      </c>
      <c r="L371" s="455">
        <f>L364</f>
        <v>49.82</v>
      </c>
      <c r="M371" s="455">
        <v>20</v>
      </c>
      <c r="N371" s="285">
        <f t="shared" si="112"/>
        <v>996.4</v>
      </c>
      <c r="O371" s="462"/>
      <c r="P371" s="213" t="s">
        <v>518</v>
      </c>
      <c r="Q371" s="35"/>
      <c r="R371" s="35"/>
      <c r="S371" s="35"/>
    </row>
    <row r="372" spans="1:20" s="34" customFormat="1" ht="13.9" hidden="1" customHeight="1" outlineLevel="2" x14ac:dyDescent="0.2">
      <c r="A372" s="457">
        <f ca="1">IF($H372="UNIDADE CONSTRUTIVA",OFFSET(A372,-1,0)+1,LARGE(A$3:A371,1))</f>
        <v>0</v>
      </c>
      <c r="B372" s="457">
        <f t="shared" ca="1" si="108"/>
        <v>6</v>
      </c>
      <c r="C372" s="457">
        <f t="shared" ca="1" si="109"/>
        <v>4</v>
      </c>
      <c r="D372" s="458">
        <f t="shared" ca="1" si="110"/>
        <v>4</v>
      </c>
      <c r="E372" s="458">
        <f t="shared" ca="1" si="111"/>
        <v>2</v>
      </c>
      <c r="G372" s="206"/>
      <c r="H372" s="207" t="s">
        <v>212</v>
      </c>
      <c r="I372" s="208" t="str">
        <f t="shared" ca="1" si="94"/>
        <v>06.004.004.002</v>
      </c>
      <c r="J372" s="209" t="s">
        <v>217</v>
      </c>
      <c r="K372" s="210" t="s">
        <v>1</v>
      </c>
      <c r="L372" s="455">
        <f>L365</f>
        <v>384.91</v>
      </c>
      <c r="M372" s="455">
        <v>45</v>
      </c>
      <c r="N372" s="285">
        <f>L372*M372</f>
        <v>17320.95</v>
      </c>
      <c r="O372" s="462"/>
      <c r="P372" s="213" t="s">
        <v>518</v>
      </c>
      <c r="Q372" s="35"/>
      <c r="R372" s="35"/>
      <c r="S372" s="35"/>
    </row>
    <row r="373" spans="1:20" s="34" customFormat="1" ht="13.9" hidden="1" customHeight="1" outlineLevel="2" x14ac:dyDescent="0.2">
      <c r="A373" s="457">
        <f ca="1">IF($H373="UNIDADE CONSTRUTIVA",OFFSET(A373,-1,0)+1,LARGE(A$3:A372,1))</f>
        <v>0</v>
      </c>
      <c r="B373" s="457">
        <f t="shared" ca="1" si="108"/>
        <v>6</v>
      </c>
      <c r="C373" s="457">
        <f t="shared" ca="1" si="109"/>
        <v>4</v>
      </c>
      <c r="D373" s="458">
        <f t="shared" ca="1" si="110"/>
        <v>4</v>
      </c>
      <c r="E373" s="458">
        <f t="shared" ca="1" si="111"/>
        <v>3</v>
      </c>
      <c r="G373" s="206"/>
      <c r="H373" s="207" t="s">
        <v>212</v>
      </c>
      <c r="I373" s="208" t="str">
        <f t="shared" ca="1" si="94"/>
        <v>06.004.004.003</v>
      </c>
      <c r="J373" s="209" t="s">
        <v>218</v>
      </c>
      <c r="K373" s="210" t="s">
        <v>1</v>
      </c>
      <c r="L373" s="455">
        <f>L367</f>
        <v>106.2</v>
      </c>
      <c r="M373" s="455">
        <v>30</v>
      </c>
      <c r="N373" s="285">
        <f>IF(H373="Serviço",M373*L373,IF(H373="CÉLULA CONSTRUTIVA",SUMIFS($N$8:$N$2116,$B$8:$B$2116,B373,$H$8:$H$2116,"Serviço"),IF(H373="ETAPA",SUMIFS($N$8:$N$2116,$B$8:$B$2116,B373,$C$8:$C$2116,C373,$H$8:$H$2116,"Serviço"),IF(H373="SUBETAPA",SUMIFS($N$8:$N$2116,$B$8:$B$2116,B373,$C$8:$C$2116,C373,$D$8:$D$2116,D373,$H$8:$H$2116,"Serviço"),0))))</f>
        <v>3186</v>
      </c>
      <c r="O373" s="462"/>
      <c r="P373" s="213" t="s">
        <v>518</v>
      </c>
      <c r="Q373" s="35"/>
      <c r="R373" s="35"/>
      <c r="S373" s="35"/>
    </row>
    <row r="374" spans="1:20" s="34" customFormat="1" ht="13.9" hidden="1" customHeight="1" outlineLevel="2" x14ac:dyDescent="0.2">
      <c r="A374" s="457">
        <f ca="1">IF($H374="UNIDADE CONSTRUTIVA",OFFSET(A374,-1,0)+1,LARGE(A$3:A373,1))</f>
        <v>0</v>
      </c>
      <c r="B374" s="457">
        <f t="shared" ca="1" si="108"/>
        <v>6</v>
      </c>
      <c r="C374" s="457">
        <f t="shared" ca="1" si="109"/>
        <v>4</v>
      </c>
      <c r="D374" s="458">
        <f t="shared" ca="1" si="110"/>
        <v>4</v>
      </c>
      <c r="E374" s="458">
        <f t="shared" ca="1" si="111"/>
        <v>4</v>
      </c>
      <c r="G374" s="206"/>
      <c r="H374" s="207" t="s">
        <v>212</v>
      </c>
      <c r="I374" s="208" t="str">
        <f t="shared" ca="1" si="94"/>
        <v>06.004.004.004</v>
      </c>
      <c r="J374" s="209" t="s">
        <v>132</v>
      </c>
      <c r="K374" s="210" t="s">
        <v>1</v>
      </c>
      <c r="L374" s="455">
        <f>L369</f>
        <v>636.61999999999989</v>
      </c>
      <c r="M374" s="455">
        <v>48</v>
      </c>
      <c r="N374" s="285">
        <f>IF(H374="Serviço",M374*L374,IF(H374="CÉLULA CONSTRUTIVA",SUMIFS($N$8:$N$2116,$B$8:$B$2116,B374,$H$8:$H$2116,"Serviço"),IF(H374="ETAPA",SUMIFS($N$8:$N$2116,$B$8:$B$2116,B374,$C$8:$C$2116,C374,$H$8:$H$2116,"Serviço"),IF(H374="SUBETAPA",SUMIFS($N$8:$N$2116,$B$8:$B$2116,B374,$C$8:$C$2116,C374,$D$8:$D$2116,D374,$H$8:$H$2116,"Serviço"),0))))</f>
        <v>30557.759999999995</v>
      </c>
      <c r="O374" s="462"/>
      <c r="P374" s="213" t="s">
        <v>518</v>
      </c>
      <c r="Q374" s="35"/>
      <c r="R374" s="35"/>
      <c r="S374" s="35"/>
    </row>
    <row r="375" spans="1:20" s="34" customFormat="1" ht="13.9" hidden="1" customHeight="1" outlineLevel="1" x14ac:dyDescent="0.2">
      <c r="A375" s="457">
        <f ca="1">IF($H375="UNIDADE CONSTRUTIVA",OFFSET(A375,-1,0)+1,LARGE(A$3:A374,1))</f>
        <v>0</v>
      </c>
      <c r="B375" s="457">
        <f t="shared" ca="1" si="108"/>
        <v>6</v>
      </c>
      <c r="C375" s="457">
        <f t="shared" ca="1" si="109"/>
        <v>5</v>
      </c>
      <c r="D375" s="458">
        <f t="shared" ca="1" si="110"/>
        <v>0</v>
      </c>
      <c r="E375" s="458">
        <f t="shared" ca="1" si="111"/>
        <v>4</v>
      </c>
      <c r="G375" s="206"/>
      <c r="H375" s="207" t="s">
        <v>210</v>
      </c>
      <c r="I375" s="208" t="str">
        <f t="shared" ca="1" si="94"/>
        <v>06.005</v>
      </c>
      <c r="J375" s="209" t="s">
        <v>869</v>
      </c>
      <c r="K375" s="210"/>
      <c r="L375" s="455"/>
      <c r="M375" s="455"/>
      <c r="N375" s="285">
        <f t="shared" ref="N375:N382" ca="1" si="113">IF(H375="Serviço",M375*L375,IF(H375="CÉLULA CONSTRUTIVA",SUMIFS($N$8:$N$2105,$B$8:$B$2105,B375,$H$8:$H$2105,"Serviço"),IF(H375="ETAPA",SUMIFS($N$8:$N$2105,$B$8:$B$2105,B375,$C$8:$C$2105,C375,$H$8:$H$2105,"Serviço"),IF(H375="SUBETAPA",SUMIFS($N$8:$N$2105,$B$8:$B$2105,B375,$C$8:$C$2105,C375,$D$8:$D$2105,D375,$H$8:$H$2105,"Serviço"),0))))</f>
        <v>292793.55494599999</v>
      </c>
      <c r="O375" s="462"/>
      <c r="P375" s="213"/>
      <c r="S375" s="35"/>
      <c r="T375" s="467"/>
    </row>
    <row r="376" spans="1:20" s="34" customFormat="1" ht="13.9" hidden="1" customHeight="1" outlineLevel="2" x14ac:dyDescent="0.2">
      <c r="A376" s="457">
        <f ca="1">IF($H376="UNIDADE CONSTRUTIVA",OFFSET(A376,-1,0)+1,LARGE(A$3:A375,1))</f>
        <v>0</v>
      </c>
      <c r="B376" s="457">
        <f t="shared" ca="1" si="108"/>
        <v>6</v>
      </c>
      <c r="C376" s="457">
        <f t="shared" ca="1" si="109"/>
        <v>5</v>
      </c>
      <c r="D376" s="458">
        <f t="shared" ca="1" si="110"/>
        <v>1</v>
      </c>
      <c r="E376" s="458">
        <f t="shared" ca="1" si="111"/>
        <v>0</v>
      </c>
      <c r="G376" s="206"/>
      <c r="H376" s="207" t="s">
        <v>211</v>
      </c>
      <c r="I376" s="208" t="str">
        <f t="shared" ca="1" si="94"/>
        <v>06.005.001</v>
      </c>
      <c r="J376" s="209" t="s">
        <v>131</v>
      </c>
      <c r="K376" s="210"/>
      <c r="L376" s="455"/>
      <c r="M376" s="455"/>
      <c r="N376" s="285">
        <f t="shared" ca="1" si="113"/>
        <v>11491.237019999997</v>
      </c>
      <c r="O376" s="462"/>
      <c r="P376" s="213"/>
      <c r="S376" s="35"/>
      <c r="T376" s="467"/>
    </row>
    <row r="377" spans="1:20" s="34" customFormat="1" ht="13.9" hidden="1" customHeight="1" outlineLevel="2" x14ac:dyDescent="0.2">
      <c r="A377" s="457">
        <f ca="1">IF($H377="UNIDADE CONSTRUTIVA",OFFSET(A377,-1,0)+1,LARGE(A$3:A376,1))</f>
        <v>0</v>
      </c>
      <c r="B377" s="457">
        <f t="shared" ca="1" si="108"/>
        <v>6</v>
      </c>
      <c r="C377" s="457">
        <f t="shared" ca="1" si="109"/>
        <v>5</v>
      </c>
      <c r="D377" s="458">
        <f t="shared" ca="1" si="110"/>
        <v>1</v>
      </c>
      <c r="E377" s="458">
        <f t="shared" ca="1" si="111"/>
        <v>1</v>
      </c>
      <c r="G377" s="206"/>
      <c r="H377" s="207" t="s">
        <v>212</v>
      </c>
      <c r="I377" s="208" t="str">
        <f ca="1">IF(H377="Unidade Construtiva",TEXT(A377,"00"),IF(H377="Célula Construtiva",TEXT(B377,"00"),IF(H377="Etapa",CONCATENATE(TEXT(B377,"00"),".",TEXT(C377,"000")),IF(H377="Subetapa",CONCATENATE(TEXT(B377,"00"),".",TEXT(C377,"000"),".",TEXT(D377,"000")),IF(H377="Serviço",CONCATENATE(TEXT(B377,"00"),".",TEXT(C377,"000"),".",TEXT(D377,"000"),".",TEXT(E377,"000")),"")))))</f>
        <v>06.005.001.001</v>
      </c>
      <c r="J377" s="209" t="s">
        <v>850</v>
      </c>
      <c r="K377" s="210" t="s">
        <v>1</v>
      </c>
      <c r="L377" s="455">
        <f>Arquitetura!H190</f>
        <v>1444.3899999999996</v>
      </c>
      <c r="M377" s="455">
        <v>7.89</v>
      </c>
      <c r="N377" s="285">
        <f t="shared" si="113"/>
        <v>11396.237099999997</v>
      </c>
      <c r="O377" s="462"/>
      <c r="P377" s="213" t="s">
        <v>518</v>
      </c>
      <c r="S377" s="35"/>
      <c r="T377" s="467"/>
    </row>
    <row r="378" spans="1:20" s="34" customFormat="1" ht="13.9" hidden="1" customHeight="1" outlineLevel="2" x14ac:dyDescent="0.2">
      <c r="A378" s="457">
        <f ca="1">IF($H378="UNIDADE CONSTRUTIVA",OFFSET(A378,-1,0)+1,LARGE(A$3:A377,1))</f>
        <v>0</v>
      </c>
      <c r="B378" s="457">
        <f t="shared" ca="1" si="108"/>
        <v>6</v>
      </c>
      <c r="C378" s="457">
        <f t="shared" ca="1" si="109"/>
        <v>5</v>
      </c>
      <c r="D378" s="458">
        <f t="shared" ca="1" si="110"/>
        <v>1</v>
      </c>
      <c r="E378" s="458">
        <f t="shared" ca="1" si="111"/>
        <v>2</v>
      </c>
      <c r="G378" s="206"/>
      <c r="H378" s="207" t="s">
        <v>212</v>
      </c>
      <c r="I378" s="208" t="str">
        <f t="shared" ca="1" si="94"/>
        <v>06.005.001.002</v>
      </c>
      <c r="J378" s="209" t="s">
        <v>849</v>
      </c>
      <c r="K378" s="210" t="s">
        <v>1</v>
      </c>
      <c r="L378" s="455">
        <f>Arquitetura!H189</f>
        <v>2.77</v>
      </c>
      <c r="M378" s="455">
        <v>34.295999999999999</v>
      </c>
      <c r="N378" s="285">
        <f t="shared" si="113"/>
        <v>94.999920000000003</v>
      </c>
      <c r="O378" s="462"/>
      <c r="P378" s="213" t="s">
        <v>518</v>
      </c>
      <c r="S378" s="35"/>
      <c r="T378" s="467"/>
    </row>
    <row r="379" spans="1:20" s="34" customFormat="1" ht="13.9" hidden="1" customHeight="1" outlineLevel="2" x14ac:dyDescent="0.2">
      <c r="A379" s="457">
        <f ca="1">IF($H379="UNIDADE CONSTRUTIVA",OFFSET(A379,-1,0)+1,LARGE(A$3:A378,1))</f>
        <v>0</v>
      </c>
      <c r="B379" s="457">
        <f t="shared" ca="1" si="108"/>
        <v>6</v>
      </c>
      <c r="C379" s="457">
        <f t="shared" ca="1" si="109"/>
        <v>5</v>
      </c>
      <c r="D379" s="458">
        <f t="shared" ca="1" si="110"/>
        <v>2</v>
      </c>
      <c r="E379" s="458">
        <f t="shared" ca="1" si="111"/>
        <v>0</v>
      </c>
      <c r="G379" s="206"/>
      <c r="H379" s="207" t="s">
        <v>211</v>
      </c>
      <c r="I379" s="208" t="str">
        <f t="shared" ca="1" si="94"/>
        <v>06.005.002</v>
      </c>
      <c r="J379" s="209" t="s">
        <v>867</v>
      </c>
      <c r="K379" s="210"/>
      <c r="L379" s="455"/>
      <c r="M379" s="455"/>
      <c r="N379" s="285">
        <f t="shared" ca="1" si="113"/>
        <v>127087.79941199999</v>
      </c>
      <c r="O379" s="462"/>
      <c r="P379" s="213"/>
      <c r="S379" s="35"/>
      <c r="T379" s="467"/>
    </row>
    <row r="380" spans="1:20" s="34" customFormat="1" ht="13.9" hidden="1" customHeight="1" outlineLevel="2" x14ac:dyDescent="0.2">
      <c r="A380" s="457">
        <f ca="1">IF($H380="UNIDADE CONSTRUTIVA",OFFSET(A380,-1,0)+1,LARGE(A$3:A379,1))</f>
        <v>0</v>
      </c>
      <c r="B380" s="457">
        <f t="shared" ca="1" si="108"/>
        <v>6</v>
      </c>
      <c r="C380" s="457">
        <f t="shared" ca="1" si="109"/>
        <v>5</v>
      </c>
      <c r="D380" s="458">
        <f t="shared" ca="1" si="110"/>
        <v>2</v>
      </c>
      <c r="E380" s="458">
        <f t="shared" ca="1" si="111"/>
        <v>1</v>
      </c>
      <c r="G380" s="206"/>
      <c r="H380" s="207" t="s">
        <v>212</v>
      </c>
      <c r="I380" s="208" t="str">
        <f t="shared" ca="1" si="94"/>
        <v>06.005.002.001</v>
      </c>
      <c r="J380" s="209" t="s">
        <v>848</v>
      </c>
      <c r="K380" s="210" t="s">
        <v>1</v>
      </c>
      <c r="L380" s="455">
        <f>Arquitetura!H250</f>
        <v>3505.88</v>
      </c>
      <c r="M380" s="455">
        <v>36.249899999999997</v>
      </c>
      <c r="N380" s="285">
        <f t="shared" si="113"/>
        <v>127087.79941199999</v>
      </c>
      <c r="O380" s="462"/>
      <c r="P380" s="213" t="s">
        <v>518</v>
      </c>
      <c r="S380" s="35"/>
      <c r="T380" s="467"/>
    </row>
    <row r="381" spans="1:20" s="34" customFormat="1" ht="13.9" hidden="1" customHeight="1" outlineLevel="2" x14ac:dyDescent="0.2">
      <c r="A381" s="457">
        <f ca="1">IF($H381="UNIDADE CONSTRUTIVA",OFFSET(A381,-1,0)+1,LARGE(A$3:A380,1))</f>
        <v>0</v>
      </c>
      <c r="B381" s="457">
        <f t="shared" ca="1" si="108"/>
        <v>6</v>
      </c>
      <c r="C381" s="457">
        <f t="shared" ca="1" si="109"/>
        <v>5</v>
      </c>
      <c r="D381" s="458">
        <f t="shared" ca="1" si="110"/>
        <v>3</v>
      </c>
      <c r="E381" s="458">
        <f t="shared" ca="1" si="111"/>
        <v>0</v>
      </c>
      <c r="G381" s="206"/>
      <c r="H381" s="207" t="s">
        <v>211</v>
      </c>
      <c r="I381" s="208" t="str">
        <f t="shared" ca="1" si="94"/>
        <v>06.005.003</v>
      </c>
      <c r="J381" s="209" t="s">
        <v>864</v>
      </c>
      <c r="K381" s="210"/>
      <c r="L381" s="455"/>
      <c r="M381" s="455"/>
      <c r="N381" s="285">
        <f t="shared" ca="1" si="113"/>
        <v>10416.482699999999</v>
      </c>
      <c r="O381" s="462"/>
      <c r="P381" s="213"/>
      <c r="Q381" s="35"/>
      <c r="R381" s="35"/>
      <c r="S381" s="35"/>
      <c r="T381" s="467"/>
    </row>
    <row r="382" spans="1:20" s="34" customFormat="1" ht="13.9" hidden="1" customHeight="1" outlineLevel="2" x14ac:dyDescent="0.2">
      <c r="A382" s="457">
        <f ca="1">IF($H382="UNIDADE CONSTRUTIVA",OFFSET(A382,-1,0)+1,LARGE(A$3:A381,1))</f>
        <v>0</v>
      </c>
      <c r="B382" s="457">
        <f t="shared" ca="1" si="108"/>
        <v>6</v>
      </c>
      <c r="C382" s="457">
        <f t="shared" ca="1" si="109"/>
        <v>5</v>
      </c>
      <c r="D382" s="458">
        <f t="shared" ca="1" si="110"/>
        <v>3</v>
      </c>
      <c r="E382" s="458">
        <f t="shared" ca="1" si="111"/>
        <v>1</v>
      </c>
      <c r="G382" s="206"/>
      <c r="H382" s="207" t="s">
        <v>212</v>
      </c>
      <c r="I382" s="208" t="str">
        <f t="shared" ca="1" si="94"/>
        <v>06.005.003.001</v>
      </c>
      <c r="J382" s="209" t="s">
        <v>847</v>
      </c>
      <c r="K382" s="210" t="s">
        <v>1</v>
      </c>
      <c r="L382" s="455">
        <f>Arquitetura!H251</f>
        <v>259.30999999999995</v>
      </c>
      <c r="M382" s="455">
        <v>40.17</v>
      </c>
      <c r="N382" s="285">
        <f t="shared" si="113"/>
        <v>10416.482699999999</v>
      </c>
      <c r="O382" s="462"/>
      <c r="P382" s="213" t="s">
        <v>518</v>
      </c>
      <c r="Q382" s="35"/>
      <c r="R382" s="35"/>
      <c r="S382" s="35"/>
      <c r="T382" s="467"/>
    </row>
    <row r="383" spans="1:20" s="34" customFormat="1" ht="13.9" hidden="1" customHeight="1" outlineLevel="2" x14ac:dyDescent="0.2">
      <c r="A383" s="457">
        <f ca="1">IF($H383="UNIDADE CONSTRUTIVA",OFFSET(A383,-1,0)+1,LARGE(A$3:A382,1))</f>
        <v>0</v>
      </c>
      <c r="B383" s="457">
        <f t="shared" ca="1" si="108"/>
        <v>6</v>
      </c>
      <c r="C383" s="457">
        <f t="shared" ca="1" si="109"/>
        <v>5</v>
      </c>
      <c r="D383" s="458">
        <f t="shared" ca="1" si="110"/>
        <v>4</v>
      </c>
      <c r="E383" s="458">
        <f t="shared" ca="1" si="111"/>
        <v>0</v>
      </c>
      <c r="G383" s="206"/>
      <c r="H383" s="207" t="s">
        <v>211</v>
      </c>
      <c r="I383" s="208" t="str">
        <f ca="1">IF(H383="Unidade Construtiva",TEXT(A383,"00"),IF(H383="Célula Construtiva",TEXT(B383,"00"),IF(H383="Etapa",CONCATENATE(TEXT(B383,"00"),".",TEXT(C383,"000")),IF(H383="Subetapa",CONCATENATE(TEXT(B383,"00"),".",TEXT(C383,"000"),".",TEXT(D383,"000")),IF(H383="Serviço",CONCATENATE(TEXT(B383,"00"),".",TEXT(C383,"000"),".",TEXT(D383,"000"),".",TEXT(E383,"000")),"")))))</f>
        <v>06.005.004</v>
      </c>
      <c r="J383" s="466" t="s">
        <v>4166</v>
      </c>
      <c r="K383" s="210"/>
      <c r="L383" s="455"/>
      <c r="M383" s="455"/>
      <c r="N383" s="285">
        <f ca="1">IF(H383="Serviço",M383*L383,IF(H383="CÉLULA CONSTRUTIVA",SUMIFS($N$8:$N$2116,$B$8:$B$2116,B383,$H$8:$H$2116,"Serviço"),IF(H383="ETAPA",SUMIFS($N$8:$N$2116,$B$8:$B$2116,B383,$C$8:$C$2116,C383,$H$8:$H$2116,"Serviço"),IF(H383="SUBETAPA",SUMIFS($N$8:$N$2116,$B$8:$B$2116,B383,$C$8:$C$2116,C383,$D$8:$D$2116,D383,$H$8:$H$2116,"Serviço"),0))))</f>
        <v>348.055814</v>
      </c>
      <c r="O383" s="462"/>
      <c r="P383" s="213"/>
      <c r="S383" s="35"/>
      <c r="T383" s="467"/>
    </row>
    <row r="384" spans="1:20" s="34" customFormat="1" ht="13.9" hidden="1" customHeight="1" outlineLevel="2" x14ac:dyDescent="0.2">
      <c r="A384" s="457">
        <f ca="1">IF($H384="UNIDADE CONSTRUTIVA",OFFSET(A384,-1,0)+1,LARGE(A$3:A383,1))</f>
        <v>0</v>
      </c>
      <c r="B384" s="457">
        <f t="shared" ca="1" si="108"/>
        <v>6</v>
      </c>
      <c r="C384" s="457">
        <f t="shared" ca="1" si="109"/>
        <v>5</v>
      </c>
      <c r="D384" s="458">
        <f t="shared" ca="1" si="110"/>
        <v>4</v>
      </c>
      <c r="E384" s="458">
        <f t="shared" ca="1" si="111"/>
        <v>1</v>
      </c>
      <c r="G384" s="206"/>
      <c r="H384" s="207" t="s">
        <v>212</v>
      </c>
      <c r="I384" s="208" t="str">
        <f ca="1">IF(H384="Unidade Construtiva",TEXT(A384,"00"),IF(H384="Célula Construtiva",TEXT(B384,"00"),IF(H384="Etapa",CONCATENATE(TEXT(B384,"00"),".",TEXT(C384,"000")),IF(H384="Subetapa",CONCATENATE(TEXT(B384,"00"),".",TEXT(C384,"000"),".",TEXT(D384,"000")),IF(H384="Serviço",CONCATENATE(TEXT(B384,"00"),".",TEXT(C384,"000"),".",TEXT(D384,"000"),".",TEXT(E384,"000")),"")))))</f>
        <v>06.005.004.001</v>
      </c>
      <c r="J384" s="209" t="s">
        <v>545</v>
      </c>
      <c r="K384" s="210" t="s">
        <v>1</v>
      </c>
      <c r="L384" s="455">
        <f>Arquitetura!D257</f>
        <v>3.86</v>
      </c>
      <c r="M384" s="455">
        <v>90.169899999999998</v>
      </c>
      <c r="N384" s="285">
        <f>IF(H384="Serviço",M384*L384,IF(H384="CÉLULA CONSTRUTIVA",SUMIFS($N$8:$N$2116,$B$8:$B$2116,B384,$H$8:$H$2116,"Serviço"),IF(H384="ETAPA",SUMIFS($N$8:$N$2116,$B$8:$B$2116,B384,$C$8:$C$2116,C384,$H$8:$H$2116,"Serviço"),IF(H384="SUBETAPA",SUMIFS($N$8:$N$2116,$B$8:$B$2116,B384,$C$8:$C$2116,C384,$D$8:$D$2116,D384,$H$8:$H$2116,"Serviço"),0))))</f>
        <v>348.055814</v>
      </c>
      <c r="O384" s="462" t="s">
        <v>4167</v>
      </c>
      <c r="P384" s="213" t="s">
        <v>518</v>
      </c>
      <c r="Q384" s="35"/>
      <c r="R384" s="35"/>
      <c r="S384" s="35"/>
      <c r="T384" s="467"/>
    </row>
    <row r="385" spans="1:20" s="34" customFormat="1" ht="13.9" hidden="1" customHeight="1" outlineLevel="2" x14ac:dyDescent="0.2">
      <c r="A385" s="457">
        <f ca="1">IF($H385="UNIDADE CONSTRUTIVA",OFFSET(A385,-1,0)+1,LARGE(A$3:A384,1))</f>
        <v>0</v>
      </c>
      <c r="B385" s="457">
        <f t="shared" ca="1" si="108"/>
        <v>6</v>
      </c>
      <c r="C385" s="457">
        <f t="shared" ca="1" si="109"/>
        <v>5</v>
      </c>
      <c r="D385" s="458">
        <f t="shared" ca="1" si="110"/>
        <v>5</v>
      </c>
      <c r="E385" s="458">
        <f t="shared" ca="1" si="111"/>
        <v>0</v>
      </c>
      <c r="G385" s="206"/>
      <c r="H385" s="207" t="s">
        <v>211</v>
      </c>
      <c r="I385" s="208" t="str">
        <f t="shared" ca="1" si="94"/>
        <v>06.005.005</v>
      </c>
      <c r="J385" s="209" t="s">
        <v>114</v>
      </c>
      <c r="K385" s="210"/>
      <c r="L385" s="455"/>
      <c r="M385" s="455"/>
      <c r="N385" s="285">
        <f ca="1">IF(H385="Serviço",M385*L385,IF(H385="CÉLULA CONSTRUTIVA",SUMIFS($N$8:$N$2105,$B$8:$B$2105,B385,$H$8:$H$2105,"Serviço"),IF(H385="ETAPA",SUMIFS($N$8:$N$2105,$B$8:$B$2105,B385,$C$8:$C$2105,C385,$H$8:$H$2105,"Serviço"),IF(H385="SUBETAPA",SUMIFS($N$8:$N$2105,$B$8:$B$2105,B385,$C$8:$C$2105,C385,$D$8:$D$2105,D385,$H$8:$H$2105,"Serviço"),0))))</f>
        <v>143449.98000000001</v>
      </c>
      <c r="O385" s="462"/>
      <c r="P385" s="213"/>
      <c r="Q385" s="35"/>
      <c r="R385" s="35"/>
      <c r="S385" s="35"/>
    </row>
    <row r="386" spans="1:20" s="34" customFormat="1" ht="13.9" hidden="1" customHeight="1" outlineLevel="2" x14ac:dyDescent="0.2">
      <c r="A386" s="457">
        <f ca="1">IF($H386="UNIDADE CONSTRUTIVA",OFFSET(A386,-1,0)+1,LARGE(A$3:A385,1))</f>
        <v>0</v>
      </c>
      <c r="B386" s="457">
        <f t="shared" ca="1" si="108"/>
        <v>6</v>
      </c>
      <c r="C386" s="457">
        <f t="shared" ca="1" si="109"/>
        <v>5</v>
      </c>
      <c r="D386" s="458">
        <f t="shared" ca="1" si="110"/>
        <v>5</v>
      </c>
      <c r="E386" s="458">
        <f t="shared" ca="1" si="111"/>
        <v>1</v>
      </c>
      <c r="G386" s="206"/>
      <c r="H386" s="207" t="s">
        <v>212</v>
      </c>
      <c r="I386" s="208" t="str">
        <f t="shared" ca="1" si="94"/>
        <v>06.005.005.001</v>
      </c>
      <c r="J386" s="209" t="s">
        <v>216</v>
      </c>
      <c r="K386" s="210" t="s">
        <v>1</v>
      </c>
      <c r="L386" s="455">
        <f>L377</f>
        <v>1444.3899999999996</v>
      </c>
      <c r="M386" s="455">
        <v>20</v>
      </c>
      <c r="N386" s="285">
        <f>IF(H386="Serviço",M386*L386,IF(H386="CÉLULA CONSTRUTIVA",SUMIFS($N$8:$N$2105,$B$8:$B$2105,B386,$H$8:$H$2105,"Serviço"),IF(H386="ETAPA",SUMIFS($N$8:$N$2105,$B$8:$B$2105,B386,$C$8:$C$2105,C386,$H$8:$H$2105,"Serviço"),IF(H386="SUBETAPA",SUMIFS($N$8:$N$2105,$B$8:$B$2105,B386,$C$8:$C$2105,C386,$D$8:$D$2105,D386,$H$8:$H$2105,"Serviço"),0))))</f>
        <v>28887.799999999992</v>
      </c>
      <c r="O386" s="462"/>
      <c r="P386" s="213" t="s">
        <v>518</v>
      </c>
      <c r="Q386" s="35"/>
      <c r="R386" s="35"/>
      <c r="S386" s="35"/>
    </row>
    <row r="387" spans="1:20" s="34" customFormat="1" ht="13.9" hidden="1" customHeight="1" outlineLevel="2" x14ac:dyDescent="0.2">
      <c r="A387" s="457">
        <f ca="1">IF($H387="UNIDADE CONSTRUTIVA",OFFSET(A387,-1,0)+1,LARGE(A$3:A386,1))</f>
        <v>0</v>
      </c>
      <c r="B387" s="457">
        <f t="shared" ca="1" si="108"/>
        <v>6</v>
      </c>
      <c r="C387" s="457">
        <f t="shared" ca="1" si="109"/>
        <v>5</v>
      </c>
      <c r="D387" s="458">
        <f t="shared" ca="1" si="110"/>
        <v>5</v>
      </c>
      <c r="E387" s="458">
        <f t="shared" ca="1" si="111"/>
        <v>2</v>
      </c>
      <c r="G387" s="206"/>
      <c r="H387" s="207" t="s">
        <v>212</v>
      </c>
      <c r="I387" s="208" t="str">
        <f ca="1">IF(H387="Unidade Construtiva",TEXT(A387,"00"),IF(H387="Célula Construtiva",TEXT(B387,"00"),IF(H387="Etapa",CONCATENATE(TEXT(B387,"00"),".",TEXT(C387,"000")),IF(H387="Subetapa",CONCATENATE(TEXT(B387,"00"),".",TEXT(C387,"000"),".",TEXT(D387,"000")),IF(H387="Serviço",CONCATENATE(TEXT(B387,"00"),".",TEXT(C387,"000"),".",TEXT(D387,"000"),".",TEXT(E387,"000")),"")))))</f>
        <v>06.005.005.002</v>
      </c>
      <c r="J387" s="209" t="s">
        <v>217</v>
      </c>
      <c r="K387" s="210" t="s">
        <v>1</v>
      </c>
      <c r="L387" s="455">
        <f>L378</f>
        <v>2.77</v>
      </c>
      <c r="M387" s="455">
        <v>45</v>
      </c>
      <c r="N387" s="285">
        <f>L387*M387</f>
        <v>124.65</v>
      </c>
      <c r="O387" s="462"/>
      <c r="P387" s="213" t="s">
        <v>518</v>
      </c>
      <c r="Q387" s="35"/>
      <c r="R387" s="35"/>
      <c r="S387" s="35"/>
    </row>
    <row r="388" spans="1:20" s="34" customFormat="1" ht="13.9" hidden="1" customHeight="1" outlineLevel="2" x14ac:dyDescent="0.2">
      <c r="A388" s="457">
        <f ca="1">IF($H388="UNIDADE CONSTRUTIVA",OFFSET(A388,-1,0)+1,LARGE(A$3:A387,1))</f>
        <v>0</v>
      </c>
      <c r="B388" s="457">
        <f t="shared" ca="1" si="108"/>
        <v>6</v>
      </c>
      <c r="C388" s="457">
        <f t="shared" ca="1" si="109"/>
        <v>5</v>
      </c>
      <c r="D388" s="458">
        <f t="shared" ca="1" si="110"/>
        <v>5</v>
      </c>
      <c r="E388" s="458">
        <f t="shared" ca="1" si="111"/>
        <v>3</v>
      </c>
      <c r="G388" s="206"/>
      <c r="H388" s="207" t="s">
        <v>212</v>
      </c>
      <c r="I388" s="208" t="str">
        <f t="shared" ca="1" si="94"/>
        <v>06.005.005.003</v>
      </c>
      <c r="J388" s="209" t="s">
        <v>218</v>
      </c>
      <c r="K388" s="210" t="s">
        <v>1</v>
      </c>
      <c r="L388" s="455">
        <f>L380</f>
        <v>3505.88</v>
      </c>
      <c r="M388" s="455">
        <v>30</v>
      </c>
      <c r="N388" s="285">
        <f>IF(H388="Serviço",M388*L388,IF(H388="CÉLULA CONSTRUTIVA",SUMIFS($N$8:$N$2105,$B$8:$B$2105,B388,$H$8:$H$2105,"Serviço"),IF(H388="ETAPA",SUMIFS($N$8:$N$2105,$B$8:$B$2105,B388,$C$8:$C$2105,C388,$H$8:$H$2105,"Serviço"),IF(H388="SUBETAPA",SUMIFS($N$8:$N$2105,$B$8:$B$2105,B388,$C$8:$C$2105,C388,$D$8:$D$2105,D388,$H$8:$H$2105,"Serviço"),0))))</f>
        <v>105176.40000000001</v>
      </c>
      <c r="O388" s="462"/>
      <c r="P388" s="213" t="s">
        <v>518</v>
      </c>
      <c r="Q388" s="35"/>
      <c r="R388" s="35"/>
      <c r="S388" s="35"/>
    </row>
    <row r="389" spans="1:20" s="34" customFormat="1" ht="13.9" hidden="1" customHeight="1" outlineLevel="2" x14ac:dyDescent="0.2">
      <c r="A389" s="457">
        <f ca="1">IF($H389="UNIDADE CONSTRUTIVA",OFFSET(A389,-1,0)+1,LARGE(A$3:A388,1))</f>
        <v>0</v>
      </c>
      <c r="B389" s="457">
        <f t="shared" ca="1" si="108"/>
        <v>6</v>
      </c>
      <c r="C389" s="457">
        <f t="shared" ca="1" si="109"/>
        <v>5</v>
      </c>
      <c r="D389" s="458">
        <f t="shared" ca="1" si="110"/>
        <v>5</v>
      </c>
      <c r="E389" s="458">
        <f t="shared" ca="1" si="111"/>
        <v>4</v>
      </c>
      <c r="G389" s="206"/>
      <c r="H389" s="207" t="s">
        <v>212</v>
      </c>
      <c r="I389" s="208" t="str">
        <f t="shared" ca="1" si="94"/>
        <v>06.005.005.004</v>
      </c>
      <c r="J389" s="209" t="s">
        <v>865</v>
      </c>
      <c r="K389" s="210" t="s">
        <v>1</v>
      </c>
      <c r="L389" s="455">
        <f>L382</f>
        <v>259.30999999999995</v>
      </c>
      <c r="M389" s="455">
        <v>35</v>
      </c>
      <c r="N389" s="285">
        <f>IF(H389="Serviço",M389*L389,IF(H389="CÉLULA CONSTRUTIVA",SUMIFS($N$8:$N$2105,$B$8:$B$2105,B389,$H$8:$H$2105,"Serviço"),IF(H389="ETAPA",SUMIFS($N$8:$N$2105,$B$8:$B$2105,B389,$C$8:$C$2105,C389,$H$8:$H$2105,"Serviço"),IF(H389="SUBETAPA",SUMIFS($N$8:$N$2105,$B$8:$B$2105,B389,$C$8:$C$2105,C389,$D$8:$D$2105,D389,$H$8:$H$2105,"Serviço"),0))))</f>
        <v>9075.8499999999985</v>
      </c>
      <c r="O389" s="462"/>
      <c r="P389" s="213" t="s">
        <v>518</v>
      </c>
      <c r="Q389" s="35"/>
      <c r="R389" s="35"/>
      <c r="S389" s="35"/>
    </row>
    <row r="390" spans="1:20" s="34" customFormat="1" ht="13.9" hidden="1" customHeight="1" outlineLevel="2" x14ac:dyDescent="0.2">
      <c r="A390" s="457">
        <f ca="1">IF($H390="UNIDADE CONSTRUTIVA",OFFSET(A390,-1,0)+1,LARGE(A$3:A389,1))</f>
        <v>0</v>
      </c>
      <c r="B390" s="457">
        <f t="shared" ca="1" si="108"/>
        <v>6</v>
      </c>
      <c r="C390" s="457">
        <f t="shared" ca="1" si="109"/>
        <v>5</v>
      </c>
      <c r="D390" s="458">
        <f t="shared" ca="1" si="110"/>
        <v>5</v>
      </c>
      <c r="E390" s="458">
        <f t="shared" ca="1" si="111"/>
        <v>5</v>
      </c>
      <c r="G390" s="206"/>
      <c r="H390" s="207" t="s">
        <v>212</v>
      </c>
      <c r="I390" s="208" t="str">
        <f ca="1">IF(H390="Unidade Construtiva",TEXT(A390,"00"),IF(H390="Célula Construtiva",TEXT(B390,"00"),IF(H390="Etapa",CONCATENATE(TEXT(B390,"00"),".",TEXT(C390,"000")),IF(H390="Subetapa",CONCATENATE(TEXT(B390,"00"),".",TEXT(C390,"000"),".",TEXT(D390,"000")),IF(H390="Serviço",CONCATENATE(TEXT(B390,"00"),".",TEXT(C390,"000"),".",TEXT(D390,"000"),".",TEXT(E390,"000")),"")))))</f>
        <v>06.005.005.005</v>
      </c>
      <c r="J390" s="209" t="s">
        <v>132</v>
      </c>
      <c r="K390" s="210" t="s">
        <v>1</v>
      </c>
      <c r="L390" s="455">
        <f>L384</f>
        <v>3.86</v>
      </c>
      <c r="M390" s="455">
        <v>48</v>
      </c>
      <c r="N390" s="285">
        <f>IF(H390="Serviço",M390*L390,IF(H390="CÉLULA CONSTRUTIVA",SUMIFS($N$8:$N$2116,$B$8:$B$2116,B390,$H$8:$H$2116,"Serviço"),IF(H390="ETAPA",SUMIFS($N$8:$N$2116,$B$8:$B$2116,B390,$C$8:$C$2116,C390,$H$8:$H$2116,"Serviço"),IF(H390="SUBETAPA",SUMIFS($N$8:$N$2116,$B$8:$B$2116,B390,$C$8:$C$2116,C390,$D$8:$D$2116,D390,$H$8:$H$2116,"Serviço"),0))))</f>
        <v>185.28</v>
      </c>
      <c r="O390" s="462"/>
      <c r="P390" s="213" t="s">
        <v>518</v>
      </c>
      <c r="Q390" s="35"/>
      <c r="R390" s="35"/>
      <c r="S390" s="35"/>
    </row>
    <row r="391" spans="1:20" s="34" customFormat="1" ht="13.9" hidden="1" customHeight="1" outlineLevel="1" x14ac:dyDescent="0.2">
      <c r="A391" s="457">
        <f ca="1">IF($H391="UNIDADE CONSTRUTIVA",OFFSET(A391,-1,0)+1,LARGE(A$3:A390,1))</f>
        <v>0</v>
      </c>
      <c r="B391" s="457">
        <f t="shared" ref="B391:B430" ca="1" si="114">IF(H391="UNIDADE CONSTRUTIVA",0,IF(H391="CÉLULA CONSTRUTIVA",OFFSET(B391,-1,0)+1,OFFSET(B391,-1,0)))</f>
        <v>6</v>
      </c>
      <c r="C391" s="457">
        <f t="shared" ref="C391:C430" ca="1" si="115">IF(H391="CÉLULA CONSTRUTIVA",0,IF(H391="ETAPA",OFFSET(C391,-1,0)+1,OFFSET(C391,-1,0)))</f>
        <v>6</v>
      </c>
      <c r="D391" s="458">
        <f t="shared" ref="D391:D430" ca="1" si="116">IF(H391="ETAPA",0,IF(H391="SUBETAPA",OFFSET(D391,-1,0)+1,OFFSET(D391,-1,0)))</f>
        <v>0</v>
      </c>
      <c r="E391" s="458">
        <f t="shared" ref="E391:E430" ca="1" si="117">IF(H391="Subetapa",0,IF(H391="serviço",OFFSET(E391,-1,0)+1,OFFSET(E391,-1,0)))</f>
        <v>5</v>
      </c>
      <c r="G391" s="206"/>
      <c r="H391" s="207" t="s">
        <v>210</v>
      </c>
      <c r="I391" s="208" t="str">
        <f t="shared" ref="I391:I430" ca="1" si="118">IF(H391="Unidade Construtiva",TEXT(A391,"00"),IF(H391="Célula Construtiva",TEXT(B391,"00"),IF(H391="Etapa",CONCATENATE(TEXT(B391,"00"),".",TEXT(C391,"000")),IF(H391="Subetapa",CONCATENATE(TEXT(B391,"00"),".",TEXT(C391,"000"),".",TEXT(D391,"000")),IF(H391="Serviço",CONCATENATE(TEXT(B391,"00"),".",TEXT(C391,"000"),".",TEXT(D391,"000"),".",TEXT(E391,"000")),"")))))</f>
        <v>06.006</v>
      </c>
      <c r="J391" s="209" t="s">
        <v>868</v>
      </c>
      <c r="K391" s="210"/>
      <c r="L391" s="455"/>
      <c r="M391" s="455"/>
      <c r="N391" s="285">
        <f t="shared" ref="N391:N401" ca="1" si="119">IF(H391="Serviço",M391*L391,IF(H391="CÉLULA CONSTRUTIVA",SUMIFS($N$8:$N$2105,$B$8:$B$2105,B391,$H$8:$H$2105,"Serviço"),IF(H391="ETAPA",SUMIFS($N$8:$N$2105,$B$8:$B$2105,B391,$C$8:$C$2105,C391,$H$8:$H$2105,"Serviço"),IF(H391="SUBETAPA",SUMIFS($N$8:$N$2105,$B$8:$B$2105,B391,$C$8:$C$2105,C391,$D$8:$D$2105,D391,$H$8:$H$2105,"Serviço"),0))))</f>
        <v>20704.5533</v>
      </c>
      <c r="O391" s="462"/>
      <c r="P391" s="213"/>
      <c r="S391" s="35"/>
      <c r="T391" s="467"/>
    </row>
    <row r="392" spans="1:20" s="34" customFormat="1" ht="13.9" hidden="1" customHeight="1" outlineLevel="2" x14ac:dyDescent="0.2">
      <c r="A392" s="457">
        <f ca="1">IF($H392="UNIDADE CONSTRUTIVA",OFFSET(A392,-1,0)+1,LARGE(A$3:A391,1))</f>
        <v>0</v>
      </c>
      <c r="B392" s="457">
        <f t="shared" ca="1" si="114"/>
        <v>6</v>
      </c>
      <c r="C392" s="457">
        <f t="shared" ca="1" si="115"/>
        <v>6</v>
      </c>
      <c r="D392" s="458">
        <f t="shared" ca="1" si="116"/>
        <v>1</v>
      </c>
      <c r="E392" s="458">
        <f t="shared" ca="1" si="117"/>
        <v>0</v>
      </c>
      <c r="G392" s="206"/>
      <c r="H392" s="207" t="s">
        <v>211</v>
      </c>
      <c r="I392" s="208" t="str">
        <f t="shared" ca="1" si="118"/>
        <v>06.006.001</v>
      </c>
      <c r="J392" s="209" t="s">
        <v>131</v>
      </c>
      <c r="K392" s="210"/>
      <c r="L392" s="455"/>
      <c r="M392" s="455"/>
      <c r="N392" s="285">
        <f t="shared" ca="1" si="119"/>
        <v>781.50449999999989</v>
      </c>
      <c r="O392" s="462"/>
      <c r="P392" s="213"/>
      <c r="S392" s="35"/>
      <c r="T392" s="467"/>
    </row>
    <row r="393" spans="1:20" s="34" customFormat="1" ht="13.9" hidden="1" customHeight="1" outlineLevel="2" x14ac:dyDescent="0.2">
      <c r="A393" s="457">
        <f ca="1">IF($H393="UNIDADE CONSTRUTIVA",OFFSET(A393,-1,0)+1,LARGE(A$3:A392,1))</f>
        <v>0</v>
      </c>
      <c r="B393" s="457">
        <f t="shared" ca="1" si="114"/>
        <v>6</v>
      </c>
      <c r="C393" s="457">
        <f t="shared" ca="1" si="115"/>
        <v>6</v>
      </c>
      <c r="D393" s="458">
        <f t="shared" ca="1" si="116"/>
        <v>1</v>
      </c>
      <c r="E393" s="458">
        <f t="shared" ca="1" si="117"/>
        <v>1</v>
      </c>
      <c r="G393" s="206"/>
      <c r="H393" s="207" t="s">
        <v>212</v>
      </c>
      <c r="I393" s="208" t="str">
        <f t="shared" ca="1" si="118"/>
        <v>06.006.001.001</v>
      </c>
      <c r="J393" s="209" t="s">
        <v>850</v>
      </c>
      <c r="K393" s="210" t="s">
        <v>1</v>
      </c>
      <c r="L393" s="455">
        <f>Arquitetura!D216</f>
        <v>99.05</v>
      </c>
      <c r="M393" s="455">
        <v>7.89</v>
      </c>
      <c r="N393" s="285">
        <f t="shared" si="119"/>
        <v>781.50449999999989</v>
      </c>
      <c r="O393" s="462"/>
      <c r="P393" s="213" t="s">
        <v>518</v>
      </c>
      <c r="S393" s="35"/>
      <c r="T393" s="467"/>
    </row>
    <row r="394" spans="1:20" s="34" customFormat="1" ht="13.9" hidden="1" customHeight="1" outlineLevel="2" x14ac:dyDescent="0.2">
      <c r="A394" s="457">
        <f ca="1">IF($H394="UNIDADE CONSTRUTIVA",OFFSET(A394,-1,0)+1,LARGE(A$3:A393,1))</f>
        <v>0</v>
      </c>
      <c r="B394" s="457">
        <f t="shared" ca="1" si="114"/>
        <v>6</v>
      </c>
      <c r="C394" s="457">
        <f t="shared" ca="1" si="115"/>
        <v>6</v>
      </c>
      <c r="D394" s="458">
        <f t="shared" ca="1" si="116"/>
        <v>2</v>
      </c>
      <c r="E394" s="458">
        <f t="shared" ca="1" si="117"/>
        <v>0</v>
      </c>
      <c r="G394" s="206"/>
      <c r="H394" s="207" t="s">
        <v>211</v>
      </c>
      <c r="I394" s="208" t="str">
        <f t="shared" ca="1" si="118"/>
        <v>06.006.002</v>
      </c>
      <c r="J394" s="209" t="s">
        <v>867</v>
      </c>
      <c r="K394" s="210"/>
      <c r="L394" s="455"/>
      <c r="M394" s="455"/>
      <c r="N394" s="285">
        <f t="shared" ca="1" si="119"/>
        <v>9040.3875000000007</v>
      </c>
      <c r="O394" s="462"/>
      <c r="P394" s="213"/>
      <c r="S394" s="35"/>
      <c r="T394" s="467"/>
    </row>
    <row r="395" spans="1:20" s="34" customFormat="1" ht="13.9" hidden="1" customHeight="1" outlineLevel="2" x14ac:dyDescent="0.2">
      <c r="A395" s="457">
        <f ca="1">IF($H395="UNIDADE CONSTRUTIVA",OFFSET(A395,-1,0)+1,LARGE(A$3:A394,1))</f>
        <v>0</v>
      </c>
      <c r="B395" s="457">
        <f t="shared" ca="1" si="114"/>
        <v>6</v>
      </c>
      <c r="C395" s="457">
        <f t="shared" ca="1" si="115"/>
        <v>6</v>
      </c>
      <c r="D395" s="458">
        <f t="shared" ca="1" si="116"/>
        <v>2</v>
      </c>
      <c r="E395" s="458">
        <f t="shared" ca="1" si="117"/>
        <v>1</v>
      </c>
      <c r="G395" s="206"/>
      <c r="H395" s="207" t="s">
        <v>212</v>
      </c>
      <c r="I395" s="208" t="str">
        <f t="shared" ca="1" si="118"/>
        <v>06.006.002.001</v>
      </c>
      <c r="J395" s="209" t="s">
        <v>848</v>
      </c>
      <c r="K395" s="210" t="s">
        <v>1</v>
      </c>
      <c r="L395" s="455">
        <f>Arquitetura!H355</f>
        <v>249.39000000000001</v>
      </c>
      <c r="M395" s="455">
        <v>36.25</v>
      </c>
      <c r="N395" s="285">
        <f t="shared" si="119"/>
        <v>9040.3875000000007</v>
      </c>
      <c r="O395" s="462"/>
      <c r="P395" s="213" t="s">
        <v>518</v>
      </c>
      <c r="S395" s="35"/>
      <c r="T395" s="467"/>
    </row>
    <row r="396" spans="1:20" s="34" customFormat="1" ht="13.9" hidden="1" customHeight="1" outlineLevel="2" x14ac:dyDescent="0.2">
      <c r="A396" s="457">
        <f ca="1">IF($H396="UNIDADE CONSTRUTIVA",OFFSET(A396,-1,0)+1,LARGE(A$3:A395,1))</f>
        <v>0</v>
      </c>
      <c r="B396" s="457">
        <f t="shared" ca="1" si="114"/>
        <v>6</v>
      </c>
      <c r="C396" s="457">
        <f t="shared" ca="1" si="115"/>
        <v>6</v>
      </c>
      <c r="D396" s="458">
        <f t="shared" ca="1" si="116"/>
        <v>3</v>
      </c>
      <c r="E396" s="458">
        <f t="shared" ca="1" si="117"/>
        <v>0</v>
      </c>
      <c r="G396" s="206"/>
      <c r="H396" s="207" t="s">
        <v>211</v>
      </c>
      <c r="I396" s="208" t="str">
        <f t="shared" ca="1" si="118"/>
        <v>06.006.003</v>
      </c>
      <c r="J396" s="209" t="s">
        <v>864</v>
      </c>
      <c r="K396" s="210"/>
      <c r="L396" s="455"/>
      <c r="M396" s="455"/>
      <c r="N396" s="285">
        <f t="shared" ca="1" si="119"/>
        <v>758.81130000000007</v>
      </c>
      <c r="O396" s="462"/>
      <c r="P396" s="213"/>
      <c r="Q396" s="35"/>
      <c r="R396" s="35"/>
      <c r="S396" s="35"/>
      <c r="T396" s="467"/>
    </row>
    <row r="397" spans="1:20" s="34" customFormat="1" ht="13.9" hidden="1" customHeight="1" outlineLevel="2" x14ac:dyDescent="0.2">
      <c r="A397" s="457">
        <f ca="1">IF($H397="UNIDADE CONSTRUTIVA",OFFSET(A397,-1,0)+1,LARGE(A$3:A396,1))</f>
        <v>0</v>
      </c>
      <c r="B397" s="457">
        <f t="shared" ca="1" si="114"/>
        <v>6</v>
      </c>
      <c r="C397" s="457">
        <f t="shared" ca="1" si="115"/>
        <v>6</v>
      </c>
      <c r="D397" s="458">
        <f t="shared" ca="1" si="116"/>
        <v>3</v>
      </c>
      <c r="E397" s="458">
        <f t="shared" ca="1" si="117"/>
        <v>1</v>
      </c>
      <c r="G397" s="206"/>
      <c r="H397" s="207" t="s">
        <v>212</v>
      </c>
      <c r="I397" s="208" t="str">
        <f t="shared" ca="1" si="118"/>
        <v>06.006.003.001</v>
      </c>
      <c r="J397" s="209" t="s">
        <v>847</v>
      </c>
      <c r="K397" s="210" t="s">
        <v>1</v>
      </c>
      <c r="L397" s="455">
        <f>Arquitetura!H356</f>
        <v>18.89</v>
      </c>
      <c r="M397" s="455">
        <v>40.17</v>
      </c>
      <c r="N397" s="285">
        <f t="shared" si="119"/>
        <v>758.81130000000007</v>
      </c>
      <c r="O397" s="462"/>
      <c r="P397" s="213" t="s">
        <v>518</v>
      </c>
      <c r="Q397" s="35"/>
      <c r="R397" s="35"/>
      <c r="S397" s="35"/>
      <c r="T397" s="467"/>
    </row>
    <row r="398" spans="1:20" s="34" customFormat="1" ht="13.9" hidden="1" customHeight="1" outlineLevel="2" x14ac:dyDescent="0.2">
      <c r="A398" s="457">
        <f ca="1">IF($H398="UNIDADE CONSTRUTIVA",OFFSET(A398,-1,0)+1,LARGE(A$3:A397,1))</f>
        <v>0</v>
      </c>
      <c r="B398" s="457">
        <f t="shared" ca="1" si="114"/>
        <v>6</v>
      </c>
      <c r="C398" s="457">
        <f t="shared" ca="1" si="115"/>
        <v>6</v>
      </c>
      <c r="D398" s="458">
        <f t="shared" ca="1" si="116"/>
        <v>4</v>
      </c>
      <c r="E398" s="458">
        <f t="shared" ca="1" si="117"/>
        <v>0</v>
      </c>
      <c r="G398" s="206"/>
      <c r="H398" s="207" t="s">
        <v>211</v>
      </c>
      <c r="I398" s="208" t="str">
        <f t="shared" ca="1" si="118"/>
        <v>06.006.004</v>
      </c>
      <c r="J398" s="209" t="s">
        <v>114</v>
      </c>
      <c r="K398" s="210"/>
      <c r="L398" s="455"/>
      <c r="M398" s="455"/>
      <c r="N398" s="285">
        <f t="shared" ca="1" si="119"/>
        <v>10123.85</v>
      </c>
      <c r="O398" s="462"/>
      <c r="P398" s="213"/>
      <c r="Q398" s="35"/>
      <c r="R398" s="35"/>
      <c r="S398" s="35"/>
    </row>
    <row r="399" spans="1:20" s="34" customFormat="1" ht="13.9" hidden="1" customHeight="1" outlineLevel="2" x14ac:dyDescent="0.2">
      <c r="A399" s="457">
        <f ca="1">IF($H399="UNIDADE CONSTRUTIVA",OFFSET(A399,-1,0)+1,LARGE(A$3:A398,1))</f>
        <v>0</v>
      </c>
      <c r="B399" s="457">
        <f t="shared" ca="1" si="114"/>
        <v>6</v>
      </c>
      <c r="C399" s="457">
        <f t="shared" ca="1" si="115"/>
        <v>6</v>
      </c>
      <c r="D399" s="458">
        <f t="shared" ca="1" si="116"/>
        <v>4</v>
      </c>
      <c r="E399" s="458">
        <f t="shared" ca="1" si="117"/>
        <v>1</v>
      </c>
      <c r="G399" s="206"/>
      <c r="H399" s="207" t="s">
        <v>212</v>
      </c>
      <c r="I399" s="208" t="str">
        <f t="shared" ca="1" si="118"/>
        <v>06.006.004.001</v>
      </c>
      <c r="J399" s="209" t="s">
        <v>216</v>
      </c>
      <c r="K399" s="210" t="s">
        <v>1</v>
      </c>
      <c r="L399" s="455">
        <f>L393</f>
        <v>99.05</v>
      </c>
      <c r="M399" s="455">
        <v>20</v>
      </c>
      <c r="N399" s="285">
        <f t="shared" si="119"/>
        <v>1981</v>
      </c>
      <c r="O399" s="462"/>
      <c r="P399" s="213" t="s">
        <v>518</v>
      </c>
      <c r="Q399" s="35"/>
      <c r="R399" s="35"/>
      <c r="S399" s="35"/>
    </row>
    <row r="400" spans="1:20" s="34" customFormat="1" ht="13.9" hidden="1" customHeight="1" outlineLevel="2" x14ac:dyDescent="0.2">
      <c r="A400" s="457">
        <f ca="1">IF($H400="UNIDADE CONSTRUTIVA",OFFSET(A400,-1,0)+1,LARGE(A$3:A399,1))</f>
        <v>0</v>
      </c>
      <c r="B400" s="457">
        <f t="shared" ca="1" si="114"/>
        <v>6</v>
      </c>
      <c r="C400" s="457">
        <f t="shared" ca="1" si="115"/>
        <v>6</v>
      </c>
      <c r="D400" s="458">
        <f t="shared" ca="1" si="116"/>
        <v>4</v>
      </c>
      <c r="E400" s="458">
        <f t="shared" ca="1" si="117"/>
        <v>2</v>
      </c>
      <c r="G400" s="206"/>
      <c r="H400" s="207" t="s">
        <v>212</v>
      </c>
      <c r="I400" s="208" t="str">
        <f t="shared" ca="1" si="118"/>
        <v>06.006.004.002</v>
      </c>
      <c r="J400" s="209" t="s">
        <v>218</v>
      </c>
      <c r="K400" s="210" t="s">
        <v>1</v>
      </c>
      <c r="L400" s="455">
        <f>L395</f>
        <v>249.39000000000001</v>
      </c>
      <c r="M400" s="455">
        <v>30</v>
      </c>
      <c r="N400" s="285">
        <f t="shared" si="119"/>
        <v>7481.7000000000007</v>
      </c>
      <c r="O400" s="462"/>
      <c r="P400" s="213" t="s">
        <v>518</v>
      </c>
      <c r="Q400" s="35"/>
      <c r="R400" s="35"/>
      <c r="S400" s="35"/>
    </row>
    <row r="401" spans="1:20" s="34" customFormat="1" ht="13.9" hidden="1" customHeight="1" outlineLevel="2" x14ac:dyDescent="0.2">
      <c r="A401" s="457">
        <f ca="1">IF($H401="UNIDADE CONSTRUTIVA",OFFSET(A401,-1,0)+1,LARGE(A$3:A400,1))</f>
        <v>0</v>
      </c>
      <c r="B401" s="457">
        <f t="shared" ca="1" si="114"/>
        <v>6</v>
      </c>
      <c r="C401" s="457">
        <f t="shared" ca="1" si="115"/>
        <v>6</v>
      </c>
      <c r="D401" s="458">
        <f t="shared" ca="1" si="116"/>
        <v>4</v>
      </c>
      <c r="E401" s="458">
        <f t="shared" ca="1" si="117"/>
        <v>3</v>
      </c>
      <c r="G401" s="206"/>
      <c r="H401" s="207" t="s">
        <v>212</v>
      </c>
      <c r="I401" s="208" t="str">
        <f t="shared" ca="1" si="118"/>
        <v>06.006.004.003</v>
      </c>
      <c r="J401" s="209" t="s">
        <v>865</v>
      </c>
      <c r="K401" s="210" t="s">
        <v>1</v>
      </c>
      <c r="L401" s="455">
        <f>L397</f>
        <v>18.89</v>
      </c>
      <c r="M401" s="455">
        <v>35</v>
      </c>
      <c r="N401" s="285">
        <f t="shared" si="119"/>
        <v>661.15</v>
      </c>
      <c r="O401" s="462"/>
      <c r="P401" s="213" t="s">
        <v>518</v>
      </c>
      <c r="Q401" s="35"/>
      <c r="R401" s="35"/>
      <c r="S401" s="35"/>
    </row>
    <row r="402" spans="1:20" s="34" customFormat="1" ht="13.9" hidden="1" customHeight="1" outlineLevel="1" x14ac:dyDescent="0.2">
      <c r="A402" s="457">
        <f ca="1">IF($H402="UNIDADE CONSTRUTIVA",OFFSET(A402,-1,0)+1,LARGE(A$3:A401,1))</f>
        <v>0</v>
      </c>
      <c r="B402" s="457">
        <f t="shared" ca="1" si="114"/>
        <v>6</v>
      </c>
      <c r="C402" s="457">
        <f t="shared" ca="1" si="115"/>
        <v>7</v>
      </c>
      <c r="D402" s="458">
        <f t="shared" ca="1" si="116"/>
        <v>0</v>
      </c>
      <c r="E402" s="458">
        <f t="shared" ca="1" si="117"/>
        <v>3</v>
      </c>
      <c r="G402" s="206"/>
      <c r="H402" s="207" t="s">
        <v>210</v>
      </c>
      <c r="I402" s="208" t="str">
        <f t="shared" ca="1" si="118"/>
        <v>06.007</v>
      </c>
      <c r="J402" s="209" t="s">
        <v>871</v>
      </c>
      <c r="K402" s="210"/>
      <c r="L402" s="455"/>
      <c r="M402" s="455"/>
      <c r="N402" s="285">
        <f t="shared" ref="N402:N413" ca="1" si="120">IF(H402="Serviço",M402*L402,IF(H402="CÉLULA CONSTRUTIVA",SUMIFS($N$8:$N$2078,$B$8:$B$2078,B402,$H$8:$H$2078,"Serviço"),IF(H402="ETAPA",SUMIFS($N$8:$N$2078,$B$8:$B$2078,B402,$C$8:$C$2078,C402,$H$8:$H$2078,"Serviço"),IF(H402="SUBETAPA",SUMIFS($N$8:$N$2078,$B$8:$B$2078,B402,$C$8:$C$2078,C402,$D$8:$D$2078,D402,$H$8:$H$2078,"Serviço"),0))))</f>
        <v>25877.804446000002</v>
      </c>
      <c r="O402" s="462"/>
      <c r="P402" s="213"/>
      <c r="S402" s="35"/>
      <c r="T402" s="467"/>
    </row>
    <row r="403" spans="1:20" s="34" customFormat="1" ht="13.9" hidden="1" customHeight="1" outlineLevel="2" x14ac:dyDescent="0.2">
      <c r="A403" s="457">
        <f ca="1">IF($H403="UNIDADE CONSTRUTIVA",OFFSET(A403,-1,0)+1,LARGE(A$3:A402,1))</f>
        <v>0</v>
      </c>
      <c r="B403" s="457">
        <f t="shared" ca="1" si="114"/>
        <v>6</v>
      </c>
      <c r="C403" s="457">
        <f t="shared" ca="1" si="115"/>
        <v>7</v>
      </c>
      <c r="D403" s="458">
        <f t="shared" ca="1" si="116"/>
        <v>1</v>
      </c>
      <c r="E403" s="458">
        <f t="shared" ca="1" si="117"/>
        <v>0</v>
      </c>
      <c r="G403" s="206"/>
      <c r="H403" s="207" t="s">
        <v>211</v>
      </c>
      <c r="I403" s="208" t="str">
        <f t="shared" ca="1" si="118"/>
        <v>06.007.001</v>
      </c>
      <c r="J403" s="209" t="s">
        <v>131</v>
      </c>
      <c r="K403" s="210"/>
      <c r="L403" s="455"/>
      <c r="M403" s="455"/>
      <c r="N403" s="285">
        <f t="shared" ca="1" si="120"/>
        <v>1619.2982399999999</v>
      </c>
      <c r="O403" s="462"/>
      <c r="P403" s="213"/>
      <c r="S403" s="35"/>
      <c r="T403" s="467"/>
    </row>
    <row r="404" spans="1:20" s="34" customFormat="1" ht="13.9" hidden="1" customHeight="1" outlineLevel="2" x14ac:dyDescent="0.2">
      <c r="A404" s="457">
        <f ca="1">IF($H404="UNIDADE CONSTRUTIVA",OFFSET(A404,-1,0)+1,LARGE(A$3:A403,1))</f>
        <v>0</v>
      </c>
      <c r="B404" s="457">
        <f t="shared" ca="1" si="114"/>
        <v>6</v>
      </c>
      <c r="C404" s="457">
        <f t="shared" ca="1" si="115"/>
        <v>7</v>
      </c>
      <c r="D404" s="458">
        <f t="shared" ca="1" si="116"/>
        <v>1</v>
      </c>
      <c r="E404" s="458">
        <f t="shared" ca="1" si="117"/>
        <v>1</v>
      </c>
      <c r="G404" s="206"/>
      <c r="H404" s="207" t="s">
        <v>212</v>
      </c>
      <c r="I404" s="208" t="str">
        <f t="shared" ca="1" si="118"/>
        <v>06.007.001.001</v>
      </c>
      <c r="J404" s="209" t="s">
        <v>850</v>
      </c>
      <c r="K404" s="210" t="s">
        <v>1</v>
      </c>
      <c r="L404" s="455">
        <f>Arquitetura!D219</f>
        <v>131.6</v>
      </c>
      <c r="M404" s="455">
        <v>7.89</v>
      </c>
      <c r="N404" s="285">
        <f t="shared" si="120"/>
        <v>1038.3239999999998</v>
      </c>
      <c r="O404" s="462"/>
      <c r="P404" s="213" t="s">
        <v>518</v>
      </c>
      <c r="S404" s="35"/>
      <c r="T404" s="467"/>
    </row>
    <row r="405" spans="1:20" s="34" customFormat="1" ht="13.9" hidden="1" customHeight="1" outlineLevel="2" x14ac:dyDescent="0.2">
      <c r="A405" s="457">
        <f ca="1">IF($H405="UNIDADE CONSTRUTIVA",OFFSET(A405,-1,0)+1,LARGE(A$3:A404,1))</f>
        <v>0</v>
      </c>
      <c r="B405" s="457">
        <f t="shared" ca="1" si="114"/>
        <v>6</v>
      </c>
      <c r="C405" s="457">
        <f t="shared" ca="1" si="115"/>
        <v>7</v>
      </c>
      <c r="D405" s="458">
        <f t="shared" ca="1" si="116"/>
        <v>1</v>
      </c>
      <c r="E405" s="458">
        <f t="shared" ca="1" si="117"/>
        <v>2</v>
      </c>
      <c r="G405" s="206"/>
      <c r="H405" s="207" t="s">
        <v>212</v>
      </c>
      <c r="I405" s="208" t="str">
        <f t="shared" ca="1" si="118"/>
        <v>06.007.001.002</v>
      </c>
      <c r="J405" s="209" t="s">
        <v>849</v>
      </c>
      <c r="K405" s="210" t="s">
        <v>1</v>
      </c>
      <c r="L405" s="455">
        <f>Arquitetura!D218</f>
        <v>16.940000000000001</v>
      </c>
      <c r="M405" s="455">
        <v>34.295999999999999</v>
      </c>
      <c r="N405" s="285">
        <f t="shared" si="120"/>
        <v>580.97424000000001</v>
      </c>
      <c r="O405" s="462"/>
      <c r="P405" s="213" t="s">
        <v>518</v>
      </c>
      <c r="S405" s="35"/>
      <c r="T405" s="467"/>
    </row>
    <row r="406" spans="1:20" s="34" customFormat="1" ht="13.9" hidden="1" customHeight="1" outlineLevel="2" x14ac:dyDescent="0.2">
      <c r="A406" s="457">
        <f ca="1">IF($H406="UNIDADE CONSTRUTIVA",OFFSET(A406,-1,0)+1,LARGE(A$3:A405,1))</f>
        <v>0</v>
      </c>
      <c r="B406" s="457">
        <f t="shared" ca="1" si="114"/>
        <v>6</v>
      </c>
      <c r="C406" s="457">
        <f t="shared" ca="1" si="115"/>
        <v>7</v>
      </c>
      <c r="D406" s="458">
        <f t="shared" ca="1" si="116"/>
        <v>2</v>
      </c>
      <c r="E406" s="458">
        <f t="shared" ca="1" si="117"/>
        <v>0</v>
      </c>
      <c r="G406" s="206"/>
      <c r="H406" s="207" t="s">
        <v>211</v>
      </c>
      <c r="I406" s="208" t="str">
        <f t="shared" ca="1" si="118"/>
        <v>06.007.002</v>
      </c>
      <c r="J406" s="209" t="s">
        <v>870</v>
      </c>
      <c r="K406" s="210"/>
      <c r="L406" s="455"/>
      <c r="M406" s="455"/>
      <c r="N406" s="285">
        <f t="shared" ca="1" si="120"/>
        <v>9686.0000000000018</v>
      </c>
      <c r="O406" s="462"/>
      <c r="P406" s="213"/>
      <c r="S406" s="35"/>
      <c r="T406" s="467"/>
    </row>
    <row r="407" spans="1:20" s="34" customFormat="1" ht="13.9" hidden="1" customHeight="1" outlineLevel="2" x14ac:dyDescent="0.2">
      <c r="A407" s="457">
        <f ca="1">IF($H407="UNIDADE CONSTRUTIVA",OFFSET(A407,-1,0)+1,LARGE(A$3:A406,1))</f>
        <v>0</v>
      </c>
      <c r="B407" s="457">
        <f t="shared" ca="1" si="114"/>
        <v>6</v>
      </c>
      <c r="C407" s="457">
        <f t="shared" ca="1" si="115"/>
        <v>7</v>
      </c>
      <c r="D407" s="458">
        <f t="shared" ca="1" si="116"/>
        <v>2</v>
      </c>
      <c r="E407" s="458">
        <f t="shared" ca="1" si="117"/>
        <v>1</v>
      </c>
      <c r="G407" s="206"/>
      <c r="H407" s="207" t="s">
        <v>212</v>
      </c>
      <c r="I407" s="208" t="str">
        <f t="shared" ca="1" si="118"/>
        <v>06.007.002.001</v>
      </c>
      <c r="J407" s="209" t="s">
        <v>848</v>
      </c>
      <c r="K407" s="210" t="s">
        <v>1</v>
      </c>
      <c r="L407" s="455">
        <f>Arquitetura!H363</f>
        <v>267.20000000000005</v>
      </c>
      <c r="M407" s="455">
        <v>36.25</v>
      </c>
      <c r="N407" s="285">
        <f t="shared" si="120"/>
        <v>9686.0000000000018</v>
      </c>
      <c r="O407" s="462"/>
      <c r="P407" s="213" t="s">
        <v>518</v>
      </c>
      <c r="S407" s="35"/>
      <c r="T407" s="467"/>
    </row>
    <row r="408" spans="1:20" s="34" customFormat="1" ht="13.9" hidden="1" customHeight="1" outlineLevel="2" x14ac:dyDescent="0.2">
      <c r="A408" s="457">
        <f ca="1">IF($H408="UNIDADE CONSTRUTIVA",OFFSET(A408,-1,0)+1,LARGE(A$3:A407,1))</f>
        <v>0</v>
      </c>
      <c r="B408" s="457">
        <f t="shared" ca="1" si="114"/>
        <v>6</v>
      </c>
      <c r="C408" s="457">
        <f t="shared" ca="1" si="115"/>
        <v>7</v>
      </c>
      <c r="D408" s="458">
        <f t="shared" ca="1" si="116"/>
        <v>3</v>
      </c>
      <c r="E408" s="458">
        <f t="shared" ca="1" si="117"/>
        <v>0</v>
      </c>
      <c r="G408" s="206"/>
      <c r="H408" s="207" t="s">
        <v>211</v>
      </c>
      <c r="I408" s="208" t="str">
        <f t="shared" ca="1" si="118"/>
        <v>06.007.003</v>
      </c>
      <c r="J408" s="209" t="s">
        <v>4168</v>
      </c>
      <c r="K408" s="210"/>
      <c r="L408" s="455"/>
      <c r="M408" s="455"/>
      <c r="N408" s="285">
        <f t="shared" ca="1" si="120"/>
        <v>1527.478106</v>
      </c>
      <c r="O408" s="462"/>
      <c r="P408" s="213"/>
      <c r="S408" s="35"/>
      <c r="T408" s="467"/>
    </row>
    <row r="409" spans="1:20" s="34" customFormat="1" ht="13.9" hidden="1" customHeight="1" outlineLevel="2" x14ac:dyDescent="0.2">
      <c r="A409" s="457">
        <f ca="1">IF($H409="UNIDADE CONSTRUTIVA",OFFSET(A409,-1,0)+1,LARGE(A$3:A408,1))</f>
        <v>0</v>
      </c>
      <c r="B409" s="457">
        <f t="shared" ca="1" si="114"/>
        <v>6</v>
      </c>
      <c r="C409" s="457">
        <f t="shared" ca="1" si="115"/>
        <v>7</v>
      </c>
      <c r="D409" s="458">
        <f t="shared" ca="1" si="116"/>
        <v>3</v>
      </c>
      <c r="E409" s="458">
        <f t="shared" ca="1" si="117"/>
        <v>1</v>
      </c>
      <c r="G409" s="206"/>
      <c r="H409" s="207" t="s">
        <v>212</v>
      </c>
      <c r="I409" s="208" t="str">
        <f t="shared" ca="1" si="118"/>
        <v>06.007.003.001</v>
      </c>
      <c r="J409" s="209" t="s">
        <v>545</v>
      </c>
      <c r="K409" s="210" t="s">
        <v>1</v>
      </c>
      <c r="L409" s="455">
        <f>Arquitetura!H365</f>
        <v>16.940000000000001</v>
      </c>
      <c r="M409" s="455">
        <v>90.169899999999998</v>
      </c>
      <c r="N409" s="285">
        <f t="shared" si="120"/>
        <v>1527.478106</v>
      </c>
      <c r="O409" s="462"/>
      <c r="P409" s="213" t="s">
        <v>518</v>
      </c>
      <c r="S409" s="35"/>
      <c r="T409" s="467"/>
    </row>
    <row r="410" spans="1:20" s="34" customFormat="1" ht="13.9" hidden="1" customHeight="1" outlineLevel="2" x14ac:dyDescent="0.2">
      <c r="A410" s="457">
        <f ca="1">IF($H410="UNIDADE CONSTRUTIVA",OFFSET(A410,-1,0)+1,LARGE(A$3:A409,1))</f>
        <v>0</v>
      </c>
      <c r="B410" s="457">
        <f t="shared" ca="1" si="114"/>
        <v>6</v>
      </c>
      <c r="C410" s="457">
        <f t="shared" ca="1" si="115"/>
        <v>7</v>
      </c>
      <c r="D410" s="458">
        <f t="shared" ca="1" si="116"/>
        <v>4</v>
      </c>
      <c r="E410" s="458">
        <f t="shared" ca="1" si="117"/>
        <v>0</v>
      </c>
      <c r="G410" s="206"/>
      <c r="H410" s="207" t="s">
        <v>211</v>
      </c>
      <c r="I410" s="208" t="str">
        <f t="shared" ca="1" si="118"/>
        <v>06.007.004</v>
      </c>
      <c r="J410" s="209" t="s">
        <v>864</v>
      </c>
      <c r="K410" s="210"/>
      <c r="L410" s="455"/>
      <c r="M410" s="455"/>
      <c r="N410" s="285">
        <f t="shared" ca="1" si="120"/>
        <v>439.05810000000002</v>
      </c>
      <c r="O410" s="462"/>
      <c r="P410" s="213"/>
      <c r="Q410" s="35"/>
      <c r="R410" s="35"/>
      <c r="S410" s="35"/>
      <c r="T410" s="467"/>
    </row>
    <row r="411" spans="1:20" s="34" customFormat="1" ht="13.9" hidden="1" customHeight="1" outlineLevel="2" x14ac:dyDescent="0.2">
      <c r="A411" s="457">
        <f ca="1">IF($H411="UNIDADE CONSTRUTIVA",OFFSET(A411,-1,0)+1,LARGE(A$3:A410,1))</f>
        <v>0</v>
      </c>
      <c r="B411" s="457">
        <f t="shared" ca="1" si="114"/>
        <v>6</v>
      </c>
      <c r="C411" s="457">
        <f t="shared" ca="1" si="115"/>
        <v>7</v>
      </c>
      <c r="D411" s="458">
        <f t="shared" ca="1" si="116"/>
        <v>4</v>
      </c>
      <c r="E411" s="458">
        <f t="shared" ca="1" si="117"/>
        <v>1</v>
      </c>
      <c r="G411" s="206"/>
      <c r="H411" s="207" t="s">
        <v>212</v>
      </c>
      <c r="I411" s="208" t="str">
        <f t="shared" ca="1" si="118"/>
        <v>06.007.004.001</v>
      </c>
      <c r="J411" s="209" t="s">
        <v>847</v>
      </c>
      <c r="K411" s="210" t="s">
        <v>1</v>
      </c>
      <c r="L411" s="455">
        <f>Arquitetura!H364</f>
        <v>10.93</v>
      </c>
      <c r="M411" s="455">
        <v>40.17</v>
      </c>
      <c r="N411" s="285">
        <f t="shared" si="120"/>
        <v>439.05810000000002</v>
      </c>
      <c r="O411" s="462"/>
      <c r="P411" s="213" t="s">
        <v>518</v>
      </c>
      <c r="Q411" s="35"/>
      <c r="R411" s="35"/>
      <c r="S411" s="35"/>
      <c r="T411" s="467"/>
    </row>
    <row r="412" spans="1:20" s="34" customFormat="1" ht="13.9" hidden="1" customHeight="1" outlineLevel="2" x14ac:dyDescent="0.2">
      <c r="A412" s="457">
        <f ca="1">IF($H412="UNIDADE CONSTRUTIVA",OFFSET(A412,-1,0)+1,LARGE(A$3:A411,1))</f>
        <v>0</v>
      </c>
      <c r="B412" s="457">
        <f t="shared" ca="1" si="114"/>
        <v>6</v>
      </c>
      <c r="C412" s="457">
        <f t="shared" ca="1" si="115"/>
        <v>7</v>
      </c>
      <c r="D412" s="458">
        <f t="shared" ca="1" si="116"/>
        <v>5</v>
      </c>
      <c r="E412" s="458">
        <f t="shared" ca="1" si="117"/>
        <v>0</v>
      </c>
      <c r="G412" s="206"/>
      <c r="H412" s="207" t="s">
        <v>211</v>
      </c>
      <c r="I412" s="208" t="str">
        <f t="shared" ca="1" si="118"/>
        <v>06.007.005</v>
      </c>
      <c r="J412" s="209" t="s">
        <v>114</v>
      </c>
      <c r="K412" s="210"/>
      <c r="L412" s="455"/>
      <c r="M412" s="455"/>
      <c r="N412" s="285">
        <f t="shared" ca="1" si="120"/>
        <v>12605.970000000003</v>
      </c>
      <c r="O412" s="462"/>
      <c r="P412" s="213"/>
      <c r="Q412" s="35"/>
      <c r="R412" s="35"/>
      <c r="S412" s="35"/>
    </row>
    <row r="413" spans="1:20" s="34" customFormat="1" ht="13.9" hidden="1" customHeight="1" outlineLevel="2" x14ac:dyDescent="0.2">
      <c r="A413" s="457">
        <f ca="1">IF($H413="UNIDADE CONSTRUTIVA",OFFSET(A413,-1,0)+1,LARGE(A$3:A412,1))</f>
        <v>0</v>
      </c>
      <c r="B413" s="457">
        <f t="shared" ca="1" si="114"/>
        <v>6</v>
      </c>
      <c r="C413" s="457">
        <f t="shared" ca="1" si="115"/>
        <v>7</v>
      </c>
      <c r="D413" s="458">
        <f t="shared" ca="1" si="116"/>
        <v>5</v>
      </c>
      <c r="E413" s="458">
        <f t="shared" ca="1" si="117"/>
        <v>1</v>
      </c>
      <c r="G413" s="206"/>
      <c r="H413" s="207" t="s">
        <v>212</v>
      </c>
      <c r="I413" s="208" t="str">
        <f t="shared" ca="1" si="118"/>
        <v>06.007.005.001</v>
      </c>
      <c r="J413" s="209" t="s">
        <v>216</v>
      </c>
      <c r="K413" s="210" t="s">
        <v>1</v>
      </c>
      <c r="L413" s="455">
        <f>L404</f>
        <v>131.6</v>
      </c>
      <c r="M413" s="455">
        <v>20</v>
      </c>
      <c r="N413" s="285">
        <f t="shared" si="120"/>
        <v>2632</v>
      </c>
      <c r="O413" s="462"/>
      <c r="P413" s="213" t="s">
        <v>518</v>
      </c>
      <c r="Q413" s="35"/>
      <c r="R413" s="35"/>
      <c r="S413" s="35"/>
    </row>
    <row r="414" spans="1:20" s="34" customFormat="1" ht="13.9" hidden="1" customHeight="1" outlineLevel="2" x14ac:dyDescent="0.2">
      <c r="A414" s="457">
        <f ca="1">IF($H414="UNIDADE CONSTRUTIVA",OFFSET(A414,-1,0)+1,LARGE(A$3:A413,1))</f>
        <v>0</v>
      </c>
      <c r="B414" s="457">
        <f t="shared" ca="1" si="114"/>
        <v>6</v>
      </c>
      <c r="C414" s="457">
        <f t="shared" ca="1" si="115"/>
        <v>7</v>
      </c>
      <c r="D414" s="458">
        <f t="shared" ca="1" si="116"/>
        <v>5</v>
      </c>
      <c r="E414" s="458">
        <f t="shared" ca="1" si="117"/>
        <v>2</v>
      </c>
      <c r="G414" s="206"/>
      <c r="H414" s="207" t="s">
        <v>212</v>
      </c>
      <c r="I414" s="208" t="str">
        <f t="shared" ca="1" si="118"/>
        <v>06.007.005.002</v>
      </c>
      <c r="J414" s="209" t="s">
        <v>217</v>
      </c>
      <c r="K414" s="210" t="s">
        <v>1</v>
      </c>
      <c r="L414" s="455">
        <f>L405</f>
        <v>16.940000000000001</v>
      </c>
      <c r="M414" s="455">
        <v>45</v>
      </c>
      <c r="N414" s="285">
        <f>M414*L414</f>
        <v>762.30000000000007</v>
      </c>
      <c r="O414" s="462"/>
      <c r="P414" s="213" t="s">
        <v>518</v>
      </c>
      <c r="Q414" s="35"/>
      <c r="R414" s="35"/>
      <c r="S414" s="35"/>
    </row>
    <row r="415" spans="1:20" s="34" customFormat="1" ht="13.9" hidden="1" customHeight="1" outlineLevel="2" x14ac:dyDescent="0.2">
      <c r="A415" s="457">
        <f ca="1">IF($H415="UNIDADE CONSTRUTIVA",OFFSET(A415,-1,0)+1,LARGE(A$3:A414,1))</f>
        <v>0</v>
      </c>
      <c r="B415" s="457">
        <f t="shared" ca="1" si="114"/>
        <v>6</v>
      </c>
      <c r="C415" s="457">
        <f t="shared" ca="1" si="115"/>
        <v>7</v>
      </c>
      <c r="D415" s="458">
        <f t="shared" ca="1" si="116"/>
        <v>5</v>
      </c>
      <c r="E415" s="458">
        <f t="shared" ca="1" si="117"/>
        <v>3</v>
      </c>
      <c r="G415" s="206"/>
      <c r="H415" s="207" t="s">
        <v>212</v>
      </c>
      <c r="I415" s="208" t="str">
        <f t="shared" ca="1" si="118"/>
        <v>06.007.005.003</v>
      </c>
      <c r="J415" s="209" t="s">
        <v>218</v>
      </c>
      <c r="K415" s="210" t="s">
        <v>1</v>
      </c>
      <c r="L415" s="455">
        <f>L407</f>
        <v>267.20000000000005</v>
      </c>
      <c r="M415" s="455">
        <v>30</v>
      </c>
      <c r="N415" s="285">
        <f>IF(H415="Serviço",M415*L415,IF(H415="CÉLULA CONSTRUTIVA",SUMIFS($N$8:$N$2078,$B$8:$B$2078,B415,$H$8:$H$2078,"Serviço"),IF(H415="ETAPA",SUMIFS($N$8:$N$2078,$B$8:$B$2078,B415,$C$8:$C$2078,C415,$H$8:$H$2078,"Serviço"),IF(H415="SUBETAPA",SUMIFS($N$8:$N$2078,$B$8:$B$2078,B415,$C$8:$C$2078,C415,$D$8:$D$2078,D415,$H$8:$H$2078,"Serviço"),0))))</f>
        <v>8016.0000000000018</v>
      </c>
      <c r="O415" s="462"/>
      <c r="P415" s="213" t="s">
        <v>518</v>
      </c>
      <c r="Q415" s="35"/>
      <c r="R415" s="35"/>
      <c r="S415" s="35"/>
    </row>
    <row r="416" spans="1:20" s="34" customFormat="1" ht="13.9" hidden="1" customHeight="1" outlineLevel="2" x14ac:dyDescent="0.2">
      <c r="A416" s="457">
        <f ca="1">IF($H416="UNIDADE CONSTRUTIVA",OFFSET(A416,-1,0)+1,LARGE(A$3:A415,1))</f>
        <v>0</v>
      </c>
      <c r="B416" s="457">
        <f t="shared" ca="1" si="114"/>
        <v>6</v>
      </c>
      <c r="C416" s="457">
        <f t="shared" ca="1" si="115"/>
        <v>7</v>
      </c>
      <c r="D416" s="458">
        <f t="shared" ca="1" si="116"/>
        <v>5</v>
      </c>
      <c r="E416" s="458">
        <f t="shared" ca="1" si="117"/>
        <v>4</v>
      </c>
      <c r="G416" s="206"/>
      <c r="H416" s="207" t="s">
        <v>212</v>
      </c>
      <c r="I416" s="208" t="str">
        <f t="shared" ca="1" si="118"/>
        <v>06.007.005.004</v>
      </c>
      <c r="J416" s="209" t="s">
        <v>865</v>
      </c>
      <c r="K416" s="210" t="s">
        <v>1</v>
      </c>
      <c r="L416" s="455">
        <f>L411</f>
        <v>10.93</v>
      </c>
      <c r="M416" s="455">
        <v>35</v>
      </c>
      <c r="N416" s="285">
        <f>IF(H416="Serviço",M416*L416,IF(H416="CÉLULA CONSTRUTIVA",SUMIFS($N$8:$N$2078,$B$8:$B$2078,B416,$H$8:$H$2078,"Serviço"),IF(H416="ETAPA",SUMIFS($N$8:$N$2078,$B$8:$B$2078,B416,$C$8:$C$2078,C416,$H$8:$H$2078,"Serviço"),IF(H416="SUBETAPA",SUMIFS($N$8:$N$2078,$B$8:$B$2078,B416,$C$8:$C$2078,C416,$D$8:$D$2078,D416,$H$8:$H$2078,"Serviço"),0))))</f>
        <v>382.55</v>
      </c>
      <c r="O416" s="462"/>
      <c r="P416" s="213" t="s">
        <v>518</v>
      </c>
      <c r="Q416" s="35"/>
      <c r="R416" s="35"/>
      <c r="S416" s="35"/>
    </row>
    <row r="417" spans="1:20" s="34" customFormat="1" ht="13.9" hidden="1" customHeight="1" outlineLevel="2" x14ac:dyDescent="0.2">
      <c r="A417" s="457">
        <f ca="1">IF($H417="UNIDADE CONSTRUTIVA",OFFSET(A417,-1,0)+1,LARGE(A$3:A416,1))</f>
        <v>0</v>
      </c>
      <c r="B417" s="457">
        <f t="shared" ca="1" si="114"/>
        <v>6</v>
      </c>
      <c r="C417" s="457">
        <f t="shared" ca="1" si="115"/>
        <v>7</v>
      </c>
      <c r="D417" s="458">
        <f t="shared" ca="1" si="116"/>
        <v>5</v>
      </c>
      <c r="E417" s="458">
        <f t="shared" ca="1" si="117"/>
        <v>5</v>
      </c>
      <c r="G417" s="206"/>
      <c r="H417" s="207" t="s">
        <v>212</v>
      </c>
      <c r="I417" s="208" t="str">
        <f t="shared" ca="1" si="118"/>
        <v>06.007.005.005</v>
      </c>
      <c r="J417" s="209" t="s">
        <v>132</v>
      </c>
      <c r="K417" s="210" t="s">
        <v>1</v>
      </c>
      <c r="L417" s="455">
        <f>L409</f>
        <v>16.940000000000001</v>
      </c>
      <c r="M417" s="455">
        <v>48</v>
      </c>
      <c r="N417" s="285">
        <f>IF(H417="Serviço",M417*L417,IF(H417="CÉLULA CONSTRUTIVA",SUMIFS($N$8:$N$2078,$B$8:$B$2078,B417,$H$8:$H$2078,"Serviço"),IF(H417="ETAPA",SUMIFS($N$8:$N$2078,$B$8:$B$2078,B417,$C$8:$C$2078,C417,$H$8:$H$2078,"Serviço"),IF(H417="SUBETAPA",SUMIFS($N$8:$N$2078,$B$8:$B$2078,B417,$C$8:$C$2078,C417,$D$8:$D$2078,D417,$H$8:$H$2078,"Serviço"),0))))</f>
        <v>813.12000000000012</v>
      </c>
      <c r="O417" s="462"/>
      <c r="P417" s="213" t="s">
        <v>518</v>
      </c>
      <c r="Q417" s="35"/>
      <c r="R417" s="35"/>
      <c r="S417" s="35"/>
    </row>
    <row r="418" spans="1:20" s="34" customFormat="1" ht="13.9" hidden="1" customHeight="1" outlineLevel="1" x14ac:dyDescent="0.2">
      <c r="A418" s="457">
        <f ca="1">IF($H418="UNIDADE CONSTRUTIVA",OFFSET(A418,-1,0)+1,LARGE(A$3:A417,1))</f>
        <v>0</v>
      </c>
      <c r="B418" s="457">
        <f t="shared" ca="1" si="114"/>
        <v>6</v>
      </c>
      <c r="C418" s="457">
        <f t="shared" ca="1" si="115"/>
        <v>8</v>
      </c>
      <c r="D418" s="458">
        <f t="shared" ca="1" si="116"/>
        <v>0</v>
      </c>
      <c r="E418" s="458">
        <f t="shared" ca="1" si="117"/>
        <v>5</v>
      </c>
      <c r="G418" s="206"/>
      <c r="H418" s="207" t="s">
        <v>210</v>
      </c>
      <c r="I418" s="208" t="str">
        <f t="shared" ca="1" si="118"/>
        <v>06.008</v>
      </c>
      <c r="J418" s="209" t="s">
        <v>874</v>
      </c>
      <c r="K418" s="210"/>
      <c r="L418" s="455"/>
      <c r="M418" s="455"/>
      <c r="N418" s="285">
        <f t="shared" ref="N418:N427" ca="1" si="121">IF(H418="Serviço",M418*L418,IF(H418="CÉLULA CONSTRUTIVA",SUMIFS($N$8:$N$2065,$B$8:$B$2065,B418,$H$8:$H$2065,"Serviço"),IF(H418="ETAPA",SUMIFS($N$8:$N$2065,$B$8:$B$2065,B418,$C$8:$C$2065,C418,$H$8:$H$2065,"Serviço"),IF(H418="SUBETAPA",SUMIFS($N$8:$N$2065,$B$8:$B$2065,B418,$C$8:$C$2065,C418,$D$8:$D$2065,D418,$H$8:$H$2065,"Serviço"),0))))</f>
        <v>25346.911575999995</v>
      </c>
      <c r="O418" s="462"/>
      <c r="P418" s="213"/>
      <c r="S418" s="35"/>
      <c r="T418" s="467"/>
    </row>
    <row r="419" spans="1:20" s="34" customFormat="1" ht="13.9" hidden="1" customHeight="1" outlineLevel="2" x14ac:dyDescent="0.2">
      <c r="A419" s="457">
        <f ca="1">IF($H419="UNIDADE CONSTRUTIVA",OFFSET(A419,-1,0)+1,LARGE(A$3:A418,1))</f>
        <v>0</v>
      </c>
      <c r="B419" s="457">
        <f t="shared" ca="1" si="114"/>
        <v>6</v>
      </c>
      <c r="C419" s="457">
        <f t="shared" ca="1" si="115"/>
        <v>8</v>
      </c>
      <c r="D419" s="458">
        <f t="shared" ca="1" si="116"/>
        <v>1</v>
      </c>
      <c r="E419" s="458">
        <f t="shared" ca="1" si="117"/>
        <v>0</v>
      </c>
      <c r="G419" s="206"/>
      <c r="H419" s="207" t="s">
        <v>211</v>
      </c>
      <c r="I419" s="208" t="str">
        <f t="shared" ca="1" si="118"/>
        <v>06.008.001</v>
      </c>
      <c r="J419" s="209" t="s">
        <v>131</v>
      </c>
      <c r="K419" s="210"/>
      <c r="L419" s="455"/>
      <c r="M419" s="455"/>
      <c r="N419" s="285">
        <f t="shared" ca="1" si="121"/>
        <v>2432.0580599999998</v>
      </c>
      <c r="O419" s="462"/>
      <c r="P419" s="213"/>
      <c r="S419" s="35"/>
      <c r="T419" s="467"/>
    </row>
    <row r="420" spans="1:20" s="34" customFormat="1" ht="13.9" hidden="1" customHeight="1" outlineLevel="2" x14ac:dyDescent="0.2">
      <c r="A420" s="457">
        <f ca="1">IF($H420="UNIDADE CONSTRUTIVA",OFFSET(A420,-1,0)+1,LARGE(A$3:A419,1))</f>
        <v>0</v>
      </c>
      <c r="B420" s="457">
        <f t="shared" ca="1" si="114"/>
        <v>6</v>
      </c>
      <c r="C420" s="457">
        <f t="shared" ca="1" si="115"/>
        <v>8</v>
      </c>
      <c r="D420" s="458">
        <f t="shared" ca="1" si="116"/>
        <v>1</v>
      </c>
      <c r="E420" s="458">
        <f t="shared" ca="1" si="117"/>
        <v>1</v>
      </c>
      <c r="G420" s="206"/>
      <c r="H420" s="207" t="s">
        <v>212</v>
      </c>
      <c r="I420" s="208" t="str">
        <f t="shared" ca="1" si="118"/>
        <v>06.008.001.001</v>
      </c>
      <c r="J420" s="209" t="s">
        <v>846</v>
      </c>
      <c r="K420" s="210" t="s">
        <v>1</v>
      </c>
      <c r="L420" s="455">
        <f>Arquitetura!D223</f>
        <v>72.39</v>
      </c>
      <c r="M420" s="455">
        <v>7.89</v>
      </c>
      <c r="N420" s="285">
        <f t="shared" si="121"/>
        <v>571.15710000000001</v>
      </c>
      <c r="O420" s="462"/>
      <c r="P420" s="213" t="s">
        <v>518</v>
      </c>
      <c r="S420" s="35"/>
      <c r="T420" s="467"/>
    </row>
    <row r="421" spans="1:20" s="34" customFormat="1" ht="13.9" hidden="1" customHeight="1" outlineLevel="2" x14ac:dyDescent="0.2">
      <c r="A421" s="457">
        <f ca="1">IF($H421="UNIDADE CONSTRUTIVA",OFFSET(A421,-1,0)+1,LARGE(A$3:A420,1))</f>
        <v>0</v>
      </c>
      <c r="B421" s="457">
        <f t="shared" ca="1" si="114"/>
        <v>6</v>
      </c>
      <c r="C421" s="457">
        <f t="shared" ca="1" si="115"/>
        <v>8</v>
      </c>
      <c r="D421" s="458">
        <f t="shared" ca="1" si="116"/>
        <v>1</v>
      </c>
      <c r="E421" s="458">
        <f t="shared" ca="1" si="117"/>
        <v>2</v>
      </c>
      <c r="G421" s="206"/>
      <c r="H421" s="207" t="s">
        <v>212</v>
      </c>
      <c r="I421" s="208" t="str">
        <f t="shared" ca="1" si="118"/>
        <v>06.008.001.002</v>
      </c>
      <c r="J421" s="209" t="s">
        <v>849</v>
      </c>
      <c r="K421" s="210" t="s">
        <v>1</v>
      </c>
      <c r="L421" s="455">
        <f>Arquitetura!D221+Arquitetura!D225</f>
        <v>54.26</v>
      </c>
      <c r="M421" s="455">
        <v>34.295999999999999</v>
      </c>
      <c r="N421" s="285">
        <f t="shared" si="121"/>
        <v>1860.9009599999999</v>
      </c>
      <c r="O421" s="462"/>
      <c r="P421" s="213" t="s">
        <v>518</v>
      </c>
      <c r="S421" s="35"/>
      <c r="T421" s="467"/>
    </row>
    <row r="422" spans="1:20" s="34" customFormat="1" ht="13.9" hidden="1" customHeight="1" outlineLevel="2" x14ac:dyDescent="0.2">
      <c r="A422" s="457">
        <f ca="1">IF($H422="UNIDADE CONSTRUTIVA",OFFSET(A422,-1,0)+1,LARGE(A$3:A421,1))</f>
        <v>0</v>
      </c>
      <c r="B422" s="457">
        <f t="shared" ca="1" si="114"/>
        <v>6</v>
      </c>
      <c r="C422" s="457">
        <f t="shared" ca="1" si="115"/>
        <v>8</v>
      </c>
      <c r="D422" s="458">
        <f t="shared" ca="1" si="116"/>
        <v>2</v>
      </c>
      <c r="E422" s="458">
        <f t="shared" ca="1" si="117"/>
        <v>0</v>
      </c>
      <c r="G422" s="206"/>
      <c r="H422" s="207" t="s">
        <v>211</v>
      </c>
      <c r="I422" s="208" t="str">
        <f t="shared" ca="1" si="118"/>
        <v>06.008.002</v>
      </c>
      <c r="J422" s="209" t="s">
        <v>872</v>
      </c>
      <c r="K422" s="210"/>
      <c r="L422" s="455"/>
      <c r="M422" s="455"/>
      <c r="N422" s="285">
        <f t="shared" ca="1" si="121"/>
        <v>6307.8624999999993</v>
      </c>
      <c r="O422" s="462"/>
      <c r="P422" s="213"/>
      <c r="S422" s="35"/>
      <c r="T422" s="467"/>
    </row>
    <row r="423" spans="1:20" s="34" customFormat="1" ht="13.9" hidden="1" customHeight="1" outlineLevel="2" x14ac:dyDescent="0.2">
      <c r="A423" s="457">
        <f ca="1">IF($H423="UNIDADE CONSTRUTIVA",OFFSET(A423,-1,0)+1,LARGE(A$3:A422,1))</f>
        <v>0</v>
      </c>
      <c r="B423" s="457">
        <f t="shared" ca="1" si="114"/>
        <v>6</v>
      </c>
      <c r="C423" s="457">
        <f t="shared" ca="1" si="115"/>
        <v>8</v>
      </c>
      <c r="D423" s="458">
        <f t="shared" ca="1" si="116"/>
        <v>2</v>
      </c>
      <c r="E423" s="458">
        <f t="shared" ca="1" si="117"/>
        <v>1</v>
      </c>
      <c r="G423" s="206"/>
      <c r="H423" s="207" t="s">
        <v>212</v>
      </c>
      <c r="I423" s="208" t="str">
        <f t="shared" ca="1" si="118"/>
        <v>06.008.002.001</v>
      </c>
      <c r="J423" s="209" t="s">
        <v>848</v>
      </c>
      <c r="K423" s="210" t="s">
        <v>1</v>
      </c>
      <c r="L423" s="455">
        <f>Arquitetura!D374</f>
        <v>174.01</v>
      </c>
      <c r="M423" s="455">
        <v>36.25</v>
      </c>
      <c r="N423" s="285">
        <f t="shared" si="121"/>
        <v>6307.8624999999993</v>
      </c>
      <c r="O423" s="462"/>
      <c r="P423" s="213" t="s">
        <v>518</v>
      </c>
      <c r="S423" s="35"/>
      <c r="T423" s="467"/>
    </row>
    <row r="424" spans="1:20" s="34" customFormat="1" ht="13.9" hidden="1" customHeight="1" outlineLevel="2" x14ac:dyDescent="0.2">
      <c r="A424" s="457">
        <f ca="1">IF($H424="UNIDADE CONSTRUTIVA",OFFSET(A424,-1,0)+1,LARGE(A$3:A423,1))</f>
        <v>0</v>
      </c>
      <c r="B424" s="457">
        <f t="shared" ca="1" si="114"/>
        <v>6</v>
      </c>
      <c r="C424" s="457">
        <f t="shared" ca="1" si="115"/>
        <v>8</v>
      </c>
      <c r="D424" s="458">
        <f t="shared" ca="1" si="116"/>
        <v>3</v>
      </c>
      <c r="E424" s="458">
        <f t="shared" ca="1" si="117"/>
        <v>0</v>
      </c>
      <c r="G424" s="206"/>
      <c r="H424" s="207" t="s">
        <v>211</v>
      </c>
      <c r="I424" s="208" t="str">
        <f t="shared" ca="1" si="118"/>
        <v>06.008.003</v>
      </c>
      <c r="J424" s="209" t="s">
        <v>873</v>
      </c>
      <c r="K424" s="210"/>
      <c r="L424" s="455"/>
      <c r="M424" s="455"/>
      <c r="N424" s="285">
        <f t="shared" ca="1" si="121"/>
        <v>4892.7110159999993</v>
      </c>
      <c r="O424" s="462"/>
      <c r="P424" s="213"/>
      <c r="S424" s="35"/>
      <c r="T424" s="467"/>
    </row>
    <row r="425" spans="1:20" s="34" customFormat="1" ht="13.9" hidden="1" customHeight="1" outlineLevel="2" x14ac:dyDescent="0.2">
      <c r="A425" s="457">
        <f ca="1">IF($H425="UNIDADE CONSTRUTIVA",OFFSET(A425,-1,0)+1,LARGE(A$3:A424,1))</f>
        <v>0</v>
      </c>
      <c r="B425" s="457">
        <f t="shared" ca="1" si="114"/>
        <v>6</v>
      </c>
      <c r="C425" s="457">
        <f t="shared" ca="1" si="115"/>
        <v>8</v>
      </c>
      <c r="D425" s="458">
        <f t="shared" ca="1" si="116"/>
        <v>3</v>
      </c>
      <c r="E425" s="458">
        <f t="shared" ca="1" si="117"/>
        <v>1</v>
      </c>
      <c r="G425" s="206"/>
      <c r="H425" s="207" t="s">
        <v>212</v>
      </c>
      <c r="I425" s="208" t="str">
        <f t="shared" ca="1" si="118"/>
        <v>06.008.003.001</v>
      </c>
      <c r="J425" s="209" t="s">
        <v>545</v>
      </c>
      <c r="K425" s="210" t="s">
        <v>1</v>
      </c>
      <c r="L425" s="455">
        <f>Arquitetura!D372+Arquitetura!D376</f>
        <v>54.26</v>
      </c>
      <c r="M425" s="455">
        <v>90.171599999999998</v>
      </c>
      <c r="N425" s="285">
        <f t="shared" si="121"/>
        <v>4892.7110159999993</v>
      </c>
      <c r="O425" s="462"/>
      <c r="P425" s="213" t="s">
        <v>518</v>
      </c>
      <c r="S425" s="35"/>
      <c r="T425" s="467"/>
    </row>
    <row r="426" spans="1:20" s="34" customFormat="1" ht="13.9" hidden="1" customHeight="1" outlineLevel="2" x14ac:dyDescent="0.2">
      <c r="A426" s="457">
        <f ca="1">IF($H426="UNIDADE CONSTRUTIVA",OFFSET(A426,-1,0)+1,LARGE(A$3:A425,1))</f>
        <v>0</v>
      </c>
      <c r="B426" s="457">
        <f t="shared" ca="1" si="114"/>
        <v>6</v>
      </c>
      <c r="C426" s="457">
        <f t="shared" ca="1" si="115"/>
        <v>8</v>
      </c>
      <c r="D426" s="458">
        <f t="shared" ca="1" si="116"/>
        <v>4</v>
      </c>
      <c r="E426" s="458">
        <f t="shared" ca="1" si="117"/>
        <v>0</v>
      </c>
      <c r="G426" s="206"/>
      <c r="H426" s="207" t="s">
        <v>211</v>
      </c>
      <c r="I426" s="208" t="str">
        <f t="shared" ca="1" si="118"/>
        <v>06.008.004</v>
      </c>
      <c r="J426" s="209" t="s">
        <v>114</v>
      </c>
      <c r="K426" s="210"/>
      <c r="L426" s="455"/>
      <c r="M426" s="455"/>
      <c r="N426" s="285">
        <f t="shared" ca="1" si="121"/>
        <v>11714.279999999999</v>
      </c>
      <c r="O426" s="462"/>
      <c r="P426" s="213"/>
      <c r="Q426" s="35"/>
      <c r="R426" s="35"/>
      <c r="S426" s="35"/>
    </row>
    <row r="427" spans="1:20" s="34" customFormat="1" ht="13.9" hidden="1" customHeight="1" outlineLevel="2" x14ac:dyDescent="0.2">
      <c r="A427" s="457">
        <f ca="1">IF($H427="UNIDADE CONSTRUTIVA",OFFSET(A427,-1,0)+1,LARGE(A$3:A426,1))</f>
        <v>0</v>
      </c>
      <c r="B427" s="457">
        <f t="shared" ca="1" si="114"/>
        <v>6</v>
      </c>
      <c r="C427" s="457">
        <f t="shared" ca="1" si="115"/>
        <v>8</v>
      </c>
      <c r="D427" s="458">
        <f t="shared" ca="1" si="116"/>
        <v>4</v>
      </c>
      <c r="E427" s="458">
        <f t="shared" ca="1" si="117"/>
        <v>1</v>
      </c>
      <c r="G427" s="206"/>
      <c r="H427" s="207" t="s">
        <v>212</v>
      </c>
      <c r="I427" s="208" t="str">
        <f t="shared" ca="1" si="118"/>
        <v>06.008.004.001</v>
      </c>
      <c r="J427" s="209" t="s">
        <v>216</v>
      </c>
      <c r="K427" s="210" t="s">
        <v>1</v>
      </c>
      <c r="L427" s="455">
        <f>L420</f>
        <v>72.39</v>
      </c>
      <c r="M427" s="455">
        <v>20</v>
      </c>
      <c r="N427" s="285">
        <f t="shared" si="121"/>
        <v>1447.8</v>
      </c>
      <c r="O427" s="462"/>
      <c r="P427" s="213" t="s">
        <v>518</v>
      </c>
      <c r="Q427" s="35"/>
      <c r="R427" s="35"/>
      <c r="S427" s="35"/>
    </row>
    <row r="428" spans="1:20" s="34" customFormat="1" ht="13.9" hidden="1" customHeight="1" outlineLevel="2" x14ac:dyDescent="0.2">
      <c r="A428" s="457">
        <f ca="1">IF($H428="UNIDADE CONSTRUTIVA",OFFSET(A428,-1,0)+1,LARGE(A$3:A427,1))</f>
        <v>0</v>
      </c>
      <c r="B428" s="457">
        <f t="shared" ca="1" si="114"/>
        <v>6</v>
      </c>
      <c r="C428" s="457">
        <f t="shared" ca="1" si="115"/>
        <v>8</v>
      </c>
      <c r="D428" s="458">
        <f t="shared" ca="1" si="116"/>
        <v>4</v>
      </c>
      <c r="E428" s="458">
        <f t="shared" ca="1" si="117"/>
        <v>2</v>
      </c>
      <c r="G428" s="206"/>
      <c r="H428" s="207" t="s">
        <v>212</v>
      </c>
      <c r="I428" s="208" t="str">
        <f t="shared" ca="1" si="118"/>
        <v>06.008.004.002</v>
      </c>
      <c r="J428" s="209" t="s">
        <v>217</v>
      </c>
      <c r="K428" s="210" t="s">
        <v>1</v>
      </c>
      <c r="L428" s="455">
        <f>L421</f>
        <v>54.26</v>
      </c>
      <c r="M428" s="455">
        <v>45</v>
      </c>
      <c r="N428" s="285">
        <f>M428*L428</f>
        <v>2441.6999999999998</v>
      </c>
      <c r="O428" s="462"/>
      <c r="P428" s="213" t="s">
        <v>518</v>
      </c>
      <c r="Q428" s="35"/>
      <c r="R428" s="35"/>
      <c r="S428" s="35"/>
    </row>
    <row r="429" spans="1:20" s="34" customFormat="1" ht="13.9" hidden="1" customHeight="1" outlineLevel="2" x14ac:dyDescent="0.2">
      <c r="A429" s="457">
        <f ca="1">IF($H429="UNIDADE CONSTRUTIVA",OFFSET(A429,-1,0)+1,LARGE(A$3:A428,1))</f>
        <v>0</v>
      </c>
      <c r="B429" s="457">
        <f t="shared" ca="1" si="114"/>
        <v>6</v>
      </c>
      <c r="C429" s="457">
        <f t="shared" ca="1" si="115"/>
        <v>8</v>
      </c>
      <c r="D429" s="458">
        <f t="shared" ca="1" si="116"/>
        <v>4</v>
      </c>
      <c r="E429" s="458">
        <f t="shared" ca="1" si="117"/>
        <v>3</v>
      </c>
      <c r="G429" s="206"/>
      <c r="H429" s="207" t="s">
        <v>212</v>
      </c>
      <c r="I429" s="208" t="str">
        <f t="shared" ca="1" si="118"/>
        <v>06.008.004.003</v>
      </c>
      <c r="J429" s="209" t="s">
        <v>218</v>
      </c>
      <c r="K429" s="210" t="s">
        <v>1</v>
      </c>
      <c r="L429" s="455">
        <f>L423</f>
        <v>174.01</v>
      </c>
      <c r="M429" s="455">
        <v>30</v>
      </c>
      <c r="N429" s="285">
        <f>IF(H429="Serviço",M429*L429,IF(H429="CÉLULA CONSTRUTIVA",SUMIFS($N$8:$N$2065,$B$8:$B$2065,B429,$H$8:$H$2065,"Serviço"),IF(H429="ETAPA",SUMIFS($N$8:$N$2065,$B$8:$B$2065,B429,$C$8:$C$2065,C429,$H$8:$H$2065,"Serviço"),IF(H429="SUBETAPA",SUMIFS($N$8:$N$2065,$B$8:$B$2065,B429,$C$8:$C$2065,C429,$D$8:$D$2065,D429,$H$8:$H$2065,"Serviço"),0))))</f>
        <v>5220.2999999999993</v>
      </c>
      <c r="O429" s="462"/>
      <c r="P429" s="213" t="s">
        <v>518</v>
      </c>
      <c r="Q429" s="35"/>
      <c r="R429" s="35"/>
      <c r="S429" s="35"/>
    </row>
    <row r="430" spans="1:20" s="34" customFormat="1" ht="13.9" hidden="1" customHeight="1" outlineLevel="2" x14ac:dyDescent="0.2">
      <c r="A430" s="457">
        <f ca="1">IF($H430="UNIDADE CONSTRUTIVA",OFFSET(A430,-1,0)+1,LARGE(A$3:A429,1))</f>
        <v>0</v>
      </c>
      <c r="B430" s="457">
        <f t="shared" ca="1" si="114"/>
        <v>6</v>
      </c>
      <c r="C430" s="457">
        <f t="shared" ca="1" si="115"/>
        <v>8</v>
      </c>
      <c r="D430" s="458">
        <f t="shared" ca="1" si="116"/>
        <v>4</v>
      </c>
      <c r="E430" s="458">
        <f t="shared" ca="1" si="117"/>
        <v>4</v>
      </c>
      <c r="G430" s="206"/>
      <c r="H430" s="207" t="s">
        <v>212</v>
      </c>
      <c r="I430" s="208" t="str">
        <f t="shared" ca="1" si="118"/>
        <v>06.008.004.004</v>
      </c>
      <c r="J430" s="209" t="s">
        <v>132</v>
      </c>
      <c r="K430" s="210" t="s">
        <v>1</v>
      </c>
      <c r="L430" s="455">
        <f>L425</f>
        <v>54.26</v>
      </c>
      <c r="M430" s="455">
        <v>48</v>
      </c>
      <c r="N430" s="285">
        <f>IF(H430="Serviço",M430*L430,IF(H430="CÉLULA CONSTRUTIVA",SUMIFS($N$8:$N$2065,$B$8:$B$2065,B430,$H$8:$H$2065,"Serviço"),IF(H430="ETAPA",SUMIFS($N$8:$N$2065,$B$8:$B$2065,B430,$C$8:$C$2065,C430,$H$8:$H$2065,"Serviço"),IF(H430="SUBETAPA",SUMIFS($N$8:$N$2065,$B$8:$B$2065,B430,$C$8:$C$2065,C430,$D$8:$D$2065,D430,$H$8:$H$2065,"Serviço"),0))))</f>
        <v>2604.48</v>
      </c>
      <c r="O430" s="462"/>
      <c r="P430" s="213" t="s">
        <v>518</v>
      </c>
      <c r="Q430" s="35"/>
      <c r="R430" s="35"/>
      <c r="S430" s="35"/>
    </row>
    <row r="431" spans="1:20" s="34" customFormat="1" ht="13.9" customHeight="1" collapsed="1" x14ac:dyDescent="0.2">
      <c r="A431" s="457">
        <f ca="1">IF($H431="UNIDADE CONSTRUTIVA",OFFSET(A431,-1,0)+1,LARGE(A$3:A430,1))</f>
        <v>0</v>
      </c>
      <c r="B431" s="457">
        <f t="shared" ref="B431:B462" ca="1" si="122">IF(H431="UNIDADE CONSTRUTIVA",0,IF(H431="CÉLULA CONSTRUTIVA",OFFSET(B431,-1,0)+1,OFFSET(B431,-1,0)))</f>
        <v>7</v>
      </c>
      <c r="C431" s="457">
        <f t="shared" ref="C431:C462" ca="1" si="123">IF(H431="CÉLULA CONSTRUTIVA",0,IF(H431="ETAPA",OFFSET(C431,-1,0)+1,OFFSET(C431,-1,0)))</f>
        <v>0</v>
      </c>
      <c r="D431" s="458">
        <f t="shared" ref="D431:D462" ca="1" si="124">IF(H431="ETAPA",0,IF(H431="SUBETAPA",OFFSET(D431,-1,0)+1,OFFSET(D431,-1,0)))</f>
        <v>4</v>
      </c>
      <c r="E431" s="458">
        <f t="shared" ref="E431:E462" ca="1" si="125">IF(H431="Subetapa",0,IF(H431="serviço",OFFSET(E431,-1,0)+1,OFFSET(E431,-1,0)))</f>
        <v>4</v>
      </c>
      <c r="G431" s="206"/>
      <c r="H431" s="207" t="s">
        <v>209</v>
      </c>
      <c r="I431" s="208" t="str">
        <f t="shared" ca="1" si="94"/>
        <v>07</v>
      </c>
      <c r="J431" s="209" t="s">
        <v>177</v>
      </c>
      <c r="K431" s="210"/>
      <c r="L431" s="455"/>
      <c r="M431" s="455"/>
      <c r="N431" s="285">
        <f ca="1">IF(H431="Serviço",M431*L431,IF(H431="CÉLULA CONSTRUTIVA",SUMIFS($N$8:$N$1393,$B$8:$B$1393,B431,$H$8:$H$1393,"Serviço"),IF(H431="ETAPA",SUMIFS($N$8:$N$1393,$B$8:$B$1393,B431,$C$8:$C$1393,C431,$H$8:$H$1393,"Serviço"),IF(H431="SUBETAPA",SUMIFS($N$8:$N$1393,$B$8:$B$1393,B431,$C$8:$C$1393,C431,$D$8:$D$1393,D431,$H$8:$H$1393,"Serviço"),0))))</f>
        <v>1380288.0414991835</v>
      </c>
      <c r="O431" s="462"/>
      <c r="P431" s="213"/>
      <c r="Q431" s="463"/>
      <c r="R431" s="463"/>
      <c r="S431" s="35"/>
    </row>
    <row r="432" spans="1:20" s="34" customFormat="1" ht="13.9" hidden="1" customHeight="1" outlineLevel="1" x14ac:dyDescent="0.2">
      <c r="A432" s="457">
        <f ca="1">IF($H432="UNIDADE CONSTRUTIVA",OFFSET(A432,-1,0)+1,LARGE(A$3:A431,1))</f>
        <v>0</v>
      </c>
      <c r="B432" s="457">
        <f t="shared" ca="1" si="122"/>
        <v>7</v>
      </c>
      <c r="C432" s="457">
        <f t="shared" ca="1" si="123"/>
        <v>1</v>
      </c>
      <c r="D432" s="458">
        <f t="shared" ca="1" si="124"/>
        <v>0</v>
      </c>
      <c r="E432" s="458">
        <f t="shared" ca="1" si="125"/>
        <v>4</v>
      </c>
      <c r="G432" s="206"/>
      <c r="H432" s="207" t="s">
        <v>210</v>
      </c>
      <c r="I432" s="208" t="str">
        <f t="shared" ca="1" si="94"/>
        <v>07.001</v>
      </c>
      <c r="J432" s="209" t="s">
        <v>929</v>
      </c>
      <c r="K432" s="210"/>
      <c r="L432" s="455"/>
      <c r="M432" s="455"/>
      <c r="N432" s="285">
        <f t="shared" ref="N432:N469" ca="1" si="126">IF(H432="Serviço",M432*L432,IF(H432="CÉLULA CONSTRUTIVA",SUMIFS($N$8:$N$1985,$B$8:$B$1985,B432,$H$8:$H$1985,"Serviço"),IF(H432="ETAPA",SUMIFS($N$8:$N$1985,$B$8:$B$1985,B432,$C$8:$C$1985,C432,$H$8:$H$1985,"Serviço"),IF(H432="SUBETAPA",SUMIFS($N$8:$N$1985,$B$8:$B$1985,B432,$C$8:$C$1985,C432,$D$8:$D$1985,D432,$H$8:$H$1985,"Serviço"),0))))</f>
        <v>70374.540174225011</v>
      </c>
      <c r="O432" s="462"/>
      <c r="P432" s="213"/>
      <c r="Q432" s="35"/>
      <c r="R432" s="35"/>
      <c r="S432" s="35"/>
    </row>
    <row r="433" spans="1:19" s="34" customFormat="1" ht="13.9" hidden="1" customHeight="1" outlineLevel="1" x14ac:dyDescent="0.2">
      <c r="A433" s="457">
        <f ca="1">IF($H433="UNIDADE CONSTRUTIVA",OFFSET(A433,-1,0)+1,LARGE(A$3:A432,1))</f>
        <v>0</v>
      </c>
      <c r="B433" s="457">
        <f t="shared" ca="1" si="122"/>
        <v>7</v>
      </c>
      <c r="C433" s="457">
        <f t="shared" ca="1" si="123"/>
        <v>1</v>
      </c>
      <c r="D433" s="458">
        <f t="shared" ca="1" si="124"/>
        <v>1</v>
      </c>
      <c r="E433" s="458">
        <f t="shared" ca="1" si="125"/>
        <v>0</v>
      </c>
      <c r="G433" s="206"/>
      <c r="H433" s="207" t="s">
        <v>211</v>
      </c>
      <c r="I433" s="208" t="str">
        <f t="shared" ca="1" si="94"/>
        <v>07.001.001</v>
      </c>
      <c r="J433" s="209" t="s">
        <v>4874</v>
      </c>
      <c r="K433" s="210"/>
      <c r="L433" s="455"/>
      <c r="M433" s="455"/>
      <c r="N433" s="285">
        <f t="shared" ca="1" si="126"/>
        <v>26400.940174225008</v>
      </c>
      <c r="O433" s="462"/>
      <c r="P433" s="213"/>
      <c r="Q433" s="35"/>
      <c r="R433" s="35"/>
      <c r="S433" s="35"/>
    </row>
    <row r="434" spans="1:19" s="34" customFormat="1" ht="13.9" hidden="1" customHeight="1" outlineLevel="2" x14ac:dyDescent="0.2">
      <c r="A434" s="457">
        <f ca="1">IF($H434="UNIDADE CONSTRUTIVA",OFFSET(A434,-1,0)+1,LARGE(A$3:A433,1))</f>
        <v>0</v>
      </c>
      <c r="B434" s="457">
        <f t="shared" ca="1" si="122"/>
        <v>7</v>
      </c>
      <c r="C434" s="457">
        <f t="shared" ca="1" si="123"/>
        <v>1</v>
      </c>
      <c r="D434" s="458">
        <f t="shared" ca="1" si="124"/>
        <v>1</v>
      </c>
      <c r="E434" s="458">
        <f t="shared" ca="1" si="125"/>
        <v>1</v>
      </c>
      <c r="G434" s="206"/>
      <c r="H434" s="207" t="s">
        <v>212</v>
      </c>
      <c r="I434" s="208" t="str">
        <f t="shared" ca="1" si="94"/>
        <v>07.001.001.001</v>
      </c>
      <c r="J434" s="209" t="s">
        <v>4874</v>
      </c>
      <c r="K434" s="210" t="s">
        <v>151</v>
      </c>
      <c r="L434" s="455">
        <v>1</v>
      </c>
      <c r="M434" s="455">
        <f>HIDROSSANITÁRIO!K62</f>
        <v>26400.940174225008</v>
      </c>
      <c r="N434" s="285">
        <f t="shared" si="126"/>
        <v>26400.940174225008</v>
      </c>
      <c r="O434" s="462"/>
      <c r="P434" s="213" t="s">
        <v>518</v>
      </c>
      <c r="Q434" s="35"/>
      <c r="R434" s="35"/>
      <c r="S434" s="35"/>
    </row>
    <row r="435" spans="1:19" s="34" customFormat="1" ht="13.9" hidden="1" customHeight="1" outlineLevel="1" x14ac:dyDescent="0.2">
      <c r="A435" s="457">
        <f ca="1">IF($H435="UNIDADE CONSTRUTIVA",OFFSET(A435,-1,0)+1,LARGE(A$3:A434,1))</f>
        <v>0</v>
      </c>
      <c r="B435" s="457">
        <f t="shared" ca="1" si="122"/>
        <v>7</v>
      </c>
      <c r="C435" s="457">
        <f t="shared" ca="1" si="123"/>
        <v>1</v>
      </c>
      <c r="D435" s="458">
        <f t="shared" ca="1" si="124"/>
        <v>2</v>
      </c>
      <c r="E435" s="458">
        <f t="shared" ca="1" si="125"/>
        <v>0</v>
      </c>
      <c r="G435" s="206"/>
      <c r="H435" s="207" t="s">
        <v>211</v>
      </c>
      <c r="I435" s="208" t="str">
        <f t="shared" ca="1" si="94"/>
        <v>07.001.002</v>
      </c>
      <c r="J435" s="209" t="s">
        <v>398</v>
      </c>
      <c r="K435" s="210"/>
      <c r="L435" s="455"/>
      <c r="M435" s="455"/>
      <c r="N435" s="285">
        <f t="shared" ca="1" si="126"/>
        <v>43973.599999999999</v>
      </c>
      <c r="O435" s="462"/>
      <c r="P435" s="213"/>
      <c r="Q435" s="35"/>
      <c r="R435" s="35"/>
      <c r="S435" s="35"/>
    </row>
    <row r="436" spans="1:19" s="34" customFormat="1" ht="13.9" hidden="1" customHeight="1" outlineLevel="2" x14ac:dyDescent="0.2">
      <c r="A436" s="457">
        <f ca="1">IF($H436="UNIDADE CONSTRUTIVA",OFFSET(A436,-1,0)+1,LARGE(A$3:A435,1))</f>
        <v>0</v>
      </c>
      <c r="B436" s="457">
        <f t="shared" ca="1" si="122"/>
        <v>7</v>
      </c>
      <c r="C436" s="457">
        <f t="shared" ca="1" si="123"/>
        <v>1</v>
      </c>
      <c r="D436" s="458">
        <f t="shared" ca="1" si="124"/>
        <v>2</v>
      </c>
      <c r="E436" s="458">
        <f t="shared" ca="1" si="125"/>
        <v>1</v>
      </c>
      <c r="G436" s="206"/>
      <c r="H436" s="207" t="s">
        <v>212</v>
      </c>
      <c r="I436" s="208" t="str">
        <f t="shared" ca="1" si="94"/>
        <v>07.001.002.001</v>
      </c>
      <c r="J436" s="209" t="s">
        <v>546</v>
      </c>
      <c r="K436" s="210" t="s">
        <v>151</v>
      </c>
      <c r="L436" s="455">
        <v>1</v>
      </c>
      <c r="M436" s="455">
        <f>'Obra '!E15*55</f>
        <v>43973.599999999999</v>
      </c>
      <c r="N436" s="285">
        <f t="shared" si="126"/>
        <v>43973.599999999999</v>
      </c>
      <c r="O436" s="462"/>
      <c r="P436" s="213" t="s">
        <v>518</v>
      </c>
      <c r="Q436" s="35"/>
      <c r="R436" s="35"/>
      <c r="S436" s="35"/>
    </row>
    <row r="437" spans="1:19" s="34" customFormat="1" ht="13.9" hidden="1" customHeight="1" outlineLevel="1" x14ac:dyDescent="0.2">
      <c r="A437" s="457">
        <f ca="1">IF($H437="UNIDADE CONSTRUTIVA",OFFSET(A437,-1,0)+1,LARGE(A$3:A436,1))</f>
        <v>0</v>
      </c>
      <c r="B437" s="457">
        <f t="shared" ca="1" si="122"/>
        <v>7</v>
      </c>
      <c r="C437" s="457">
        <f t="shared" ca="1" si="123"/>
        <v>2</v>
      </c>
      <c r="D437" s="458">
        <f t="shared" ca="1" si="124"/>
        <v>0</v>
      </c>
      <c r="E437" s="458">
        <f t="shared" ca="1" si="125"/>
        <v>1</v>
      </c>
      <c r="G437" s="206"/>
      <c r="H437" s="207" t="s">
        <v>210</v>
      </c>
      <c r="I437" s="208" t="str">
        <f t="shared" ca="1" si="94"/>
        <v>07.002</v>
      </c>
      <c r="J437" s="209" t="s">
        <v>4875</v>
      </c>
      <c r="K437" s="210"/>
      <c r="L437" s="455"/>
      <c r="M437" s="455"/>
      <c r="N437" s="285">
        <f t="shared" ca="1" si="126"/>
        <v>210603.92688215</v>
      </c>
      <c r="O437" s="462"/>
      <c r="P437" s="213"/>
      <c r="Q437" s="35"/>
      <c r="R437" s="35"/>
      <c r="S437" s="35"/>
    </row>
    <row r="438" spans="1:19" s="34" customFormat="1" ht="13.9" hidden="1" customHeight="1" outlineLevel="1" x14ac:dyDescent="0.2">
      <c r="A438" s="457">
        <f ca="1">IF($H438="UNIDADE CONSTRUTIVA",OFFSET(A438,-1,0)+1,LARGE(A$3:A437,1))</f>
        <v>0</v>
      </c>
      <c r="B438" s="457">
        <f t="shared" ca="1" si="122"/>
        <v>7</v>
      </c>
      <c r="C438" s="457">
        <f t="shared" ca="1" si="123"/>
        <v>2</v>
      </c>
      <c r="D438" s="458">
        <f t="shared" ca="1" si="124"/>
        <v>1</v>
      </c>
      <c r="E438" s="458">
        <f t="shared" ca="1" si="125"/>
        <v>0</v>
      </c>
      <c r="G438" s="206"/>
      <c r="H438" s="207" t="s">
        <v>211</v>
      </c>
      <c r="I438" s="208" t="str">
        <f t="shared" ca="1" si="94"/>
        <v>07.002.001</v>
      </c>
      <c r="J438" s="209" t="s">
        <v>4874</v>
      </c>
      <c r="K438" s="210"/>
      <c r="L438" s="455"/>
      <c r="M438" s="455"/>
      <c r="N438" s="285">
        <f t="shared" ca="1" si="126"/>
        <v>36871.026882150014</v>
      </c>
      <c r="O438" s="462"/>
      <c r="P438" s="213"/>
      <c r="Q438" s="35"/>
      <c r="R438" s="35"/>
      <c r="S438" s="35"/>
    </row>
    <row r="439" spans="1:19" s="34" customFormat="1" ht="13.9" hidden="1" customHeight="1" outlineLevel="2" x14ac:dyDescent="0.2">
      <c r="A439" s="457">
        <f ca="1">IF($H439="UNIDADE CONSTRUTIVA",OFFSET(A439,-1,0)+1,LARGE(A$3:A438,1))</f>
        <v>0</v>
      </c>
      <c r="B439" s="457">
        <f t="shared" ca="1" si="122"/>
        <v>7</v>
      </c>
      <c r="C439" s="457">
        <f t="shared" ca="1" si="123"/>
        <v>2</v>
      </c>
      <c r="D439" s="458">
        <f t="shared" ca="1" si="124"/>
        <v>1</v>
      </c>
      <c r="E439" s="458">
        <f t="shared" ca="1" si="125"/>
        <v>1</v>
      </c>
      <c r="G439" s="206"/>
      <c r="H439" s="207" t="s">
        <v>212</v>
      </c>
      <c r="I439" s="208" t="str">
        <f t="shared" ca="1" si="94"/>
        <v>07.002.001.001</v>
      </c>
      <c r="J439" s="209" t="s">
        <v>4874</v>
      </c>
      <c r="K439" s="210" t="s">
        <v>151</v>
      </c>
      <c r="L439" s="455">
        <v>1</v>
      </c>
      <c r="M439" s="455">
        <f>HIDROSSANITÁRIO!K250</f>
        <v>36871.026882150014</v>
      </c>
      <c r="N439" s="285">
        <f t="shared" si="126"/>
        <v>36871.026882150014</v>
      </c>
      <c r="O439" s="462"/>
      <c r="P439" s="213" t="s">
        <v>518</v>
      </c>
      <c r="Q439" s="35"/>
      <c r="R439" s="35"/>
      <c r="S439" s="35"/>
    </row>
    <row r="440" spans="1:19" s="34" customFormat="1" ht="13.9" hidden="1" customHeight="1" outlineLevel="1" x14ac:dyDescent="0.2">
      <c r="A440" s="457">
        <f ca="1">IF($H440="UNIDADE CONSTRUTIVA",OFFSET(A440,-1,0)+1,LARGE(A$3:A439,1))</f>
        <v>0</v>
      </c>
      <c r="B440" s="457">
        <f t="shared" ca="1" si="122"/>
        <v>7</v>
      </c>
      <c r="C440" s="457">
        <f t="shared" ca="1" si="123"/>
        <v>2</v>
      </c>
      <c r="D440" s="458">
        <f t="shared" ca="1" si="124"/>
        <v>2</v>
      </c>
      <c r="E440" s="458">
        <f t="shared" ca="1" si="125"/>
        <v>0</v>
      </c>
      <c r="G440" s="206"/>
      <c r="H440" s="207" t="s">
        <v>211</v>
      </c>
      <c r="I440" s="208" t="str">
        <f t="shared" ca="1" si="94"/>
        <v>07.002.002</v>
      </c>
      <c r="J440" s="209" t="s">
        <v>398</v>
      </c>
      <c r="K440" s="210"/>
      <c r="L440" s="455"/>
      <c r="M440" s="455"/>
      <c r="N440" s="285">
        <f t="shared" ca="1" si="126"/>
        <v>173732.9</v>
      </c>
      <c r="O440" s="462"/>
      <c r="P440" s="213"/>
      <c r="Q440" s="35"/>
      <c r="R440" s="35"/>
      <c r="S440" s="35"/>
    </row>
    <row r="441" spans="1:19" s="34" customFormat="1" ht="13.9" hidden="1" customHeight="1" outlineLevel="2" x14ac:dyDescent="0.2">
      <c r="A441" s="457">
        <f ca="1">IF($H441="UNIDADE CONSTRUTIVA",OFFSET(A441,-1,0)+1,LARGE(A$3:A440,1))</f>
        <v>0</v>
      </c>
      <c r="B441" s="457">
        <f t="shared" ca="1" si="122"/>
        <v>7</v>
      </c>
      <c r="C441" s="457">
        <f t="shared" ca="1" si="123"/>
        <v>2</v>
      </c>
      <c r="D441" s="458">
        <f t="shared" ca="1" si="124"/>
        <v>2</v>
      </c>
      <c r="E441" s="458">
        <f t="shared" ca="1" si="125"/>
        <v>1</v>
      </c>
      <c r="G441" s="206"/>
      <c r="H441" s="207" t="s">
        <v>212</v>
      </c>
      <c r="I441" s="208" t="str">
        <f t="shared" ca="1" si="94"/>
        <v>07.002.002.001</v>
      </c>
      <c r="J441" s="209" t="s">
        <v>546</v>
      </c>
      <c r="K441" s="210" t="s">
        <v>151</v>
      </c>
      <c r="L441" s="455">
        <v>1</v>
      </c>
      <c r="M441" s="455">
        <f>('Obra '!E16+'Obra '!E17+'Obra '!E18+'Obra '!E19)*55</f>
        <v>173732.9</v>
      </c>
      <c r="N441" s="285">
        <f t="shared" si="126"/>
        <v>173732.9</v>
      </c>
      <c r="O441" s="462"/>
      <c r="P441" s="213" t="s">
        <v>518</v>
      </c>
      <c r="Q441" s="35"/>
      <c r="R441" s="35"/>
      <c r="S441" s="35"/>
    </row>
    <row r="442" spans="1:19" s="34" customFormat="1" ht="13.9" hidden="1" customHeight="1" outlineLevel="1" x14ac:dyDescent="0.2">
      <c r="A442" s="457">
        <f ca="1">IF($H442="UNIDADE CONSTRUTIVA",OFFSET(A442,-1,0)+1,LARGE(A$3:A441,1))</f>
        <v>0</v>
      </c>
      <c r="B442" s="457">
        <f t="shared" ca="1" si="122"/>
        <v>7</v>
      </c>
      <c r="C442" s="457">
        <f t="shared" ca="1" si="123"/>
        <v>3</v>
      </c>
      <c r="D442" s="458">
        <f t="shared" ca="1" si="124"/>
        <v>0</v>
      </c>
      <c r="E442" s="458">
        <f t="shared" ca="1" si="125"/>
        <v>1</v>
      </c>
      <c r="G442" s="206"/>
      <c r="H442" s="207" t="s">
        <v>210</v>
      </c>
      <c r="I442" s="208" t="str">
        <f t="shared" ca="1" si="94"/>
        <v>07.003</v>
      </c>
      <c r="J442" s="209" t="s">
        <v>932</v>
      </c>
      <c r="K442" s="210"/>
      <c r="L442" s="455"/>
      <c r="M442" s="455"/>
      <c r="N442" s="285">
        <f t="shared" ca="1" si="126"/>
        <v>92482.270228558351</v>
      </c>
      <c r="O442" s="462"/>
      <c r="P442" s="213"/>
      <c r="Q442" s="35"/>
      <c r="R442" s="35"/>
      <c r="S442" s="35"/>
    </row>
    <row r="443" spans="1:19" s="34" customFormat="1" ht="13.9" hidden="1" customHeight="1" outlineLevel="1" x14ac:dyDescent="0.2">
      <c r="A443" s="457">
        <f ca="1">IF($H443="UNIDADE CONSTRUTIVA",OFFSET(A443,-1,0)+1,LARGE(A$3:A442,1))</f>
        <v>0</v>
      </c>
      <c r="B443" s="457">
        <f t="shared" ca="1" si="122"/>
        <v>7</v>
      </c>
      <c r="C443" s="457">
        <f t="shared" ca="1" si="123"/>
        <v>3</v>
      </c>
      <c r="D443" s="458">
        <f t="shared" ca="1" si="124"/>
        <v>1</v>
      </c>
      <c r="E443" s="458">
        <f t="shared" ca="1" si="125"/>
        <v>0</v>
      </c>
      <c r="G443" s="206"/>
      <c r="H443" s="207" t="s">
        <v>211</v>
      </c>
      <c r="I443" s="208" t="str">
        <f t="shared" ca="1" si="94"/>
        <v>07.003.001</v>
      </c>
      <c r="J443" s="209" t="s">
        <v>4874</v>
      </c>
      <c r="K443" s="210"/>
      <c r="L443" s="455"/>
      <c r="M443" s="455"/>
      <c r="N443" s="285">
        <f t="shared" ca="1" si="126"/>
        <v>48648.370228558349</v>
      </c>
      <c r="O443" s="462"/>
      <c r="P443" s="213"/>
      <c r="Q443" s="35"/>
      <c r="R443" s="35"/>
      <c r="S443" s="35"/>
    </row>
    <row r="444" spans="1:19" s="34" customFormat="1" ht="13.9" hidden="1" customHeight="1" outlineLevel="2" x14ac:dyDescent="0.2">
      <c r="A444" s="457">
        <f ca="1">IF($H444="UNIDADE CONSTRUTIVA",OFFSET(A444,-1,0)+1,LARGE(A$3:A443,1))</f>
        <v>0</v>
      </c>
      <c r="B444" s="457">
        <f t="shared" ca="1" si="122"/>
        <v>7</v>
      </c>
      <c r="C444" s="457">
        <f t="shared" ca="1" si="123"/>
        <v>3</v>
      </c>
      <c r="D444" s="458">
        <f t="shared" ca="1" si="124"/>
        <v>1</v>
      </c>
      <c r="E444" s="458">
        <f t="shared" ca="1" si="125"/>
        <v>1</v>
      </c>
      <c r="G444" s="206"/>
      <c r="H444" s="207" t="s">
        <v>212</v>
      </c>
      <c r="I444" s="208" t="str">
        <f t="shared" ca="1" si="94"/>
        <v>07.003.001.001</v>
      </c>
      <c r="J444" s="209" t="s">
        <v>4874</v>
      </c>
      <c r="K444" s="210" t="s">
        <v>151</v>
      </c>
      <c r="L444" s="455">
        <v>1</v>
      </c>
      <c r="M444" s="455">
        <f>HIDROSSANITÁRIO!K352</f>
        <v>48648.370228558349</v>
      </c>
      <c r="N444" s="285">
        <f t="shared" si="126"/>
        <v>48648.370228558349</v>
      </c>
      <c r="O444" s="462"/>
      <c r="P444" s="213" t="s">
        <v>518</v>
      </c>
      <c r="Q444" s="35"/>
      <c r="R444" s="35"/>
      <c r="S444" s="35"/>
    </row>
    <row r="445" spans="1:19" s="34" customFormat="1" ht="13.9" hidden="1" customHeight="1" outlineLevel="1" x14ac:dyDescent="0.2">
      <c r="A445" s="457">
        <f ca="1">IF($H445="UNIDADE CONSTRUTIVA",OFFSET(A445,-1,0)+1,LARGE(A$3:A444,1))</f>
        <v>0</v>
      </c>
      <c r="B445" s="457">
        <f t="shared" ca="1" si="122"/>
        <v>7</v>
      </c>
      <c r="C445" s="457">
        <f t="shared" ca="1" si="123"/>
        <v>3</v>
      </c>
      <c r="D445" s="458">
        <f t="shared" ca="1" si="124"/>
        <v>2</v>
      </c>
      <c r="E445" s="458">
        <f t="shared" ca="1" si="125"/>
        <v>0</v>
      </c>
      <c r="G445" s="206"/>
      <c r="H445" s="207" t="s">
        <v>211</v>
      </c>
      <c r="I445" s="208" t="str">
        <f t="shared" ca="1" si="94"/>
        <v>07.003.002</v>
      </c>
      <c r="J445" s="209" t="s">
        <v>398</v>
      </c>
      <c r="K445" s="210"/>
      <c r="L445" s="455"/>
      <c r="M445" s="455"/>
      <c r="N445" s="285">
        <f t="shared" ca="1" si="126"/>
        <v>43833.9</v>
      </c>
      <c r="O445" s="462"/>
      <c r="P445" s="213"/>
      <c r="Q445" s="35"/>
      <c r="R445" s="35"/>
      <c r="S445" s="35"/>
    </row>
    <row r="446" spans="1:19" s="34" customFormat="1" ht="13.9" hidden="1" customHeight="1" outlineLevel="2" x14ac:dyDescent="0.2">
      <c r="A446" s="457">
        <f ca="1">IF($H446="UNIDADE CONSTRUTIVA",OFFSET(A446,-1,0)+1,LARGE(A$3:A445,1))</f>
        <v>0</v>
      </c>
      <c r="B446" s="457">
        <f t="shared" ca="1" si="122"/>
        <v>7</v>
      </c>
      <c r="C446" s="457">
        <f t="shared" ca="1" si="123"/>
        <v>3</v>
      </c>
      <c r="D446" s="458">
        <f t="shared" ca="1" si="124"/>
        <v>2</v>
      </c>
      <c r="E446" s="458">
        <f t="shared" ca="1" si="125"/>
        <v>1</v>
      </c>
      <c r="G446" s="206"/>
      <c r="H446" s="207" t="s">
        <v>212</v>
      </c>
      <c r="I446" s="208" t="str">
        <f t="shared" ca="1" si="94"/>
        <v>07.003.002.001</v>
      </c>
      <c r="J446" s="209" t="s">
        <v>546</v>
      </c>
      <c r="K446" s="210" t="s">
        <v>151</v>
      </c>
      <c r="L446" s="455">
        <v>1</v>
      </c>
      <c r="M446" s="455">
        <f>'Obra '!E20*55</f>
        <v>43833.9</v>
      </c>
      <c r="N446" s="285">
        <f t="shared" si="126"/>
        <v>43833.9</v>
      </c>
      <c r="O446" s="462"/>
      <c r="P446" s="213" t="s">
        <v>518</v>
      </c>
      <c r="Q446" s="35"/>
      <c r="R446" s="35"/>
      <c r="S446" s="35"/>
    </row>
    <row r="447" spans="1:19" s="34" customFormat="1" ht="13.9" hidden="1" customHeight="1" outlineLevel="1" x14ac:dyDescent="0.2">
      <c r="A447" s="457">
        <f ca="1">IF($H447="UNIDADE CONSTRUTIVA",OFFSET(A447,-1,0)+1,LARGE(A$3:A446,1))</f>
        <v>0</v>
      </c>
      <c r="B447" s="457">
        <f t="shared" ca="1" si="122"/>
        <v>7</v>
      </c>
      <c r="C447" s="457">
        <f t="shared" ca="1" si="123"/>
        <v>4</v>
      </c>
      <c r="D447" s="458">
        <f t="shared" ca="1" si="124"/>
        <v>0</v>
      </c>
      <c r="E447" s="458">
        <f t="shared" ca="1" si="125"/>
        <v>1</v>
      </c>
      <c r="G447" s="206"/>
      <c r="H447" s="207" t="s">
        <v>210</v>
      </c>
      <c r="I447" s="208" t="str">
        <f t="shared" ca="1" si="94"/>
        <v>07.004</v>
      </c>
      <c r="J447" s="209" t="s">
        <v>933</v>
      </c>
      <c r="K447" s="210"/>
      <c r="L447" s="455"/>
      <c r="M447" s="455"/>
      <c r="N447" s="285">
        <f t="shared" ca="1" si="126"/>
        <v>750114.68700880837</v>
      </c>
      <c r="O447" s="462"/>
      <c r="P447" s="213"/>
      <c r="Q447" s="35"/>
      <c r="R447" s="35"/>
      <c r="S447" s="35"/>
    </row>
    <row r="448" spans="1:19" s="34" customFormat="1" ht="13.9" hidden="1" customHeight="1" outlineLevel="1" x14ac:dyDescent="0.2">
      <c r="A448" s="457">
        <f ca="1">IF($H448="UNIDADE CONSTRUTIVA",OFFSET(A448,-1,0)+1,LARGE(A$3:A447,1))</f>
        <v>0</v>
      </c>
      <c r="B448" s="457">
        <f t="shared" ca="1" si="122"/>
        <v>7</v>
      </c>
      <c r="C448" s="457">
        <f t="shared" ca="1" si="123"/>
        <v>4</v>
      </c>
      <c r="D448" s="458">
        <f t="shared" ca="1" si="124"/>
        <v>1</v>
      </c>
      <c r="E448" s="458">
        <f t="shared" ca="1" si="125"/>
        <v>0</v>
      </c>
      <c r="G448" s="206"/>
      <c r="H448" s="207" t="s">
        <v>211</v>
      </c>
      <c r="I448" s="208" t="str">
        <f t="shared" ca="1" si="94"/>
        <v>07.004.001</v>
      </c>
      <c r="J448" s="209" t="s">
        <v>4874</v>
      </c>
      <c r="K448" s="210"/>
      <c r="L448" s="455"/>
      <c r="M448" s="455"/>
      <c r="N448" s="285">
        <f t="shared" ca="1" si="126"/>
        <v>358923.88700880838</v>
      </c>
      <c r="O448" s="462"/>
      <c r="P448" s="213"/>
      <c r="Q448" s="35"/>
      <c r="R448" s="35"/>
      <c r="S448" s="35"/>
    </row>
    <row r="449" spans="1:19" s="34" customFormat="1" ht="13.9" hidden="1" customHeight="1" outlineLevel="2" x14ac:dyDescent="0.2">
      <c r="A449" s="457">
        <f ca="1">IF($H449="UNIDADE CONSTRUTIVA",OFFSET(A449,-1,0)+1,LARGE(A$3:A448,1))</f>
        <v>0</v>
      </c>
      <c r="B449" s="457">
        <f t="shared" ca="1" si="122"/>
        <v>7</v>
      </c>
      <c r="C449" s="457">
        <f t="shared" ca="1" si="123"/>
        <v>4</v>
      </c>
      <c r="D449" s="458">
        <f t="shared" ca="1" si="124"/>
        <v>1</v>
      </c>
      <c r="E449" s="458">
        <f t="shared" ca="1" si="125"/>
        <v>1</v>
      </c>
      <c r="G449" s="206"/>
      <c r="H449" s="207" t="s">
        <v>212</v>
      </c>
      <c r="I449" s="208" t="str">
        <f t="shared" ca="1" si="94"/>
        <v>07.004.001.001</v>
      </c>
      <c r="J449" s="209" t="s">
        <v>4874</v>
      </c>
      <c r="K449" s="210" t="s">
        <v>151</v>
      </c>
      <c r="L449" s="455">
        <v>1</v>
      </c>
      <c r="M449" s="455">
        <f>HIDROSSANITÁRIO!K425</f>
        <v>358923.88700880838</v>
      </c>
      <c r="N449" s="285">
        <f t="shared" si="126"/>
        <v>358923.88700880838</v>
      </c>
      <c r="O449" s="462"/>
      <c r="P449" s="213" t="s">
        <v>518</v>
      </c>
      <c r="Q449" s="35"/>
      <c r="R449" s="35"/>
      <c r="S449" s="35"/>
    </row>
    <row r="450" spans="1:19" s="34" customFormat="1" ht="13.9" hidden="1" customHeight="1" outlineLevel="1" x14ac:dyDescent="0.2">
      <c r="A450" s="457">
        <f ca="1">IF($H450="UNIDADE CONSTRUTIVA",OFFSET(A450,-1,0)+1,LARGE(A$3:A449,1))</f>
        <v>0</v>
      </c>
      <c r="B450" s="457">
        <f t="shared" ca="1" si="122"/>
        <v>7</v>
      </c>
      <c r="C450" s="457">
        <f t="shared" ca="1" si="123"/>
        <v>4</v>
      </c>
      <c r="D450" s="458">
        <f t="shared" ca="1" si="124"/>
        <v>2</v>
      </c>
      <c r="E450" s="458">
        <f t="shared" ca="1" si="125"/>
        <v>0</v>
      </c>
      <c r="G450" s="206"/>
      <c r="H450" s="207" t="s">
        <v>211</v>
      </c>
      <c r="I450" s="208" t="str">
        <f t="shared" ca="1" si="94"/>
        <v>07.004.002</v>
      </c>
      <c r="J450" s="209" t="s">
        <v>398</v>
      </c>
      <c r="K450" s="210"/>
      <c r="L450" s="455"/>
      <c r="M450" s="455"/>
      <c r="N450" s="285">
        <f t="shared" ca="1" si="126"/>
        <v>391190.80000000005</v>
      </c>
      <c r="O450" s="462"/>
      <c r="P450" s="213"/>
      <c r="Q450" s="35"/>
      <c r="R450" s="35"/>
      <c r="S450" s="35"/>
    </row>
    <row r="451" spans="1:19" s="34" customFormat="1" ht="13.9" hidden="1" customHeight="1" outlineLevel="2" x14ac:dyDescent="0.2">
      <c r="A451" s="457">
        <f ca="1">IF($H451="UNIDADE CONSTRUTIVA",OFFSET(A451,-1,0)+1,LARGE(A$3:A450,1))</f>
        <v>0</v>
      </c>
      <c r="B451" s="457">
        <f t="shared" ca="1" si="122"/>
        <v>7</v>
      </c>
      <c r="C451" s="457">
        <f t="shared" ca="1" si="123"/>
        <v>4</v>
      </c>
      <c r="D451" s="458">
        <f t="shared" ca="1" si="124"/>
        <v>2</v>
      </c>
      <c r="E451" s="458">
        <f t="shared" ca="1" si="125"/>
        <v>1</v>
      </c>
      <c r="G451" s="206"/>
      <c r="H451" s="207" t="s">
        <v>212</v>
      </c>
      <c r="I451" s="208" t="str">
        <f t="shared" ca="1" si="94"/>
        <v>07.004.002.001</v>
      </c>
      <c r="J451" s="209" t="s">
        <v>546</v>
      </c>
      <c r="K451" s="210" t="s">
        <v>151</v>
      </c>
      <c r="L451" s="455">
        <v>1</v>
      </c>
      <c r="M451" s="455">
        <f>'Obra '!E21*55</f>
        <v>391190.80000000005</v>
      </c>
      <c r="N451" s="285">
        <f t="shared" si="126"/>
        <v>391190.80000000005</v>
      </c>
      <c r="O451" s="462"/>
      <c r="P451" s="213" t="s">
        <v>518</v>
      </c>
      <c r="Q451" s="35"/>
      <c r="R451" s="35"/>
      <c r="S451" s="35"/>
    </row>
    <row r="452" spans="1:19" s="34" customFormat="1" ht="13.9" hidden="1" customHeight="1" outlineLevel="1" x14ac:dyDescent="0.2">
      <c r="A452" s="457">
        <f ca="1">IF($H452="UNIDADE CONSTRUTIVA",OFFSET(A452,-1,0)+1,LARGE(A$3:A451,1))</f>
        <v>0</v>
      </c>
      <c r="B452" s="457">
        <f t="shared" ca="1" si="122"/>
        <v>7</v>
      </c>
      <c r="C452" s="457">
        <f t="shared" ca="1" si="123"/>
        <v>5</v>
      </c>
      <c r="D452" s="458">
        <f t="shared" ca="1" si="124"/>
        <v>0</v>
      </c>
      <c r="E452" s="458">
        <f t="shared" ca="1" si="125"/>
        <v>1</v>
      </c>
      <c r="G452" s="206"/>
      <c r="H452" s="207" t="s">
        <v>210</v>
      </c>
      <c r="I452" s="208" t="str">
        <f t="shared" ca="1" si="94"/>
        <v>07.005</v>
      </c>
      <c r="J452" s="209" t="s">
        <v>934</v>
      </c>
      <c r="K452" s="210"/>
      <c r="L452" s="455"/>
      <c r="M452" s="455"/>
      <c r="N452" s="285">
        <f t="shared" ca="1" si="126"/>
        <v>55471.382414466665</v>
      </c>
      <c r="O452" s="462"/>
      <c r="P452" s="213"/>
      <c r="Q452" s="35"/>
      <c r="R452" s="35"/>
      <c r="S452" s="35"/>
    </row>
    <row r="453" spans="1:19" s="34" customFormat="1" ht="13.9" hidden="1" customHeight="1" outlineLevel="1" x14ac:dyDescent="0.2">
      <c r="A453" s="457">
        <f ca="1">IF($H453="UNIDADE CONSTRUTIVA",OFFSET(A453,-1,0)+1,LARGE(A$3:A452,1))</f>
        <v>0</v>
      </c>
      <c r="B453" s="457">
        <f t="shared" ca="1" si="122"/>
        <v>7</v>
      </c>
      <c r="C453" s="457">
        <f t="shared" ca="1" si="123"/>
        <v>5</v>
      </c>
      <c r="D453" s="458">
        <f t="shared" ca="1" si="124"/>
        <v>1</v>
      </c>
      <c r="E453" s="458">
        <f t="shared" ca="1" si="125"/>
        <v>0</v>
      </c>
      <c r="G453" s="206"/>
      <c r="H453" s="207" t="s">
        <v>211</v>
      </c>
      <c r="I453" s="208" t="str">
        <f t="shared" ca="1" si="94"/>
        <v>07.005.001</v>
      </c>
      <c r="J453" s="209" t="s">
        <v>4874</v>
      </c>
      <c r="K453" s="210"/>
      <c r="L453" s="455"/>
      <c r="M453" s="455"/>
      <c r="N453" s="285">
        <f t="shared" ca="1" si="126"/>
        <v>25379.782414466667</v>
      </c>
      <c r="O453" s="462"/>
      <c r="P453" s="213"/>
      <c r="Q453" s="35"/>
      <c r="R453" s="35"/>
      <c r="S453" s="35"/>
    </row>
    <row r="454" spans="1:19" s="34" customFormat="1" ht="13.9" hidden="1" customHeight="1" outlineLevel="2" x14ac:dyDescent="0.2">
      <c r="A454" s="457">
        <f ca="1">IF($H454="UNIDADE CONSTRUTIVA",OFFSET(A454,-1,0)+1,LARGE(A$3:A453,1))</f>
        <v>0</v>
      </c>
      <c r="B454" s="457">
        <f t="shared" ca="1" si="122"/>
        <v>7</v>
      </c>
      <c r="C454" s="457">
        <f t="shared" ca="1" si="123"/>
        <v>5</v>
      </c>
      <c r="D454" s="458">
        <f t="shared" ca="1" si="124"/>
        <v>1</v>
      </c>
      <c r="E454" s="458">
        <f t="shared" ca="1" si="125"/>
        <v>1</v>
      </c>
      <c r="G454" s="206"/>
      <c r="H454" s="207" t="s">
        <v>212</v>
      </c>
      <c r="I454" s="208" t="str">
        <f t="shared" ca="1" si="94"/>
        <v>07.005.001.001</v>
      </c>
      <c r="J454" s="209" t="s">
        <v>4874</v>
      </c>
      <c r="K454" s="210" t="s">
        <v>151</v>
      </c>
      <c r="L454" s="455">
        <v>1</v>
      </c>
      <c r="M454" s="455">
        <f>HIDROSSANITÁRIO!K507</f>
        <v>25379.782414466667</v>
      </c>
      <c r="N454" s="285">
        <f t="shared" si="126"/>
        <v>25379.782414466667</v>
      </c>
      <c r="O454" s="462"/>
      <c r="P454" s="213" t="s">
        <v>518</v>
      </c>
      <c r="Q454" s="35"/>
      <c r="R454" s="35"/>
      <c r="S454" s="35"/>
    </row>
    <row r="455" spans="1:19" s="34" customFormat="1" ht="13.9" hidden="1" customHeight="1" outlineLevel="1" x14ac:dyDescent="0.2">
      <c r="A455" s="457">
        <f ca="1">IF($H455="UNIDADE CONSTRUTIVA",OFFSET(A455,-1,0)+1,LARGE(A$3:A454,1))</f>
        <v>0</v>
      </c>
      <c r="B455" s="457">
        <f t="shared" ca="1" si="122"/>
        <v>7</v>
      </c>
      <c r="C455" s="457">
        <f t="shared" ca="1" si="123"/>
        <v>5</v>
      </c>
      <c r="D455" s="458">
        <f t="shared" ca="1" si="124"/>
        <v>2</v>
      </c>
      <c r="E455" s="458">
        <f t="shared" ca="1" si="125"/>
        <v>0</v>
      </c>
      <c r="G455" s="206"/>
      <c r="H455" s="207" t="s">
        <v>211</v>
      </c>
      <c r="I455" s="208" t="str">
        <f t="shared" ca="1" si="94"/>
        <v>07.005.002</v>
      </c>
      <c r="J455" s="209" t="s">
        <v>398</v>
      </c>
      <c r="K455" s="210"/>
      <c r="L455" s="455"/>
      <c r="M455" s="455"/>
      <c r="N455" s="285">
        <f t="shared" ca="1" si="126"/>
        <v>30091.599999999999</v>
      </c>
      <c r="O455" s="462"/>
      <c r="P455" s="213"/>
      <c r="Q455" s="35"/>
      <c r="R455" s="35"/>
      <c r="S455" s="35"/>
    </row>
    <row r="456" spans="1:19" s="34" customFormat="1" ht="13.9" hidden="1" customHeight="1" outlineLevel="2" x14ac:dyDescent="0.2">
      <c r="A456" s="457">
        <f ca="1">IF($H456="UNIDADE CONSTRUTIVA",OFFSET(A456,-1,0)+1,LARGE(A$3:A455,1))</f>
        <v>0</v>
      </c>
      <c r="B456" s="457">
        <f t="shared" ca="1" si="122"/>
        <v>7</v>
      </c>
      <c r="C456" s="457">
        <f t="shared" ca="1" si="123"/>
        <v>5</v>
      </c>
      <c r="D456" s="458">
        <f t="shared" ca="1" si="124"/>
        <v>2</v>
      </c>
      <c r="E456" s="458">
        <f t="shared" ca="1" si="125"/>
        <v>1</v>
      </c>
      <c r="G456" s="206"/>
      <c r="H456" s="207" t="s">
        <v>212</v>
      </c>
      <c r="I456" s="208" t="str">
        <f t="shared" ca="1" si="94"/>
        <v>07.005.002.001</v>
      </c>
      <c r="J456" s="209" t="s">
        <v>546</v>
      </c>
      <c r="K456" s="210" t="s">
        <v>151</v>
      </c>
      <c r="L456" s="455">
        <v>1</v>
      </c>
      <c r="M456" s="455">
        <f>'Obra '!E22*55</f>
        <v>30091.599999999999</v>
      </c>
      <c r="N456" s="285">
        <f t="shared" si="126"/>
        <v>30091.599999999999</v>
      </c>
      <c r="O456" s="462"/>
      <c r="P456" s="213" t="s">
        <v>518</v>
      </c>
      <c r="Q456" s="35"/>
      <c r="R456" s="35"/>
      <c r="S456" s="35"/>
    </row>
    <row r="457" spans="1:19" s="34" customFormat="1" ht="13.9" hidden="1" customHeight="1" outlineLevel="1" x14ac:dyDescent="0.2">
      <c r="A457" s="457">
        <f ca="1">IF($H457="UNIDADE CONSTRUTIVA",OFFSET(A457,-1,0)+1,LARGE(A$3:A456,1))</f>
        <v>0</v>
      </c>
      <c r="B457" s="457">
        <f t="shared" ca="1" si="122"/>
        <v>7</v>
      </c>
      <c r="C457" s="457">
        <f t="shared" ca="1" si="123"/>
        <v>6</v>
      </c>
      <c r="D457" s="458">
        <f t="shared" ca="1" si="124"/>
        <v>0</v>
      </c>
      <c r="E457" s="458">
        <f t="shared" ca="1" si="125"/>
        <v>1</v>
      </c>
      <c r="G457" s="206"/>
      <c r="H457" s="207" t="s">
        <v>210</v>
      </c>
      <c r="I457" s="208" t="str">
        <f ca="1">IF(H457="Unidade Construtiva",TEXT(A457,"00"),IF(H457="Célula Construtiva",TEXT(B457,"00"),IF(H457="Etapa",CONCATENATE(TEXT(B457,"00"),".",TEXT(C457,"000")),IF(H457="Subetapa",CONCATENATE(TEXT(B457,"00"),".",TEXT(C457,"000"),".",TEXT(D457,"000")),IF(H457="Serviço",CONCATENATE(TEXT(B457,"00"),".",TEXT(C457,"000"),".",TEXT(D457,"000"),".",TEXT(E457,"000")),"")))))</f>
        <v>07.006</v>
      </c>
      <c r="J457" s="209" t="s">
        <v>935</v>
      </c>
      <c r="K457" s="210"/>
      <c r="L457" s="455"/>
      <c r="M457" s="455"/>
      <c r="N457" s="285">
        <f t="shared" ca="1" si="126"/>
        <v>52494.943063416664</v>
      </c>
      <c r="O457" s="462"/>
      <c r="P457" s="213"/>
      <c r="Q457" s="35"/>
      <c r="R457" s="35"/>
      <c r="S457" s="35"/>
    </row>
    <row r="458" spans="1:19" s="34" customFormat="1" ht="13.9" hidden="1" customHeight="1" outlineLevel="1" x14ac:dyDescent="0.2">
      <c r="A458" s="457">
        <f ca="1">IF($H458="UNIDADE CONSTRUTIVA",OFFSET(A458,-1,0)+1,LARGE(A$3:A457,1))</f>
        <v>0</v>
      </c>
      <c r="B458" s="457">
        <f t="shared" ca="1" si="122"/>
        <v>7</v>
      </c>
      <c r="C458" s="457">
        <f t="shared" ca="1" si="123"/>
        <v>6</v>
      </c>
      <c r="D458" s="458">
        <f t="shared" ca="1" si="124"/>
        <v>1</v>
      </c>
      <c r="E458" s="458">
        <f t="shared" ca="1" si="125"/>
        <v>0</v>
      </c>
      <c r="G458" s="206"/>
      <c r="H458" s="207" t="s">
        <v>211</v>
      </c>
      <c r="I458" s="208" t="str">
        <f ca="1">IF(H458="Unidade Construtiva",TEXT(A458,"00"),IF(H458="Célula Construtiva",TEXT(B458,"00"),IF(H458="Etapa",CONCATENATE(TEXT(B458,"00"),".",TEXT(C458,"000")),IF(H458="Subetapa",CONCATENATE(TEXT(B458,"00"),".",TEXT(C458,"000"),".",TEXT(D458,"000")),IF(H458="Serviço",CONCATENATE(TEXT(B458,"00"),".",TEXT(C458,"000"),".",TEXT(D458,"000"),".",TEXT(E458,"000")),"")))))</f>
        <v>07.006.001</v>
      </c>
      <c r="J458" s="209" t="s">
        <v>4874</v>
      </c>
      <c r="K458" s="210"/>
      <c r="L458" s="455"/>
      <c r="M458" s="455"/>
      <c r="N458" s="285">
        <f t="shared" ca="1" si="126"/>
        <v>26858.893063416668</v>
      </c>
      <c r="O458" s="462"/>
      <c r="P458" s="213"/>
      <c r="Q458" s="35"/>
      <c r="R458" s="35"/>
      <c r="S458" s="35"/>
    </row>
    <row r="459" spans="1:19" s="34" customFormat="1" ht="13.9" hidden="1" customHeight="1" outlineLevel="2" x14ac:dyDescent="0.2">
      <c r="A459" s="457">
        <f ca="1">IF($H459="UNIDADE CONSTRUTIVA",OFFSET(A459,-1,0)+1,LARGE(A$3:A458,1))</f>
        <v>0</v>
      </c>
      <c r="B459" s="457">
        <f t="shared" ca="1" si="122"/>
        <v>7</v>
      </c>
      <c r="C459" s="457">
        <f t="shared" ca="1" si="123"/>
        <v>6</v>
      </c>
      <c r="D459" s="458">
        <f t="shared" ca="1" si="124"/>
        <v>1</v>
      </c>
      <c r="E459" s="458">
        <f t="shared" ca="1" si="125"/>
        <v>1</v>
      </c>
      <c r="G459" s="206"/>
      <c r="H459" s="207" t="s">
        <v>212</v>
      </c>
      <c r="I459" s="208" t="str">
        <f ca="1">IF(H459="Unidade Construtiva",TEXT(A459,"00"),IF(H459="Célula Construtiva",TEXT(B459,"00"),IF(H459="Etapa",CONCATENATE(TEXT(B459,"00"),".",TEXT(C459,"000")),IF(H459="Subetapa",CONCATENATE(TEXT(B459,"00"),".",TEXT(C459,"000"),".",TEXT(D459,"000")),IF(H459="Serviço",CONCATENATE(TEXT(B459,"00"),".",TEXT(C459,"000"),".",TEXT(D459,"000"),".",TEXT(E459,"000")),"")))))</f>
        <v>07.006.001.001</v>
      </c>
      <c r="J459" s="209" t="s">
        <v>4874</v>
      </c>
      <c r="K459" s="210" t="s">
        <v>151</v>
      </c>
      <c r="L459" s="455">
        <v>1</v>
      </c>
      <c r="M459" s="455">
        <f>HIDROSSANITÁRIO!K591</f>
        <v>26858.893063416668</v>
      </c>
      <c r="N459" s="285">
        <f t="shared" si="126"/>
        <v>26858.893063416668</v>
      </c>
      <c r="O459" s="462"/>
      <c r="P459" s="213" t="s">
        <v>518</v>
      </c>
      <c r="Q459" s="35"/>
      <c r="R459" s="35"/>
      <c r="S459" s="35"/>
    </row>
    <row r="460" spans="1:19" s="34" customFormat="1" ht="13.9" hidden="1" customHeight="1" outlineLevel="1" x14ac:dyDescent="0.2">
      <c r="A460" s="457">
        <f ca="1">IF($H460="UNIDADE CONSTRUTIVA",OFFSET(A460,-1,0)+1,LARGE(A$3:A459,1))</f>
        <v>0</v>
      </c>
      <c r="B460" s="457">
        <f t="shared" ca="1" si="122"/>
        <v>7</v>
      </c>
      <c r="C460" s="457">
        <f t="shared" ca="1" si="123"/>
        <v>6</v>
      </c>
      <c r="D460" s="458">
        <f t="shared" ca="1" si="124"/>
        <v>2</v>
      </c>
      <c r="E460" s="458">
        <f t="shared" ca="1" si="125"/>
        <v>0</v>
      </c>
      <c r="G460" s="206"/>
      <c r="H460" s="207" t="s">
        <v>211</v>
      </c>
      <c r="I460" s="208" t="str">
        <f ca="1">IF(H460="Unidade Construtiva",TEXT(A460,"00"),IF(H460="Célula Construtiva",TEXT(B460,"00"),IF(H460="Etapa",CONCATENATE(TEXT(B460,"00"),".",TEXT(C460,"000")),IF(H460="Subetapa",CONCATENATE(TEXT(B460,"00"),".",TEXT(C460,"000"),".",TEXT(D460,"000")),IF(H460="Serviço",CONCATENATE(TEXT(B460,"00"),".",TEXT(C460,"000"),".",TEXT(D460,"000"),".",TEXT(E460,"000")),"")))))</f>
        <v>07.006.002</v>
      </c>
      <c r="J460" s="209" t="s">
        <v>398</v>
      </c>
      <c r="K460" s="210"/>
      <c r="L460" s="455"/>
      <c r="M460" s="455"/>
      <c r="N460" s="285">
        <f t="shared" ca="1" si="126"/>
        <v>25636.05</v>
      </c>
      <c r="O460" s="462"/>
      <c r="P460" s="213"/>
      <c r="Q460" s="35"/>
      <c r="R460" s="35"/>
      <c r="S460" s="35"/>
    </row>
    <row r="461" spans="1:19" s="34" customFormat="1" ht="13.9" hidden="1" customHeight="1" outlineLevel="2" x14ac:dyDescent="0.2">
      <c r="A461" s="457">
        <f ca="1">IF($H461="UNIDADE CONSTRUTIVA",OFFSET(A461,-1,0)+1,LARGE(A$3:A460,1))</f>
        <v>0</v>
      </c>
      <c r="B461" s="457">
        <f t="shared" ca="1" si="122"/>
        <v>7</v>
      </c>
      <c r="C461" s="457">
        <f t="shared" ca="1" si="123"/>
        <v>6</v>
      </c>
      <c r="D461" s="458">
        <f t="shared" ca="1" si="124"/>
        <v>2</v>
      </c>
      <c r="E461" s="458">
        <f t="shared" ca="1" si="125"/>
        <v>1</v>
      </c>
      <c r="G461" s="206"/>
      <c r="H461" s="207" t="s">
        <v>212</v>
      </c>
      <c r="I461" s="208" t="str">
        <f ca="1">IF(H461="Unidade Construtiva",TEXT(A461,"00"),IF(H461="Célula Construtiva",TEXT(B461,"00"),IF(H461="Etapa",CONCATENATE(TEXT(B461,"00"),".",TEXT(C461,"000")),IF(H461="Subetapa",CONCATENATE(TEXT(B461,"00"),".",TEXT(C461,"000"),".",TEXT(D461,"000")),IF(H461="Serviço",CONCATENATE(TEXT(B461,"00"),".",TEXT(C461,"000"),".",TEXT(D461,"000"),".",TEXT(E461,"000")),"")))))</f>
        <v>07.006.002.001</v>
      </c>
      <c r="J461" s="209" t="s">
        <v>546</v>
      </c>
      <c r="K461" s="210" t="s">
        <v>151</v>
      </c>
      <c r="L461" s="455">
        <v>1</v>
      </c>
      <c r="M461" s="455">
        <f>'Obra '!E23*55</f>
        <v>25636.05</v>
      </c>
      <c r="N461" s="285">
        <f t="shared" si="126"/>
        <v>25636.05</v>
      </c>
      <c r="O461" s="462"/>
      <c r="P461" s="213" t="s">
        <v>518</v>
      </c>
      <c r="Q461" s="35"/>
      <c r="R461" s="35"/>
      <c r="S461" s="35"/>
    </row>
    <row r="462" spans="1:19" s="34" customFormat="1" ht="13.9" hidden="1" customHeight="1" outlineLevel="1" x14ac:dyDescent="0.2">
      <c r="A462" s="457">
        <f ca="1">IF($H462="UNIDADE CONSTRUTIVA",OFFSET(A462,-1,0)+1,LARGE(A$3:A461,1))</f>
        <v>0</v>
      </c>
      <c r="B462" s="457">
        <f t="shared" ca="1" si="122"/>
        <v>7</v>
      </c>
      <c r="C462" s="457">
        <f t="shared" ca="1" si="123"/>
        <v>7</v>
      </c>
      <c r="D462" s="458">
        <f t="shared" ca="1" si="124"/>
        <v>0</v>
      </c>
      <c r="E462" s="458">
        <f t="shared" ca="1" si="125"/>
        <v>1</v>
      </c>
      <c r="G462" s="206"/>
      <c r="H462" s="207" t="s">
        <v>210</v>
      </c>
      <c r="I462" s="208" t="str">
        <f t="shared" ca="1" si="94"/>
        <v>07.007</v>
      </c>
      <c r="J462" s="209" t="s">
        <v>930</v>
      </c>
      <c r="K462" s="210"/>
      <c r="L462" s="455"/>
      <c r="M462" s="455"/>
      <c r="N462" s="285">
        <f t="shared" ca="1" si="126"/>
        <v>39093.478357300002</v>
      </c>
      <c r="O462" s="462"/>
      <c r="P462" s="213"/>
      <c r="Q462" s="35"/>
      <c r="R462" s="35"/>
      <c r="S462" s="35"/>
    </row>
    <row r="463" spans="1:19" s="34" customFormat="1" ht="13.9" hidden="1" customHeight="1" outlineLevel="1" x14ac:dyDescent="0.2">
      <c r="A463" s="457">
        <f ca="1">IF($H463="UNIDADE CONSTRUTIVA",OFFSET(A463,-1,0)+1,LARGE(A$3:A462,1))</f>
        <v>0</v>
      </c>
      <c r="B463" s="457">
        <f t="shared" ref="B463:B494" ca="1" si="127">IF(H463="UNIDADE CONSTRUTIVA",0,IF(H463="CÉLULA CONSTRUTIVA",OFFSET(B463,-1,0)+1,OFFSET(B463,-1,0)))</f>
        <v>7</v>
      </c>
      <c r="C463" s="457">
        <f t="shared" ref="C463:C494" ca="1" si="128">IF(H463="CÉLULA CONSTRUTIVA",0,IF(H463="ETAPA",OFFSET(C463,-1,0)+1,OFFSET(C463,-1,0)))</f>
        <v>7</v>
      </c>
      <c r="D463" s="458">
        <f t="shared" ref="D463:D494" ca="1" si="129">IF(H463="ETAPA",0,IF(H463="SUBETAPA",OFFSET(D463,-1,0)+1,OFFSET(D463,-1,0)))</f>
        <v>1</v>
      </c>
      <c r="E463" s="458">
        <f t="shared" ref="E463:E494" ca="1" si="130">IF(H463="Subetapa",0,IF(H463="serviço",OFFSET(E463,-1,0)+1,OFFSET(E463,-1,0)))</f>
        <v>0</v>
      </c>
      <c r="G463" s="206"/>
      <c r="H463" s="207" t="s">
        <v>211</v>
      </c>
      <c r="I463" s="208" t="str">
        <f t="shared" ca="1" si="94"/>
        <v>07.007.001</v>
      </c>
      <c r="J463" s="209" t="s">
        <v>4874</v>
      </c>
      <c r="K463" s="210"/>
      <c r="L463" s="455"/>
      <c r="M463" s="455"/>
      <c r="N463" s="285">
        <f t="shared" ca="1" si="126"/>
        <v>22171.078357299997</v>
      </c>
      <c r="O463" s="462"/>
      <c r="P463" s="213"/>
      <c r="Q463" s="35"/>
      <c r="R463" s="35"/>
      <c r="S463" s="35"/>
    </row>
    <row r="464" spans="1:19" s="34" customFormat="1" ht="13.9" hidden="1" customHeight="1" outlineLevel="2" x14ac:dyDescent="0.2">
      <c r="A464" s="457">
        <f ca="1">IF($H464="UNIDADE CONSTRUTIVA",OFFSET(A464,-1,0)+1,LARGE(A$3:A463,1))</f>
        <v>0</v>
      </c>
      <c r="B464" s="457">
        <f t="shared" ca="1" si="127"/>
        <v>7</v>
      </c>
      <c r="C464" s="457">
        <f t="shared" ca="1" si="128"/>
        <v>7</v>
      </c>
      <c r="D464" s="458">
        <f t="shared" ca="1" si="129"/>
        <v>1</v>
      </c>
      <c r="E464" s="458">
        <f t="shared" ca="1" si="130"/>
        <v>1</v>
      </c>
      <c r="G464" s="206"/>
      <c r="H464" s="207" t="s">
        <v>212</v>
      </c>
      <c r="I464" s="208" t="str">
        <f t="shared" ca="1" si="94"/>
        <v>07.007.001.001</v>
      </c>
      <c r="J464" s="209" t="s">
        <v>4874</v>
      </c>
      <c r="K464" s="210" t="s">
        <v>151</v>
      </c>
      <c r="L464" s="455">
        <v>1</v>
      </c>
      <c r="M464" s="455">
        <f>HIDROSSANITÁRIO!K631+HIDROSSANITÁRIO!K644</f>
        <v>22171.078357299997</v>
      </c>
      <c r="N464" s="285">
        <f t="shared" si="126"/>
        <v>22171.078357299997</v>
      </c>
      <c r="O464" s="462"/>
      <c r="P464" s="213" t="s">
        <v>518</v>
      </c>
      <c r="Q464" s="35"/>
      <c r="R464" s="35"/>
      <c r="S464" s="35"/>
    </row>
    <row r="465" spans="1:19" s="34" customFormat="1" ht="13.9" hidden="1" customHeight="1" outlineLevel="1" x14ac:dyDescent="0.2">
      <c r="A465" s="457">
        <f ca="1">IF($H465="UNIDADE CONSTRUTIVA",OFFSET(A465,-1,0)+1,LARGE(A$3:A464,1))</f>
        <v>0</v>
      </c>
      <c r="B465" s="457">
        <f t="shared" ca="1" si="127"/>
        <v>7</v>
      </c>
      <c r="C465" s="457">
        <f t="shared" ca="1" si="128"/>
        <v>7</v>
      </c>
      <c r="D465" s="458">
        <f t="shared" ca="1" si="129"/>
        <v>2</v>
      </c>
      <c r="E465" s="458">
        <f t="shared" ca="1" si="130"/>
        <v>0</v>
      </c>
      <c r="G465" s="206"/>
      <c r="H465" s="207" t="s">
        <v>211</v>
      </c>
      <c r="I465" s="208" t="str">
        <f t="shared" ca="1" si="94"/>
        <v>07.007.002</v>
      </c>
      <c r="J465" s="209" t="s">
        <v>398</v>
      </c>
      <c r="K465" s="210"/>
      <c r="L465" s="455"/>
      <c r="M465" s="455"/>
      <c r="N465" s="285">
        <f t="shared" ca="1" si="126"/>
        <v>16922.400000000001</v>
      </c>
      <c r="O465" s="462"/>
      <c r="P465" s="213"/>
      <c r="Q465" s="35"/>
      <c r="R465" s="35"/>
      <c r="S465" s="35"/>
    </row>
    <row r="466" spans="1:19" s="34" customFormat="1" ht="13.9" hidden="1" customHeight="1" outlineLevel="2" x14ac:dyDescent="0.2">
      <c r="A466" s="457">
        <f ca="1">IF($H466="UNIDADE CONSTRUTIVA",OFFSET(A466,-1,0)+1,LARGE(A$3:A465,1))</f>
        <v>0</v>
      </c>
      <c r="B466" s="457">
        <f t="shared" ca="1" si="127"/>
        <v>7</v>
      </c>
      <c r="C466" s="457">
        <f t="shared" ca="1" si="128"/>
        <v>7</v>
      </c>
      <c r="D466" s="458">
        <f t="shared" ca="1" si="129"/>
        <v>2</v>
      </c>
      <c r="E466" s="458">
        <f t="shared" ca="1" si="130"/>
        <v>1</v>
      </c>
      <c r="G466" s="206"/>
      <c r="H466" s="207" t="s">
        <v>212</v>
      </c>
      <c r="I466" s="208" t="str">
        <f t="shared" ca="1" si="94"/>
        <v>07.007.002.001</v>
      </c>
      <c r="J466" s="209" t="s">
        <v>546</v>
      </c>
      <c r="K466" s="210" t="s">
        <v>151</v>
      </c>
      <c r="L466" s="455">
        <v>1</v>
      </c>
      <c r="M466" s="455">
        <f>('Obra '!E24+'Obra '!E25)*55</f>
        <v>16922.400000000001</v>
      </c>
      <c r="N466" s="285">
        <f t="shared" si="126"/>
        <v>16922.400000000001</v>
      </c>
      <c r="O466" s="462"/>
      <c r="P466" s="213" t="s">
        <v>518</v>
      </c>
      <c r="Q466" s="35"/>
      <c r="R466" s="35"/>
      <c r="S466" s="35"/>
    </row>
    <row r="467" spans="1:19" s="34" customFormat="1" ht="13.9" hidden="1" customHeight="1" outlineLevel="1" x14ac:dyDescent="0.2">
      <c r="A467" s="457">
        <f ca="1">IF($H467="UNIDADE CONSTRUTIVA",OFFSET(A467,-1,0)+1,LARGE(A$3:A466,1))</f>
        <v>0</v>
      </c>
      <c r="B467" s="457">
        <f t="shared" ca="1" si="127"/>
        <v>7</v>
      </c>
      <c r="C467" s="457">
        <f t="shared" ca="1" si="128"/>
        <v>8</v>
      </c>
      <c r="D467" s="458">
        <f t="shared" ca="1" si="129"/>
        <v>0</v>
      </c>
      <c r="E467" s="458">
        <f t="shared" ca="1" si="130"/>
        <v>1</v>
      </c>
      <c r="G467" s="206"/>
      <c r="H467" s="207" t="s">
        <v>210</v>
      </c>
      <c r="I467" s="208" t="str">
        <f t="shared" ca="1" si="94"/>
        <v>07.008</v>
      </c>
      <c r="J467" s="209" t="s">
        <v>931</v>
      </c>
      <c r="K467" s="210"/>
      <c r="L467" s="455"/>
      <c r="M467" s="455"/>
      <c r="N467" s="285">
        <f t="shared" ca="1" si="126"/>
        <v>109652.81337025836</v>
      </c>
      <c r="O467" s="462"/>
      <c r="P467" s="213"/>
      <c r="Q467" s="35"/>
      <c r="R467" s="35"/>
      <c r="S467" s="35"/>
    </row>
    <row r="468" spans="1:19" s="34" customFormat="1" ht="13.9" hidden="1" customHeight="1" outlineLevel="1" x14ac:dyDescent="0.2">
      <c r="A468" s="457">
        <f ca="1">IF($H468="UNIDADE CONSTRUTIVA",OFFSET(A468,-1,0)+1,LARGE(A$3:A467,1))</f>
        <v>0</v>
      </c>
      <c r="B468" s="457">
        <f t="shared" ca="1" si="127"/>
        <v>7</v>
      </c>
      <c r="C468" s="457">
        <f t="shared" ca="1" si="128"/>
        <v>8</v>
      </c>
      <c r="D468" s="458">
        <f t="shared" ca="1" si="129"/>
        <v>1</v>
      </c>
      <c r="E468" s="458">
        <f t="shared" ca="1" si="130"/>
        <v>0</v>
      </c>
      <c r="G468" s="206"/>
      <c r="H468" s="207" t="s">
        <v>211</v>
      </c>
      <c r="I468" s="208" t="str">
        <f t="shared" ca="1" si="94"/>
        <v>07.008.001</v>
      </c>
      <c r="J468" s="209" t="s">
        <v>178</v>
      </c>
      <c r="K468" s="210"/>
      <c r="L468" s="455"/>
      <c r="M468" s="455"/>
      <c r="N468" s="285">
        <f t="shared" ca="1" si="126"/>
        <v>109652.81337025836</v>
      </c>
      <c r="O468" s="462"/>
      <c r="P468" s="213"/>
      <c r="Q468" s="35"/>
      <c r="R468" s="35"/>
      <c r="S468" s="35"/>
    </row>
    <row r="469" spans="1:19" s="34" customFormat="1" ht="13.9" hidden="1" customHeight="1" outlineLevel="2" x14ac:dyDescent="0.2">
      <c r="A469" s="457">
        <f ca="1">IF($H469="UNIDADE CONSTRUTIVA",OFFSET(A469,-1,0)+1,LARGE(A$3:A468,1))</f>
        <v>0</v>
      </c>
      <c r="B469" s="457">
        <f t="shared" ca="1" si="127"/>
        <v>7</v>
      </c>
      <c r="C469" s="457">
        <f t="shared" ca="1" si="128"/>
        <v>8</v>
      </c>
      <c r="D469" s="458">
        <f t="shared" ca="1" si="129"/>
        <v>1</v>
      </c>
      <c r="E469" s="458">
        <f t="shared" ca="1" si="130"/>
        <v>1</v>
      </c>
      <c r="G469" s="206"/>
      <c r="H469" s="207" t="s">
        <v>212</v>
      </c>
      <c r="I469" s="208" t="str">
        <f t="shared" ca="1" si="94"/>
        <v>07.008.001.001</v>
      </c>
      <c r="J469" s="209" t="s">
        <v>178</v>
      </c>
      <c r="K469" s="210" t="s">
        <v>151</v>
      </c>
      <c r="L469" s="455">
        <v>1</v>
      </c>
      <c r="M469" s="455">
        <f>HIDROSSANITÁRIO!K763</f>
        <v>109652.81337025836</v>
      </c>
      <c r="N469" s="285">
        <f t="shared" si="126"/>
        <v>109652.81337025836</v>
      </c>
      <c r="O469" s="462"/>
      <c r="P469" s="213" t="s">
        <v>518</v>
      </c>
      <c r="Q469" s="35"/>
      <c r="R469" s="35"/>
      <c r="S469" s="35"/>
    </row>
    <row r="470" spans="1:19" s="34" customFormat="1" ht="13.9" customHeight="1" collapsed="1" x14ac:dyDescent="0.2">
      <c r="A470" s="457">
        <f ca="1">IF($H470="UNIDADE CONSTRUTIVA",OFFSET(A470,-1,0)+1,LARGE(A$3:A469,1))</f>
        <v>0</v>
      </c>
      <c r="B470" s="457">
        <f t="shared" ca="1" si="127"/>
        <v>8</v>
      </c>
      <c r="C470" s="457">
        <f t="shared" ca="1" si="128"/>
        <v>0</v>
      </c>
      <c r="D470" s="458">
        <f t="shared" ca="1" si="129"/>
        <v>1</v>
      </c>
      <c r="E470" s="458">
        <f t="shared" ca="1" si="130"/>
        <v>1</v>
      </c>
      <c r="G470" s="206"/>
      <c r="H470" s="207" t="s">
        <v>209</v>
      </c>
      <c r="I470" s="208" t="str">
        <f t="shared" ca="1" si="94"/>
        <v>08</v>
      </c>
      <c r="J470" s="209" t="s">
        <v>176</v>
      </c>
      <c r="K470" s="210"/>
      <c r="L470" s="455"/>
      <c r="M470" s="455"/>
      <c r="N470" s="285">
        <f ca="1">IF(H470="Serviço",M470*L470,IF(H470="CÉLULA CONSTRUTIVA",SUMIFS($N$8:$N$1393,$B$8:$B$1393,B470,$H$8:$H$1393,"Serviço"),IF(H470="ETAPA",SUMIFS($N$8:$N$1393,$B$8:$B$1393,B470,$C$8:$C$1393,C470,$H$8:$H$1393,"Serviço"),IF(H470="SUBETAPA",SUMIFS($N$8:$N$1393,$B$8:$B$1393,B470,$C$8:$C$1393,C470,$D$8:$D$1393,D470,$H$8:$H$1393,"Serviço"),0))))</f>
        <v>2056354.2465104971</v>
      </c>
      <c r="O470" s="462"/>
      <c r="P470" s="213"/>
      <c r="Q470" s="463"/>
      <c r="R470" s="463"/>
      <c r="S470" s="35"/>
    </row>
    <row r="471" spans="1:19" s="34" customFormat="1" ht="13.9" hidden="1" customHeight="1" outlineLevel="1" x14ac:dyDescent="0.2">
      <c r="A471" s="457">
        <f ca="1">IF($H471="UNIDADE CONSTRUTIVA",OFFSET(A471,-1,0)+1,LARGE(A$3:A470,1))</f>
        <v>0</v>
      </c>
      <c r="B471" s="457">
        <f t="shared" ca="1" si="127"/>
        <v>8</v>
      </c>
      <c r="C471" s="457">
        <f t="shared" ca="1" si="128"/>
        <v>1</v>
      </c>
      <c r="D471" s="458">
        <f t="shared" ca="1" si="129"/>
        <v>0</v>
      </c>
      <c r="E471" s="458">
        <f t="shared" ca="1" si="130"/>
        <v>1</v>
      </c>
      <c r="G471" s="206"/>
      <c r="H471" s="207" t="s">
        <v>210</v>
      </c>
      <c r="I471" s="208" t="str">
        <f t="shared" ca="1" si="94"/>
        <v>08.001</v>
      </c>
      <c r="J471" s="209" t="s">
        <v>4876</v>
      </c>
      <c r="K471" s="210"/>
      <c r="L471" s="455"/>
      <c r="M471" s="455"/>
      <c r="N471" s="285">
        <f t="shared" ref="N471:N502" ca="1" si="131">IF(H471="Serviço",M471*L471,IF(H471="CÉLULA CONSTRUTIVA",SUMIFS($N$8:$N$1867,$B$8:$B$1867,B471,$H$8:$H$1867,"Serviço"),IF(H471="ETAPA",SUMIFS($N$8:$N$1867,$B$8:$B$1867,B471,$C$8:$C$1867,C471,$H$8:$H$1867,"Serviço"),IF(H471="SUBETAPA",SUMIFS($N$8:$N$1867,$B$8:$B$1867,B471,$C$8:$C$1867,C471,$D$8:$D$1867,D471,$H$8:$H$1867,"Serviço"),0))))</f>
        <v>205023.93515801849</v>
      </c>
      <c r="O471" s="462"/>
      <c r="P471" s="213"/>
      <c r="Q471" s="35"/>
      <c r="R471" s="35"/>
      <c r="S471" s="35"/>
    </row>
    <row r="472" spans="1:19" s="34" customFormat="1" ht="13.9" hidden="1" customHeight="1" outlineLevel="2" x14ac:dyDescent="0.2">
      <c r="A472" s="457">
        <f ca="1">IF($H472="UNIDADE CONSTRUTIVA",OFFSET(A472,-1,0)+1,LARGE(A$3:A471,1))</f>
        <v>0</v>
      </c>
      <c r="B472" s="457">
        <f t="shared" ca="1" si="127"/>
        <v>8</v>
      </c>
      <c r="C472" s="457">
        <f t="shared" ca="1" si="128"/>
        <v>1</v>
      </c>
      <c r="D472" s="458">
        <f t="shared" ca="1" si="129"/>
        <v>1</v>
      </c>
      <c r="E472" s="458">
        <f t="shared" ca="1" si="130"/>
        <v>0</v>
      </c>
      <c r="G472" s="206"/>
      <c r="H472" s="207" t="s">
        <v>211</v>
      </c>
      <c r="I472" s="208" t="str">
        <f t="shared" ca="1" si="94"/>
        <v>08.001.001</v>
      </c>
      <c r="J472" s="209" t="s">
        <v>936</v>
      </c>
      <c r="K472" s="210"/>
      <c r="L472" s="455"/>
      <c r="M472" s="455"/>
      <c r="N472" s="285">
        <f t="shared" ca="1" si="131"/>
        <v>35590.940910382669</v>
      </c>
      <c r="O472" s="462"/>
      <c r="P472" s="213"/>
      <c r="Q472" s="35"/>
      <c r="R472" s="35"/>
      <c r="S472" s="35"/>
    </row>
    <row r="473" spans="1:19" s="34" customFormat="1" ht="13.9" hidden="1" customHeight="1" outlineLevel="3" x14ac:dyDescent="0.2">
      <c r="A473" s="457">
        <f ca="1">IF($H473="UNIDADE CONSTRUTIVA",OFFSET(A473,-1,0)+1,LARGE(A$3:A472,1))</f>
        <v>0</v>
      </c>
      <c r="B473" s="457">
        <f t="shared" ca="1" si="127"/>
        <v>8</v>
      </c>
      <c r="C473" s="457">
        <f t="shared" ca="1" si="128"/>
        <v>1</v>
      </c>
      <c r="D473" s="458">
        <f t="shared" ca="1" si="129"/>
        <v>1</v>
      </c>
      <c r="E473" s="458">
        <f t="shared" ca="1" si="130"/>
        <v>1</v>
      </c>
      <c r="G473" s="206"/>
      <c r="H473" s="207" t="s">
        <v>212</v>
      </c>
      <c r="I473" s="208" t="str">
        <f t="shared" ca="1" si="94"/>
        <v>08.001.001.001</v>
      </c>
      <c r="J473" s="209" t="s">
        <v>936</v>
      </c>
      <c r="K473" s="210" t="s">
        <v>151</v>
      </c>
      <c r="L473" s="455">
        <v>1</v>
      </c>
      <c r="M473" s="455">
        <f>Instalações!D13</f>
        <v>35590.940910382669</v>
      </c>
      <c r="N473" s="285">
        <f t="shared" si="131"/>
        <v>35590.940910382669</v>
      </c>
      <c r="O473" s="462"/>
      <c r="P473" s="213" t="s">
        <v>518</v>
      </c>
      <c r="Q473" s="35"/>
      <c r="R473" s="35"/>
      <c r="S473" s="35"/>
    </row>
    <row r="474" spans="1:19" s="34" customFormat="1" ht="13.9" hidden="1" customHeight="1" outlineLevel="2" x14ac:dyDescent="0.2">
      <c r="A474" s="457">
        <f ca="1">IF($H474="UNIDADE CONSTRUTIVA",OFFSET(A474,-1,0)+1,LARGE(A$3:A473,1))</f>
        <v>0</v>
      </c>
      <c r="B474" s="457">
        <f t="shared" ca="1" si="127"/>
        <v>8</v>
      </c>
      <c r="C474" s="457">
        <f t="shared" ca="1" si="128"/>
        <v>1</v>
      </c>
      <c r="D474" s="458">
        <f t="shared" ca="1" si="129"/>
        <v>2</v>
      </c>
      <c r="E474" s="458">
        <f t="shared" ca="1" si="130"/>
        <v>0</v>
      </c>
      <c r="G474" s="206"/>
      <c r="H474" s="207" t="s">
        <v>211</v>
      </c>
      <c r="I474" s="208" t="str">
        <f t="shared" ca="1" si="94"/>
        <v>08.001.002</v>
      </c>
      <c r="J474" s="209" t="s">
        <v>937</v>
      </c>
      <c r="K474" s="210"/>
      <c r="L474" s="455"/>
      <c r="M474" s="455"/>
      <c r="N474" s="285">
        <f t="shared" ca="1" si="131"/>
        <v>47200.708581508159</v>
      </c>
      <c r="O474" s="462"/>
      <c r="P474" s="213"/>
      <c r="Q474" s="35"/>
      <c r="R474" s="35"/>
      <c r="S474" s="35"/>
    </row>
    <row r="475" spans="1:19" s="34" customFormat="1" ht="13.9" hidden="1" customHeight="1" outlineLevel="3" x14ac:dyDescent="0.2">
      <c r="A475" s="457">
        <f ca="1">IF($H475="UNIDADE CONSTRUTIVA",OFFSET(A475,-1,0)+1,LARGE(A$3:A474,1))</f>
        <v>0</v>
      </c>
      <c r="B475" s="457">
        <f t="shared" ca="1" si="127"/>
        <v>8</v>
      </c>
      <c r="C475" s="457">
        <f t="shared" ca="1" si="128"/>
        <v>1</v>
      </c>
      <c r="D475" s="458">
        <f t="shared" ca="1" si="129"/>
        <v>2</v>
      </c>
      <c r="E475" s="458">
        <f t="shared" ca="1" si="130"/>
        <v>1</v>
      </c>
      <c r="G475" s="206"/>
      <c r="H475" s="207" t="s">
        <v>212</v>
      </c>
      <c r="I475" s="208" t="str">
        <f t="shared" ca="1" si="94"/>
        <v>08.001.002.001</v>
      </c>
      <c r="J475" s="209" t="s">
        <v>937</v>
      </c>
      <c r="K475" s="210" t="s">
        <v>151</v>
      </c>
      <c r="L475" s="455">
        <v>1</v>
      </c>
      <c r="M475" s="455">
        <f>Instalações!D21</f>
        <v>47200.708581508159</v>
      </c>
      <c r="N475" s="285">
        <f t="shared" si="131"/>
        <v>47200.708581508159</v>
      </c>
      <c r="O475" s="462"/>
      <c r="P475" s="213" t="s">
        <v>518</v>
      </c>
      <c r="Q475" s="35"/>
      <c r="R475" s="35"/>
      <c r="S475" s="35"/>
    </row>
    <row r="476" spans="1:19" s="34" customFormat="1" ht="13.9" hidden="1" customHeight="1" outlineLevel="2" x14ac:dyDescent="0.2">
      <c r="A476" s="457">
        <f ca="1">IF($H476="UNIDADE CONSTRUTIVA",OFFSET(A476,-1,0)+1,LARGE(A$3:A475,1))</f>
        <v>0</v>
      </c>
      <c r="B476" s="457">
        <f t="shared" ca="1" si="127"/>
        <v>8</v>
      </c>
      <c r="C476" s="457">
        <f t="shared" ca="1" si="128"/>
        <v>1</v>
      </c>
      <c r="D476" s="458">
        <f t="shared" ca="1" si="129"/>
        <v>3</v>
      </c>
      <c r="E476" s="458">
        <f t="shared" ca="1" si="130"/>
        <v>0</v>
      </c>
      <c r="G476" s="206"/>
      <c r="H476" s="207" t="s">
        <v>211</v>
      </c>
      <c r="I476" s="208" t="str">
        <f t="shared" ca="1" si="94"/>
        <v>08.001.003</v>
      </c>
      <c r="J476" s="209" t="s">
        <v>938</v>
      </c>
      <c r="K476" s="210"/>
      <c r="L476" s="455"/>
      <c r="M476" s="455"/>
      <c r="N476" s="285">
        <f t="shared" ca="1" si="131"/>
        <v>50294.681354304463</v>
      </c>
      <c r="O476" s="462"/>
      <c r="P476" s="213"/>
      <c r="Q476" s="35"/>
      <c r="R476" s="35"/>
      <c r="S476" s="35"/>
    </row>
    <row r="477" spans="1:19" s="34" customFormat="1" ht="13.9" hidden="1" customHeight="1" outlineLevel="3" x14ac:dyDescent="0.2">
      <c r="A477" s="457">
        <f ca="1">IF($H477="UNIDADE CONSTRUTIVA",OFFSET(A477,-1,0)+1,LARGE(A$3:A476,1))</f>
        <v>0</v>
      </c>
      <c r="B477" s="457">
        <f t="shared" ca="1" si="127"/>
        <v>8</v>
      </c>
      <c r="C477" s="457">
        <f t="shared" ca="1" si="128"/>
        <v>1</v>
      </c>
      <c r="D477" s="458">
        <f t="shared" ca="1" si="129"/>
        <v>3</v>
      </c>
      <c r="E477" s="458">
        <f t="shared" ca="1" si="130"/>
        <v>1</v>
      </c>
      <c r="G477" s="206"/>
      <c r="H477" s="207" t="s">
        <v>212</v>
      </c>
      <c r="I477" s="208" t="str">
        <f t="shared" ca="1" si="94"/>
        <v>08.001.003.001</v>
      </c>
      <c r="J477" s="209" t="s">
        <v>938</v>
      </c>
      <c r="K477" s="210" t="s">
        <v>151</v>
      </c>
      <c r="L477" s="455">
        <v>1</v>
      </c>
      <c r="M477" s="455">
        <f>Instalações!D27</f>
        <v>50294.681354304463</v>
      </c>
      <c r="N477" s="285">
        <f t="shared" si="131"/>
        <v>50294.681354304463</v>
      </c>
      <c r="O477" s="462"/>
      <c r="P477" s="213" t="s">
        <v>518</v>
      </c>
      <c r="Q477" s="35"/>
      <c r="R477" s="35"/>
      <c r="S477" s="35"/>
    </row>
    <row r="478" spans="1:19" s="34" customFormat="1" ht="13.9" hidden="1" customHeight="1" outlineLevel="2" x14ac:dyDescent="0.2">
      <c r="A478" s="457">
        <f ca="1">IF($H478="UNIDADE CONSTRUTIVA",OFFSET(A478,-1,0)+1,LARGE(A$3:A477,1))</f>
        <v>0</v>
      </c>
      <c r="B478" s="457">
        <f t="shared" ca="1" si="127"/>
        <v>8</v>
      </c>
      <c r="C478" s="457">
        <f t="shared" ca="1" si="128"/>
        <v>1</v>
      </c>
      <c r="D478" s="458">
        <f t="shared" ca="1" si="129"/>
        <v>4</v>
      </c>
      <c r="E478" s="458">
        <f t="shared" ca="1" si="130"/>
        <v>0</v>
      </c>
      <c r="G478" s="206"/>
      <c r="H478" s="207" t="s">
        <v>211</v>
      </c>
      <c r="I478" s="208" t="str">
        <f t="shared" ca="1" si="94"/>
        <v>08.001.004</v>
      </c>
      <c r="J478" s="209" t="s">
        <v>939</v>
      </c>
      <c r="K478" s="210"/>
      <c r="L478" s="455"/>
      <c r="M478" s="455"/>
      <c r="N478" s="285">
        <f t="shared" ca="1" si="131"/>
        <v>3597.1348522710568</v>
      </c>
      <c r="O478" s="462"/>
      <c r="P478" s="213"/>
      <c r="Q478" s="35"/>
      <c r="R478" s="35"/>
      <c r="S478" s="35"/>
    </row>
    <row r="479" spans="1:19" s="34" customFormat="1" ht="13.9" hidden="1" customHeight="1" outlineLevel="3" x14ac:dyDescent="0.2">
      <c r="A479" s="457">
        <f ca="1">IF($H479="UNIDADE CONSTRUTIVA",OFFSET(A479,-1,0)+1,LARGE(A$3:A478,1))</f>
        <v>0</v>
      </c>
      <c r="B479" s="457">
        <f t="shared" ca="1" si="127"/>
        <v>8</v>
      </c>
      <c r="C479" s="457">
        <f t="shared" ca="1" si="128"/>
        <v>1</v>
      </c>
      <c r="D479" s="458">
        <f t="shared" ca="1" si="129"/>
        <v>4</v>
      </c>
      <c r="E479" s="458">
        <f t="shared" ca="1" si="130"/>
        <v>1</v>
      </c>
      <c r="G479" s="206"/>
      <c r="H479" s="207" t="s">
        <v>212</v>
      </c>
      <c r="I479" s="208" t="str">
        <f t="shared" ca="1" si="94"/>
        <v>08.001.004.001</v>
      </c>
      <c r="J479" s="209" t="s">
        <v>939</v>
      </c>
      <c r="K479" s="210" t="s">
        <v>151</v>
      </c>
      <c r="L479" s="455">
        <v>1</v>
      </c>
      <c r="M479" s="455">
        <f>Instalações!D30</f>
        <v>3597.1348522710568</v>
      </c>
      <c r="N479" s="285">
        <f t="shared" si="131"/>
        <v>3597.1348522710568</v>
      </c>
      <c r="O479" s="462"/>
      <c r="P479" s="213" t="s">
        <v>518</v>
      </c>
      <c r="Q479" s="35"/>
      <c r="R479" s="35"/>
      <c r="S479" s="35"/>
    </row>
    <row r="480" spans="1:19" s="34" customFormat="1" ht="13.9" hidden="1" customHeight="1" outlineLevel="2" x14ac:dyDescent="0.2">
      <c r="A480" s="457">
        <f ca="1">IF($H480="UNIDADE CONSTRUTIVA",OFFSET(A480,-1,0)+1,LARGE(A$3:A479,1))</f>
        <v>0</v>
      </c>
      <c r="B480" s="457">
        <f t="shared" ca="1" si="127"/>
        <v>8</v>
      </c>
      <c r="C480" s="457">
        <f t="shared" ca="1" si="128"/>
        <v>1</v>
      </c>
      <c r="D480" s="458">
        <f t="shared" ca="1" si="129"/>
        <v>5</v>
      </c>
      <c r="E480" s="458">
        <f t="shared" ca="1" si="130"/>
        <v>0</v>
      </c>
      <c r="G480" s="206"/>
      <c r="H480" s="207" t="s">
        <v>211</v>
      </c>
      <c r="I480" s="208" t="str">
        <f t="shared" ca="1" si="94"/>
        <v>08.001.005</v>
      </c>
      <c r="J480" s="209" t="s">
        <v>940</v>
      </c>
      <c r="K480" s="210"/>
      <c r="L480" s="455"/>
      <c r="M480" s="455"/>
      <c r="N480" s="285">
        <f t="shared" ca="1" si="131"/>
        <v>12389.621884462736</v>
      </c>
      <c r="O480" s="462"/>
      <c r="P480" s="213"/>
      <c r="Q480" s="35"/>
      <c r="R480" s="35"/>
      <c r="S480" s="35"/>
    </row>
    <row r="481" spans="1:19" s="34" customFormat="1" ht="13.9" hidden="1" customHeight="1" outlineLevel="3" x14ac:dyDescent="0.2">
      <c r="A481" s="457">
        <f ca="1">IF($H481="UNIDADE CONSTRUTIVA",OFFSET(A481,-1,0)+1,LARGE(A$3:A480,1))</f>
        <v>0</v>
      </c>
      <c r="B481" s="457">
        <f t="shared" ca="1" si="127"/>
        <v>8</v>
      </c>
      <c r="C481" s="457">
        <f t="shared" ca="1" si="128"/>
        <v>1</v>
      </c>
      <c r="D481" s="458">
        <f t="shared" ca="1" si="129"/>
        <v>5</v>
      </c>
      <c r="E481" s="458">
        <f t="shared" ca="1" si="130"/>
        <v>1</v>
      </c>
      <c r="G481" s="206"/>
      <c r="H481" s="207" t="s">
        <v>212</v>
      </c>
      <c r="I481" s="208" t="str">
        <f t="shared" ca="1" si="94"/>
        <v>08.001.005.001</v>
      </c>
      <c r="J481" s="209" t="s">
        <v>940</v>
      </c>
      <c r="K481" s="210" t="s">
        <v>151</v>
      </c>
      <c r="L481" s="455">
        <v>1</v>
      </c>
      <c r="M481" s="455">
        <f>Instalações!D38</f>
        <v>12389.621884462736</v>
      </c>
      <c r="N481" s="285">
        <f t="shared" si="131"/>
        <v>12389.621884462736</v>
      </c>
      <c r="O481" s="462"/>
      <c r="P481" s="213" t="s">
        <v>518</v>
      </c>
      <c r="Q481" s="35"/>
      <c r="R481" s="35"/>
      <c r="S481" s="35"/>
    </row>
    <row r="482" spans="1:19" s="34" customFormat="1" ht="13.9" hidden="1" customHeight="1" outlineLevel="2" x14ac:dyDescent="0.2">
      <c r="A482" s="457">
        <f ca="1">IF($H482="UNIDADE CONSTRUTIVA",OFFSET(A482,-1,0)+1,LARGE(A$3:A481,1))</f>
        <v>0</v>
      </c>
      <c r="B482" s="457">
        <f t="shared" ca="1" si="127"/>
        <v>8</v>
      </c>
      <c r="C482" s="457">
        <f t="shared" ca="1" si="128"/>
        <v>1</v>
      </c>
      <c r="D482" s="458">
        <f t="shared" ca="1" si="129"/>
        <v>6</v>
      </c>
      <c r="E482" s="458">
        <f t="shared" ca="1" si="130"/>
        <v>0</v>
      </c>
      <c r="G482" s="206"/>
      <c r="H482" s="207" t="s">
        <v>211</v>
      </c>
      <c r="I482" s="208" t="str">
        <f t="shared" ca="1" si="94"/>
        <v>08.001.006</v>
      </c>
      <c r="J482" s="209" t="s">
        <v>153</v>
      </c>
      <c r="K482" s="210"/>
      <c r="L482" s="455"/>
      <c r="M482" s="455"/>
      <c r="N482" s="285">
        <f t="shared" ca="1" si="131"/>
        <v>3011.725125189867</v>
      </c>
      <c r="O482" s="462"/>
      <c r="P482" s="213"/>
      <c r="Q482" s="35"/>
      <c r="R482" s="35"/>
      <c r="S482" s="35"/>
    </row>
    <row r="483" spans="1:19" s="34" customFormat="1" ht="13.9" hidden="1" customHeight="1" outlineLevel="3" x14ac:dyDescent="0.2">
      <c r="A483" s="457">
        <f ca="1">IF($H483="UNIDADE CONSTRUTIVA",OFFSET(A483,-1,0)+1,LARGE(A$3:A482,1))</f>
        <v>0</v>
      </c>
      <c r="B483" s="457">
        <f t="shared" ca="1" si="127"/>
        <v>8</v>
      </c>
      <c r="C483" s="457">
        <f t="shared" ca="1" si="128"/>
        <v>1</v>
      </c>
      <c r="D483" s="458">
        <f t="shared" ca="1" si="129"/>
        <v>6</v>
      </c>
      <c r="E483" s="458">
        <f t="shared" ca="1" si="130"/>
        <v>1</v>
      </c>
      <c r="G483" s="206"/>
      <c r="H483" s="207" t="s">
        <v>212</v>
      </c>
      <c r="I483" s="208" t="str">
        <f t="shared" ca="1" si="94"/>
        <v>08.001.006.001</v>
      </c>
      <c r="J483" s="209" t="s">
        <v>153</v>
      </c>
      <c r="K483" s="210" t="s">
        <v>151</v>
      </c>
      <c r="L483" s="455">
        <v>1</v>
      </c>
      <c r="M483" s="455">
        <f>Instalações!D59</f>
        <v>3011.725125189867</v>
      </c>
      <c r="N483" s="285">
        <f t="shared" si="131"/>
        <v>3011.725125189867</v>
      </c>
      <c r="O483" s="462"/>
      <c r="P483" s="213" t="s">
        <v>518</v>
      </c>
      <c r="Q483" s="35"/>
      <c r="R483" s="35"/>
      <c r="S483" s="35"/>
    </row>
    <row r="484" spans="1:19" s="34" customFormat="1" ht="13.9" hidden="1" customHeight="1" outlineLevel="2" x14ac:dyDescent="0.2">
      <c r="A484" s="457">
        <f ca="1">IF($H484="UNIDADE CONSTRUTIVA",OFFSET(A484,-1,0)+1,LARGE(A$3:A483,1))</f>
        <v>0</v>
      </c>
      <c r="B484" s="457">
        <f t="shared" ca="1" si="127"/>
        <v>8</v>
      </c>
      <c r="C484" s="457">
        <f t="shared" ca="1" si="128"/>
        <v>1</v>
      </c>
      <c r="D484" s="458">
        <f t="shared" ca="1" si="129"/>
        <v>7</v>
      </c>
      <c r="E484" s="458">
        <f t="shared" ca="1" si="130"/>
        <v>0</v>
      </c>
      <c r="G484" s="206"/>
      <c r="H484" s="207" t="s">
        <v>211</v>
      </c>
      <c r="I484" s="208" t="str">
        <f t="shared" ca="1" si="94"/>
        <v>08.001.007</v>
      </c>
      <c r="J484" s="209" t="s">
        <v>179</v>
      </c>
      <c r="K484" s="210"/>
      <c r="L484" s="455"/>
      <c r="M484" s="455"/>
      <c r="N484" s="285">
        <f t="shared" ca="1" si="131"/>
        <v>3020.8528707922974</v>
      </c>
      <c r="O484" s="462"/>
      <c r="P484" s="213"/>
      <c r="Q484" s="35"/>
      <c r="R484" s="35"/>
      <c r="S484" s="35"/>
    </row>
    <row r="485" spans="1:19" s="34" customFormat="1" ht="13.9" hidden="1" customHeight="1" outlineLevel="3" x14ac:dyDescent="0.2">
      <c r="A485" s="457">
        <f ca="1">IF($H485="UNIDADE CONSTRUTIVA",OFFSET(A485,-1,0)+1,LARGE(A$3:A484,1))</f>
        <v>0</v>
      </c>
      <c r="B485" s="457">
        <f t="shared" ca="1" si="127"/>
        <v>8</v>
      </c>
      <c r="C485" s="457">
        <f t="shared" ca="1" si="128"/>
        <v>1</v>
      </c>
      <c r="D485" s="458">
        <f t="shared" ca="1" si="129"/>
        <v>7</v>
      </c>
      <c r="E485" s="458">
        <f t="shared" ca="1" si="130"/>
        <v>1</v>
      </c>
      <c r="G485" s="206"/>
      <c r="H485" s="207" t="s">
        <v>212</v>
      </c>
      <c r="I485" s="208" t="str">
        <f t="shared" ca="1" si="94"/>
        <v>08.001.007.001</v>
      </c>
      <c r="J485" s="209" t="s">
        <v>179</v>
      </c>
      <c r="K485" s="210" t="s">
        <v>151</v>
      </c>
      <c r="L485" s="455">
        <v>1</v>
      </c>
      <c r="M485" s="455">
        <f>Instalações!D65</f>
        <v>3020.8528707922974</v>
      </c>
      <c r="N485" s="285">
        <f t="shared" si="131"/>
        <v>3020.8528707922974</v>
      </c>
      <c r="O485" s="462"/>
      <c r="P485" s="213" t="s">
        <v>518</v>
      </c>
      <c r="Q485" s="35"/>
      <c r="R485" s="35"/>
      <c r="S485" s="35"/>
    </row>
    <row r="486" spans="1:19" s="34" customFormat="1" ht="13.9" hidden="1" customHeight="1" outlineLevel="2" x14ac:dyDescent="0.2">
      <c r="A486" s="457">
        <f ca="1">IF($H486="UNIDADE CONSTRUTIVA",OFFSET(A486,-1,0)+1,LARGE(A$3:A485,1))</f>
        <v>0</v>
      </c>
      <c r="B486" s="457">
        <f t="shared" ca="1" si="127"/>
        <v>8</v>
      </c>
      <c r="C486" s="457">
        <f t="shared" ca="1" si="128"/>
        <v>1</v>
      </c>
      <c r="D486" s="458">
        <f t="shared" ca="1" si="129"/>
        <v>8</v>
      </c>
      <c r="E486" s="458">
        <f t="shared" ca="1" si="130"/>
        <v>0</v>
      </c>
      <c r="G486" s="206"/>
      <c r="H486" s="207" t="s">
        <v>211</v>
      </c>
      <c r="I486" s="208" t="str">
        <f t="shared" ca="1" si="94"/>
        <v>08.001.008</v>
      </c>
      <c r="J486" s="209" t="s">
        <v>180</v>
      </c>
      <c r="K486" s="210"/>
      <c r="L486" s="455"/>
      <c r="M486" s="455"/>
      <c r="N486" s="285">
        <f t="shared" ca="1" si="131"/>
        <v>1947.0695791072565</v>
      </c>
      <c r="O486" s="462"/>
      <c r="P486" s="213"/>
      <c r="Q486" s="35"/>
      <c r="R486" s="35"/>
      <c r="S486" s="35"/>
    </row>
    <row r="487" spans="1:19" s="34" customFormat="1" ht="13.9" hidden="1" customHeight="1" outlineLevel="3" x14ac:dyDescent="0.2">
      <c r="A487" s="457">
        <f ca="1">IF($H487="UNIDADE CONSTRUTIVA",OFFSET(A487,-1,0)+1,LARGE(A$3:A486,1))</f>
        <v>0</v>
      </c>
      <c r="B487" s="457">
        <f t="shared" ca="1" si="127"/>
        <v>8</v>
      </c>
      <c r="C487" s="457">
        <f t="shared" ca="1" si="128"/>
        <v>1</v>
      </c>
      <c r="D487" s="458">
        <f t="shared" ca="1" si="129"/>
        <v>8</v>
      </c>
      <c r="E487" s="458">
        <f t="shared" ca="1" si="130"/>
        <v>1</v>
      </c>
      <c r="G487" s="206"/>
      <c r="H487" s="207" t="s">
        <v>212</v>
      </c>
      <c r="I487" s="208" t="str">
        <f t="shared" ca="1" si="94"/>
        <v>08.001.008.001</v>
      </c>
      <c r="J487" s="209" t="s">
        <v>181</v>
      </c>
      <c r="K487" s="210" t="s">
        <v>151</v>
      </c>
      <c r="L487" s="455">
        <v>1</v>
      </c>
      <c r="M487" s="455">
        <f>Instalações!D48</f>
        <v>1947.0695791072565</v>
      </c>
      <c r="N487" s="285">
        <f t="shared" si="131"/>
        <v>1947.0695791072565</v>
      </c>
      <c r="O487" s="462"/>
      <c r="P487" s="213" t="s">
        <v>518</v>
      </c>
      <c r="Q487" s="35"/>
      <c r="R487" s="35"/>
      <c r="S487" s="35"/>
    </row>
    <row r="488" spans="1:19" s="34" customFormat="1" ht="13.9" hidden="1" customHeight="1" outlineLevel="2" x14ac:dyDescent="0.2">
      <c r="A488" s="457">
        <f ca="1">IF($H488="UNIDADE CONSTRUTIVA",OFFSET(A488,-1,0)+1,LARGE(A$3:A487,1))</f>
        <v>0</v>
      </c>
      <c r="B488" s="457">
        <f t="shared" ca="1" si="127"/>
        <v>8</v>
      </c>
      <c r="C488" s="457">
        <f t="shared" ca="1" si="128"/>
        <v>1</v>
      </c>
      <c r="D488" s="458">
        <f t="shared" ca="1" si="129"/>
        <v>9</v>
      </c>
      <c r="E488" s="458">
        <f t="shared" ca="1" si="130"/>
        <v>0</v>
      </c>
      <c r="G488" s="206"/>
      <c r="H488" s="207" t="s">
        <v>211</v>
      </c>
      <c r="I488" s="208" t="str">
        <f t="shared" ca="1" si="94"/>
        <v>08.001.009</v>
      </c>
      <c r="J488" s="209" t="s">
        <v>941</v>
      </c>
      <c r="K488" s="210"/>
      <c r="L488" s="455"/>
      <c r="M488" s="455"/>
      <c r="N488" s="285">
        <f t="shared" ca="1" si="131"/>
        <v>47971.199999999997</v>
      </c>
      <c r="O488" s="462"/>
      <c r="P488" s="213"/>
      <c r="Q488" s="35"/>
      <c r="R488" s="35"/>
      <c r="S488" s="35"/>
    </row>
    <row r="489" spans="1:19" s="34" customFormat="1" ht="13.9" hidden="1" customHeight="1" outlineLevel="3" x14ac:dyDescent="0.2">
      <c r="A489" s="457">
        <f ca="1">IF($H489="UNIDADE CONSTRUTIVA",OFFSET(A489,-1,0)+1,LARGE(A$3:A488,1))</f>
        <v>0</v>
      </c>
      <c r="B489" s="457">
        <f t="shared" ca="1" si="127"/>
        <v>8</v>
      </c>
      <c r="C489" s="457">
        <f t="shared" ca="1" si="128"/>
        <v>1</v>
      </c>
      <c r="D489" s="458">
        <f t="shared" ca="1" si="129"/>
        <v>9</v>
      </c>
      <c r="E489" s="458">
        <f t="shared" ca="1" si="130"/>
        <v>1</v>
      </c>
      <c r="G489" s="206"/>
      <c r="H489" s="207" t="s">
        <v>212</v>
      </c>
      <c r="I489" s="208" t="str">
        <f t="shared" ca="1" si="94"/>
        <v>08.001.009.001</v>
      </c>
      <c r="J489" s="209" t="s">
        <v>942</v>
      </c>
      <c r="K489" s="210" t="s">
        <v>151</v>
      </c>
      <c r="L489" s="455">
        <v>1</v>
      </c>
      <c r="M489" s="455">
        <f>'Obra '!E15*60</f>
        <v>47971.199999999997</v>
      </c>
      <c r="N489" s="285">
        <f t="shared" si="131"/>
        <v>47971.199999999997</v>
      </c>
      <c r="O489" s="462"/>
      <c r="P489" s="213" t="s">
        <v>518</v>
      </c>
      <c r="Q489" s="35"/>
      <c r="R489" s="35"/>
      <c r="S489" s="35"/>
    </row>
    <row r="490" spans="1:19" s="34" customFormat="1" ht="13.9" hidden="1" customHeight="1" outlineLevel="1" x14ac:dyDescent="0.2">
      <c r="A490" s="457">
        <f ca="1">IF($H490="UNIDADE CONSTRUTIVA",OFFSET(A490,-1,0)+1,LARGE(A$3:A489,1))</f>
        <v>0</v>
      </c>
      <c r="B490" s="457">
        <f t="shared" ca="1" si="127"/>
        <v>8</v>
      </c>
      <c r="C490" s="457">
        <f t="shared" ca="1" si="128"/>
        <v>2</v>
      </c>
      <c r="D490" s="458">
        <f t="shared" ca="1" si="129"/>
        <v>0</v>
      </c>
      <c r="E490" s="458">
        <f t="shared" ca="1" si="130"/>
        <v>1</v>
      </c>
      <c r="G490" s="206"/>
      <c r="H490" s="207" t="s">
        <v>210</v>
      </c>
      <c r="I490" s="208" t="str">
        <f t="shared" ca="1" si="94"/>
        <v>08.002</v>
      </c>
      <c r="J490" s="209" t="s">
        <v>946</v>
      </c>
      <c r="K490" s="210"/>
      <c r="L490" s="455"/>
      <c r="M490" s="455"/>
      <c r="N490" s="285">
        <f t="shared" ca="1" si="131"/>
        <v>293223.20014768321</v>
      </c>
      <c r="O490" s="462"/>
      <c r="P490" s="213"/>
      <c r="Q490" s="35"/>
      <c r="R490" s="35"/>
      <c r="S490" s="35"/>
    </row>
    <row r="491" spans="1:19" s="34" customFormat="1" ht="13.9" hidden="1" customHeight="1" outlineLevel="2" x14ac:dyDescent="0.2">
      <c r="A491" s="457">
        <f ca="1">IF($H491="UNIDADE CONSTRUTIVA",OFFSET(A491,-1,0)+1,LARGE(A$3:A490,1))</f>
        <v>0</v>
      </c>
      <c r="B491" s="457">
        <f t="shared" ca="1" si="127"/>
        <v>8</v>
      </c>
      <c r="C491" s="457">
        <f t="shared" ca="1" si="128"/>
        <v>2</v>
      </c>
      <c r="D491" s="458">
        <f t="shared" ca="1" si="129"/>
        <v>1</v>
      </c>
      <c r="E491" s="458">
        <f t="shared" ca="1" si="130"/>
        <v>0</v>
      </c>
      <c r="G491" s="206"/>
      <c r="H491" s="207" t="s">
        <v>211</v>
      </c>
      <c r="I491" s="208" t="str">
        <f t="shared" ca="1" si="94"/>
        <v>08.002.001</v>
      </c>
      <c r="J491" s="209" t="s">
        <v>936</v>
      </c>
      <c r="K491" s="210"/>
      <c r="L491" s="455"/>
      <c r="M491" s="455"/>
      <c r="N491" s="285">
        <f t="shared" ca="1" si="131"/>
        <v>6147.0120149647455</v>
      </c>
      <c r="O491" s="462"/>
      <c r="P491" s="213"/>
      <c r="Q491" s="35"/>
      <c r="R491" s="35"/>
      <c r="S491" s="35"/>
    </row>
    <row r="492" spans="1:19" s="34" customFormat="1" ht="13.9" hidden="1" customHeight="1" outlineLevel="3" x14ac:dyDescent="0.2">
      <c r="A492" s="457">
        <f ca="1">IF($H492="UNIDADE CONSTRUTIVA",OFFSET(A492,-1,0)+1,LARGE(A$3:A491,1))</f>
        <v>0</v>
      </c>
      <c r="B492" s="457">
        <f t="shared" ca="1" si="127"/>
        <v>8</v>
      </c>
      <c r="C492" s="457">
        <f t="shared" ca="1" si="128"/>
        <v>2</v>
      </c>
      <c r="D492" s="458">
        <f t="shared" ca="1" si="129"/>
        <v>1</v>
      </c>
      <c r="E492" s="458">
        <f t="shared" ca="1" si="130"/>
        <v>1</v>
      </c>
      <c r="G492" s="206"/>
      <c r="H492" s="207" t="s">
        <v>212</v>
      </c>
      <c r="I492" s="208" t="str">
        <f t="shared" ca="1" si="94"/>
        <v>08.002.001.001</v>
      </c>
      <c r="J492" s="209" t="s">
        <v>936</v>
      </c>
      <c r="K492" s="210" t="s">
        <v>151</v>
      </c>
      <c r="L492" s="455">
        <v>1</v>
      </c>
      <c r="M492" s="455">
        <f>Instalações!E16</f>
        <v>6147.0120149647455</v>
      </c>
      <c r="N492" s="285">
        <f t="shared" si="131"/>
        <v>6147.0120149647455</v>
      </c>
      <c r="O492" s="462"/>
      <c r="P492" s="213" t="s">
        <v>518</v>
      </c>
      <c r="Q492" s="35"/>
      <c r="R492" s="35"/>
      <c r="S492" s="35"/>
    </row>
    <row r="493" spans="1:19" s="34" customFormat="1" ht="13.9" hidden="1" customHeight="1" outlineLevel="2" x14ac:dyDescent="0.2">
      <c r="A493" s="457">
        <f ca="1">IF($H493="UNIDADE CONSTRUTIVA",OFFSET(A493,-1,0)+1,LARGE(A$3:A492,1))</f>
        <v>0</v>
      </c>
      <c r="B493" s="457">
        <f t="shared" ca="1" si="127"/>
        <v>8</v>
      </c>
      <c r="C493" s="457">
        <f t="shared" ca="1" si="128"/>
        <v>2</v>
      </c>
      <c r="D493" s="458">
        <f t="shared" ca="1" si="129"/>
        <v>2</v>
      </c>
      <c r="E493" s="458">
        <f t="shared" ca="1" si="130"/>
        <v>0</v>
      </c>
      <c r="G493" s="206"/>
      <c r="H493" s="207" t="s">
        <v>211</v>
      </c>
      <c r="I493" s="208" t="str">
        <f t="shared" ca="1" si="94"/>
        <v>08.002.002</v>
      </c>
      <c r="J493" s="209" t="s">
        <v>938</v>
      </c>
      <c r="K493" s="210"/>
      <c r="L493" s="455"/>
      <c r="M493" s="455"/>
      <c r="N493" s="285">
        <f t="shared" ca="1" si="131"/>
        <v>86158.348755216575</v>
      </c>
      <c r="O493" s="462"/>
      <c r="P493" s="213"/>
      <c r="Q493" s="35"/>
      <c r="R493" s="35"/>
      <c r="S493" s="35"/>
    </row>
    <row r="494" spans="1:19" s="34" customFormat="1" ht="13.9" hidden="1" customHeight="1" outlineLevel="3" x14ac:dyDescent="0.2">
      <c r="A494" s="457">
        <f ca="1">IF($H494="UNIDADE CONSTRUTIVA",OFFSET(A494,-1,0)+1,LARGE(A$3:A493,1))</f>
        <v>0</v>
      </c>
      <c r="B494" s="457">
        <f t="shared" ca="1" si="127"/>
        <v>8</v>
      </c>
      <c r="C494" s="457">
        <f t="shared" ca="1" si="128"/>
        <v>2</v>
      </c>
      <c r="D494" s="458">
        <f t="shared" ca="1" si="129"/>
        <v>2</v>
      </c>
      <c r="E494" s="458">
        <f t="shared" ca="1" si="130"/>
        <v>1</v>
      </c>
      <c r="G494" s="206"/>
      <c r="H494" s="207" t="s">
        <v>212</v>
      </c>
      <c r="I494" s="208" t="str">
        <f t="shared" ca="1" si="94"/>
        <v>08.002.002.001</v>
      </c>
      <c r="J494" s="209" t="s">
        <v>938</v>
      </c>
      <c r="K494" s="210" t="s">
        <v>151</v>
      </c>
      <c r="L494" s="455">
        <v>1</v>
      </c>
      <c r="M494" s="455">
        <f>Instalações!E22</f>
        <v>86158.348755216575</v>
      </c>
      <c r="N494" s="285">
        <f t="shared" si="131"/>
        <v>86158.348755216575</v>
      </c>
      <c r="O494" s="462"/>
      <c r="P494" s="213" t="s">
        <v>518</v>
      </c>
      <c r="Q494" s="35"/>
      <c r="R494" s="35"/>
      <c r="S494" s="35"/>
    </row>
    <row r="495" spans="1:19" s="34" customFormat="1" ht="13.9" hidden="1" customHeight="1" outlineLevel="2" x14ac:dyDescent="0.2">
      <c r="A495" s="457">
        <f ca="1">IF($H495="UNIDADE CONSTRUTIVA",OFFSET(A495,-1,0)+1,LARGE(A$3:A494,1))</f>
        <v>0</v>
      </c>
      <c r="B495" s="457">
        <f t="shared" ref="B495:B526" ca="1" si="132">IF(H495="UNIDADE CONSTRUTIVA",0,IF(H495="CÉLULA CONSTRUTIVA",OFFSET(B495,-1,0)+1,OFFSET(B495,-1,0)))</f>
        <v>8</v>
      </c>
      <c r="C495" s="457">
        <f t="shared" ref="C495:C526" ca="1" si="133">IF(H495="CÉLULA CONSTRUTIVA",0,IF(H495="ETAPA",OFFSET(C495,-1,0)+1,OFFSET(C495,-1,0)))</f>
        <v>2</v>
      </c>
      <c r="D495" s="458">
        <f t="shared" ref="D495:D526" ca="1" si="134">IF(H495="ETAPA",0,IF(H495="SUBETAPA",OFFSET(D495,-1,0)+1,OFFSET(D495,-1,0)))</f>
        <v>3</v>
      </c>
      <c r="E495" s="458">
        <f t="shared" ref="E495:E526" ca="1" si="135">IF(H495="Subetapa",0,IF(H495="serviço",OFFSET(E495,-1,0)+1,OFFSET(E495,-1,0)))</f>
        <v>0</v>
      </c>
      <c r="G495" s="206"/>
      <c r="H495" s="207" t="s">
        <v>211</v>
      </c>
      <c r="I495" s="208" t="str">
        <f t="shared" ca="1" si="94"/>
        <v>08.002.003</v>
      </c>
      <c r="J495" s="209" t="s">
        <v>939</v>
      </c>
      <c r="K495" s="210"/>
      <c r="L495" s="455"/>
      <c r="M495" s="455"/>
      <c r="N495" s="285">
        <f t="shared" ca="1" si="131"/>
        <v>4316.0518779680524</v>
      </c>
      <c r="O495" s="462"/>
      <c r="P495" s="213"/>
      <c r="Q495" s="35"/>
      <c r="R495" s="35"/>
      <c r="S495" s="35"/>
    </row>
    <row r="496" spans="1:19" s="34" customFormat="1" ht="13.9" hidden="1" customHeight="1" outlineLevel="3" x14ac:dyDescent="0.2">
      <c r="A496" s="457">
        <f ca="1">IF($H496="UNIDADE CONSTRUTIVA",OFFSET(A496,-1,0)+1,LARGE(A$3:A495,1))</f>
        <v>0</v>
      </c>
      <c r="B496" s="457">
        <f t="shared" ca="1" si="132"/>
        <v>8</v>
      </c>
      <c r="C496" s="457">
        <f t="shared" ca="1" si="133"/>
        <v>2</v>
      </c>
      <c r="D496" s="458">
        <f t="shared" ca="1" si="134"/>
        <v>3</v>
      </c>
      <c r="E496" s="458">
        <f t="shared" ca="1" si="135"/>
        <v>1</v>
      </c>
      <c r="G496" s="206"/>
      <c r="H496" s="207" t="s">
        <v>212</v>
      </c>
      <c r="I496" s="208" t="str">
        <f t="shared" ca="1" si="94"/>
        <v>08.002.003.001</v>
      </c>
      <c r="J496" s="209" t="s">
        <v>939</v>
      </c>
      <c r="K496" s="210" t="s">
        <v>151</v>
      </c>
      <c r="L496" s="455">
        <v>1</v>
      </c>
      <c r="M496" s="455">
        <f>Instalações!E34</f>
        <v>4316.0518779680524</v>
      </c>
      <c r="N496" s="285">
        <f t="shared" si="131"/>
        <v>4316.0518779680524</v>
      </c>
      <c r="O496" s="462"/>
      <c r="P496" s="213" t="s">
        <v>518</v>
      </c>
      <c r="Q496" s="35"/>
      <c r="R496" s="35"/>
      <c r="S496" s="35"/>
    </row>
    <row r="497" spans="1:19" s="34" customFormat="1" ht="13.9" hidden="1" customHeight="1" outlineLevel="2" x14ac:dyDescent="0.2">
      <c r="A497" s="457">
        <f ca="1">IF($H497="UNIDADE CONSTRUTIVA",OFFSET(A497,-1,0)+1,LARGE(A$3:A496,1))</f>
        <v>0</v>
      </c>
      <c r="B497" s="457">
        <f t="shared" ca="1" si="132"/>
        <v>8</v>
      </c>
      <c r="C497" s="457">
        <f t="shared" ca="1" si="133"/>
        <v>2</v>
      </c>
      <c r="D497" s="458">
        <f t="shared" ca="1" si="134"/>
        <v>4</v>
      </c>
      <c r="E497" s="458">
        <f t="shared" ca="1" si="135"/>
        <v>0</v>
      </c>
      <c r="G497" s="206"/>
      <c r="H497" s="207" t="s">
        <v>211</v>
      </c>
      <c r="I497" s="208" t="str">
        <f t="shared" ca="1" si="94"/>
        <v>08.002.004</v>
      </c>
      <c r="J497" s="209" t="s">
        <v>940</v>
      </c>
      <c r="K497" s="210"/>
      <c r="L497" s="455"/>
      <c r="M497" s="455"/>
      <c r="N497" s="285">
        <f t="shared" ca="1" si="131"/>
        <v>39176.781608230609</v>
      </c>
      <c r="O497" s="462"/>
      <c r="P497" s="213"/>
      <c r="Q497" s="35"/>
      <c r="R497" s="35"/>
      <c r="S497" s="35"/>
    </row>
    <row r="498" spans="1:19" s="34" customFormat="1" ht="13.9" hidden="1" customHeight="1" outlineLevel="3" x14ac:dyDescent="0.2">
      <c r="A498" s="457">
        <f ca="1">IF($H498="UNIDADE CONSTRUTIVA",OFFSET(A498,-1,0)+1,LARGE(A$3:A497,1))</f>
        <v>0</v>
      </c>
      <c r="B498" s="457">
        <f t="shared" ca="1" si="132"/>
        <v>8</v>
      </c>
      <c r="C498" s="457">
        <f t="shared" ca="1" si="133"/>
        <v>2</v>
      </c>
      <c r="D498" s="458">
        <f t="shared" ca="1" si="134"/>
        <v>4</v>
      </c>
      <c r="E498" s="458">
        <f t="shared" ca="1" si="135"/>
        <v>1</v>
      </c>
      <c r="G498" s="206"/>
      <c r="H498" s="207" t="s">
        <v>212</v>
      </c>
      <c r="I498" s="208" t="str">
        <f t="shared" ca="1" si="94"/>
        <v>08.002.004.001</v>
      </c>
      <c r="J498" s="209" t="s">
        <v>940</v>
      </c>
      <c r="K498" s="210" t="s">
        <v>151</v>
      </c>
      <c r="L498" s="455">
        <v>1</v>
      </c>
      <c r="M498" s="455">
        <f>Instalações!E37</f>
        <v>39176.781608230609</v>
      </c>
      <c r="N498" s="285">
        <f t="shared" si="131"/>
        <v>39176.781608230609</v>
      </c>
      <c r="O498" s="462"/>
      <c r="P498" s="213" t="s">
        <v>518</v>
      </c>
      <c r="Q498" s="35"/>
      <c r="R498" s="35"/>
      <c r="S498" s="35"/>
    </row>
    <row r="499" spans="1:19" s="34" customFormat="1" ht="13.9" hidden="1" customHeight="1" outlineLevel="2" x14ac:dyDescent="0.2">
      <c r="A499" s="457">
        <f ca="1">IF($H499="UNIDADE CONSTRUTIVA",OFFSET(A499,-1,0)+1,LARGE(A$3:A498,1))</f>
        <v>0</v>
      </c>
      <c r="B499" s="457">
        <f t="shared" ca="1" si="132"/>
        <v>8</v>
      </c>
      <c r="C499" s="457">
        <f t="shared" ca="1" si="133"/>
        <v>2</v>
      </c>
      <c r="D499" s="458">
        <f t="shared" ca="1" si="134"/>
        <v>5</v>
      </c>
      <c r="E499" s="458">
        <f t="shared" ca="1" si="135"/>
        <v>0</v>
      </c>
      <c r="G499" s="206"/>
      <c r="H499" s="207" t="s">
        <v>211</v>
      </c>
      <c r="I499" s="208" t="str">
        <f t="shared" ca="1" si="94"/>
        <v>08.002.005</v>
      </c>
      <c r="J499" s="209" t="s">
        <v>153</v>
      </c>
      <c r="K499" s="210"/>
      <c r="L499" s="455"/>
      <c r="M499" s="455"/>
      <c r="N499" s="285">
        <f t="shared" ca="1" si="131"/>
        <v>3642.864800690747</v>
      </c>
      <c r="O499" s="462"/>
      <c r="P499" s="213"/>
      <c r="Q499" s="35"/>
      <c r="R499" s="35"/>
      <c r="S499" s="35"/>
    </row>
    <row r="500" spans="1:19" s="34" customFormat="1" ht="13.9" hidden="1" customHeight="1" outlineLevel="3" x14ac:dyDescent="0.2">
      <c r="A500" s="457">
        <f ca="1">IF($H500="UNIDADE CONSTRUTIVA",OFFSET(A500,-1,0)+1,LARGE(A$3:A499,1))</f>
        <v>0</v>
      </c>
      <c r="B500" s="457">
        <f t="shared" ca="1" si="132"/>
        <v>8</v>
      </c>
      <c r="C500" s="457">
        <f t="shared" ca="1" si="133"/>
        <v>2</v>
      </c>
      <c r="D500" s="458">
        <f t="shared" ca="1" si="134"/>
        <v>5</v>
      </c>
      <c r="E500" s="458">
        <f t="shared" ca="1" si="135"/>
        <v>1</v>
      </c>
      <c r="G500" s="206"/>
      <c r="H500" s="207" t="s">
        <v>212</v>
      </c>
      <c r="I500" s="208" t="str">
        <f t="shared" ca="1" si="94"/>
        <v>08.002.005.001</v>
      </c>
      <c r="J500" s="209" t="s">
        <v>153</v>
      </c>
      <c r="K500" s="210" t="s">
        <v>151</v>
      </c>
      <c r="L500" s="455">
        <v>1</v>
      </c>
      <c r="M500" s="455">
        <f>Instalações!E55</f>
        <v>3642.864800690747</v>
      </c>
      <c r="N500" s="285">
        <f t="shared" si="131"/>
        <v>3642.864800690747</v>
      </c>
      <c r="O500" s="462"/>
      <c r="P500" s="213" t="s">
        <v>518</v>
      </c>
      <c r="Q500" s="35"/>
      <c r="R500" s="35"/>
      <c r="S500" s="35"/>
    </row>
    <row r="501" spans="1:19" s="34" customFormat="1" ht="13.9" hidden="1" customHeight="1" outlineLevel="2" x14ac:dyDescent="0.2">
      <c r="A501" s="457">
        <f ca="1">IF($H501="UNIDADE CONSTRUTIVA",OFFSET(A501,-1,0)+1,LARGE(A$3:A500,1))</f>
        <v>0</v>
      </c>
      <c r="B501" s="457">
        <f t="shared" ca="1" si="132"/>
        <v>8</v>
      </c>
      <c r="C501" s="457">
        <f t="shared" ca="1" si="133"/>
        <v>2</v>
      </c>
      <c r="D501" s="458">
        <f t="shared" ca="1" si="134"/>
        <v>6</v>
      </c>
      <c r="E501" s="458">
        <f t="shared" ca="1" si="135"/>
        <v>0</v>
      </c>
      <c r="G501" s="206"/>
      <c r="H501" s="207" t="s">
        <v>211</v>
      </c>
      <c r="I501" s="208" t="str">
        <f t="shared" ca="1" si="94"/>
        <v>08.002.006</v>
      </c>
      <c r="J501" s="209" t="s">
        <v>179</v>
      </c>
      <c r="K501" s="210"/>
      <c r="L501" s="455"/>
      <c r="M501" s="455"/>
      <c r="N501" s="285">
        <f t="shared" ca="1" si="131"/>
        <v>3618.4670008153867</v>
      </c>
      <c r="O501" s="462"/>
      <c r="P501" s="213"/>
      <c r="Q501" s="35"/>
      <c r="R501" s="35"/>
      <c r="S501" s="35"/>
    </row>
    <row r="502" spans="1:19" s="34" customFormat="1" ht="13.9" hidden="1" customHeight="1" outlineLevel="3" x14ac:dyDescent="0.2">
      <c r="A502" s="457">
        <f ca="1">IF($H502="UNIDADE CONSTRUTIVA",OFFSET(A502,-1,0)+1,LARGE(A$3:A501,1))</f>
        <v>0</v>
      </c>
      <c r="B502" s="457">
        <f t="shared" ca="1" si="132"/>
        <v>8</v>
      </c>
      <c r="C502" s="457">
        <f t="shared" ca="1" si="133"/>
        <v>2</v>
      </c>
      <c r="D502" s="458">
        <f t="shared" ca="1" si="134"/>
        <v>6</v>
      </c>
      <c r="E502" s="458">
        <f t="shared" ca="1" si="135"/>
        <v>1</v>
      </c>
      <c r="G502" s="206"/>
      <c r="H502" s="207" t="s">
        <v>212</v>
      </c>
      <c r="I502" s="208" t="str">
        <f t="shared" ca="1" si="94"/>
        <v>08.002.006.001</v>
      </c>
      <c r="J502" s="209" t="s">
        <v>179</v>
      </c>
      <c r="K502" s="210" t="s">
        <v>151</v>
      </c>
      <c r="L502" s="455">
        <v>1</v>
      </c>
      <c r="M502" s="455">
        <f>Instalações!E62</f>
        <v>3618.4670008153867</v>
      </c>
      <c r="N502" s="285">
        <f t="shared" si="131"/>
        <v>3618.4670008153867</v>
      </c>
      <c r="O502" s="462"/>
      <c r="P502" s="213" t="s">
        <v>518</v>
      </c>
      <c r="Q502" s="35"/>
      <c r="R502" s="35"/>
      <c r="S502" s="35"/>
    </row>
    <row r="503" spans="1:19" s="34" customFormat="1" ht="13.9" hidden="1" customHeight="1" outlineLevel="2" x14ac:dyDescent="0.2">
      <c r="A503" s="457">
        <f ca="1">IF($H503="UNIDADE CONSTRUTIVA",OFFSET(A503,-1,0)+1,LARGE(A$3:A502,1))</f>
        <v>0</v>
      </c>
      <c r="B503" s="457">
        <f t="shared" ca="1" si="132"/>
        <v>8</v>
      </c>
      <c r="C503" s="457">
        <f t="shared" ca="1" si="133"/>
        <v>2</v>
      </c>
      <c r="D503" s="458">
        <f t="shared" ca="1" si="134"/>
        <v>7</v>
      </c>
      <c r="E503" s="458">
        <f t="shared" ca="1" si="135"/>
        <v>0</v>
      </c>
      <c r="G503" s="206"/>
      <c r="H503" s="207" t="s">
        <v>211</v>
      </c>
      <c r="I503" s="208" t="str">
        <f t="shared" ca="1" si="94"/>
        <v>08.002.007</v>
      </c>
      <c r="J503" s="209" t="s">
        <v>180</v>
      </c>
      <c r="K503" s="210"/>
      <c r="L503" s="455"/>
      <c r="M503" s="455"/>
      <c r="N503" s="285">
        <f t="shared" ref="N503:N534" ca="1" si="136">IF(H503="Serviço",M503*L503,IF(H503="CÉLULA CONSTRUTIVA",SUMIFS($N$8:$N$1867,$B$8:$B$1867,B503,$H$8:$H$1867,"Serviço"),IF(H503="ETAPA",SUMIFS($N$8:$N$1867,$B$8:$B$1867,B503,$C$8:$C$1867,C503,$H$8:$H$1867,"Serviço"),IF(H503="SUBETAPA",SUMIFS($N$8:$N$1867,$B$8:$B$1867,B503,$C$8:$C$1867,C503,$D$8:$D$1867,D503,$H$8:$H$1867,"Serviço"),0))))</f>
        <v>5533.6740897970931</v>
      </c>
      <c r="O503" s="462"/>
      <c r="P503" s="213"/>
      <c r="Q503" s="35"/>
      <c r="R503" s="35"/>
      <c r="S503" s="35"/>
    </row>
    <row r="504" spans="1:19" s="34" customFormat="1" ht="13.9" hidden="1" customHeight="1" outlineLevel="3" x14ac:dyDescent="0.2">
      <c r="A504" s="457">
        <f ca="1">IF($H504="UNIDADE CONSTRUTIVA",OFFSET(A504,-1,0)+1,LARGE(A$3:A503,1))</f>
        <v>0</v>
      </c>
      <c r="B504" s="457">
        <f t="shared" ca="1" si="132"/>
        <v>8</v>
      </c>
      <c r="C504" s="457">
        <f t="shared" ca="1" si="133"/>
        <v>2</v>
      </c>
      <c r="D504" s="458">
        <f t="shared" ca="1" si="134"/>
        <v>7</v>
      </c>
      <c r="E504" s="458">
        <f t="shared" ca="1" si="135"/>
        <v>1</v>
      </c>
      <c r="G504" s="206"/>
      <c r="H504" s="207" t="s">
        <v>212</v>
      </c>
      <c r="I504" s="208" t="str">
        <f t="shared" ca="1" si="94"/>
        <v>08.002.007.001</v>
      </c>
      <c r="J504" s="209" t="s">
        <v>181</v>
      </c>
      <c r="K504" s="210" t="s">
        <v>151</v>
      </c>
      <c r="L504" s="455">
        <v>1</v>
      </c>
      <c r="M504" s="455">
        <f>Instalações!E51</f>
        <v>5533.6740897970931</v>
      </c>
      <c r="N504" s="285">
        <f t="shared" si="136"/>
        <v>5533.6740897970931</v>
      </c>
      <c r="O504" s="462"/>
      <c r="P504" s="213" t="s">
        <v>518</v>
      </c>
      <c r="Q504" s="35"/>
      <c r="R504" s="35"/>
      <c r="S504" s="35"/>
    </row>
    <row r="505" spans="1:19" s="34" customFormat="1" ht="13.9" hidden="1" customHeight="1" outlineLevel="2" x14ac:dyDescent="0.2">
      <c r="A505" s="457">
        <f ca="1">IF($H505="UNIDADE CONSTRUTIVA",OFFSET(A505,-1,0)+1,LARGE(A$3:A504,1))</f>
        <v>0</v>
      </c>
      <c r="B505" s="457">
        <f t="shared" ca="1" si="132"/>
        <v>8</v>
      </c>
      <c r="C505" s="457">
        <f t="shared" ca="1" si="133"/>
        <v>2</v>
      </c>
      <c r="D505" s="458">
        <f t="shared" ca="1" si="134"/>
        <v>8</v>
      </c>
      <c r="E505" s="458">
        <f t="shared" ca="1" si="135"/>
        <v>0</v>
      </c>
      <c r="G505" s="206"/>
      <c r="H505" s="207" t="s">
        <v>211</v>
      </c>
      <c r="I505" s="208" t="str">
        <f t="shared" ca="1" si="94"/>
        <v>08.002.008</v>
      </c>
      <c r="J505" s="209" t="s">
        <v>941</v>
      </c>
      <c r="K505" s="210"/>
      <c r="L505" s="455"/>
      <c r="M505" s="455"/>
      <c r="N505" s="285">
        <f t="shared" ca="1" si="136"/>
        <v>144630</v>
      </c>
      <c r="O505" s="462"/>
      <c r="P505" s="213"/>
      <c r="Q505" s="35"/>
      <c r="R505" s="35"/>
      <c r="S505" s="35"/>
    </row>
    <row r="506" spans="1:19" s="34" customFormat="1" ht="13.9" hidden="1" customHeight="1" outlineLevel="3" x14ac:dyDescent="0.2">
      <c r="A506" s="457">
        <f ca="1">IF($H506="UNIDADE CONSTRUTIVA",OFFSET(A506,-1,0)+1,LARGE(A$3:A505,1))</f>
        <v>0</v>
      </c>
      <c r="B506" s="457">
        <f t="shared" ca="1" si="132"/>
        <v>8</v>
      </c>
      <c r="C506" s="457">
        <f t="shared" ca="1" si="133"/>
        <v>2</v>
      </c>
      <c r="D506" s="458">
        <f t="shared" ca="1" si="134"/>
        <v>8</v>
      </c>
      <c r="E506" s="458">
        <f t="shared" ca="1" si="135"/>
        <v>1</v>
      </c>
      <c r="G506" s="206"/>
      <c r="H506" s="207" t="s">
        <v>212</v>
      </c>
      <c r="I506" s="208" t="str">
        <f t="shared" ca="1" si="94"/>
        <v>08.002.008.001</v>
      </c>
      <c r="J506" s="209" t="s">
        <v>942</v>
      </c>
      <c r="K506" s="210" t="s">
        <v>151</v>
      </c>
      <c r="L506" s="455">
        <v>1</v>
      </c>
      <c r="M506" s="455">
        <f>'Obra '!E16*3*60</f>
        <v>144630</v>
      </c>
      <c r="N506" s="285">
        <f t="shared" si="136"/>
        <v>144630</v>
      </c>
      <c r="O506" s="462"/>
      <c r="P506" s="213" t="s">
        <v>518</v>
      </c>
      <c r="Q506" s="35"/>
      <c r="R506" s="35"/>
      <c r="S506" s="35"/>
    </row>
    <row r="507" spans="1:19" s="34" customFormat="1" ht="13.9" hidden="1" customHeight="1" outlineLevel="1" x14ac:dyDescent="0.2">
      <c r="A507" s="457">
        <f ca="1">IF($H507="UNIDADE CONSTRUTIVA",OFFSET(A507,-1,0)+1,LARGE(A$3:A506,1))</f>
        <v>0</v>
      </c>
      <c r="B507" s="457">
        <f t="shared" ca="1" si="132"/>
        <v>8</v>
      </c>
      <c r="C507" s="457">
        <f t="shared" ca="1" si="133"/>
        <v>3</v>
      </c>
      <c r="D507" s="458">
        <f t="shared" ca="1" si="134"/>
        <v>0</v>
      </c>
      <c r="E507" s="458">
        <f t="shared" ca="1" si="135"/>
        <v>1</v>
      </c>
      <c r="G507" s="206"/>
      <c r="H507" s="207" t="s">
        <v>210</v>
      </c>
      <c r="I507" s="208" t="str">
        <f t="shared" ca="1" si="94"/>
        <v>08.003</v>
      </c>
      <c r="J507" s="209" t="s">
        <v>945</v>
      </c>
      <c r="K507" s="210"/>
      <c r="L507" s="455"/>
      <c r="M507" s="455"/>
      <c r="N507" s="285">
        <f t="shared" ca="1" si="136"/>
        <v>82885.913964695676</v>
      </c>
      <c r="O507" s="462"/>
      <c r="P507" s="213"/>
      <c r="Q507" s="35"/>
      <c r="R507" s="35"/>
      <c r="S507" s="35"/>
    </row>
    <row r="508" spans="1:19" s="34" customFormat="1" ht="13.9" hidden="1" customHeight="1" outlineLevel="2" x14ac:dyDescent="0.2">
      <c r="A508" s="457">
        <f ca="1">IF($H508="UNIDADE CONSTRUTIVA",OFFSET(A508,-1,0)+1,LARGE(A$3:A507,1))</f>
        <v>0</v>
      </c>
      <c r="B508" s="457">
        <f t="shared" ca="1" si="132"/>
        <v>8</v>
      </c>
      <c r="C508" s="457">
        <f t="shared" ca="1" si="133"/>
        <v>3</v>
      </c>
      <c r="D508" s="458">
        <f t="shared" ca="1" si="134"/>
        <v>1</v>
      </c>
      <c r="E508" s="458">
        <f t="shared" ca="1" si="135"/>
        <v>0</v>
      </c>
      <c r="G508" s="206"/>
      <c r="H508" s="207" t="s">
        <v>211</v>
      </c>
      <c r="I508" s="208" t="str">
        <f t="shared" ca="1" si="94"/>
        <v>08.003.001</v>
      </c>
      <c r="J508" s="209" t="s">
        <v>936</v>
      </c>
      <c r="K508" s="210"/>
      <c r="L508" s="455"/>
      <c r="M508" s="455"/>
      <c r="N508" s="285">
        <f t="shared" ca="1" si="136"/>
        <v>1365.6549700196672</v>
      </c>
      <c r="O508" s="462"/>
      <c r="P508" s="213"/>
      <c r="Q508" s="35"/>
      <c r="R508" s="35"/>
      <c r="S508" s="35"/>
    </row>
    <row r="509" spans="1:19" s="34" customFormat="1" ht="13.9" hidden="1" customHeight="1" outlineLevel="3" x14ac:dyDescent="0.2">
      <c r="A509" s="457">
        <f ca="1">IF($H509="UNIDADE CONSTRUTIVA",OFFSET(A509,-1,0)+1,LARGE(A$3:A508,1))</f>
        <v>0</v>
      </c>
      <c r="B509" s="457">
        <f t="shared" ca="1" si="132"/>
        <v>8</v>
      </c>
      <c r="C509" s="457">
        <f t="shared" ca="1" si="133"/>
        <v>3</v>
      </c>
      <c r="D509" s="458">
        <f t="shared" ca="1" si="134"/>
        <v>1</v>
      </c>
      <c r="E509" s="458">
        <f t="shared" ca="1" si="135"/>
        <v>1</v>
      </c>
      <c r="G509" s="206"/>
      <c r="H509" s="207" t="s">
        <v>212</v>
      </c>
      <c r="I509" s="208" t="str">
        <f t="shared" ca="1" si="94"/>
        <v>08.003.001.001</v>
      </c>
      <c r="J509" s="209" t="s">
        <v>936</v>
      </c>
      <c r="K509" s="210" t="s">
        <v>151</v>
      </c>
      <c r="L509" s="455">
        <v>1</v>
      </c>
      <c r="M509" s="455">
        <f>Instalações!F17</f>
        <v>1365.6549700196672</v>
      </c>
      <c r="N509" s="285">
        <f t="shared" si="136"/>
        <v>1365.6549700196672</v>
      </c>
      <c r="O509" s="462"/>
      <c r="P509" s="213" t="s">
        <v>518</v>
      </c>
      <c r="Q509" s="35"/>
      <c r="R509" s="35"/>
      <c r="S509" s="35"/>
    </row>
    <row r="510" spans="1:19" s="34" customFormat="1" ht="13.9" hidden="1" customHeight="1" outlineLevel="2" x14ac:dyDescent="0.2">
      <c r="A510" s="457">
        <f ca="1">IF($H510="UNIDADE CONSTRUTIVA",OFFSET(A510,-1,0)+1,LARGE(A$3:A509,1))</f>
        <v>0</v>
      </c>
      <c r="B510" s="457">
        <f t="shared" ca="1" si="132"/>
        <v>8</v>
      </c>
      <c r="C510" s="457">
        <f t="shared" ca="1" si="133"/>
        <v>3</v>
      </c>
      <c r="D510" s="458">
        <f t="shared" ca="1" si="134"/>
        <v>2</v>
      </c>
      <c r="E510" s="458">
        <f t="shared" ca="1" si="135"/>
        <v>0</v>
      </c>
      <c r="G510" s="206"/>
      <c r="H510" s="207" t="s">
        <v>211</v>
      </c>
      <c r="I510" s="208" t="str">
        <f t="shared" ca="1" si="94"/>
        <v>08.003.002</v>
      </c>
      <c r="J510" s="209" t="s">
        <v>938</v>
      </c>
      <c r="K510" s="210"/>
      <c r="L510" s="455"/>
      <c r="M510" s="455"/>
      <c r="N510" s="285">
        <f t="shared" ca="1" si="136"/>
        <v>20758.731431723343</v>
      </c>
      <c r="O510" s="462"/>
      <c r="P510" s="213"/>
      <c r="Q510" s="35"/>
      <c r="R510" s="35"/>
      <c r="S510" s="35"/>
    </row>
    <row r="511" spans="1:19" s="34" customFormat="1" ht="13.9" hidden="1" customHeight="1" outlineLevel="3" x14ac:dyDescent="0.2">
      <c r="A511" s="457">
        <f ca="1">IF($H511="UNIDADE CONSTRUTIVA",OFFSET(A511,-1,0)+1,LARGE(A$3:A510,1))</f>
        <v>0</v>
      </c>
      <c r="B511" s="457">
        <f t="shared" ca="1" si="132"/>
        <v>8</v>
      </c>
      <c r="C511" s="457">
        <f t="shared" ca="1" si="133"/>
        <v>3</v>
      </c>
      <c r="D511" s="458">
        <f t="shared" ca="1" si="134"/>
        <v>2</v>
      </c>
      <c r="E511" s="458">
        <f t="shared" ca="1" si="135"/>
        <v>1</v>
      </c>
      <c r="G511" s="206"/>
      <c r="H511" s="207" t="s">
        <v>212</v>
      </c>
      <c r="I511" s="208" t="str">
        <f t="shared" ca="1" si="94"/>
        <v>08.003.002.001</v>
      </c>
      <c r="J511" s="209" t="s">
        <v>938</v>
      </c>
      <c r="K511" s="210" t="s">
        <v>151</v>
      </c>
      <c r="L511" s="455">
        <v>1</v>
      </c>
      <c r="M511" s="455">
        <f>Instalações!F23</f>
        <v>20758.731431723343</v>
      </c>
      <c r="N511" s="285">
        <f t="shared" si="136"/>
        <v>20758.731431723343</v>
      </c>
      <c r="O511" s="462"/>
      <c r="P511" s="213" t="s">
        <v>518</v>
      </c>
      <c r="Q511" s="35"/>
      <c r="R511" s="35"/>
      <c r="S511" s="35"/>
    </row>
    <row r="512" spans="1:19" s="34" customFormat="1" ht="13.9" hidden="1" customHeight="1" outlineLevel="2" x14ac:dyDescent="0.2">
      <c r="A512" s="457">
        <f ca="1">IF($H512="UNIDADE CONSTRUTIVA",OFFSET(A512,-1,0)+1,LARGE(A$3:A511,1))</f>
        <v>0</v>
      </c>
      <c r="B512" s="457">
        <f t="shared" ca="1" si="132"/>
        <v>8</v>
      </c>
      <c r="C512" s="457">
        <f t="shared" ca="1" si="133"/>
        <v>3</v>
      </c>
      <c r="D512" s="458">
        <f t="shared" ca="1" si="134"/>
        <v>3</v>
      </c>
      <c r="E512" s="458">
        <f t="shared" ca="1" si="135"/>
        <v>0</v>
      </c>
      <c r="G512" s="206"/>
      <c r="H512" s="207" t="s">
        <v>211</v>
      </c>
      <c r="I512" s="208" t="str">
        <f t="shared" ca="1" si="94"/>
        <v>08.003.003</v>
      </c>
      <c r="J512" s="209" t="s">
        <v>939</v>
      </c>
      <c r="K512" s="210"/>
      <c r="L512" s="455"/>
      <c r="M512" s="455"/>
      <c r="N512" s="285">
        <f t="shared" ca="1" si="136"/>
        <v>1516.0485145570531</v>
      </c>
      <c r="O512" s="462"/>
      <c r="P512" s="213"/>
      <c r="Q512" s="35"/>
      <c r="R512" s="35"/>
      <c r="S512" s="35"/>
    </row>
    <row r="513" spans="1:19" s="34" customFormat="1" ht="13.9" hidden="1" customHeight="1" outlineLevel="3" x14ac:dyDescent="0.2">
      <c r="A513" s="457">
        <f ca="1">IF($H513="UNIDADE CONSTRUTIVA",OFFSET(A513,-1,0)+1,LARGE(A$3:A512,1))</f>
        <v>0</v>
      </c>
      <c r="B513" s="457">
        <f t="shared" ca="1" si="132"/>
        <v>8</v>
      </c>
      <c r="C513" s="457">
        <f t="shared" ca="1" si="133"/>
        <v>3</v>
      </c>
      <c r="D513" s="458">
        <f t="shared" ca="1" si="134"/>
        <v>3</v>
      </c>
      <c r="E513" s="458">
        <f t="shared" ca="1" si="135"/>
        <v>1</v>
      </c>
      <c r="G513" s="206"/>
      <c r="H513" s="207" t="s">
        <v>212</v>
      </c>
      <c r="I513" s="208" t="str">
        <f t="shared" ca="1" si="94"/>
        <v>08.003.003.001</v>
      </c>
      <c r="J513" s="209" t="s">
        <v>939</v>
      </c>
      <c r="K513" s="210" t="s">
        <v>151</v>
      </c>
      <c r="L513" s="455">
        <v>1</v>
      </c>
      <c r="M513" s="455">
        <f>Instalações!F35</f>
        <v>1516.0485145570531</v>
      </c>
      <c r="N513" s="285">
        <f t="shared" si="136"/>
        <v>1516.0485145570531</v>
      </c>
      <c r="O513" s="462"/>
      <c r="P513" s="213" t="s">
        <v>518</v>
      </c>
      <c r="Q513" s="35"/>
      <c r="R513" s="35"/>
      <c r="S513" s="35"/>
    </row>
    <row r="514" spans="1:19" s="34" customFormat="1" ht="13.9" hidden="1" customHeight="1" outlineLevel="2" x14ac:dyDescent="0.2">
      <c r="A514" s="457">
        <f ca="1">IF($H514="UNIDADE CONSTRUTIVA",OFFSET(A514,-1,0)+1,LARGE(A$3:A513,1))</f>
        <v>0</v>
      </c>
      <c r="B514" s="457">
        <f t="shared" ca="1" si="132"/>
        <v>8</v>
      </c>
      <c r="C514" s="457">
        <f t="shared" ca="1" si="133"/>
        <v>3</v>
      </c>
      <c r="D514" s="458">
        <f t="shared" ca="1" si="134"/>
        <v>4</v>
      </c>
      <c r="E514" s="458">
        <f t="shared" ca="1" si="135"/>
        <v>0</v>
      </c>
      <c r="G514" s="206"/>
      <c r="H514" s="207" t="s">
        <v>211</v>
      </c>
      <c r="I514" s="208" t="str">
        <f t="shared" ca="1" si="94"/>
        <v>08.003.004</v>
      </c>
      <c r="J514" s="209" t="s">
        <v>940</v>
      </c>
      <c r="K514" s="210"/>
      <c r="L514" s="455"/>
      <c r="M514" s="455"/>
      <c r="N514" s="285">
        <f t="shared" ca="1" si="136"/>
        <v>10035.705680848001</v>
      </c>
      <c r="O514" s="462"/>
      <c r="P514" s="213"/>
      <c r="Q514" s="35"/>
      <c r="R514" s="35"/>
      <c r="S514" s="35"/>
    </row>
    <row r="515" spans="1:19" s="34" customFormat="1" ht="13.9" hidden="1" customHeight="1" outlineLevel="3" x14ac:dyDescent="0.2">
      <c r="A515" s="457">
        <f ca="1">IF($H515="UNIDADE CONSTRUTIVA",OFFSET(A515,-1,0)+1,LARGE(A$3:A514,1))</f>
        <v>0</v>
      </c>
      <c r="B515" s="457">
        <f t="shared" ca="1" si="132"/>
        <v>8</v>
      </c>
      <c r="C515" s="457">
        <f t="shared" ca="1" si="133"/>
        <v>3</v>
      </c>
      <c r="D515" s="458">
        <f t="shared" ca="1" si="134"/>
        <v>4</v>
      </c>
      <c r="E515" s="458">
        <f t="shared" ca="1" si="135"/>
        <v>1</v>
      </c>
      <c r="G515" s="206"/>
      <c r="H515" s="207" t="s">
        <v>212</v>
      </c>
      <c r="I515" s="208" t="str">
        <f t="shared" ca="1" si="94"/>
        <v>08.003.004.001</v>
      </c>
      <c r="J515" s="209" t="s">
        <v>940</v>
      </c>
      <c r="K515" s="210" t="s">
        <v>151</v>
      </c>
      <c r="L515" s="455">
        <v>1</v>
      </c>
      <c r="M515" s="455">
        <f>Instalações!F39</f>
        <v>10035.705680848001</v>
      </c>
      <c r="N515" s="285">
        <f t="shared" si="136"/>
        <v>10035.705680848001</v>
      </c>
      <c r="O515" s="462"/>
      <c r="P515" s="213" t="s">
        <v>518</v>
      </c>
      <c r="Q515" s="35"/>
      <c r="R515" s="35"/>
      <c r="S515" s="35"/>
    </row>
    <row r="516" spans="1:19" s="34" customFormat="1" ht="13.9" hidden="1" customHeight="1" outlineLevel="2" x14ac:dyDescent="0.2">
      <c r="A516" s="457">
        <f ca="1">IF($H516="UNIDADE CONSTRUTIVA",OFFSET(A516,-1,0)+1,LARGE(A$3:A515,1))</f>
        <v>0</v>
      </c>
      <c r="B516" s="457">
        <f t="shared" ca="1" si="132"/>
        <v>8</v>
      </c>
      <c r="C516" s="457">
        <f t="shared" ca="1" si="133"/>
        <v>3</v>
      </c>
      <c r="D516" s="458">
        <f t="shared" ca="1" si="134"/>
        <v>5</v>
      </c>
      <c r="E516" s="458">
        <f t="shared" ca="1" si="135"/>
        <v>0</v>
      </c>
      <c r="G516" s="206"/>
      <c r="H516" s="207" t="s">
        <v>211</v>
      </c>
      <c r="I516" s="208" t="str">
        <f t="shared" ca="1" si="94"/>
        <v>08.003.005</v>
      </c>
      <c r="J516" s="209" t="s">
        <v>153</v>
      </c>
      <c r="K516" s="210"/>
      <c r="L516" s="455"/>
      <c r="M516" s="455"/>
      <c r="N516" s="285">
        <f t="shared" ca="1" si="136"/>
        <v>1677.6273221737254</v>
      </c>
      <c r="O516" s="462"/>
      <c r="P516" s="213"/>
      <c r="Q516" s="35"/>
      <c r="R516" s="35"/>
      <c r="S516" s="35"/>
    </row>
    <row r="517" spans="1:19" s="34" customFormat="1" ht="13.9" hidden="1" customHeight="1" outlineLevel="3" x14ac:dyDescent="0.2">
      <c r="A517" s="457">
        <f ca="1">IF($H517="UNIDADE CONSTRUTIVA",OFFSET(A517,-1,0)+1,LARGE(A$3:A516,1))</f>
        <v>0</v>
      </c>
      <c r="B517" s="457">
        <f t="shared" ca="1" si="132"/>
        <v>8</v>
      </c>
      <c r="C517" s="457">
        <f t="shared" ca="1" si="133"/>
        <v>3</v>
      </c>
      <c r="D517" s="458">
        <f t="shared" ca="1" si="134"/>
        <v>5</v>
      </c>
      <c r="E517" s="458">
        <f t="shared" ca="1" si="135"/>
        <v>1</v>
      </c>
      <c r="G517" s="206"/>
      <c r="H517" s="207" t="s">
        <v>212</v>
      </c>
      <c r="I517" s="208" t="str">
        <f t="shared" ca="1" si="94"/>
        <v>08.003.005.001</v>
      </c>
      <c r="J517" s="209" t="s">
        <v>153</v>
      </c>
      <c r="K517" s="210" t="s">
        <v>151</v>
      </c>
      <c r="L517" s="455">
        <v>1</v>
      </c>
      <c r="M517" s="455">
        <f>Instalações!F53</f>
        <v>1677.6273221737254</v>
      </c>
      <c r="N517" s="285">
        <f t="shared" si="136"/>
        <v>1677.6273221737254</v>
      </c>
      <c r="O517" s="462"/>
      <c r="P517" s="213" t="s">
        <v>518</v>
      </c>
      <c r="Q517" s="35"/>
      <c r="R517" s="35"/>
      <c r="S517" s="35"/>
    </row>
    <row r="518" spans="1:19" s="34" customFormat="1" ht="13.9" hidden="1" customHeight="1" outlineLevel="2" x14ac:dyDescent="0.2">
      <c r="A518" s="457">
        <f ca="1">IF($H518="UNIDADE CONSTRUTIVA",OFFSET(A518,-1,0)+1,LARGE(A$3:A517,1))</f>
        <v>0</v>
      </c>
      <c r="B518" s="457">
        <f t="shared" ca="1" si="132"/>
        <v>8</v>
      </c>
      <c r="C518" s="457">
        <f t="shared" ca="1" si="133"/>
        <v>3</v>
      </c>
      <c r="D518" s="458">
        <f t="shared" ca="1" si="134"/>
        <v>6</v>
      </c>
      <c r="E518" s="458">
        <f t="shared" ca="1" si="135"/>
        <v>0</v>
      </c>
      <c r="G518" s="206"/>
      <c r="H518" s="207" t="s">
        <v>211</v>
      </c>
      <c r="I518" s="208" t="str">
        <f t="shared" ca="1" si="94"/>
        <v>08.003.006</v>
      </c>
      <c r="J518" s="209" t="s">
        <v>179</v>
      </c>
      <c r="K518" s="210"/>
      <c r="L518" s="455"/>
      <c r="M518" s="455"/>
      <c r="N518" s="285">
        <f t="shared" ca="1" si="136"/>
        <v>851.51888052184745</v>
      </c>
      <c r="O518" s="462"/>
      <c r="P518" s="213"/>
      <c r="Q518" s="35"/>
      <c r="R518" s="35"/>
      <c r="S518" s="35"/>
    </row>
    <row r="519" spans="1:19" s="34" customFormat="1" ht="13.9" hidden="1" customHeight="1" outlineLevel="3" x14ac:dyDescent="0.2">
      <c r="A519" s="457">
        <f ca="1">IF($H519="UNIDADE CONSTRUTIVA",OFFSET(A519,-1,0)+1,LARGE(A$3:A518,1))</f>
        <v>0</v>
      </c>
      <c r="B519" s="457">
        <f t="shared" ca="1" si="132"/>
        <v>8</v>
      </c>
      <c r="C519" s="457">
        <f t="shared" ca="1" si="133"/>
        <v>3</v>
      </c>
      <c r="D519" s="458">
        <f t="shared" ca="1" si="134"/>
        <v>6</v>
      </c>
      <c r="E519" s="458">
        <f t="shared" ca="1" si="135"/>
        <v>1</v>
      </c>
      <c r="G519" s="206"/>
      <c r="H519" s="207" t="s">
        <v>212</v>
      </c>
      <c r="I519" s="208" t="str">
        <f t="shared" ca="1" si="94"/>
        <v>08.003.006.001</v>
      </c>
      <c r="J519" s="209" t="s">
        <v>179</v>
      </c>
      <c r="K519" s="210" t="s">
        <v>151</v>
      </c>
      <c r="L519" s="455">
        <v>1</v>
      </c>
      <c r="M519" s="455">
        <f>Instalações!F66</f>
        <v>851.51888052184745</v>
      </c>
      <c r="N519" s="285">
        <f t="shared" si="136"/>
        <v>851.51888052184745</v>
      </c>
      <c r="O519" s="462"/>
      <c r="P519" s="213" t="s">
        <v>518</v>
      </c>
      <c r="Q519" s="35"/>
      <c r="R519" s="35"/>
      <c r="S519" s="35"/>
    </row>
    <row r="520" spans="1:19" s="34" customFormat="1" ht="13.9" hidden="1" customHeight="1" outlineLevel="2" x14ac:dyDescent="0.2">
      <c r="A520" s="457">
        <f ca="1">IF($H520="UNIDADE CONSTRUTIVA",OFFSET(A520,-1,0)+1,LARGE(A$3:A519,1))</f>
        <v>0</v>
      </c>
      <c r="B520" s="457">
        <f t="shared" ca="1" si="132"/>
        <v>8</v>
      </c>
      <c r="C520" s="457">
        <f t="shared" ca="1" si="133"/>
        <v>3</v>
      </c>
      <c r="D520" s="458">
        <f t="shared" ca="1" si="134"/>
        <v>7</v>
      </c>
      <c r="E520" s="458">
        <f t="shared" ca="1" si="135"/>
        <v>0</v>
      </c>
      <c r="G520" s="206"/>
      <c r="H520" s="207" t="s">
        <v>211</v>
      </c>
      <c r="I520" s="208" t="str">
        <f t="shared" ca="1" si="94"/>
        <v>08.003.007</v>
      </c>
      <c r="J520" s="209" t="s">
        <v>180</v>
      </c>
      <c r="K520" s="210"/>
      <c r="L520" s="455"/>
      <c r="M520" s="455"/>
      <c r="N520" s="285">
        <f t="shared" ca="1" si="136"/>
        <v>1783.827164852031</v>
      </c>
      <c r="O520" s="462"/>
      <c r="P520" s="213"/>
      <c r="Q520" s="35"/>
      <c r="R520" s="35"/>
      <c r="S520" s="35"/>
    </row>
    <row r="521" spans="1:19" s="34" customFormat="1" ht="13.9" hidden="1" customHeight="1" outlineLevel="3" x14ac:dyDescent="0.2">
      <c r="A521" s="457">
        <f ca="1">IF($H521="UNIDADE CONSTRUTIVA",OFFSET(A521,-1,0)+1,LARGE(A$3:A520,1))</f>
        <v>0</v>
      </c>
      <c r="B521" s="457">
        <f t="shared" ca="1" si="132"/>
        <v>8</v>
      </c>
      <c r="C521" s="457">
        <f t="shared" ca="1" si="133"/>
        <v>3</v>
      </c>
      <c r="D521" s="458">
        <f t="shared" ca="1" si="134"/>
        <v>7</v>
      </c>
      <c r="E521" s="458">
        <f t="shared" ca="1" si="135"/>
        <v>1</v>
      </c>
      <c r="G521" s="206"/>
      <c r="H521" s="207" t="s">
        <v>212</v>
      </c>
      <c r="I521" s="208" t="str">
        <f t="shared" ca="1" si="94"/>
        <v>08.003.007.001</v>
      </c>
      <c r="J521" s="209" t="s">
        <v>181</v>
      </c>
      <c r="K521" s="210" t="s">
        <v>151</v>
      </c>
      <c r="L521" s="455">
        <v>1</v>
      </c>
      <c r="M521" s="455">
        <f>Instalações!F49</f>
        <v>1783.827164852031</v>
      </c>
      <c r="N521" s="285">
        <f t="shared" si="136"/>
        <v>1783.827164852031</v>
      </c>
      <c r="O521" s="462"/>
      <c r="P521" s="213" t="s">
        <v>518</v>
      </c>
      <c r="Q521" s="35"/>
      <c r="R521" s="35"/>
      <c r="S521" s="35"/>
    </row>
    <row r="522" spans="1:19" s="34" customFormat="1" ht="13.9" hidden="1" customHeight="1" outlineLevel="2" x14ac:dyDescent="0.2">
      <c r="A522" s="457">
        <f ca="1">IF($H522="UNIDADE CONSTRUTIVA",OFFSET(A522,-1,0)+1,LARGE(A$3:A521,1))</f>
        <v>0</v>
      </c>
      <c r="B522" s="457">
        <f t="shared" ca="1" si="132"/>
        <v>8</v>
      </c>
      <c r="C522" s="457">
        <f t="shared" ca="1" si="133"/>
        <v>3</v>
      </c>
      <c r="D522" s="458">
        <f t="shared" ca="1" si="134"/>
        <v>8</v>
      </c>
      <c r="E522" s="458">
        <f t="shared" ca="1" si="135"/>
        <v>0</v>
      </c>
      <c r="G522" s="206"/>
      <c r="H522" s="207" t="s">
        <v>211</v>
      </c>
      <c r="I522" s="208" t="str">
        <f t="shared" ca="1" si="94"/>
        <v>08.003.008</v>
      </c>
      <c r="J522" s="209" t="s">
        <v>941</v>
      </c>
      <c r="K522" s="210"/>
      <c r="L522" s="455"/>
      <c r="M522" s="455"/>
      <c r="N522" s="285">
        <f t="shared" ca="1" si="136"/>
        <v>44896.799999999996</v>
      </c>
      <c r="O522" s="462"/>
      <c r="P522" s="213"/>
      <c r="Q522" s="35"/>
      <c r="R522" s="35"/>
      <c r="S522" s="35"/>
    </row>
    <row r="523" spans="1:19" s="34" customFormat="1" ht="13.9" hidden="1" customHeight="1" outlineLevel="3" x14ac:dyDescent="0.2">
      <c r="A523" s="457">
        <f ca="1">IF($H523="UNIDADE CONSTRUTIVA",OFFSET(A523,-1,0)+1,LARGE(A$3:A522,1))</f>
        <v>0</v>
      </c>
      <c r="B523" s="457">
        <f t="shared" ca="1" si="132"/>
        <v>8</v>
      </c>
      <c r="C523" s="457">
        <f t="shared" ca="1" si="133"/>
        <v>3</v>
      </c>
      <c r="D523" s="458">
        <f t="shared" ca="1" si="134"/>
        <v>8</v>
      </c>
      <c r="E523" s="458">
        <f t="shared" ca="1" si="135"/>
        <v>1</v>
      </c>
      <c r="G523" s="206"/>
      <c r="H523" s="207" t="s">
        <v>212</v>
      </c>
      <c r="I523" s="208" t="str">
        <f t="shared" ca="1" si="94"/>
        <v>08.003.008.001</v>
      </c>
      <c r="J523" s="209" t="s">
        <v>942</v>
      </c>
      <c r="K523" s="210" t="s">
        <v>151</v>
      </c>
      <c r="L523" s="455">
        <v>1</v>
      </c>
      <c r="M523" s="455">
        <f>'Obra '!E19*60</f>
        <v>44896.799999999996</v>
      </c>
      <c r="N523" s="285">
        <f t="shared" si="136"/>
        <v>44896.799999999996</v>
      </c>
      <c r="O523" s="462"/>
      <c r="P523" s="213" t="s">
        <v>518</v>
      </c>
      <c r="Q523" s="35"/>
      <c r="R523" s="35"/>
      <c r="S523" s="35"/>
    </row>
    <row r="524" spans="1:19" s="34" customFormat="1" ht="13.9" hidden="1" customHeight="1" outlineLevel="1" x14ac:dyDescent="0.2">
      <c r="A524" s="457">
        <f ca="1">IF($H524="UNIDADE CONSTRUTIVA",OFFSET(A524,-1,0)+1,LARGE(A$3:A523,1))</f>
        <v>0</v>
      </c>
      <c r="B524" s="457">
        <f t="shared" ca="1" si="132"/>
        <v>8</v>
      </c>
      <c r="C524" s="457">
        <f t="shared" ca="1" si="133"/>
        <v>4</v>
      </c>
      <c r="D524" s="458">
        <f t="shared" ca="1" si="134"/>
        <v>0</v>
      </c>
      <c r="E524" s="458">
        <f t="shared" ca="1" si="135"/>
        <v>1</v>
      </c>
      <c r="G524" s="206"/>
      <c r="H524" s="207" t="s">
        <v>210</v>
      </c>
      <c r="I524" s="208" t="str">
        <f t="shared" ca="1" si="94"/>
        <v>08.004</v>
      </c>
      <c r="J524" s="209" t="s">
        <v>947</v>
      </c>
      <c r="K524" s="210"/>
      <c r="L524" s="455"/>
      <c r="M524" s="455"/>
      <c r="N524" s="285">
        <f t="shared" ca="1" si="136"/>
        <v>126777.89604050609</v>
      </c>
      <c r="O524" s="462"/>
      <c r="P524" s="213"/>
      <c r="Q524" s="35"/>
      <c r="R524" s="35"/>
      <c r="S524" s="35"/>
    </row>
    <row r="525" spans="1:19" s="34" customFormat="1" ht="13.9" hidden="1" customHeight="1" outlineLevel="2" x14ac:dyDescent="0.2">
      <c r="A525" s="457">
        <f ca="1">IF($H525="UNIDADE CONSTRUTIVA",OFFSET(A525,-1,0)+1,LARGE(A$3:A524,1))</f>
        <v>0</v>
      </c>
      <c r="B525" s="457">
        <f t="shared" ca="1" si="132"/>
        <v>8</v>
      </c>
      <c r="C525" s="457">
        <f t="shared" ca="1" si="133"/>
        <v>4</v>
      </c>
      <c r="D525" s="458">
        <f t="shared" ca="1" si="134"/>
        <v>1</v>
      </c>
      <c r="E525" s="458">
        <f t="shared" ca="1" si="135"/>
        <v>0</v>
      </c>
      <c r="G525" s="206"/>
      <c r="H525" s="207" t="s">
        <v>211</v>
      </c>
      <c r="I525" s="208" t="str">
        <f t="shared" ca="1" si="94"/>
        <v>08.004.001</v>
      </c>
      <c r="J525" s="209" t="s">
        <v>936</v>
      </c>
      <c r="K525" s="210"/>
      <c r="L525" s="455"/>
      <c r="M525" s="455"/>
      <c r="N525" s="285">
        <f t="shared" ca="1" si="136"/>
        <v>13099.246647224747</v>
      </c>
      <c r="O525" s="462"/>
      <c r="P525" s="213"/>
      <c r="Q525" s="35"/>
      <c r="R525" s="35"/>
      <c r="S525" s="35"/>
    </row>
    <row r="526" spans="1:19" s="34" customFormat="1" ht="13.9" hidden="1" customHeight="1" outlineLevel="3" x14ac:dyDescent="0.2">
      <c r="A526" s="457">
        <f ca="1">IF($H526="UNIDADE CONSTRUTIVA",OFFSET(A526,-1,0)+1,LARGE(A$3:A525,1))</f>
        <v>0</v>
      </c>
      <c r="B526" s="457">
        <f t="shared" ca="1" si="132"/>
        <v>8</v>
      </c>
      <c r="C526" s="457">
        <f t="shared" ca="1" si="133"/>
        <v>4</v>
      </c>
      <c r="D526" s="458">
        <f t="shared" ca="1" si="134"/>
        <v>1</v>
      </c>
      <c r="E526" s="458">
        <f t="shared" ca="1" si="135"/>
        <v>1</v>
      </c>
      <c r="G526" s="206"/>
      <c r="H526" s="207" t="s">
        <v>212</v>
      </c>
      <c r="I526" s="208" t="str">
        <f t="shared" ca="1" si="94"/>
        <v>08.004.001.001</v>
      </c>
      <c r="J526" s="209" t="s">
        <v>936</v>
      </c>
      <c r="K526" s="210" t="s">
        <v>151</v>
      </c>
      <c r="L526" s="455">
        <v>1</v>
      </c>
      <c r="M526" s="455">
        <f>Instalações!G14</f>
        <v>13099.246647224747</v>
      </c>
      <c r="N526" s="285">
        <f t="shared" si="136"/>
        <v>13099.246647224747</v>
      </c>
      <c r="O526" s="462"/>
      <c r="P526" s="213" t="s">
        <v>518</v>
      </c>
      <c r="Q526" s="35"/>
      <c r="R526" s="35"/>
      <c r="S526" s="35"/>
    </row>
    <row r="527" spans="1:19" s="34" customFormat="1" ht="13.9" hidden="1" customHeight="1" outlineLevel="2" x14ac:dyDescent="0.2">
      <c r="A527" s="457">
        <f ca="1">IF($H527="UNIDADE CONSTRUTIVA",OFFSET(A527,-1,0)+1,LARGE(A$3:A526,1))</f>
        <v>0</v>
      </c>
      <c r="B527" s="457">
        <f t="shared" ref="B527:B533" ca="1" si="137">IF(H527="UNIDADE CONSTRUTIVA",0,IF(H527="CÉLULA CONSTRUTIVA",OFFSET(B527,-1,0)+1,OFFSET(B527,-1,0)))</f>
        <v>8</v>
      </c>
      <c r="C527" s="457">
        <f t="shared" ref="C527:C533" ca="1" si="138">IF(H527="CÉLULA CONSTRUTIVA",0,IF(H527="ETAPA",OFFSET(C527,-1,0)+1,OFFSET(C527,-1,0)))</f>
        <v>4</v>
      </c>
      <c r="D527" s="458">
        <f t="shared" ref="D527:D533" ca="1" si="139">IF(H527="ETAPA",0,IF(H527="SUBETAPA",OFFSET(D527,-1,0)+1,OFFSET(D527,-1,0)))</f>
        <v>2</v>
      </c>
      <c r="E527" s="458">
        <f t="shared" ref="E527:E533" ca="1" si="140">IF(H527="Subetapa",0,IF(H527="serviço",OFFSET(E527,-1,0)+1,OFFSET(E527,-1,0)))</f>
        <v>0</v>
      </c>
      <c r="G527" s="206"/>
      <c r="H527" s="207" t="s">
        <v>211</v>
      </c>
      <c r="I527" s="208" t="str">
        <f t="shared" ca="1" si="94"/>
        <v>08.004.002</v>
      </c>
      <c r="J527" s="209" t="s">
        <v>550</v>
      </c>
      <c r="K527" s="210"/>
      <c r="L527" s="455"/>
      <c r="M527" s="455"/>
      <c r="N527" s="285">
        <f t="shared" ca="1" si="136"/>
        <v>20005.932580162822</v>
      </c>
      <c r="O527" s="462"/>
      <c r="P527" s="213"/>
      <c r="Q527" s="35"/>
      <c r="R527" s="35"/>
      <c r="S527" s="35"/>
    </row>
    <row r="528" spans="1:19" s="34" customFormat="1" ht="13.9" hidden="1" customHeight="1" outlineLevel="3" x14ac:dyDescent="0.2">
      <c r="A528" s="457">
        <f ca="1">IF($H528="UNIDADE CONSTRUTIVA",OFFSET(A528,-1,0)+1,LARGE(A$3:A527,1))</f>
        <v>0</v>
      </c>
      <c r="B528" s="457">
        <f t="shared" ca="1" si="137"/>
        <v>8</v>
      </c>
      <c r="C528" s="457">
        <f t="shared" ca="1" si="138"/>
        <v>4</v>
      </c>
      <c r="D528" s="458">
        <f t="shared" ca="1" si="139"/>
        <v>2</v>
      </c>
      <c r="E528" s="458">
        <f t="shared" ca="1" si="140"/>
        <v>1</v>
      </c>
      <c r="G528" s="206"/>
      <c r="H528" s="207" t="s">
        <v>212</v>
      </c>
      <c r="I528" s="208" t="str">
        <f t="shared" ca="1" si="94"/>
        <v>08.004.002.001</v>
      </c>
      <c r="J528" s="209" t="s">
        <v>943</v>
      </c>
      <c r="K528" s="210" t="s">
        <v>151</v>
      </c>
      <c r="L528" s="455">
        <v>1</v>
      </c>
      <c r="M528" s="455">
        <f>Instalações!G71</f>
        <v>20005.932580162822</v>
      </c>
      <c r="N528" s="285">
        <f t="shared" si="136"/>
        <v>20005.932580162822</v>
      </c>
      <c r="O528" s="462"/>
      <c r="P528" s="213" t="s">
        <v>518</v>
      </c>
      <c r="Q528" s="35"/>
      <c r="R528" s="35"/>
      <c r="S528" s="35"/>
    </row>
    <row r="529" spans="1:19" s="34" customFormat="1" ht="13.9" hidden="1" customHeight="1" outlineLevel="2" x14ac:dyDescent="0.2">
      <c r="A529" s="457">
        <f ca="1">IF($H529="UNIDADE CONSTRUTIVA",OFFSET(A529,-1,0)+1,LARGE(A$3:A528,1))</f>
        <v>0</v>
      </c>
      <c r="B529" s="457">
        <f t="shared" ca="1" si="137"/>
        <v>8</v>
      </c>
      <c r="C529" s="457">
        <f t="shared" ca="1" si="138"/>
        <v>4</v>
      </c>
      <c r="D529" s="458">
        <f t="shared" ca="1" si="139"/>
        <v>3</v>
      </c>
      <c r="E529" s="458">
        <f t="shared" ca="1" si="140"/>
        <v>0</v>
      </c>
      <c r="G529" s="206"/>
      <c r="H529" s="207" t="s">
        <v>211</v>
      </c>
      <c r="I529" s="208" t="str">
        <f t="shared" ca="1" si="94"/>
        <v>08.004.003</v>
      </c>
      <c r="J529" s="209" t="s">
        <v>938</v>
      </c>
      <c r="K529" s="210"/>
      <c r="L529" s="455"/>
      <c r="M529" s="455"/>
      <c r="N529" s="285">
        <f t="shared" ca="1" si="136"/>
        <v>7377.6755227805143</v>
      </c>
      <c r="O529" s="462"/>
      <c r="P529" s="213"/>
      <c r="Q529" s="35"/>
      <c r="R529" s="35"/>
      <c r="S529" s="35"/>
    </row>
    <row r="530" spans="1:19" s="34" customFormat="1" ht="13.9" hidden="1" customHeight="1" outlineLevel="3" x14ac:dyDescent="0.2">
      <c r="A530" s="457">
        <f ca="1">IF($H530="UNIDADE CONSTRUTIVA",OFFSET(A530,-1,0)+1,LARGE(A$3:A529,1))</f>
        <v>0</v>
      </c>
      <c r="B530" s="457">
        <f t="shared" ca="1" si="137"/>
        <v>8</v>
      </c>
      <c r="C530" s="457">
        <f t="shared" ca="1" si="138"/>
        <v>4</v>
      </c>
      <c r="D530" s="458">
        <f t="shared" ca="1" si="139"/>
        <v>3</v>
      </c>
      <c r="E530" s="458">
        <f t="shared" ca="1" si="140"/>
        <v>1</v>
      </c>
      <c r="G530" s="206"/>
      <c r="H530" s="207" t="s">
        <v>212</v>
      </c>
      <c r="I530" s="208" t="str">
        <f t="shared" ca="1" si="94"/>
        <v>08.004.003.001</v>
      </c>
      <c r="J530" s="209" t="s">
        <v>938</v>
      </c>
      <c r="K530" s="210" t="s">
        <v>151</v>
      </c>
      <c r="L530" s="455">
        <v>1</v>
      </c>
      <c r="M530" s="455">
        <f>Instalações!G24</f>
        <v>7377.6755227805143</v>
      </c>
      <c r="N530" s="285">
        <f t="shared" si="136"/>
        <v>7377.6755227805143</v>
      </c>
      <c r="O530" s="462"/>
      <c r="P530" s="213" t="s">
        <v>518</v>
      </c>
      <c r="Q530" s="35"/>
      <c r="R530" s="35"/>
      <c r="S530" s="35"/>
    </row>
    <row r="531" spans="1:19" s="34" customFormat="1" ht="13.9" hidden="1" customHeight="1" outlineLevel="2" x14ac:dyDescent="0.2">
      <c r="A531" s="457">
        <f ca="1">IF($H531="UNIDADE CONSTRUTIVA",OFFSET(A531,-1,0)+1,LARGE(A$3:A530,1))</f>
        <v>0</v>
      </c>
      <c r="B531" s="457">
        <f t="shared" ca="1" si="137"/>
        <v>8</v>
      </c>
      <c r="C531" s="457">
        <f t="shared" ca="1" si="138"/>
        <v>4</v>
      </c>
      <c r="D531" s="458">
        <f t="shared" ca="1" si="139"/>
        <v>4</v>
      </c>
      <c r="E531" s="458">
        <f t="shared" ca="1" si="140"/>
        <v>0</v>
      </c>
      <c r="G531" s="206"/>
      <c r="H531" s="207" t="s">
        <v>211</v>
      </c>
      <c r="I531" s="208" t="str">
        <f t="shared" ca="1" si="94"/>
        <v>08.004.004</v>
      </c>
      <c r="J531" s="209" t="s">
        <v>939</v>
      </c>
      <c r="K531" s="210"/>
      <c r="L531" s="455"/>
      <c r="M531" s="455"/>
      <c r="N531" s="285">
        <f t="shared" ca="1" si="136"/>
        <v>2098.9642032796291</v>
      </c>
      <c r="O531" s="462"/>
      <c r="P531" s="213"/>
      <c r="Q531" s="35"/>
      <c r="R531" s="35"/>
      <c r="S531" s="35"/>
    </row>
    <row r="532" spans="1:19" s="34" customFormat="1" ht="13.9" hidden="1" customHeight="1" outlineLevel="3" x14ac:dyDescent="0.2">
      <c r="A532" s="457">
        <f ca="1">IF($H532="UNIDADE CONSTRUTIVA",OFFSET(A532,-1,0)+1,LARGE(A$3:A531,1))</f>
        <v>0</v>
      </c>
      <c r="B532" s="457">
        <f t="shared" ca="1" si="137"/>
        <v>8</v>
      </c>
      <c r="C532" s="457">
        <f t="shared" ca="1" si="138"/>
        <v>4</v>
      </c>
      <c r="D532" s="458">
        <f t="shared" ca="1" si="139"/>
        <v>4</v>
      </c>
      <c r="E532" s="458">
        <f t="shared" ca="1" si="140"/>
        <v>1</v>
      </c>
      <c r="G532" s="206"/>
      <c r="H532" s="207" t="s">
        <v>212</v>
      </c>
      <c r="I532" s="208" t="str">
        <f t="shared" ca="1" si="94"/>
        <v>08.004.004.001</v>
      </c>
      <c r="J532" s="209" t="s">
        <v>939</v>
      </c>
      <c r="K532" s="210" t="s">
        <v>151</v>
      </c>
      <c r="L532" s="455">
        <v>1</v>
      </c>
      <c r="M532" s="455">
        <f>Instalações!G32</f>
        <v>2098.9642032796291</v>
      </c>
      <c r="N532" s="285">
        <f t="shared" si="136"/>
        <v>2098.9642032796291</v>
      </c>
      <c r="O532" s="462"/>
      <c r="P532" s="213" t="s">
        <v>518</v>
      </c>
      <c r="Q532" s="35"/>
      <c r="R532" s="35"/>
      <c r="S532" s="35"/>
    </row>
    <row r="533" spans="1:19" s="34" customFormat="1" ht="13.9" hidden="1" customHeight="1" outlineLevel="2" x14ac:dyDescent="0.2">
      <c r="A533" s="457">
        <f ca="1">IF($H533="UNIDADE CONSTRUTIVA",OFFSET(A533,-1,0)+1,LARGE(A$3:A532,1))</f>
        <v>0</v>
      </c>
      <c r="B533" s="457">
        <f t="shared" ca="1" si="137"/>
        <v>8</v>
      </c>
      <c r="C533" s="457">
        <f t="shared" ca="1" si="138"/>
        <v>4</v>
      </c>
      <c r="D533" s="458">
        <f t="shared" ca="1" si="139"/>
        <v>5</v>
      </c>
      <c r="E533" s="458">
        <f t="shared" ca="1" si="140"/>
        <v>0</v>
      </c>
      <c r="G533" s="206"/>
      <c r="H533" s="207" t="s">
        <v>211</v>
      </c>
      <c r="I533" s="208" t="str">
        <f t="shared" ca="1" si="94"/>
        <v>08.004.005</v>
      </c>
      <c r="J533" s="209" t="s">
        <v>940</v>
      </c>
      <c r="K533" s="210"/>
      <c r="L533" s="455"/>
      <c r="M533" s="455"/>
      <c r="N533" s="285">
        <f t="shared" ca="1" si="136"/>
        <v>21700.568615480235</v>
      </c>
      <c r="O533" s="462"/>
      <c r="P533" s="213"/>
      <c r="Q533" s="35"/>
      <c r="R533" s="35"/>
      <c r="S533" s="35"/>
    </row>
    <row r="534" spans="1:19" s="34" customFormat="1" ht="13.9" hidden="1" customHeight="1" outlineLevel="3" x14ac:dyDescent="0.2">
      <c r="A534" s="457">
        <f ca="1">IF($H534="UNIDADE CONSTRUTIVA",OFFSET(A534,-1,0)+1,LARGE(A$3:A533,1))</f>
        <v>0</v>
      </c>
      <c r="B534" s="457">
        <f t="shared" ref="B534:B608" ca="1" si="141">IF(H534="UNIDADE CONSTRUTIVA",0,IF(H534="CÉLULA CONSTRUTIVA",OFFSET(B534,-1,0)+1,OFFSET(B534,-1,0)))</f>
        <v>8</v>
      </c>
      <c r="C534" s="457">
        <f t="shared" ref="C534:C608" ca="1" si="142">IF(H534="CÉLULA CONSTRUTIVA",0,IF(H534="ETAPA",OFFSET(C534,-1,0)+1,OFFSET(C534,-1,0)))</f>
        <v>4</v>
      </c>
      <c r="D534" s="458">
        <f t="shared" ref="D534:D608" ca="1" si="143">IF(H534="ETAPA",0,IF(H534="SUBETAPA",OFFSET(D534,-1,0)+1,OFFSET(D534,-1,0)))</f>
        <v>5</v>
      </c>
      <c r="E534" s="458">
        <f t="shared" ref="E534:E608" ca="1" si="144">IF(H534="Subetapa",0,IF(H534="serviço",OFFSET(E534,-1,0)+1,OFFSET(E534,-1,0)))</f>
        <v>1</v>
      </c>
      <c r="G534" s="206"/>
      <c r="H534" s="207" t="s">
        <v>212</v>
      </c>
      <c r="I534" s="208" t="str">
        <f t="shared" ca="1" si="94"/>
        <v>08.004.005.001</v>
      </c>
      <c r="J534" s="209" t="s">
        <v>940</v>
      </c>
      <c r="K534" s="210" t="s">
        <v>151</v>
      </c>
      <c r="L534" s="455">
        <v>1</v>
      </c>
      <c r="M534" s="455">
        <f>Instalações!G42</f>
        <v>21700.568615480235</v>
      </c>
      <c r="N534" s="285">
        <f t="shared" si="136"/>
        <v>21700.568615480235</v>
      </c>
      <c r="O534" s="462"/>
      <c r="P534" s="213" t="s">
        <v>518</v>
      </c>
      <c r="Q534" s="35"/>
      <c r="R534" s="35"/>
      <c r="S534" s="35"/>
    </row>
    <row r="535" spans="1:19" s="34" customFormat="1" ht="13.9" hidden="1" customHeight="1" outlineLevel="2" x14ac:dyDescent="0.2">
      <c r="A535" s="457">
        <f ca="1">IF($H535="UNIDADE CONSTRUTIVA",OFFSET(A535,-1,0)+1,LARGE(A$3:A534,1))</f>
        <v>0</v>
      </c>
      <c r="B535" s="457">
        <f t="shared" ca="1" si="141"/>
        <v>8</v>
      </c>
      <c r="C535" s="457">
        <f t="shared" ca="1" si="142"/>
        <v>4</v>
      </c>
      <c r="D535" s="458">
        <f t="shared" ca="1" si="143"/>
        <v>6</v>
      </c>
      <c r="E535" s="458">
        <f t="shared" ca="1" si="144"/>
        <v>0</v>
      </c>
      <c r="G535" s="206"/>
      <c r="H535" s="207" t="s">
        <v>211</v>
      </c>
      <c r="I535" s="208" t="str">
        <f t="shared" ca="1" si="94"/>
        <v>08.004.006</v>
      </c>
      <c r="J535" s="209" t="s">
        <v>153</v>
      </c>
      <c r="K535" s="210"/>
      <c r="L535" s="455"/>
      <c r="M535" s="455"/>
      <c r="N535" s="285">
        <f t="shared" ref="N535:N566" ca="1" si="145">IF(H535="Serviço",M535*L535,IF(H535="CÉLULA CONSTRUTIVA",SUMIFS($N$8:$N$1867,$B$8:$B$1867,B535,$H$8:$H$1867,"Serviço"),IF(H535="ETAPA",SUMIFS($N$8:$N$1867,$B$8:$B$1867,B535,$C$8:$C$1867,C535,$H$8:$H$1867,"Serviço"),IF(H535="SUBETAPA",SUMIFS($N$8:$N$1867,$B$8:$B$1867,B535,$C$8:$C$1867,C535,$D$8:$D$1867,D535,$H$8:$H$1867,"Serviço"),0))))</f>
        <v>8033.601836305399</v>
      </c>
      <c r="O535" s="462"/>
      <c r="P535" s="213"/>
      <c r="Q535" s="35"/>
      <c r="R535" s="35"/>
      <c r="S535" s="35"/>
    </row>
    <row r="536" spans="1:19" s="34" customFormat="1" ht="13.9" hidden="1" customHeight="1" outlineLevel="3" x14ac:dyDescent="0.2">
      <c r="A536" s="457">
        <f ca="1">IF($H536="UNIDADE CONSTRUTIVA",OFFSET(A536,-1,0)+1,LARGE(A$3:A535,1))</f>
        <v>0</v>
      </c>
      <c r="B536" s="457">
        <f t="shared" ca="1" si="141"/>
        <v>8</v>
      </c>
      <c r="C536" s="457">
        <f t="shared" ca="1" si="142"/>
        <v>4</v>
      </c>
      <c r="D536" s="458">
        <f t="shared" ca="1" si="143"/>
        <v>6</v>
      </c>
      <c r="E536" s="458">
        <f t="shared" ca="1" si="144"/>
        <v>1</v>
      </c>
      <c r="G536" s="206"/>
      <c r="H536" s="207" t="s">
        <v>212</v>
      </c>
      <c r="I536" s="208" t="str">
        <f t="shared" ca="1" si="94"/>
        <v>08.004.006.001</v>
      </c>
      <c r="J536" s="209" t="s">
        <v>153</v>
      </c>
      <c r="K536" s="210" t="s">
        <v>151</v>
      </c>
      <c r="L536" s="455">
        <v>1</v>
      </c>
      <c r="M536" s="455">
        <f>Instalações!G57</f>
        <v>8033.601836305399</v>
      </c>
      <c r="N536" s="285">
        <f t="shared" si="145"/>
        <v>8033.601836305399</v>
      </c>
      <c r="O536" s="462"/>
      <c r="P536" s="213" t="s">
        <v>518</v>
      </c>
      <c r="Q536" s="35"/>
      <c r="R536" s="35"/>
      <c r="S536" s="35"/>
    </row>
    <row r="537" spans="1:19" s="34" customFormat="1" ht="13.9" hidden="1" customHeight="1" outlineLevel="2" x14ac:dyDescent="0.2">
      <c r="A537" s="457">
        <f ca="1">IF($H537="UNIDADE CONSTRUTIVA",OFFSET(A537,-1,0)+1,LARGE(A$3:A536,1))</f>
        <v>0</v>
      </c>
      <c r="B537" s="457">
        <f t="shared" ca="1" si="141"/>
        <v>8</v>
      </c>
      <c r="C537" s="457">
        <f t="shared" ca="1" si="142"/>
        <v>4</v>
      </c>
      <c r="D537" s="458">
        <f t="shared" ca="1" si="143"/>
        <v>7</v>
      </c>
      <c r="E537" s="458">
        <f t="shared" ca="1" si="144"/>
        <v>0</v>
      </c>
      <c r="G537" s="206"/>
      <c r="H537" s="207" t="s">
        <v>211</v>
      </c>
      <c r="I537" s="208" t="str">
        <f t="shared" ca="1" si="94"/>
        <v>08.004.007</v>
      </c>
      <c r="J537" s="209" t="s">
        <v>179</v>
      </c>
      <c r="K537" s="210"/>
      <c r="L537" s="455"/>
      <c r="M537" s="455"/>
      <c r="N537" s="285">
        <f t="shared" ca="1" si="145"/>
        <v>3348.1771057034953</v>
      </c>
      <c r="O537" s="462"/>
      <c r="P537" s="213"/>
      <c r="Q537" s="35"/>
      <c r="R537" s="35"/>
      <c r="S537" s="35"/>
    </row>
    <row r="538" spans="1:19" s="34" customFormat="1" ht="13.9" hidden="1" customHeight="1" outlineLevel="3" x14ac:dyDescent="0.2">
      <c r="A538" s="457">
        <f ca="1">IF($H538="UNIDADE CONSTRUTIVA",OFFSET(A538,-1,0)+1,LARGE(A$3:A537,1))</f>
        <v>0</v>
      </c>
      <c r="B538" s="457">
        <f t="shared" ca="1" si="141"/>
        <v>8</v>
      </c>
      <c r="C538" s="457">
        <f t="shared" ca="1" si="142"/>
        <v>4</v>
      </c>
      <c r="D538" s="458">
        <f t="shared" ca="1" si="143"/>
        <v>7</v>
      </c>
      <c r="E538" s="458">
        <f t="shared" ca="1" si="144"/>
        <v>1</v>
      </c>
      <c r="G538" s="206"/>
      <c r="H538" s="207" t="s">
        <v>212</v>
      </c>
      <c r="I538" s="208" t="str">
        <f t="shared" ca="1" si="94"/>
        <v>08.004.007.001</v>
      </c>
      <c r="J538" s="209" t="s">
        <v>179</v>
      </c>
      <c r="K538" s="210" t="s">
        <v>151</v>
      </c>
      <c r="L538" s="455">
        <v>1</v>
      </c>
      <c r="M538" s="455">
        <f>Instalações!G64</f>
        <v>3348.1771057034953</v>
      </c>
      <c r="N538" s="285">
        <f t="shared" si="145"/>
        <v>3348.1771057034953</v>
      </c>
      <c r="O538" s="462"/>
      <c r="P538" s="213" t="s">
        <v>518</v>
      </c>
      <c r="Q538" s="35"/>
      <c r="R538" s="35"/>
      <c r="S538" s="35"/>
    </row>
    <row r="539" spans="1:19" s="34" customFormat="1" ht="13.9" hidden="1" customHeight="1" outlineLevel="2" x14ac:dyDescent="0.2">
      <c r="A539" s="457">
        <f ca="1">IF($H539="UNIDADE CONSTRUTIVA",OFFSET(A539,-1,0)+1,LARGE(A$3:A538,1))</f>
        <v>0</v>
      </c>
      <c r="B539" s="457">
        <f t="shared" ca="1" si="141"/>
        <v>8</v>
      </c>
      <c r="C539" s="457">
        <f t="shared" ca="1" si="142"/>
        <v>4</v>
      </c>
      <c r="D539" s="458">
        <f t="shared" ca="1" si="143"/>
        <v>8</v>
      </c>
      <c r="E539" s="458">
        <f t="shared" ca="1" si="144"/>
        <v>0</v>
      </c>
      <c r="G539" s="206"/>
      <c r="H539" s="207" t="s">
        <v>211</v>
      </c>
      <c r="I539" s="208" t="str">
        <f t="shared" ca="1" si="94"/>
        <v>08.004.008</v>
      </c>
      <c r="J539" s="209" t="s">
        <v>180</v>
      </c>
      <c r="K539" s="210"/>
      <c r="L539" s="455"/>
      <c r="M539" s="455"/>
      <c r="N539" s="285">
        <f t="shared" ca="1" si="145"/>
        <v>3294.92952956925</v>
      </c>
      <c r="O539" s="462"/>
      <c r="P539" s="213"/>
      <c r="Q539" s="35"/>
      <c r="R539" s="35"/>
      <c r="S539" s="35"/>
    </row>
    <row r="540" spans="1:19" s="34" customFormat="1" ht="13.9" hidden="1" customHeight="1" outlineLevel="3" x14ac:dyDescent="0.2">
      <c r="A540" s="457">
        <f ca="1">IF($H540="UNIDADE CONSTRUTIVA",OFFSET(A540,-1,0)+1,LARGE(A$3:A539,1))</f>
        <v>0</v>
      </c>
      <c r="B540" s="457">
        <f t="shared" ca="1" si="141"/>
        <v>8</v>
      </c>
      <c r="C540" s="457">
        <f t="shared" ca="1" si="142"/>
        <v>4</v>
      </c>
      <c r="D540" s="458">
        <f t="shared" ca="1" si="143"/>
        <v>8</v>
      </c>
      <c r="E540" s="458">
        <f t="shared" ca="1" si="144"/>
        <v>1</v>
      </c>
      <c r="G540" s="206"/>
      <c r="H540" s="207" t="s">
        <v>212</v>
      </c>
      <c r="I540" s="208" t="str">
        <f t="shared" ca="1" si="94"/>
        <v>08.004.008.001</v>
      </c>
      <c r="J540" s="209" t="s">
        <v>181</v>
      </c>
      <c r="K540" s="210" t="s">
        <v>151</v>
      </c>
      <c r="L540" s="455">
        <v>1</v>
      </c>
      <c r="M540" s="455">
        <f>Instalações!G46</f>
        <v>3294.92952956925</v>
      </c>
      <c r="N540" s="285">
        <f t="shared" si="145"/>
        <v>3294.92952956925</v>
      </c>
      <c r="O540" s="462"/>
      <c r="P540" s="213" t="s">
        <v>518</v>
      </c>
      <c r="Q540" s="35"/>
      <c r="R540" s="35"/>
      <c r="S540" s="35"/>
    </row>
    <row r="541" spans="1:19" s="34" customFormat="1" ht="13.9" hidden="1" customHeight="1" outlineLevel="2" x14ac:dyDescent="0.2">
      <c r="A541" s="457">
        <f ca="1">IF($H541="UNIDADE CONSTRUTIVA",OFFSET(A541,-1,0)+1,LARGE(A$3:A540,1))</f>
        <v>0</v>
      </c>
      <c r="B541" s="457">
        <f t="shared" ca="1" si="141"/>
        <v>8</v>
      </c>
      <c r="C541" s="457">
        <f t="shared" ca="1" si="142"/>
        <v>4</v>
      </c>
      <c r="D541" s="458">
        <f t="shared" ca="1" si="143"/>
        <v>9</v>
      </c>
      <c r="E541" s="458">
        <f t="shared" ca="1" si="144"/>
        <v>0</v>
      </c>
      <c r="G541" s="206"/>
      <c r="H541" s="207" t="s">
        <v>211</v>
      </c>
      <c r="I541" s="208" t="str">
        <f t="shared" ca="1" si="94"/>
        <v>08.004.009</v>
      </c>
      <c r="J541" s="209" t="s">
        <v>941</v>
      </c>
      <c r="K541" s="210"/>
      <c r="L541" s="455"/>
      <c r="M541" s="455"/>
      <c r="N541" s="285">
        <f t="shared" ca="1" si="145"/>
        <v>47818.8</v>
      </c>
      <c r="O541" s="462"/>
      <c r="P541" s="213"/>
      <c r="Q541" s="35"/>
      <c r="R541" s="35"/>
      <c r="S541" s="35"/>
    </row>
    <row r="542" spans="1:19" s="34" customFormat="1" ht="13.9" hidden="1" customHeight="1" outlineLevel="3" x14ac:dyDescent="0.2">
      <c r="A542" s="457">
        <f ca="1">IF($H542="UNIDADE CONSTRUTIVA",OFFSET(A542,-1,0)+1,LARGE(A$3:A541,1))</f>
        <v>0</v>
      </c>
      <c r="B542" s="457">
        <f t="shared" ca="1" si="141"/>
        <v>8</v>
      </c>
      <c r="C542" s="457">
        <f t="shared" ca="1" si="142"/>
        <v>4</v>
      </c>
      <c r="D542" s="458">
        <f t="shared" ca="1" si="143"/>
        <v>9</v>
      </c>
      <c r="E542" s="458">
        <f t="shared" ca="1" si="144"/>
        <v>1</v>
      </c>
      <c r="G542" s="206"/>
      <c r="H542" s="207" t="s">
        <v>212</v>
      </c>
      <c r="I542" s="208" t="str">
        <f t="shared" ca="1" si="94"/>
        <v>08.004.009.001</v>
      </c>
      <c r="J542" s="209" t="s">
        <v>942</v>
      </c>
      <c r="K542" s="210" t="s">
        <v>151</v>
      </c>
      <c r="L542" s="455">
        <v>1</v>
      </c>
      <c r="M542" s="455">
        <f>'Obra '!E20*60</f>
        <v>47818.8</v>
      </c>
      <c r="N542" s="285">
        <f t="shared" si="145"/>
        <v>47818.8</v>
      </c>
      <c r="O542" s="462"/>
      <c r="P542" s="213" t="s">
        <v>518</v>
      </c>
      <c r="Q542" s="35"/>
      <c r="R542" s="35"/>
      <c r="S542" s="35"/>
    </row>
    <row r="543" spans="1:19" s="34" customFormat="1" ht="13.9" hidden="1" customHeight="1" outlineLevel="1" x14ac:dyDescent="0.2">
      <c r="A543" s="457">
        <f ca="1">IF($H543="UNIDADE CONSTRUTIVA",OFFSET(A543,-1,0)+1,LARGE(A$3:A542,1))</f>
        <v>0</v>
      </c>
      <c r="B543" s="457">
        <f t="shared" ca="1" si="141"/>
        <v>8</v>
      </c>
      <c r="C543" s="457">
        <f t="shared" ca="1" si="142"/>
        <v>5</v>
      </c>
      <c r="D543" s="458">
        <f t="shared" ca="1" si="143"/>
        <v>0</v>
      </c>
      <c r="E543" s="458">
        <f t="shared" ca="1" si="144"/>
        <v>1</v>
      </c>
      <c r="G543" s="206"/>
      <c r="H543" s="207" t="s">
        <v>210</v>
      </c>
      <c r="I543" s="208" t="str">
        <f t="shared" ca="1" si="94"/>
        <v>08.005</v>
      </c>
      <c r="J543" s="209" t="s">
        <v>951</v>
      </c>
      <c r="K543" s="210"/>
      <c r="L543" s="455"/>
      <c r="M543" s="455"/>
      <c r="N543" s="285">
        <f t="shared" ca="1" si="145"/>
        <v>1148194.2901881244</v>
      </c>
      <c r="O543" s="462"/>
      <c r="P543" s="213"/>
      <c r="Q543" s="35"/>
      <c r="R543" s="35"/>
      <c r="S543" s="35"/>
    </row>
    <row r="544" spans="1:19" s="34" customFormat="1" ht="13.9" hidden="1" customHeight="1" outlineLevel="2" x14ac:dyDescent="0.2">
      <c r="A544" s="457">
        <f ca="1">IF($H544="UNIDADE CONSTRUTIVA",OFFSET(A544,-1,0)+1,LARGE(A$3:A543,1))</f>
        <v>0</v>
      </c>
      <c r="B544" s="457">
        <f t="shared" ca="1" si="141"/>
        <v>8</v>
      </c>
      <c r="C544" s="457">
        <f t="shared" ca="1" si="142"/>
        <v>5</v>
      </c>
      <c r="D544" s="458">
        <f t="shared" ca="1" si="143"/>
        <v>1</v>
      </c>
      <c r="E544" s="458">
        <f t="shared" ca="1" si="144"/>
        <v>0</v>
      </c>
      <c r="G544" s="206"/>
      <c r="H544" s="207" t="s">
        <v>211</v>
      </c>
      <c r="I544" s="208" t="str">
        <f t="shared" ca="1" si="94"/>
        <v>08.005.001</v>
      </c>
      <c r="J544" s="209" t="s">
        <v>936</v>
      </c>
      <c r="K544" s="210"/>
      <c r="L544" s="455"/>
      <c r="M544" s="455"/>
      <c r="N544" s="285">
        <f t="shared" ca="1" si="145"/>
        <v>56409.86312862725</v>
      </c>
      <c r="O544" s="462"/>
      <c r="P544" s="213"/>
      <c r="Q544" s="35"/>
      <c r="R544" s="35"/>
      <c r="S544" s="35"/>
    </row>
    <row r="545" spans="1:19" s="34" customFormat="1" ht="13.9" hidden="1" customHeight="1" outlineLevel="3" x14ac:dyDescent="0.2">
      <c r="A545" s="457">
        <f ca="1">IF($H545="UNIDADE CONSTRUTIVA",OFFSET(A545,-1,0)+1,LARGE(A$3:A544,1))</f>
        <v>0</v>
      </c>
      <c r="B545" s="457">
        <f t="shared" ca="1" si="141"/>
        <v>8</v>
      </c>
      <c r="C545" s="457">
        <f t="shared" ca="1" si="142"/>
        <v>5</v>
      </c>
      <c r="D545" s="458">
        <f t="shared" ca="1" si="143"/>
        <v>1</v>
      </c>
      <c r="E545" s="458">
        <f t="shared" ca="1" si="144"/>
        <v>1</v>
      </c>
      <c r="G545" s="206"/>
      <c r="H545" s="207" t="s">
        <v>212</v>
      </c>
      <c r="I545" s="208" t="str">
        <f t="shared" ca="1" si="94"/>
        <v>08.005.001.001</v>
      </c>
      <c r="J545" s="209" t="s">
        <v>936</v>
      </c>
      <c r="K545" s="210" t="s">
        <v>151</v>
      </c>
      <c r="L545" s="455">
        <v>1</v>
      </c>
      <c r="M545" s="455">
        <f>Instalações!H19</f>
        <v>56409.86312862725</v>
      </c>
      <c r="N545" s="285">
        <f t="shared" si="145"/>
        <v>56409.86312862725</v>
      </c>
      <c r="O545" s="462"/>
      <c r="P545" s="213" t="s">
        <v>518</v>
      </c>
      <c r="Q545" s="35"/>
      <c r="R545" s="35"/>
      <c r="S545" s="35"/>
    </row>
    <row r="546" spans="1:19" s="34" customFormat="1" ht="13.9" hidden="1" customHeight="1" outlineLevel="2" x14ac:dyDescent="0.2">
      <c r="A546" s="457">
        <f ca="1">IF($H546="UNIDADE CONSTRUTIVA",OFFSET(A546,-1,0)+1,LARGE(A$3:A545,1))</f>
        <v>0</v>
      </c>
      <c r="B546" s="457">
        <f t="shared" ca="1" si="141"/>
        <v>8</v>
      </c>
      <c r="C546" s="457">
        <f t="shared" ca="1" si="142"/>
        <v>5</v>
      </c>
      <c r="D546" s="458">
        <f t="shared" ca="1" si="143"/>
        <v>2</v>
      </c>
      <c r="E546" s="458">
        <f t="shared" ca="1" si="144"/>
        <v>0</v>
      </c>
      <c r="G546" s="206"/>
      <c r="H546" s="207" t="s">
        <v>211</v>
      </c>
      <c r="I546" s="208" t="str">
        <f t="shared" ca="1" si="94"/>
        <v>08.005.002</v>
      </c>
      <c r="J546" s="209" t="s">
        <v>938</v>
      </c>
      <c r="K546" s="210"/>
      <c r="L546" s="455"/>
      <c r="M546" s="455"/>
      <c r="N546" s="285">
        <f t="shared" ca="1" si="145"/>
        <v>146646.32440505148</v>
      </c>
      <c r="O546" s="462"/>
      <c r="P546" s="213"/>
      <c r="Q546" s="35"/>
      <c r="R546" s="35"/>
      <c r="S546" s="35"/>
    </row>
    <row r="547" spans="1:19" s="34" customFormat="1" ht="13.9" hidden="1" customHeight="1" outlineLevel="3" x14ac:dyDescent="0.2">
      <c r="A547" s="457">
        <f ca="1">IF($H547="UNIDADE CONSTRUTIVA",OFFSET(A547,-1,0)+1,LARGE(A$3:A546,1))</f>
        <v>0</v>
      </c>
      <c r="B547" s="457">
        <f t="shared" ca="1" si="141"/>
        <v>8</v>
      </c>
      <c r="C547" s="457">
        <f t="shared" ca="1" si="142"/>
        <v>5</v>
      </c>
      <c r="D547" s="458">
        <f t="shared" ca="1" si="143"/>
        <v>2</v>
      </c>
      <c r="E547" s="458">
        <f t="shared" ca="1" si="144"/>
        <v>1</v>
      </c>
      <c r="G547" s="206"/>
      <c r="H547" s="207" t="s">
        <v>212</v>
      </c>
      <c r="I547" s="208" t="str">
        <f t="shared" ca="1" si="94"/>
        <v>08.005.002.001</v>
      </c>
      <c r="J547" s="209" t="s">
        <v>938</v>
      </c>
      <c r="K547" s="210" t="s">
        <v>151</v>
      </c>
      <c r="L547" s="455">
        <v>1</v>
      </c>
      <c r="M547" s="455">
        <f>Instalações!H26</f>
        <v>146646.32440505148</v>
      </c>
      <c r="N547" s="285">
        <f t="shared" si="145"/>
        <v>146646.32440505148</v>
      </c>
      <c r="O547" s="462"/>
      <c r="P547" s="213" t="s">
        <v>518</v>
      </c>
      <c r="Q547" s="35"/>
      <c r="R547" s="35"/>
      <c r="S547" s="35"/>
    </row>
    <row r="548" spans="1:19" s="34" customFormat="1" ht="13.9" hidden="1" customHeight="1" outlineLevel="2" x14ac:dyDescent="0.2">
      <c r="A548" s="457">
        <f ca="1">IF($H548="UNIDADE CONSTRUTIVA",OFFSET(A548,-1,0)+1,LARGE(A$3:A547,1))</f>
        <v>0</v>
      </c>
      <c r="B548" s="457">
        <f t="shared" ca="1" si="141"/>
        <v>8</v>
      </c>
      <c r="C548" s="457">
        <f t="shared" ca="1" si="142"/>
        <v>5</v>
      </c>
      <c r="D548" s="458">
        <f t="shared" ca="1" si="143"/>
        <v>3</v>
      </c>
      <c r="E548" s="458">
        <f t="shared" ca="1" si="144"/>
        <v>0</v>
      </c>
      <c r="G548" s="206"/>
      <c r="H548" s="207" t="s">
        <v>211</v>
      </c>
      <c r="I548" s="208" t="str">
        <f t="shared" ca="1" si="94"/>
        <v>08.005.003</v>
      </c>
      <c r="J548" s="209" t="s">
        <v>939</v>
      </c>
      <c r="K548" s="210"/>
      <c r="L548" s="455"/>
      <c r="M548" s="455"/>
      <c r="N548" s="285">
        <f t="shared" ca="1" si="145"/>
        <v>54867.477583469605</v>
      </c>
      <c r="O548" s="462"/>
      <c r="P548" s="213"/>
      <c r="Q548" s="35"/>
      <c r="R548" s="35"/>
      <c r="S548" s="35"/>
    </row>
    <row r="549" spans="1:19" s="34" customFormat="1" ht="13.9" hidden="1" customHeight="1" outlineLevel="3" x14ac:dyDescent="0.2">
      <c r="A549" s="457">
        <f ca="1">IF($H549="UNIDADE CONSTRUTIVA",OFFSET(A549,-1,0)+1,LARGE(A$3:A548,1))</f>
        <v>0</v>
      </c>
      <c r="B549" s="457">
        <f t="shared" ca="1" si="141"/>
        <v>8</v>
      </c>
      <c r="C549" s="457">
        <f t="shared" ca="1" si="142"/>
        <v>5</v>
      </c>
      <c r="D549" s="458">
        <f t="shared" ca="1" si="143"/>
        <v>3</v>
      </c>
      <c r="E549" s="458">
        <f t="shared" ca="1" si="144"/>
        <v>1</v>
      </c>
      <c r="G549" s="206"/>
      <c r="H549" s="207" t="s">
        <v>212</v>
      </c>
      <c r="I549" s="208" t="str">
        <f t="shared" ca="1" si="94"/>
        <v>08.005.003.001</v>
      </c>
      <c r="J549" s="209" t="s">
        <v>939</v>
      </c>
      <c r="K549" s="210" t="s">
        <v>151</v>
      </c>
      <c r="L549" s="455">
        <v>1</v>
      </c>
      <c r="M549" s="455">
        <f>Instalações!H29</f>
        <v>54867.477583469605</v>
      </c>
      <c r="N549" s="285">
        <f t="shared" si="145"/>
        <v>54867.477583469605</v>
      </c>
      <c r="O549" s="462"/>
      <c r="P549" s="213" t="s">
        <v>518</v>
      </c>
      <c r="Q549" s="35"/>
      <c r="R549" s="35"/>
      <c r="S549" s="35"/>
    </row>
    <row r="550" spans="1:19" s="34" customFormat="1" ht="13.9" hidden="1" customHeight="1" outlineLevel="2" x14ac:dyDescent="0.2">
      <c r="A550" s="457">
        <f ca="1">IF($H550="UNIDADE CONSTRUTIVA",OFFSET(A550,-1,0)+1,LARGE(A$3:A549,1))</f>
        <v>0</v>
      </c>
      <c r="B550" s="457">
        <f t="shared" ca="1" si="141"/>
        <v>8</v>
      </c>
      <c r="C550" s="457">
        <f t="shared" ca="1" si="142"/>
        <v>5</v>
      </c>
      <c r="D550" s="458">
        <f t="shared" ca="1" si="143"/>
        <v>4</v>
      </c>
      <c r="E550" s="458">
        <f t="shared" ca="1" si="144"/>
        <v>0</v>
      </c>
      <c r="G550" s="206"/>
      <c r="H550" s="207" t="s">
        <v>211</v>
      </c>
      <c r="I550" s="208" t="str">
        <f t="shared" ca="1" si="94"/>
        <v>08.005.004</v>
      </c>
      <c r="J550" s="209" t="s">
        <v>940</v>
      </c>
      <c r="K550" s="210"/>
      <c r="L550" s="455"/>
      <c r="M550" s="455"/>
      <c r="N550" s="285">
        <f t="shared" ca="1" si="145"/>
        <v>295730.16009674186</v>
      </c>
      <c r="O550" s="462"/>
      <c r="P550" s="213"/>
      <c r="Q550" s="35"/>
      <c r="R550" s="35"/>
      <c r="S550" s="35"/>
    </row>
    <row r="551" spans="1:19" s="34" customFormat="1" ht="13.9" hidden="1" customHeight="1" outlineLevel="3" x14ac:dyDescent="0.2">
      <c r="A551" s="457">
        <f ca="1">IF($H551="UNIDADE CONSTRUTIVA",OFFSET(A551,-1,0)+1,LARGE(A$3:A550,1))</f>
        <v>0</v>
      </c>
      <c r="B551" s="457">
        <f t="shared" ca="1" si="141"/>
        <v>8</v>
      </c>
      <c r="C551" s="457">
        <f t="shared" ca="1" si="142"/>
        <v>5</v>
      </c>
      <c r="D551" s="458">
        <f t="shared" ca="1" si="143"/>
        <v>4</v>
      </c>
      <c r="E551" s="458">
        <f t="shared" ca="1" si="144"/>
        <v>1</v>
      </c>
      <c r="G551" s="206"/>
      <c r="H551" s="207" t="s">
        <v>212</v>
      </c>
      <c r="I551" s="208" t="str">
        <f t="shared" ca="1" si="94"/>
        <v>08.005.004.001</v>
      </c>
      <c r="J551" s="209" t="s">
        <v>940</v>
      </c>
      <c r="K551" s="210" t="s">
        <v>151</v>
      </c>
      <c r="L551" s="455">
        <v>1</v>
      </c>
      <c r="M551" s="455">
        <f>Instalações!H41</f>
        <v>295730.16009674186</v>
      </c>
      <c r="N551" s="285">
        <f t="shared" si="145"/>
        <v>295730.16009674186</v>
      </c>
      <c r="O551" s="462"/>
      <c r="P551" s="213" t="s">
        <v>518</v>
      </c>
      <c r="Q551" s="35"/>
      <c r="R551" s="35"/>
      <c r="S551" s="35"/>
    </row>
    <row r="552" spans="1:19" s="34" customFormat="1" ht="13.9" hidden="1" customHeight="1" outlineLevel="2" x14ac:dyDescent="0.2">
      <c r="A552" s="457">
        <f ca="1">IF($H552="UNIDADE CONSTRUTIVA",OFFSET(A552,-1,0)+1,LARGE(A$3:A551,1))</f>
        <v>0</v>
      </c>
      <c r="B552" s="457">
        <f t="shared" ca="1" si="141"/>
        <v>8</v>
      </c>
      <c r="C552" s="457">
        <f t="shared" ca="1" si="142"/>
        <v>5</v>
      </c>
      <c r="D552" s="458">
        <f t="shared" ca="1" si="143"/>
        <v>5</v>
      </c>
      <c r="E552" s="458">
        <f t="shared" ca="1" si="144"/>
        <v>0</v>
      </c>
      <c r="G552" s="206"/>
      <c r="H552" s="207" t="s">
        <v>211</v>
      </c>
      <c r="I552" s="208" t="str">
        <f t="shared" ca="1" si="94"/>
        <v>08.005.005</v>
      </c>
      <c r="J552" s="209" t="s">
        <v>153</v>
      </c>
      <c r="K552" s="210"/>
      <c r="L552" s="455"/>
      <c r="M552" s="455"/>
      <c r="N552" s="285">
        <f t="shared" ca="1" si="145"/>
        <v>90785.493450962618</v>
      </c>
      <c r="O552" s="462"/>
      <c r="P552" s="213"/>
      <c r="Q552" s="35"/>
      <c r="R552" s="35"/>
      <c r="S552" s="35"/>
    </row>
    <row r="553" spans="1:19" s="34" customFormat="1" ht="13.9" hidden="1" customHeight="1" outlineLevel="3" x14ac:dyDescent="0.2">
      <c r="A553" s="457">
        <f ca="1">IF($H553="UNIDADE CONSTRUTIVA",OFFSET(A553,-1,0)+1,LARGE(A$3:A552,1))</f>
        <v>0</v>
      </c>
      <c r="B553" s="457">
        <f t="shared" ca="1" si="141"/>
        <v>8</v>
      </c>
      <c r="C553" s="457">
        <f t="shared" ca="1" si="142"/>
        <v>5</v>
      </c>
      <c r="D553" s="458">
        <f t="shared" ca="1" si="143"/>
        <v>5</v>
      </c>
      <c r="E553" s="458">
        <f t="shared" ca="1" si="144"/>
        <v>1</v>
      </c>
      <c r="G553" s="206"/>
      <c r="H553" s="207" t="s">
        <v>212</v>
      </c>
      <c r="I553" s="208" t="str">
        <f t="shared" ca="1" si="94"/>
        <v>08.005.005.001</v>
      </c>
      <c r="J553" s="209" t="s">
        <v>153</v>
      </c>
      <c r="K553" s="210" t="s">
        <v>151</v>
      </c>
      <c r="L553" s="455">
        <v>1</v>
      </c>
      <c r="M553" s="455">
        <f>Instalações!H56</f>
        <v>90785.493450962618</v>
      </c>
      <c r="N553" s="285">
        <f t="shared" si="145"/>
        <v>90785.493450962618</v>
      </c>
      <c r="O553" s="462"/>
      <c r="P553" s="213" t="s">
        <v>518</v>
      </c>
      <c r="Q553" s="35"/>
      <c r="R553" s="35"/>
      <c r="S553" s="35"/>
    </row>
    <row r="554" spans="1:19" s="34" customFormat="1" ht="13.9" hidden="1" customHeight="1" outlineLevel="2" x14ac:dyDescent="0.2">
      <c r="A554" s="457">
        <f ca="1">IF($H554="UNIDADE CONSTRUTIVA",OFFSET(A554,-1,0)+1,LARGE(A$3:A553,1))</f>
        <v>0</v>
      </c>
      <c r="B554" s="457">
        <f t="shared" ca="1" si="141"/>
        <v>8</v>
      </c>
      <c r="C554" s="457">
        <f t="shared" ca="1" si="142"/>
        <v>5</v>
      </c>
      <c r="D554" s="458">
        <f t="shared" ca="1" si="143"/>
        <v>6</v>
      </c>
      <c r="E554" s="458">
        <f t="shared" ca="1" si="144"/>
        <v>0</v>
      </c>
      <c r="G554" s="206"/>
      <c r="H554" s="207" t="s">
        <v>211</v>
      </c>
      <c r="I554" s="208" t="str">
        <f t="shared" ca="1" si="94"/>
        <v>08.005.006</v>
      </c>
      <c r="J554" s="209" t="s">
        <v>179</v>
      </c>
      <c r="K554" s="210"/>
      <c r="L554" s="455"/>
      <c r="M554" s="455"/>
      <c r="N554" s="285">
        <f t="shared" ca="1" si="145"/>
        <v>55696.531805252089</v>
      </c>
      <c r="O554" s="462"/>
      <c r="P554" s="213"/>
      <c r="Q554" s="35"/>
      <c r="R554" s="35"/>
      <c r="S554" s="35"/>
    </row>
    <row r="555" spans="1:19" s="34" customFormat="1" ht="13.9" hidden="1" customHeight="1" outlineLevel="3" x14ac:dyDescent="0.2">
      <c r="A555" s="457">
        <f ca="1">IF($H555="UNIDADE CONSTRUTIVA",OFFSET(A555,-1,0)+1,LARGE(A$3:A554,1))</f>
        <v>0</v>
      </c>
      <c r="B555" s="457">
        <f t="shared" ca="1" si="141"/>
        <v>8</v>
      </c>
      <c r="C555" s="457">
        <f t="shared" ca="1" si="142"/>
        <v>5</v>
      </c>
      <c r="D555" s="458">
        <f t="shared" ca="1" si="143"/>
        <v>6</v>
      </c>
      <c r="E555" s="458">
        <f t="shared" ca="1" si="144"/>
        <v>1</v>
      </c>
      <c r="G555" s="206"/>
      <c r="H555" s="207" t="s">
        <v>212</v>
      </c>
      <c r="I555" s="208" t="str">
        <f t="shared" ca="1" si="94"/>
        <v>08.005.006.001</v>
      </c>
      <c r="J555" s="209" t="s">
        <v>179</v>
      </c>
      <c r="K555" s="210" t="s">
        <v>151</v>
      </c>
      <c r="L555" s="455">
        <v>1</v>
      </c>
      <c r="M555" s="455">
        <f>Instalações!H63</f>
        <v>55696.531805252089</v>
      </c>
      <c r="N555" s="285">
        <f t="shared" si="145"/>
        <v>55696.531805252089</v>
      </c>
      <c r="O555" s="462"/>
      <c r="P555" s="213" t="s">
        <v>518</v>
      </c>
      <c r="Q555" s="35"/>
      <c r="R555" s="35"/>
      <c r="S555" s="35"/>
    </row>
    <row r="556" spans="1:19" s="34" customFormat="1" ht="13.9" hidden="1" customHeight="1" outlineLevel="2" x14ac:dyDescent="0.2">
      <c r="A556" s="457">
        <f ca="1">IF($H556="UNIDADE CONSTRUTIVA",OFFSET(A556,-1,0)+1,LARGE(A$3:A555,1))</f>
        <v>0</v>
      </c>
      <c r="B556" s="457">
        <f t="shared" ca="1" si="141"/>
        <v>8</v>
      </c>
      <c r="C556" s="457">
        <f t="shared" ca="1" si="142"/>
        <v>5</v>
      </c>
      <c r="D556" s="458">
        <f t="shared" ca="1" si="143"/>
        <v>7</v>
      </c>
      <c r="E556" s="458">
        <f t="shared" ca="1" si="144"/>
        <v>0</v>
      </c>
      <c r="G556" s="206"/>
      <c r="H556" s="207" t="s">
        <v>211</v>
      </c>
      <c r="I556" s="208" t="str">
        <f t="shared" ca="1" si="94"/>
        <v>08.005.007</v>
      </c>
      <c r="J556" s="209" t="s">
        <v>180</v>
      </c>
      <c r="K556" s="210"/>
      <c r="L556" s="455"/>
      <c r="M556" s="455"/>
      <c r="N556" s="285">
        <f t="shared" ca="1" si="145"/>
        <v>21304.839718019542</v>
      </c>
      <c r="O556" s="462"/>
      <c r="P556" s="213"/>
      <c r="Q556" s="35"/>
      <c r="R556" s="35"/>
      <c r="S556" s="35"/>
    </row>
    <row r="557" spans="1:19" s="34" customFormat="1" ht="13.9" hidden="1" customHeight="1" outlineLevel="3" x14ac:dyDescent="0.2">
      <c r="A557" s="457">
        <f ca="1">IF($H557="UNIDADE CONSTRUTIVA",OFFSET(A557,-1,0)+1,LARGE(A$3:A556,1))</f>
        <v>0</v>
      </c>
      <c r="B557" s="457">
        <f t="shared" ca="1" si="141"/>
        <v>8</v>
      </c>
      <c r="C557" s="457">
        <f t="shared" ca="1" si="142"/>
        <v>5</v>
      </c>
      <c r="D557" s="458">
        <f t="shared" ca="1" si="143"/>
        <v>7</v>
      </c>
      <c r="E557" s="458">
        <f t="shared" ca="1" si="144"/>
        <v>1</v>
      </c>
      <c r="G557" s="206"/>
      <c r="H557" s="207" t="s">
        <v>212</v>
      </c>
      <c r="I557" s="208" t="str">
        <f t="shared" ca="1" si="94"/>
        <v>08.005.007.001</v>
      </c>
      <c r="J557" s="209" t="s">
        <v>181</v>
      </c>
      <c r="K557" s="210" t="s">
        <v>151</v>
      </c>
      <c r="L557" s="455">
        <v>1</v>
      </c>
      <c r="M557" s="455">
        <f>Instalações!H45</f>
        <v>21304.839718019542</v>
      </c>
      <c r="N557" s="285">
        <f t="shared" si="145"/>
        <v>21304.839718019542</v>
      </c>
      <c r="O557" s="462"/>
      <c r="P557" s="213" t="s">
        <v>518</v>
      </c>
      <c r="Q557" s="35"/>
      <c r="R557" s="35"/>
      <c r="S557" s="35"/>
    </row>
    <row r="558" spans="1:19" s="34" customFormat="1" ht="13.9" hidden="1" customHeight="1" outlineLevel="2" x14ac:dyDescent="0.2">
      <c r="A558" s="457">
        <f ca="1">IF($H558="UNIDADE CONSTRUTIVA",OFFSET(A558,-1,0)+1,LARGE(A$3:A557,1))</f>
        <v>0</v>
      </c>
      <c r="B558" s="457">
        <f t="shared" ca="1" si="141"/>
        <v>8</v>
      </c>
      <c r="C558" s="457">
        <f t="shared" ca="1" si="142"/>
        <v>5</v>
      </c>
      <c r="D558" s="458">
        <f t="shared" ca="1" si="143"/>
        <v>8</v>
      </c>
      <c r="E558" s="458">
        <f t="shared" ca="1" si="144"/>
        <v>0</v>
      </c>
      <c r="G558" s="206"/>
      <c r="H558" s="207" t="s">
        <v>211</v>
      </c>
      <c r="I558" s="208" t="str">
        <f t="shared" ca="1" si="94"/>
        <v>08.005.008</v>
      </c>
      <c r="J558" s="209" t="s">
        <v>941</v>
      </c>
      <c r="K558" s="210"/>
      <c r="L558" s="455"/>
      <c r="M558" s="455"/>
      <c r="N558" s="285">
        <f t="shared" ca="1" si="145"/>
        <v>426753.60000000003</v>
      </c>
      <c r="O558" s="462"/>
      <c r="P558" s="213"/>
      <c r="Q558" s="35"/>
      <c r="R558" s="35"/>
      <c r="S558" s="35"/>
    </row>
    <row r="559" spans="1:19" s="34" customFormat="1" ht="13.9" hidden="1" customHeight="1" outlineLevel="3" x14ac:dyDescent="0.2">
      <c r="A559" s="457">
        <f ca="1">IF($H559="UNIDADE CONSTRUTIVA",OFFSET(A559,-1,0)+1,LARGE(A$3:A558,1))</f>
        <v>0</v>
      </c>
      <c r="B559" s="457">
        <f t="shared" ca="1" si="141"/>
        <v>8</v>
      </c>
      <c r="C559" s="457">
        <f t="shared" ca="1" si="142"/>
        <v>5</v>
      </c>
      <c r="D559" s="458">
        <f t="shared" ca="1" si="143"/>
        <v>8</v>
      </c>
      <c r="E559" s="458">
        <f t="shared" ca="1" si="144"/>
        <v>1</v>
      </c>
      <c r="G559" s="206"/>
      <c r="H559" s="207" t="s">
        <v>212</v>
      </c>
      <c r="I559" s="208" t="str">
        <f t="shared" ca="1" si="94"/>
        <v>08.005.008.001</v>
      </c>
      <c r="J559" s="209" t="s">
        <v>942</v>
      </c>
      <c r="K559" s="210" t="s">
        <v>151</v>
      </c>
      <c r="L559" s="455">
        <v>1</v>
      </c>
      <c r="M559" s="455">
        <f>'Obra '!E21*60</f>
        <v>426753.60000000003</v>
      </c>
      <c r="N559" s="285">
        <f t="shared" si="145"/>
        <v>426753.60000000003</v>
      </c>
      <c r="O559" s="462"/>
      <c r="P559" s="213" t="s">
        <v>518</v>
      </c>
      <c r="Q559" s="35"/>
      <c r="R559" s="35"/>
      <c r="S559" s="35"/>
    </row>
    <row r="560" spans="1:19" s="34" customFormat="1" ht="13.9" hidden="1" customHeight="1" outlineLevel="1" x14ac:dyDescent="0.2">
      <c r="A560" s="457">
        <f ca="1">IF($H560="UNIDADE CONSTRUTIVA",OFFSET(A560,-1,0)+1,LARGE(A$3:A559,1))</f>
        <v>0</v>
      </c>
      <c r="B560" s="457">
        <f t="shared" ca="1" si="141"/>
        <v>8</v>
      </c>
      <c r="C560" s="457">
        <f t="shared" ca="1" si="142"/>
        <v>6</v>
      </c>
      <c r="D560" s="458">
        <f t="shared" ca="1" si="143"/>
        <v>0</v>
      </c>
      <c r="E560" s="458">
        <f t="shared" ca="1" si="144"/>
        <v>1</v>
      </c>
      <c r="G560" s="206"/>
      <c r="H560" s="207" t="s">
        <v>210</v>
      </c>
      <c r="I560" s="208" t="str">
        <f t="shared" ca="1" si="94"/>
        <v>08.006</v>
      </c>
      <c r="J560" s="209" t="s">
        <v>952</v>
      </c>
      <c r="K560" s="210"/>
      <c r="L560" s="455"/>
      <c r="M560" s="455"/>
      <c r="N560" s="285">
        <f t="shared" ca="1" si="145"/>
        <v>88322.637706778798</v>
      </c>
      <c r="O560" s="462"/>
      <c r="P560" s="213"/>
      <c r="Q560" s="35"/>
      <c r="R560" s="35"/>
      <c r="S560" s="35"/>
    </row>
    <row r="561" spans="1:19" s="34" customFormat="1" ht="13.9" hidden="1" customHeight="1" outlineLevel="2" x14ac:dyDescent="0.2">
      <c r="A561" s="457">
        <f ca="1">IF($H561="UNIDADE CONSTRUTIVA",OFFSET(A561,-1,0)+1,LARGE(A$3:A560,1))</f>
        <v>0</v>
      </c>
      <c r="B561" s="457">
        <f t="shared" ca="1" si="141"/>
        <v>8</v>
      </c>
      <c r="C561" s="457">
        <f t="shared" ca="1" si="142"/>
        <v>6</v>
      </c>
      <c r="D561" s="458">
        <f t="shared" ca="1" si="143"/>
        <v>1</v>
      </c>
      <c r="E561" s="458">
        <f t="shared" ca="1" si="144"/>
        <v>0</v>
      </c>
      <c r="G561" s="206"/>
      <c r="H561" s="207" t="s">
        <v>211</v>
      </c>
      <c r="I561" s="208" t="str">
        <f t="shared" ca="1" si="94"/>
        <v>08.006.001</v>
      </c>
      <c r="J561" s="209" t="s">
        <v>936</v>
      </c>
      <c r="K561" s="210"/>
      <c r="L561" s="455"/>
      <c r="M561" s="455"/>
      <c r="N561" s="285">
        <f t="shared" ca="1" si="145"/>
        <v>4339.2202406636343</v>
      </c>
      <c r="O561" s="462"/>
      <c r="P561" s="213"/>
      <c r="Q561" s="35"/>
      <c r="R561" s="35"/>
      <c r="S561" s="35"/>
    </row>
    <row r="562" spans="1:19" s="34" customFormat="1" ht="13.9" hidden="1" customHeight="1" outlineLevel="3" x14ac:dyDescent="0.2">
      <c r="A562" s="457">
        <f ca="1">IF($H562="UNIDADE CONSTRUTIVA",OFFSET(A562,-1,0)+1,LARGE(A$3:A561,1))</f>
        <v>0</v>
      </c>
      <c r="B562" s="457">
        <f t="shared" ca="1" si="141"/>
        <v>8</v>
      </c>
      <c r="C562" s="457">
        <f t="shared" ca="1" si="142"/>
        <v>6</v>
      </c>
      <c r="D562" s="458">
        <f t="shared" ca="1" si="143"/>
        <v>1</v>
      </c>
      <c r="E562" s="458">
        <f t="shared" ca="1" si="144"/>
        <v>1</v>
      </c>
      <c r="G562" s="206"/>
      <c r="H562" s="207" t="s">
        <v>212</v>
      </c>
      <c r="I562" s="208" t="str">
        <f t="shared" ca="1" si="94"/>
        <v>08.006.001.001</v>
      </c>
      <c r="J562" s="209" t="s">
        <v>936</v>
      </c>
      <c r="K562" s="210" t="s">
        <v>151</v>
      </c>
      <c r="L562" s="455">
        <v>1</v>
      </c>
      <c r="M562" s="455">
        <f>Instalações!I19</f>
        <v>4339.2202406636343</v>
      </c>
      <c r="N562" s="285">
        <f t="shared" si="145"/>
        <v>4339.2202406636343</v>
      </c>
      <c r="O562" s="462"/>
      <c r="P562" s="213" t="s">
        <v>518</v>
      </c>
      <c r="Q562" s="35"/>
      <c r="R562" s="35"/>
      <c r="S562" s="35"/>
    </row>
    <row r="563" spans="1:19" s="34" customFormat="1" ht="13.9" hidden="1" customHeight="1" outlineLevel="2" x14ac:dyDescent="0.2">
      <c r="A563" s="457">
        <f ca="1">IF($H563="UNIDADE CONSTRUTIVA",OFFSET(A563,-1,0)+1,LARGE(A$3:A562,1))</f>
        <v>0</v>
      </c>
      <c r="B563" s="457">
        <f t="shared" ca="1" si="141"/>
        <v>8</v>
      </c>
      <c r="C563" s="457">
        <f t="shared" ca="1" si="142"/>
        <v>6</v>
      </c>
      <c r="D563" s="458">
        <f t="shared" ca="1" si="143"/>
        <v>2</v>
      </c>
      <c r="E563" s="458">
        <f t="shared" ca="1" si="144"/>
        <v>0</v>
      </c>
      <c r="G563" s="206"/>
      <c r="H563" s="207" t="s">
        <v>211</v>
      </c>
      <c r="I563" s="208" t="str">
        <f t="shared" ca="1" si="94"/>
        <v>08.006.002</v>
      </c>
      <c r="J563" s="209" t="s">
        <v>938</v>
      </c>
      <c r="K563" s="210"/>
      <c r="L563" s="455"/>
      <c r="M563" s="455"/>
      <c r="N563" s="285">
        <f t="shared" ca="1" si="145"/>
        <v>11280.486492696265</v>
      </c>
      <c r="O563" s="462"/>
      <c r="P563" s="213"/>
      <c r="Q563" s="35"/>
      <c r="R563" s="35"/>
      <c r="S563" s="35"/>
    </row>
    <row r="564" spans="1:19" s="34" customFormat="1" ht="13.9" hidden="1" customHeight="1" outlineLevel="3" x14ac:dyDescent="0.2">
      <c r="A564" s="457">
        <f ca="1">IF($H564="UNIDADE CONSTRUTIVA",OFFSET(A564,-1,0)+1,LARGE(A$3:A563,1))</f>
        <v>0</v>
      </c>
      <c r="B564" s="457">
        <f t="shared" ca="1" si="141"/>
        <v>8</v>
      </c>
      <c r="C564" s="457">
        <f t="shared" ca="1" si="142"/>
        <v>6</v>
      </c>
      <c r="D564" s="458">
        <f t="shared" ca="1" si="143"/>
        <v>2</v>
      </c>
      <c r="E564" s="458">
        <f t="shared" ca="1" si="144"/>
        <v>1</v>
      </c>
      <c r="G564" s="206"/>
      <c r="H564" s="207" t="s">
        <v>212</v>
      </c>
      <c r="I564" s="208" t="str">
        <f t="shared" ca="1" si="94"/>
        <v>08.006.002.001</v>
      </c>
      <c r="J564" s="209" t="s">
        <v>938</v>
      </c>
      <c r="K564" s="210" t="s">
        <v>151</v>
      </c>
      <c r="L564" s="455">
        <v>1</v>
      </c>
      <c r="M564" s="455">
        <f>Instalações!I26</f>
        <v>11280.486492696265</v>
      </c>
      <c r="N564" s="285">
        <f t="shared" si="145"/>
        <v>11280.486492696265</v>
      </c>
      <c r="O564" s="462"/>
      <c r="P564" s="213" t="s">
        <v>518</v>
      </c>
      <c r="Q564" s="35"/>
      <c r="R564" s="35"/>
      <c r="S564" s="35"/>
    </row>
    <row r="565" spans="1:19" s="34" customFormat="1" ht="13.9" hidden="1" customHeight="1" outlineLevel="2" x14ac:dyDescent="0.2">
      <c r="A565" s="457">
        <f ca="1">IF($H565="UNIDADE CONSTRUTIVA",OFFSET(A565,-1,0)+1,LARGE(A$3:A564,1))</f>
        <v>0</v>
      </c>
      <c r="B565" s="457">
        <f t="shared" ca="1" si="141"/>
        <v>8</v>
      </c>
      <c r="C565" s="457">
        <f t="shared" ca="1" si="142"/>
        <v>6</v>
      </c>
      <c r="D565" s="458">
        <f t="shared" ca="1" si="143"/>
        <v>3</v>
      </c>
      <c r="E565" s="458">
        <f t="shared" ca="1" si="144"/>
        <v>0</v>
      </c>
      <c r="G565" s="206"/>
      <c r="H565" s="207" t="s">
        <v>211</v>
      </c>
      <c r="I565" s="208" t="str">
        <f t="shared" ca="1" si="94"/>
        <v>08.006.003</v>
      </c>
      <c r="J565" s="209" t="s">
        <v>939</v>
      </c>
      <c r="K565" s="210"/>
      <c r="L565" s="455"/>
      <c r="M565" s="455"/>
      <c r="N565" s="285">
        <f t="shared" ca="1" si="145"/>
        <v>4220.5751987284311</v>
      </c>
      <c r="O565" s="462"/>
      <c r="P565" s="213"/>
      <c r="Q565" s="35"/>
      <c r="R565" s="35"/>
      <c r="S565" s="35"/>
    </row>
    <row r="566" spans="1:19" s="34" customFormat="1" ht="13.9" hidden="1" customHeight="1" outlineLevel="3" x14ac:dyDescent="0.2">
      <c r="A566" s="457">
        <f ca="1">IF($H566="UNIDADE CONSTRUTIVA",OFFSET(A566,-1,0)+1,LARGE(A$3:A565,1))</f>
        <v>0</v>
      </c>
      <c r="B566" s="457">
        <f t="shared" ca="1" si="141"/>
        <v>8</v>
      </c>
      <c r="C566" s="457">
        <f t="shared" ca="1" si="142"/>
        <v>6</v>
      </c>
      <c r="D566" s="458">
        <f t="shared" ca="1" si="143"/>
        <v>3</v>
      </c>
      <c r="E566" s="458">
        <f t="shared" ca="1" si="144"/>
        <v>1</v>
      </c>
      <c r="G566" s="206"/>
      <c r="H566" s="207" t="s">
        <v>212</v>
      </c>
      <c r="I566" s="208" t="str">
        <f t="shared" ca="1" si="94"/>
        <v>08.006.003.001</v>
      </c>
      <c r="J566" s="209" t="s">
        <v>939</v>
      </c>
      <c r="K566" s="210" t="s">
        <v>151</v>
      </c>
      <c r="L566" s="455">
        <v>1</v>
      </c>
      <c r="M566" s="455">
        <f>Instalações!I29</f>
        <v>4220.5751987284311</v>
      </c>
      <c r="N566" s="285">
        <f t="shared" si="145"/>
        <v>4220.5751987284311</v>
      </c>
      <c r="O566" s="462"/>
      <c r="P566" s="213" t="s">
        <v>518</v>
      </c>
      <c r="Q566" s="35"/>
      <c r="R566" s="35"/>
      <c r="S566" s="35"/>
    </row>
    <row r="567" spans="1:19" s="34" customFormat="1" ht="13.9" hidden="1" customHeight="1" outlineLevel="2" x14ac:dyDescent="0.2">
      <c r="A567" s="457">
        <f ca="1">IF($H567="UNIDADE CONSTRUTIVA",OFFSET(A567,-1,0)+1,LARGE(A$3:A566,1))</f>
        <v>0</v>
      </c>
      <c r="B567" s="457">
        <f t="shared" ca="1" si="141"/>
        <v>8</v>
      </c>
      <c r="C567" s="457">
        <f t="shared" ca="1" si="142"/>
        <v>6</v>
      </c>
      <c r="D567" s="458">
        <f t="shared" ca="1" si="143"/>
        <v>4</v>
      </c>
      <c r="E567" s="458">
        <f t="shared" ca="1" si="144"/>
        <v>0</v>
      </c>
      <c r="G567" s="206"/>
      <c r="H567" s="207" t="s">
        <v>211</v>
      </c>
      <c r="I567" s="208" t="str">
        <f t="shared" ca="1" si="94"/>
        <v>08.006.004</v>
      </c>
      <c r="J567" s="209" t="s">
        <v>940</v>
      </c>
      <c r="K567" s="210"/>
      <c r="L567" s="455"/>
      <c r="M567" s="455"/>
      <c r="N567" s="285">
        <f t="shared" ref="N567:N598" ca="1" si="146">IF(H567="Serviço",M567*L567,IF(H567="CÉLULA CONSTRUTIVA",SUMIFS($N$8:$N$1867,$B$8:$B$1867,B567,$H$8:$H$1867,"Serviço"),IF(H567="ETAPA",SUMIFS($N$8:$N$1867,$B$8:$B$1867,B567,$C$8:$C$1867,C567,$H$8:$H$1867,"Serviço"),IF(H567="SUBETAPA",SUMIFS($N$8:$N$1867,$B$8:$B$1867,B567,$C$8:$C$1867,C567,$D$8:$D$1867,D567,$H$8:$H$1867,"Serviço"),0))))</f>
        <v>22748.473853595526</v>
      </c>
      <c r="O567" s="462"/>
      <c r="P567" s="213"/>
      <c r="Q567" s="35"/>
      <c r="R567" s="35"/>
      <c r="S567" s="35"/>
    </row>
    <row r="568" spans="1:19" s="34" customFormat="1" ht="13.9" hidden="1" customHeight="1" outlineLevel="3" x14ac:dyDescent="0.2">
      <c r="A568" s="457">
        <f ca="1">IF($H568="UNIDADE CONSTRUTIVA",OFFSET(A568,-1,0)+1,LARGE(A$3:A567,1))</f>
        <v>0</v>
      </c>
      <c r="B568" s="457">
        <f t="shared" ca="1" si="141"/>
        <v>8</v>
      </c>
      <c r="C568" s="457">
        <f t="shared" ca="1" si="142"/>
        <v>6</v>
      </c>
      <c r="D568" s="458">
        <f t="shared" ca="1" si="143"/>
        <v>4</v>
      </c>
      <c r="E568" s="458">
        <f t="shared" ca="1" si="144"/>
        <v>1</v>
      </c>
      <c r="G568" s="206"/>
      <c r="H568" s="207" t="s">
        <v>212</v>
      </c>
      <c r="I568" s="208" t="str">
        <f t="shared" ref="I568:I608" ca="1" si="147">IF(H568="Unidade Construtiva",TEXT(A568,"00"),IF(H568="Célula Construtiva",TEXT(B568,"00"),IF(H568="Etapa",CONCATENATE(TEXT(B568,"00"),".",TEXT(C568,"000")),IF(H568="Subetapa",CONCATENATE(TEXT(B568,"00"),".",TEXT(C568,"000"),".",TEXT(D568,"000")),IF(H568="Serviço",CONCATENATE(TEXT(B568,"00"),".",TEXT(C568,"000"),".",TEXT(D568,"000"),".",TEXT(E568,"000")),"")))))</f>
        <v>08.006.004.001</v>
      </c>
      <c r="J568" s="209" t="s">
        <v>940</v>
      </c>
      <c r="K568" s="210" t="s">
        <v>151</v>
      </c>
      <c r="L568" s="455">
        <v>1</v>
      </c>
      <c r="M568" s="455">
        <f>Instalações!I41</f>
        <v>22748.473853595526</v>
      </c>
      <c r="N568" s="285">
        <f t="shared" si="146"/>
        <v>22748.473853595526</v>
      </c>
      <c r="O568" s="462"/>
      <c r="P568" s="213" t="s">
        <v>518</v>
      </c>
      <c r="Q568" s="35"/>
      <c r="R568" s="35"/>
      <c r="S568" s="35"/>
    </row>
    <row r="569" spans="1:19" s="34" customFormat="1" ht="13.9" hidden="1" customHeight="1" outlineLevel="2" x14ac:dyDescent="0.2">
      <c r="A569" s="457">
        <f ca="1">IF($H569="UNIDADE CONSTRUTIVA",OFFSET(A569,-1,0)+1,LARGE(A$3:A568,1))</f>
        <v>0</v>
      </c>
      <c r="B569" s="457">
        <f t="shared" ca="1" si="141"/>
        <v>8</v>
      </c>
      <c r="C569" s="457">
        <f t="shared" ca="1" si="142"/>
        <v>6</v>
      </c>
      <c r="D569" s="458">
        <f t="shared" ca="1" si="143"/>
        <v>5</v>
      </c>
      <c r="E569" s="458">
        <f t="shared" ca="1" si="144"/>
        <v>0</v>
      </c>
      <c r="G569" s="206"/>
      <c r="H569" s="207" t="s">
        <v>211</v>
      </c>
      <c r="I569" s="208" t="str">
        <f t="shared" ca="1" si="147"/>
        <v>08.006.005</v>
      </c>
      <c r="J569" s="209" t="s">
        <v>153</v>
      </c>
      <c r="K569" s="210"/>
      <c r="L569" s="455"/>
      <c r="M569" s="455"/>
      <c r="N569" s="285">
        <f t="shared" ca="1" si="146"/>
        <v>6983.4994962278925</v>
      </c>
      <c r="O569" s="462"/>
      <c r="P569" s="213"/>
      <c r="Q569" s="35"/>
      <c r="R569" s="35"/>
      <c r="S569" s="35"/>
    </row>
    <row r="570" spans="1:19" s="34" customFormat="1" ht="13.9" hidden="1" customHeight="1" outlineLevel="3" x14ac:dyDescent="0.2">
      <c r="A570" s="457">
        <f ca="1">IF($H570="UNIDADE CONSTRUTIVA",OFFSET(A570,-1,0)+1,LARGE(A$3:A569,1))</f>
        <v>0</v>
      </c>
      <c r="B570" s="457">
        <f t="shared" ca="1" si="141"/>
        <v>8</v>
      </c>
      <c r="C570" s="457">
        <f t="shared" ca="1" si="142"/>
        <v>6</v>
      </c>
      <c r="D570" s="458">
        <f t="shared" ca="1" si="143"/>
        <v>5</v>
      </c>
      <c r="E570" s="458">
        <f t="shared" ca="1" si="144"/>
        <v>1</v>
      </c>
      <c r="G570" s="206"/>
      <c r="H570" s="207" t="s">
        <v>212</v>
      </c>
      <c r="I570" s="208" t="str">
        <f t="shared" ca="1" si="147"/>
        <v>08.006.005.001</v>
      </c>
      <c r="J570" s="209" t="s">
        <v>153</v>
      </c>
      <c r="K570" s="210" t="s">
        <v>151</v>
      </c>
      <c r="L570" s="455">
        <v>1</v>
      </c>
      <c r="M570" s="455">
        <f>Instalações!I56</f>
        <v>6983.4994962278925</v>
      </c>
      <c r="N570" s="285">
        <f t="shared" si="146"/>
        <v>6983.4994962278925</v>
      </c>
      <c r="O570" s="462"/>
      <c r="P570" s="213" t="s">
        <v>518</v>
      </c>
      <c r="Q570" s="35"/>
      <c r="R570" s="35"/>
      <c r="S570" s="35"/>
    </row>
    <row r="571" spans="1:19" s="34" customFormat="1" ht="13.9" hidden="1" customHeight="1" outlineLevel="2" x14ac:dyDescent="0.2">
      <c r="A571" s="457">
        <f ca="1">IF($H571="UNIDADE CONSTRUTIVA",OFFSET(A571,-1,0)+1,LARGE(A$3:A570,1))</f>
        <v>0</v>
      </c>
      <c r="B571" s="457">
        <f t="shared" ca="1" si="141"/>
        <v>8</v>
      </c>
      <c r="C571" s="457">
        <f t="shared" ca="1" si="142"/>
        <v>6</v>
      </c>
      <c r="D571" s="458">
        <f t="shared" ca="1" si="143"/>
        <v>6</v>
      </c>
      <c r="E571" s="458">
        <f t="shared" ca="1" si="144"/>
        <v>0</v>
      </c>
      <c r="G571" s="206"/>
      <c r="H571" s="207" t="s">
        <v>211</v>
      </c>
      <c r="I571" s="208" t="str">
        <f t="shared" ca="1" si="147"/>
        <v>08.006.006</v>
      </c>
      <c r="J571" s="209" t="s">
        <v>179</v>
      </c>
      <c r="K571" s="210"/>
      <c r="L571" s="455"/>
      <c r="M571" s="455"/>
      <c r="N571" s="285">
        <f t="shared" ca="1" si="146"/>
        <v>4284.3486004040069</v>
      </c>
      <c r="O571" s="462"/>
      <c r="P571" s="213"/>
      <c r="Q571" s="35"/>
      <c r="R571" s="35"/>
      <c r="S571" s="35"/>
    </row>
    <row r="572" spans="1:19" s="34" customFormat="1" ht="13.9" hidden="1" customHeight="1" outlineLevel="3" x14ac:dyDescent="0.2">
      <c r="A572" s="457">
        <f ca="1">IF($H572="UNIDADE CONSTRUTIVA",OFFSET(A572,-1,0)+1,LARGE(A$3:A571,1))</f>
        <v>0</v>
      </c>
      <c r="B572" s="457">
        <f t="shared" ca="1" si="141"/>
        <v>8</v>
      </c>
      <c r="C572" s="457">
        <f t="shared" ca="1" si="142"/>
        <v>6</v>
      </c>
      <c r="D572" s="458">
        <f t="shared" ca="1" si="143"/>
        <v>6</v>
      </c>
      <c r="E572" s="458">
        <f t="shared" ca="1" si="144"/>
        <v>1</v>
      </c>
      <c r="G572" s="206"/>
      <c r="H572" s="207" t="s">
        <v>212</v>
      </c>
      <c r="I572" s="208" t="str">
        <f t="shared" ca="1" si="147"/>
        <v>08.006.006.001</v>
      </c>
      <c r="J572" s="209" t="s">
        <v>179</v>
      </c>
      <c r="K572" s="210" t="s">
        <v>151</v>
      </c>
      <c r="L572" s="455">
        <v>1</v>
      </c>
      <c r="M572" s="455">
        <f>Instalações!I63</f>
        <v>4284.3486004040069</v>
      </c>
      <c r="N572" s="285">
        <f t="shared" si="146"/>
        <v>4284.3486004040069</v>
      </c>
      <c r="O572" s="462"/>
      <c r="P572" s="213" t="s">
        <v>518</v>
      </c>
      <c r="Q572" s="35"/>
      <c r="R572" s="35"/>
      <c r="S572" s="35"/>
    </row>
    <row r="573" spans="1:19" s="34" customFormat="1" ht="13.9" hidden="1" customHeight="1" outlineLevel="2" x14ac:dyDescent="0.2">
      <c r="A573" s="457">
        <f ca="1">IF($H573="UNIDADE CONSTRUTIVA",OFFSET(A573,-1,0)+1,LARGE(A$3:A572,1))</f>
        <v>0</v>
      </c>
      <c r="B573" s="457">
        <f t="shared" ca="1" si="141"/>
        <v>8</v>
      </c>
      <c r="C573" s="457">
        <f t="shared" ca="1" si="142"/>
        <v>6</v>
      </c>
      <c r="D573" s="458">
        <f t="shared" ca="1" si="143"/>
        <v>7</v>
      </c>
      <c r="E573" s="458">
        <f t="shared" ca="1" si="144"/>
        <v>0</v>
      </c>
      <c r="G573" s="206"/>
      <c r="H573" s="207" t="s">
        <v>211</v>
      </c>
      <c r="I573" s="208" t="str">
        <f t="shared" ca="1" si="147"/>
        <v>08.006.007</v>
      </c>
      <c r="J573" s="209" t="s">
        <v>180</v>
      </c>
      <c r="K573" s="210"/>
      <c r="L573" s="455"/>
      <c r="M573" s="455"/>
      <c r="N573" s="285">
        <f t="shared" ca="1" si="146"/>
        <v>1638.8338244630418</v>
      </c>
      <c r="O573" s="462"/>
      <c r="P573" s="213"/>
      <c r="Q573" s="35"/>
      <c r="R573" s="35"/>
      <c r="S573" s="35"/>
    </row>
    <row r="574" spans="1:19" s="34" customFormat="1" ht="13.9" hidden="1" customHeight="1" outlineLevel="3" x14ac:dyDescent="0.2">
      <c r="A574" s="457">
        <f ca="1">IF($H574="UNIDADE CONSTRUTIVA",OFFSET(A574,-1,0)+1,LARGE(A$3:A573,1))</f>
        <v>0</v>
      </c>
      <c r="B574" s="457">
        <f t="shared" ca="1" si="141"/>
        <v>8</v>
      </c>
      <c r="C574" s="457">
        <f t="shared" ca="1" si="142"/>
        <v>6</v>
      </c>
      <c r="D574" s="458">
        <f t="shared" ca="1" si="143"/>
        <v>7</v>
      </c>
      <c r="E574" s="458">
        <f t="shared" ca="1" si="144"/>
        <v>1</v>
      </c>
      <c r="G574" s="206"/>
      <c r="H574" s="207" t="s">
        <v>212</v>
      </c>
      <c r="I574" s="208" t="str">
        <f t="shared" ca="1" si="147"/>
        <v>08.006.007.001</v>
      </c>
      <c r="J574" s="209" t="s">
        <v>181</v>
      </c>
      <c r="K574" s="210" t="s">
        <v>151</v>
      </c>
      <c r="L574" s="455">
        <v>1</v>
      </c>
      <c r="M574" s="455">
        <f>Instalações!I45</f>
        <v>1638.8338244630418</v>
      </c>
      <c r="N574" s="285">
        <f t="shared" si="146"/>
        <v>1638.8338244630418</v>
      </c>
      <c r="O574" s="462"/>
      <c r="P574" s="213" t="s">
        <v>518</v>
      </c>
      <c r="Q574" s="35"/>
      <c r="R574" s="35"/>
      <c r="S574" s="35"/>
    </row>
    <row r="575" spans="1:19" s="34" customFormat="1" ht="13.9" hidden="1" customHeight="1" outlineLevel="2" x14ac:dyDescent="0.2">
      <c r="A575" s="457">
        <f ca="1">IF($H575="UNIDADE CONSTRUTIVA",OFFSET(A575,-1,0)+1,LARGE(A$3:A574,1))</f>
        <v>0</v>
      </c>
      <c r="B575" s="457">
        <f t="shared" ca="1" si="141"/>
        <v>8</v>
      </c>
      <c r="C575" s="457">
        <f t="shared" ca="1" si="142"/>
        <v>6</v>
      </c>
      <c r="D575" s="458">
        <f t="shared" ca="1" si="143"/>
        <v>8</v>
      </c>
      <c r="E575" s="458">
        <f t="shared" ca="1" si="144"/>
        <v>0</v>
      </c>
      <c r="G575" s="206"/>
      <c r="H575" s="207" t="s">
        <v>211</v>
      </c>
      <c r="I575" s="208" t="str">
        <f t="shared" ca="1" si="147"/>
        <v>08.006.008</v>
      </c>
      <c r="J575" s="209" t="s">
        <v>941</v>
      </c>
      <c r="K575" s="210"/>
      <c r="L575" s="455"/>
      <c r="M575" s="455"/>
      <c r="N575" s="285">
        <f t="shared" ca="1" si="146"/>
        <v>32827.199999999997</v>
      </c>
      <c r="O575" s="462"/>
      <c r="P575" s="213"/>
      <c r="Q575" s="35"/>
      <c r="R575" s="35"/>
      <c r="S575" s="35"/>
    </row>
    <row r="576" spans="1:19" s="34" customFormat="1" ht="13.9" hidden="1" customHeight="1" outlineLevel="3" x14ac:dyDescent="0.2">
      <c r="A576" s="457">
        <f ca="1">IF($H576="UNIDADE CONSTRUTIVA",OFFSET(A576,-1,0)+1,LARGE(A$3:A575,1))</f>
        <v>0</v>
      </c>
      <c r="B576" s="457">
        <f t="shared" ca="1" si="141"/>
        <v>8</v>
      </c>
      <c r="C576" s="457">
        <f t="shared" ca="1" si="142"/>
        <v>6</v>
      </c>
      <c r="D576" s="458">
        <f t="shared" ca="1" si="143"/>
        <v>8</v>
      </c>
      <c r="E576" s="458">
        <f t="shared" ca="1" si="144"/>
        <v>1</v>
      </c>
      <c r="G576" s="206"/>
      <c r="H576" s="207" t="s">
        <v>212</v>
      </c>
      <c r="I576" s="208" t="str">
        <f t="shared" ca="1" si="147"/>
        <v>08.006.008.001</v>
      </c>
      <c r="J576" s="209" t="s">
        <v>942</v>
      </c>
      <c r="K576" s="210" t="s">
        <v>151</v>
      </c>
      <c r="L576" s="455">
        <v>1</v>
      </c>
      <c r="M576" s="455">
        <f>'Obra '!E22*60</f>
        <v>32827.199999999997</v>
      </c>
      <c r="N576" s="285">
        <f t="shared" si="146"/>
        <v>32827.199999999997</v>
      </c>
      <c r="O576" s="462"/>
      <c r="P576" s="213" t="s">
        <v>518</v>
      </c>
      <c r="Q576" s="35"/>
      <c r="R576" s="35"/>
      <c r="S576" s="35"/>
    </row>
    <row r="577" spans="1:19" s="34" customFormat="1" ht="13.9" hidden="1" customHeight="1" outlineLevel="1" x14ac:dyDescent="0.2">
      <c r="A577" s="457">
        <f ca="1">IF($H577="UNIDADE CONSTRUTIVA",OFFSET(A577,-1,0)+1,LARGE(A$3:A576,1))</f>
        <v>0</v>
      </c>
      <c r="B577" s="457">
        <f t="shared" ref="B577:B593" ca="1" si="148">IF(H577="UNIDADE CONSTRUTIVA",0,IF(H577="CÉLULA CONSTRUTIVA",OFFSET(B577,-1,0)+1,OFFSET(B577,-1,0)))</f>
        <v>8</v>
      </c>
      <c r="C577" s="457">
        <f t="shared" ref="C577:C593" ca="1" si="149">IF(H577="CÉLULA CONSTRUTIVA",0,IF(H577="ETAPA",OFFSET(C577,-1,0)+1,OFFSET(C577,-1,0)))</f>
        <v>7</v>
      </c>
      <c r="D577" s="458">
        <f t="shared" ref="D577:D593" ca="1" si="150">IF(H577="ETAPA",0,IF(H577="SUBETAPA",OFFSET(D577,-1,0)+1,OFFSET(D577,-1,0)))</f>
        <v>0</v>
      </c>
      <c r="E577" s="458">
        <f t="shared" ref="E577:E593" ca="1" si="151">IF(H577="Subetapa",0,IF(H577="serviço",OFFSET(E577,-1,0)+1,OFFSET(E577,-1,0)))</f>
        <v>1</v>
      </c>
      <c r="G577" s="206"/>
      <c r="H577" s="207" t="s">
        <v>210</v>
      </c>
      <c r="I577" s="208" t="str">
        <f t="shared" ca="1" si="147"/>
        <v>08.007</v>
      </c>
      <c r="J577" s="209" t="s">
        <v>953</v>
      </c>
      <c r="K577" s="210"/>
      <c r="L577" s="455"/>
      <c r="M577" s="455"/>
      <c r="N577" s="285">
        <f t="shared" ca="1" si="146"/>
        <v>69454.804067120785</v>
      </c>
      <c r="O577" s="462"/>
      <c r="P577" s="213"/>
      <c r="Q577" s="35"/>
      <c r="R577" s="35"/>
      <c r="S577" s="35"/>
    </row>
    <row r="578" spans="1:19" s="34" customFormat="1" ht="13.9" hidden="1" customHeight="1" outlineLevel="2" x14ac:dyDescent="0.2">
      <c r="A578" s="457">
        <f ca="1">IF($H578="UNIDADE CONSTRUTIVA",OFFSET(A578,-1,0)+1,LARGE(A$3:A577,1))</f>
        <v>0</v>
      </c>
      <c r="B578" s="457">
        <f t="shared" ca="1" si="148"/>
        <v>8</v>
      </c>
      <c r="C578" s="457">
        <f t="shared" ca="1" si="149"/>
        <v>7</v>
      </c>
      <c r="D578" s="458">
        <f t="shared" ca="1" si="150"/>
        <v>1</v>
      </c>
      <c r="E578" s="458">
        <f t="shared" ca="1" si="151"/>
        <v>0</v>
      </c>
      <c r="G578" s="206"/>
      <c r="H578" s="207" t="s">
        <v>211</v>
      </c>
      <c r="I578" s="208" t="str">
        <f t="shared" ca="1" si="147"/>
        <v>08.007.001</v>
      </c>
      <c r="J578" s="209" t="s">
        <v>936</v>
      </c>
      <c r="K578" s="210"/>
      <c r="L578" s="455"/>
      <c r="M578" s="455"/>
      <c r="N578" s="285">
        <f t="shared" ca="1" si="146"/>
        <v>6200.2735890513377</v>
      </c>
      <c r="O578" s="462"/>
      <c r="P578" s="213"/>
      <c r="Q578" s="35"/>
      <c r="R578" s="35"/>
      <c r="S578" s="35"/>
    </row>
    <row r="579" spans="1:19" s="34" customFormat="1" ht="13.9" hidden="1" customHeight="1" outlineLevel="3" x14ac:dyDescent="0.2">
      <c r="A579" s="457">
        <f ca="1">IF($H579="UNIDADE CONSTRUTIVA",OFFSET(A579,-1,0)+1,LARGE(A$3:A578,1))</f>
        <v>0</v>
      </c>
      <c r="B579" s="457">
        <f t="shared" ca="1" si="148"/>
        <v>8</v>
      </c>
      <c r="C579" s="457">
        <f t="shared" ca="1" si="149"/>
        <v>7</v>
      </c>
      <c r="D579" s="458">
        <f t="shared" ca="1" si="150"/>
        <v>1</v>
      </c>
      <c r="E579" s="458">
        <f t="shared" ca="1" si="151"/>
        <v>1</v>
      </c>
      <c r="G579" s="206"/>
      <c r="H579" s="207" t="s">
        <v>212</v>
      </c>
      <c r="I579" s="208" t="str">
        <f t="shared" ca="1" si="147"/>
        <v>08.007.001.001</v>
      </c>
      <c r="J579" s="209" t="s">
        <v>936</v>
      </c>
      <c r="K579" s="210" t="s">
        <v>151</v>
      </c>
      <c r="L579" s="455">
        <v>1</v>
      </c>
      <c r="M579" s="455">
        <f>Instalações!J15</f>
        <v>6200.2735890513377</v>
      </c>
      <c r="N579" s="285">
        <f t="shared" si="146"/>
        <v>6200.2735890513377</v>
      </c>
      <c r="O579" s="462"/>
      <c r="P579" s="213" t="s">
        <v>518</v>
      </c>
      <c r="Q579" s="35"/>
      <c r="R579" s="35"/>
      <c r="S579" s="35"/>
    </row>
    <row r="580" spans="1:19" s="34" customFormat="1" ht="13.9" hidden="1" customHeight="1" outlineLevel="2" x14ac:dyDescent="0.2">
      <c r="A580" s="457">
        <f ca="1">IF($H580="UNIDADE CONSTRUTIVA",OFFSET(A580,-1,0)+1,LARGE(A$3:A579,1))</f>
        <v>0</v>
      </c>
      <c r="B580" s="457">
        <f t="shared" ca="1" si="148"/>
        <v>8</v>
      </c>
      <c r="C580" s="457">
        <f t="shared" ca="1" si="149"/>
        <v>7</v>
      </c>
      <c r="D580" s="458">
        <f t="shared" ca="1" si="150"/>
        <v>2</v>
      </c>
      <c r="E580" s="458">
        <f t="shared" ca="1" si="151"/>
        <v>0</v>
      </c>
      <c r="G580" s="206"/>
      <c r="H580" s="207" t="s">
        <v>211</v>
      </c>
      <c r="I580" s="208" t="str">
        <f t="shared" ca="1" si="147"/>
        <v>08.007.002</v>
      </c>
      <c r="J580" s="209" t="s">
        <v>938</v>
      </c>
      <c r="K580" s="210"/>
      <c r="L580" s="455"/>
      <c r="M580" s="455"/>
      <c r="N580" s="285">
        <f t="shared" ca="1" si="146"/>
        <v>1708.4956550091379</v>
      </c>
      <c r="O580" s="462"/>
      <c r="P580" s="213"/>
      <c r="Q580" s="35"/>
      <c r="R580" s="35"/>
      <c r="S580" s="35"/>
    </row>
    <row r="581" spans="1:19" s="34" customFormat="1" ht="13.9" hidden="1" customHeight="1" outlineLevel="3" x14ac:dyDescent="0.2">
      <c r="A581" s="457">
        <f ca="1">IF($H581="UNIDADE CONSTRUTIVA",OFFSET(A581,-1,0)+1,LARGE(A$3:A580,1))</f>
        <v>0</v>
      </c>
      <c r="B581" s="457">
        <f t="shared" ca="1" si="148"/>
        <v>8</v>
      </c>
      <c r="C581" s="457">
        <f t="shared" ca="1" si="149"/>
        <v>7</v>
      </c>
      <c r="D581" s="458">
        <f t="shared" ca="1" si="150"/>
        <v>2</v>
      </c>
      <c r="E581" s="458">
        <f t="shared" ca="1" si="151"/>
        <v>1</v>
      </c>
      <c r="G581" s="206"/>
      <c r="H581" s="207" t="s">
        <v>212</v>
      </c>
      <c r="I581" s="208" t="str">
        <f t="shared" ca="1" si="147"/>
        <v>08.007.002.001</v>
      </c>
      <c r="J581" s="209" t="s">
        <v>938</v>
      </c>
      <c r="K581" s="210" t="s">
        <v>151</v>
      </c>
      <c r="L581" s="455">
        <v>1</v>
      </c>
      <c r="M581" s="455">
        <f>Instalações!J25</f>
        <v>1708.4956550091379</v>
      </c>
      <c r="N581" s="285">
        <f t="shared" si="146"/>
        <v>1708.4956550091379</v>
      </c>
      <c r="O581" s="462"/>
      <c r="P581" s="213" t="s">
        <v>518</v>
      </c>
      <c r="Q581" s="35"/>
      <c r="R581" s="35"/>
      <c r="S581" s="35"/>
    </row>
    <row r="582" spans="1:19" s="34" customFormat="1" ht="13.9" hidden="1" customHeight="1" outlineLevel="2" x14ac:dyDescent="0.2">
      <c r="A582" s="457">
        <f ca="1">IF($H582="UNIDADE CONSTRUTIVA",OFFSET(A582,-1,0)+1,LARGE(A$3:A581,1))</f>
        <v>0</v>
      </c>
      <c r="B582" s="457">
        <f t="shared" ca="1" si="148"/>
        <v>8</v>
      </c>
      <c r="C582" s="457">
        <f t="shared" ca="1" si="149"/>
        <v>7</v>
      </c>
      <c r="D582" s="458">
        <f t="shared" ca="1" si="150"/>
        <v>3</v>
      </c>
      <c r="E582" s="458">
        <f t="shared" ca="1" si="151"/>
        <v>0</v>
      </c>
      <c r="G582" s="206"/>
      <c r="H582" s="207" t="s">
        <v>211</v>
      </c>
      <c r="I582" s="208" t="str">
        <f t="shared" ca="1" si="147"/>
        <v>08.007.003</v>
      </c>
      <c r="J582" s="209" t="s">
        <v>939</v>
      </c>
      <c r="K582" s="210"/>
      <c r="L582" s="455"/>
      <c r="M582" s="455"/>
      <c r="N582" s="285">
        <f t="shared" ca="1" si="146"/>
        <v>3521.9996436285101</v>
      </c>
      <c r="O582" s="462"/>
      <c r="P582" s="213"/>
      <c r="Q582" s="35"/>
      <c r="R582" s="35"/>
      <c r="S582" s="35"/>
    </row>
    <row r="583" spans="1:19" s="34" customFormat="1" ht="13.9" hidden="1" customHeight="1" outlineLevel="3" x14ac:dyDescent="0.2">
      <c r="A583" s="457">
        <f ca="1">IF($H583="UNIDADE CONSTRUTIVA",OFFSET(A583,-1,0)+1,LARGE(A$3:A582,1))</f>
        <v>0</v>
      </c>
      <c r="B583" s="457">
        <f t="shared" ca="1" si="148"/>
        <v>8</v>
      </c>
      <c r="C583" s="457">
        <f t="shared" ca="1" si="149"/>
        <v>7</v>
      </c>
      <c r="D583" s="458">
        <f t="shared" ca="1" si="150"/>
        <v>3</v>
      </c>
      <c r="E583" s="458">
        <f t="shared" ca="1" si="151"/>
        <v>1</v>
      </c>
      <c r="G583" s="206"/>
      <c r="H583" s="207" t="s">
        <v>212</v>
      </c>
      <c r="I583" s="208" t="str">
        <f t="shared" ca="1" si="147"/>
        <v>08.007.003.001</v>
      </c>
      <c r="J583" s="209" t="s">
        <v>939</v>
      </c>
      <c r="K583" s="210" t="s">
        <v>151</v>
      </c>
      <c r="L583" s="455">
        <v>1</v>
      </c>
      <c r="M583" s="455">
        <f>Instalações!J31</f>
        <v>3521.9996436285101</v>
      </c>
      <c r="N583" s="285">
        <f t="shared" si="146"/>
        <v>3521.9996436285101</v>
      </c>
      <c r="O583" s="462"/>
      <c r="P583" s="213" t="s">
        <v>518</v>
      </c>
      <c r="Q583" s="35"/>
      <c r="R583" s="35"/>
      <c r="S583" s="35"/>
    </row>
    <row r="584" spans="1:19" s="34" customFormat="1" ht="13.9" hidden="1" customHeight="1" outlineLevel="2" x14ac:dyDescent="0.2">
      <c r="A584" s="457">
        <f ca="1">IF($H584="UNIDADE CONSTRUTIVA",OFFSET(A584,-1,0)+1,LARGE(A$3:A583,1))</f>
        <v>0</v>
      </c>
      <c r="B584" s="457">
        <f t="shared" ca="1" si="148"/>
        <v>8</v>
      </c>
      <c r="C584" s="457">
        <f t="shared" ca="1" si="149"/>
        <v>7</v>
      </c>
      <c r="D584" s="458">
        <f t="shared" ca="1" si="150"/>
        <v>4</v>
      </c>
      <c r="E584" s="458">
        <f t="shared" ca="1" si="151"/>
        <v>0</v>
      </c>
      <c r="G584" s="206"/>
      <c r="H584" s="207" t="s">
        <v>211</v>
      </c>
      <c r="I584" s="208" t="str">
        <f t="shared" ca="1" si="147"/>
        <v>08.007.004</v>
      </c>
      <c r="J584" s="209" t="s">
        <v>940</v>
      </c>
      <c r="K584" s="210"/>
      <c r="L584" s="455"/>
      <c r="M584" s="455"/>
      <c r="N584" s="285">
        <f t="shared" ca="1" si="146"/>
        <v>19364.086540122946</v>
      </c>
      <c r="O584" s="462"/>
      <c r="P584" s="213"/>
      <c r="Q584" s="35"/>
      <c r="R584" s="35"/>
      <c r="S584" s="35"/>
    </row>
    <row r="585" spans="1:19" s="34" customFormat="1" ht="13.9" hidden="1" customHeight="1" outlineLevel="3" x14ac:dyDescent="0.2">
      <c r="A585" s="457">
        <f ca="1">IF($H585="UNIDADE CONSTRUTIVA",OFFSET(A585,-1,0)+1,LARGE(A$3:A584,1))</f>
        <v>0</v>
      </c>
      <c r="B585" s="457">
        <f t="shared" ca="1" si="148"/>
        <v>8</v>
      </c>
      <c r="C585" s="457">
        <f t="shared" ca="1" si="149"/>
        <v>7</v>
      </c>
      <c r="D585" s="458">
        <f t="shared" ca="1" si="150"/>
        <v>4</v>
      </c>
      <c r="E585" s="458">
        <f t="shared" ca="1" si="151"/>
        <v>1</v>
      </c>
      <c r="G585" s="206"/>
      <c r="H585" s="207" t="s">
        <v>212</v>
      </c>
      <c r="I585" s="208" t="str">
        <f t="shared" ref="I585:I593" ca="1" si="152">IF(H585="Unidade Construtiva",TEXT(A585,"00"),IF(H585="Célula Construtiva",TEXT(B585,"00"),IF(H585="Etapa",CONCATENATE(TEXT(B585,"00"),".",TEXT(C585,"000")),IF(H585="Subetapa",CONCATENATE(TEXT(B585,"00"),".",TEXT(C585,"000"),".",TEXT(D585,"000")),IF(H585="Serviço",CONCATENATE(TEXT(B585,"00"),".",TEXT(C585,"000"),".",TEXT(D585,"000"),".",TEXT(E585,"000")),"")))))</f>
        <v>08.007.004.001</v>
      </c>
      <c r="J585" s="209" t="s">
        <v>940</v>
      </c>
      <c r="K585" s="210" t="s">
        <v>151</v>
      </c>
      <c r="L585" s="455">
        <v>1</v>
      </c>
      <c r="M585" s="455">
        <f>Instalações!J43</f>
        <v>19364.086540122946</v>
      </c>
      <c r="N585" s="285">
        <f t="shared" si="146"/>
        <v>19364.086540122946</v>
      </c>
      <c r="O585" s="462"/>
      <c r="P585" s="213" t="s">
        <v>518</v>
      </c>
      <c r="Q585" s="35"/>
      <c r="R585" s="35"/>
      <c r="S585" s="35"/>
    </row>
    <row r="586" spans="1:19" s="34" customFormat="1" ht="13.9" hidden="1" customHeight="1" outlineLevel="2" x14ac:dyDescent="0.2">
      <c r="A586" s="457">
        <f ca="1">IF($H586="UNIDADE CONSTRUTIVA",OFFSET(A586,-1,0)+1,LARGE(A$3:A585,1))</f>
        <v>0</v>
      </c>
      <c r="B586" s="457">
        <f t="shared" ca="1" si="148"/>
        <v>8</v>
      </c>
      <c r="C586" s="457">
        <f t="shared" ca="1" si="149"/>
        <v>7</v>
      </c>
      <c r="D586" s="458">
        <f t="shared" ca="1" si="150"/>
        <v>5</v>
      </c>
      <c r="E586" s="458">
        <f t="shared" ca="1" si="151"/>
        <v>0</v>
      </c>
      <c r="G586" s="206"/>
      <c r="H586" s="207" t="s">
        <v>211</v>
      </c>
      <c r="I586" s="208" t="str">
        <f t="shared" ca="1" si="152"/>
        <v>08.007.005</v>
      </c>
      <c r="J586" s="209" t="s">
        <v>153</v>
      </c>
      <c r="K586" s="210"/>
      <c r="L586" s="455"/>
      <c r="M586" s="455"/>
      <c r="N586" s="285">
        <f t="shared" ca="1" si="146"/>
        <v>4325.3404996677191</v>
      </c>
      <c r="O586" s="462"/>
      <c r="P586" s="213"/>
      <c r="Q586" s="35"/>
      <c r="R586" s="35"/>
      <c r="S586" s="35"/>
    </row>
    <row r="587" spans="1:19" s="34" customFormat="1" ht="13.9" hidden="1" customHeight="1" outlineLevel="3" x14ac:dyDescent="0.2">
      <c r="A587" s="457">
        <f ca="1">IF($H587="UNIDADE CONSTRUTIVA",OFFSET(A587,-1,0)+1,LARGE(A$3:A586,1))</f>
        <v>0</v>
      </c>
      <c r="B587" s="457">
        <f t="shared" ca="1" si="148"/>
        <v>8</v>
      </c>
      <c r="C587" s="457">
        <f t="shared" ca="1" si="149"/>
        <v>7</v>
      </c>
      <c r="D587" s="458">
        <f t="shared" ca="1" si="150"/>
        <v>5</v>
      </c>
      <c r="E587" s="458">
        <f t="shared" ca="1" si="151"/>
        <v>1</v>
      </c>
      <c r="G587" s="206"/>
      <c r="H587" s="207" t="s">
        <v>212</v>
      </c>
      <c r="I587" s="208" t="str">
        <f t="shared" ca="1" si="152"/>
        <v>08.007.005.001</v>
      </c>
      <c r="J587" s="209" t="s">
        <v>153</v>
      </c>
      <c r="K587" s="210" t="s">
        <v>151</v>
      </c>
      <c r="L587" s="455">
        <v>1</v>
      </c>
      <c r="M587" s="455">
        <f>Instalações!J58</f>
        <v>4325.3404996677191</v>
      </c>
      <c r="N587" s="285">
        <f t="shared" si="146"/>
        <v>4325.3404996677191</v>
      </c>
      <c r="O587" s="462"/>
      <c r="P587" s="213" t="s">
        <v>518</v>
      </c>
      <c r="Q587" s="35"/>
      <c r="R587" s="35"/>
      <c r="S587" s="35"/>
    </row>
    <row r="588" spans="1:19" s="34" customFormat="1" ht="13.9" hidden="1" customHeight="1" outlineLevel="2" x14ac:dyDescent="0.2">
      <c r="A588" s="457">
        <f ca="1">IF($H588="UNIDADE CONSTRUTIVA",OFFSET(A588,-1,0)+1,LARGE(A$3:A587,1))</f>
        <v>0</v>
      </c>
      <c r="B588" s="457">
        <f t="shared" ca="1" si="148"/>
        <v>8</v>
      </c>
      <c r="C588" s="457">
        <f t="shared" ca="1" si="149"/>
        <v>7</v>
      </c>
      <c r="D588" s="458">
        <f t="shared" ca="1" si="150"/>
        <v>6</v>
      </c>
      <c r="E588" s="458">
        <f t="shared" ca="1" si="151"/>
        <v>0</v>
      </c>
      <c r="G588" s="206"/>
      <c r="H588" s="207" t="s">
        <v>211</v>
      </c>
      <c r="I588" s="208" t="str">
        <f t="shared" ca="1" si="152"/>
        <v>08.007.006</v>
      </c>
      <c r="J588" s="209" t="s">
        <v>179</v>
      </c>
      <c r="K588" s="210"/>
      <c r="L588" s="455"/>
      <c r="M588" s="455"/>
      <c r="N588" s="285">
        <f t="shared" ca="1" si="146"/>
        <v>3251.5799526499418</v>
      </c>
      <c r="O588" s="462"/>
      <c r="P588" s="213"/>
      <c r="Q588" s="35"/>
      <c r="R588" s="35"/>
      <c r="S588" s="35"/>
    </row>
    <row r="589" spans="1:19" s="34" customFormat="1" ht="13.9" hidden="1" customHeight="1" outlineLevel="3" x14ac:dyDescent="0.2">
      <c r="A589" s="457">
        <f ca="1">IF($H589="UNIDADE CONSTRUTIVA",OFFSET(A589,-1,0)+1,LARGE(A$3:A588,1))</f>
        <v>0</v>
      </c>
      <c r="B589" s="457">
        <f t="shared" ca="1" si="148"/>
        <v>8</v>
      </c>
      <c r="C589" s="457">
        <f t="shared" ca="1" si="149"/>
        <v>7</v>
      </c>
      <c r="D589" s="458">
        <f t="shared" ca="1" si="150"/>
        <v>6</v>
      </c>
      <c r="E589" s="458">
        <f t="shared" ca="1" si="151"/>
        <v>1</v>
      </c>
      <c r="G589" s="206"/>
      <c r="H589" s="207" t="s">
        <v>212</v>
      </c>
      <c r="I589" s="208" t="str">
        <f t="shared" ca="1" si="152"/>
        <v>08.007.006.001</v>
      </c>
      <c r="J589" s="209" t="s">
        <v>179</v>
      </c>
      <c r="K589" s="210" t="s">
        <v>151</v>
      </c>
      <c r="L589" s="455">
        <v>1</v>
      </c>
      <c r="M589" s="455">
        <f>Instalações!J67</f>
        <v>3251.5799526499418</v>
      </c>
      <c r="N589" s="285">
        <f t="shared" si="146"/>
        <v>3251.5799526499418</v>
      </c>
      <c r="O589" s="462"/>
      <c r="P589" s="213" t="s">
        <v>518</v>
      </c>
      <c r="Q589" s="35"/>
      <c r="R589" s="35"/>
      <c r="S589" s="35"/>
    </row>
    <row r="590" spans="1:19" s="34" customFormat="1" ht="13.9" hidden="1" customHeight="1" outlineLevel="2" x14ac:dyDescent="0.2">
      <c r="A590" s="457">
        <f ca="1">IF($H590="UNIDADE CONSTRUTIVA",OFFSET(A590,-1,0)+1,LARGE(A$3:A589,1))</f>
        <v>0</v>
      </c>
      <c r="B590" s="457">
        <f t="shared" ca="1" si="148"/>
        <v>8</v>
      </c>
      <c r="C590" s="457">
        <f t="shared" ca="1" si="149"/>
        <v>7</v>
      </c>
      <c r="D590" s="458">
        <f t="shared" ca="1" si="150"/>
        <v>7</v>
      </c>
      <c r="E590" s="458">
        <f t="shared" ca="1" si="151"/>
        <v>0</v>
      </c>
      <c r="G590" s="206"/>
      <c r="H590" s="207" t="s">
        <v>211</v>
      </c>
      <c r="I590" s="208" t="str">
        <f t="shared" ca="1" si="152"/>
        <v>08.007.007</v>
      </c>
      <c r="J590" s="209" t="s">
        <v>180</v>
      </c>
      <c r="K590" s="210"/>
      <c r="L590" s="455"/>
      <c r="M590" s="455"/>
      <c r="N590" s="285">
        <f t="shared" ca="1" si="146"/>
        <v>3116.4281869911947</v>
      </c>
      <c r="O590" s="462"/>
      <c r="P590" s="213"/>
      <c r="Q590" s="35"/>
      <c r="R590" s="35"/>
      <c r="S590" s="35"/>
    </row>
    <row r="591" spans="1:19" s="34" customFormat="1" ht="13.9" hidden="1" customHeight="1" outlineLevel="3" x14ac:dyDescent="0.2">
      <c r="A591" s="457">
        <f ca="1">IF($H591="UNIDADE CONSTRUTIVA",OFFSET(A591,-1,0)+1,LARGE(A$3:A590,1))</f>
        <v>0</v>
      </c>
      <c r="B591" s="457">
        <f t="shared" ca="1" si="148"/>
        <v>8</v>
      </c>
      <c r="C591" s="457">
        <f t="shared" ca="1" si="149"/>
        <v>7</v>
      </c>
      <c r="D591" s="458">
        <f t="shared" ca="1" si="150"/>
        <v>7</v>
      </c>
      <c r="E591" s="458">
        <f t="shared" ca="1" si="151"/>
        <v>1</v>
      </c>
      <c r="G591" s="206"/>
      <c r="H591" s="207" t="s">
        <v>212</v>
      </c>
      <c r="I591" s="208" t="str">
        <f t="shared" ca="1" si="152"/>
        <v>08.007.007.001</v>
      </c>
      <c r="J591" s="209" t="s">
        <v>181</v>
      </c>
      <c r="K591" s="210" t="s">
        <v>151</v>
      </c>
      <c r="L591" s="455">
        <v>1</v>
      </c>
      <c r="M591" s="455">
        <f>Instalações!J47</f>
        <v>3116.4281869911947</v>
      </c>
      <c r="N591" s="285">
        <f t="shared" si="146"/>
        <v>3116.4281869911947</v>
      </c>
      <c r="O591" s="462"/>
      <c r="P591" s="213" t="s">
        <v>518</v>
      </c>
      <c r="Q591" s="35"/>
      <c r="R591" s="35"/>
      <c r="S591" s="35"/>
    </row>
    <row r="592" spans="1:19" s="34" customFormat="1" ht="13.9" hidden="1" customHeight="1" outlineLevel="2" x14ac:dyDescent="0.2">
      <c r="A592" s="457">
        <f ca="1">IF($H592="UNIDADE CONSTRUTIVA",OFFSET(A592,-1,0)+1,LARGE(A$3:A591,1))</f>
        <v>0</v>
      </c>
      <c r="B592" s="457">
        <f t="shared" ca="1" si="148"/>
        <v>8</v>
      </c>
      <c r="C592" s="457">
        <f t="shared" ca="1" si="149"/>
        <v>7</v>
      </c>
      <c r="D592" s="458">
        <f t="shared" ca="1" si="150"/>
        <v>8</v>
      </c>
      <c r="E592" s="458">
        <f t="shared" ca="1" si="151"/>
        <v>0</v>
      </c>
      <c r="G592" s="206"/>
      <c r="H592" s="207" t="s">
        <v>211</v>
      </c>
      <c r="I592" s="208" t="str">
        <f t="shared" ca="1" si="152"/>
        <v>08.007.008</v>
      </c>
      <c r="J592" s="209" t="s">
        <v>941</v>
      </c>
      <c r="K592" s="210"/>
      <c r="L592" s="455"/>
      <c r="M592" s="455"/>
      <c r="N592" s="285">
        <f t="shared" ca="1" si="146"/>
        <v>27966.600000000002</v>
      </c>
      <c r="O592" s="462"/>
      <c r="P592" s="213"/>
      <c r="Q592" s="35"/>
      <c r="R592" s="35"/>
      <c r="S592" s="35"/>
    </row>
    <row r="593" spans="1:19" s="34" customFormat="1" ht="13.9" hidden="1" customHeight="1" outlineLevel="3" x14ac:dyDescent="0.2">
      <c r="A593" s="457">
        <f ca="1">IF($H593="UNIDADE CONSTRUTIVA",OFFSET(A593,-1,0)+1,LARGE(A$3:A592,1))</f>
        <v>0</v>
      </c>
      <c r="B593" s="457">
        <f t="shared" ca="1" si="148"/>
        <v>8</v>
      </c>
      <c r="C593" s="457">
        <f t="shared" ca="1" si="149"/>
        <v>7</v>
      </c>
      <c r="D593" s="458">
        <f t="shared" ca="1" si="150"/>
        <v>8</v>
      </c>
      <c r="E593" s="458">
        <f t="shared" ca="1" si="151"/>
        <v>1</v>
      </c>
      <c r="G593" s="206"/>
      <c r="H593" s="207" t="s">
        <v>212</v>
      </c>
      <c r="I593" s="208" t="str">
        <f t="shared" ca="1" si="152"/>
        <v>08.007.008.001</v>
      </c>
      <c r="J593" s="209" t="s">
        <v>942</v>
      </c>
      <c r="K593" s="210" t="s">
        <v>151</v>
      </c>
      <c r="L593" s="455">
        <v>1</v>
      </c>
      <c r="M593" s="455">
        <f>'Obra '!E23*60</f>
        <v>27966.600000000002</v>
      </c>
      <c r="N593" s="285">
        <f t="shared" si="146"/>
        <v>27966.600000000002</v>
      </c>
      <c r="O593" s="462"/>
      <c r="P593" s="213" t="s">
        <v>518</v>
      </c>
      <c r="Q593" s="35"/>
      <c r="R593" s="35"/>
      <c r="S593" s="35"/>
    </row>
    <row r="594" spans="1:19" s="34" customFormat="1" ht="13.9" hidden="1" customHeight="1" outlineLevel="1" x14ac:dyDescent="0.2">
      <c r="A594" s="457">
        <f ca="1">IF($H594="UNIDADE CONSTRUTIVA",OFFSET(A594,-1,0)+1,LARGE(A$3:A593,1))</f>
        <v>0</v>
      </c>
      <c r="B594" s="457">
        <f t="shared" ca="1" si="141"/>
        <v>8</v>
      </c>
      <c r="C594" s="457">
        <f t="shared" ca="1" si="142"/>
        <v>8</v>
      </c>
      <c r="D594" s="458">
        <f t="shared" ca="1" si="143"/>
        <v>0</v>
      </c>
      <c r="E594" s="458">
        <f t="shared" ca="1" si="144"/>
        <v>1</v>
      </c>
      <c r="G594" s="206"/>
      <c r="H594" s="207" t="s">
        <v>210</v>
      </c>
      <c r="I594" s="208" t="str">
        <f t="shared" ca="1" si="147"/>
        <v>08.008</v>
      </c>
      <c r="J594" s="209" t="s">
        <v>944</v>
      </c>
      <c r="K594" s="210"/>
      <c r="L594" s="455"/>
      <c r="M594" s="455"/>
      <c r="N594" s="285">
        <f t="shared" ca="1" si="146"/>
        <v>42471.569237569056</v>
      </c>
      <c r="O594" s="462"/>
      <c r="P594" s="213"/>
      <c r="Q594" s="35"/>
      <c r="R594" s="35"/>
      <c r="S594" s="35"/>
    </row>
    <row r="595" spans="1:19" s="34" customFormat="1" ht="13.9" hidden="1" customHeight="1" outlineLevel="2" x14ac:dyDescent="0.2">
      <c r="A595" s="457">
        <f ca="1">IF($H595="UNIDADE CONSTRUTIVA",OFFSET(A595,-1,0)+1,LARGE(A$3:A594,1))</f>
        <v>0</v>
      </c>
      <c r="B595" s="457">
        <f t="shared" ca="1" si="141"/>
        <v>8</v>
      </c>
      <c r="C595" s="457">
        <f t="shared" ca="1" si="142"/>
        <v>8</v>
      </c>
      <c r="D595" s="458">
        <f t="shared" ca="1" si="143"/>
        <v>1</v>
      </c>
      <c r="E595" s="458">
        <f t="shared" ca="1" si="144"/>
        <v>0</v>
      </c>
      <c r="G595" s="206"/>
      <c r="H595" s="207" t="s">
        <v>211</v>
      </c>
      <c r="I595" s="208" t="str">
        <f t="shared" ca="1" si="147"/>
        <v>08.008.001</v>
      </c>
      <c r="J595" s="209" t="s">
        <v>936</v>
      </c>
      <c r="K595" s="210"/>
      <c r="L595" s="455"/>
      <c r="M595" s="455"/>
      <c r="N595" s="285">
        <f t="shared" ca="1" si="146"/>
        <v>1879.4658298342545</v>
      </c>
      <c r="O595" s="462"/>
      <c r="P595" s="213"/>
      <c r="Q595" s="35"/>
      <c r="R595" s="35"/>
      <c r="S595" s="35"/>
    </row>
    <row r="596" spans="1:19" s="34" customFormat="1" ht="13.9" hidden="1" customHeight="1" outlineLevel="3" x14ac:dyDescent="0.2">
      <c r="A596" s="457">
        <f ca="1">IF($H596="UNIDADE CONSTRUTIVA",OFFSET(A596,-1,0)+1,LARGE(A$3:A595,1))</f>
        <v>0</v>
      </c>
      <c r="B596" s="457">
        <f t="shared" ca="1" si="141"/>
        <v>8</v>
      </c>
      <c r="C596" s="457">
        <f t="shared" ca="1" si="142"/>
        <v>8</v>
      </c>
      <c r="D596" s="458">
        <f t="shared" ca="1" si="143"/>
        <v>1</v>
      </c>
      <c r="E596" s="458">
        <f t="shared" ca="1" si="144"/>
        <v>1</v>
      </c>
      <c r="G596" s="206"/>
      <c r="H596" s="207" t="s">
        <v>212</v>
      </c>
      <c r="I596" s="208" t="str">
        <f t="shared" ca="1" si="147"/>
        <v>08.008.001.001</v>
      </c>
      <c r="J596" s="209" t="s">
        <v>936</v>
      </c>
      <c r="K596" s="210" t="s">
        <v>151</v>
      </c>
      <c r="L596" s="455">
        <v>1</v>
      </c>
      <c r="M596" s="455">
        <f>Instalações!K18</f>
        <v>1879.4658298342545</v>
      </c>
      <c r="N596" s="285">
        <f t="shared" si="146"/>
        <v>1879.4658298342545</v>
      </c>
      <c r="O596" s="462"/>
      <c r="P596" s="213" t="s">
        <v>518</v>
      </c>
      <c r="Q596" s="35"/>
      <c r="R596" s="35"/>
      <c r="S596" s="35"/>
    </row>
    <row r="597" spans="1:19" s="34" customFormat="1" ht="13.9" hidden="1" customHeight="1" outlineLevel="2" x14ac:dyDescent="0.2">
      <c r="A597" s="457">
        <f ca="1">IF($H597="UNIDADE CONSTRUTIVA",OFFSET(A597,-1,0)+1,LARGE(A$3:A596,1))</f>
        <v>0</v>
      </c>
      <c r="B597" s="457">
        <f t="shared" ca="1" si="141"/>
        <v>8</v>
      </c>
      <c r="C597" s="457">
        <f t="shared" ca="1" si="142"/>
        <v>8</v>
      </c>
      <c r="D597" s="458">
        <f t="shared" ca="1" si="143"/>
        <v>2</v>
      </c>
      <c r="E597" s="458">
        <f t="shared" ca="1" si="144"/>
        <v>0</v>
      </c>
      <c r="G597" s="206"/>
      <c r="H597" s="207" t="s">
        <v>211</v>
      </c>
      <c r="I597" s="208" t="str">
        <f t="shared" ca="1" si="147"/>
        <v>08.008.002</v>
      </c>
      <c r="J597" s="209" t="s">
        <v>939</v>
      </c>
      <c r="K597" s="210"/>
      <c r="L597" s="455"/>
      <c r="M597" s="455"/>
      <c r="N597" s="285">
        <f t="shared" ca="1" si="146"/>
        <v>3038.2465060773479</v>
      </c>
      <c r="O597" s="462"/>
      <c r="P597" s="213"/>
      <c r="Q597" s="35"/>
      <c r="R597" s="35"/>
      <c r="S597" s="35"/>
    </row>
    <row r="598" spans="1:19" s="34" customFormat="1" ht="13.9" hidden="1" customHeight="1" outlineLevel="3" x14ac:dyDescent="0.2">
      <c r="A598" s="457">
        <f ca="1">IF($H598="UNIDADE CONSTRUTIVA",OFFSET(A598,-1,0)+1,LARGE(A$3:A597,1))</f>
        <v>0</v>
      </c>
      <c r="B598" s="457">
        <f t="shared" ca="1" si="141"/>
        <v>8</v>
      </c>
      <c r="C598" s="457">
        <f t="shared" ca="1" si="142"/>
        <v>8</v>
      </c>
      <c r="D598" s="458">
        <f t="shared" ca="1" si="143"/>
        <v>2</v>
      </c>
      <c r="E598" s="458">
        <f t="shared" ca="1" si="144"/>
        <v>1</v>
      </c>
      <c r="G598" s="206"/>
      <c r="H598" s="207" t="s">
        <v>212</v>
      </c>
      <c r="I598" s="208" t="str">
        <f t="shared" ca="1" si="147"/>
        <v>08.008.002.001</v>
      </c>
      <c r="J598" s="209" t="s">
        <v>939</v>
      </c>
      <c r="K598" s="210" t="s">
        <v>151</v>
      </c>
      <c r="L598" s="455">
        <v>1</v>
      </c>
      <c r="M598" s="455">
        <f>Instalações!K33</f>
        <v>3038.2465060773479</v>
      </c>
      <c r="N598" s="285">
        <f t="shared" si="146"/>
        <v>3038.2465060773479</v>
      </c>
      <c r="O598" s="462"/>
      <c r="P598" s="213" t="s">
        <v>518</v>
      </c>
      <c r="Q598" s="35"/>
      <c r="R598" s="35"/>
      <c r="S598" s="35"/>
    </row>
    <row r="599" spans="1:19" s="34" customFormat="1" ht="13.9" hidden="1" customHeight="1" outlineLevel="2" x14ac:dyDescent="0.2">
      <c r="A599" s="457">
        <f ca="1">IF($H599="UNIDADE CONSTRUTIVA",OFFSET(A599,-1,0)+1,LARGE(A$3:A598,1))</f>
        <v>0</v>
      </c>
      <c r="B599" s="457">
        <f t="shared" ca="1" si="141"/>
        <v>8</v>
      </c>
      <c r="C599" s="457">
        <f t="shared" ca="1" si="142"/>
        <v>8</v>
      </c>
      <c r="D599" s="458">
        <f t="shared" ca="1" si="143"/>
        <v>3</v>
      </c>
      <c r="E599" s="458">
        <f t="shared" ca="1" si="144"/>
        <v>0</v>
      </c>
      <c r="G599" s="206"/>
      <c r="H599" s="207" t="s">
        <v>211</v>
      </c>
      <c r="I599" s="208" t="str">
        <f t="shared" ca="1" si="147"/>
        <v>08.008.003</v>
      </c>
      <c r="J599" s="209" t="s">
        <v>940</v>
      </c>
      <c r="K599" s="210"/>
      <c r="L599" s="455"/>
      <c r="M599" s="455"/>
      <c r="N599" s="285">
        <f t="shared" ref="N599:N608" ca="1" si="153">IF(H599="Serviço",M599*L599,IF(H599="CÉLULA CONSTRUTIVA",SUMIFS($N$8:$N$1867,$B$8:$B$1867,B599,$H$8:$H$1867,"Serviço"),IF(H599="ETAPA",SUMIFS($N$8:$N$1867,$B$8:$B$1867,B599,$C$8:$C$1867,C599,$H$8:$H$1867,"Serviço"),IF(H599="SUBETAPA",SUMIFS($N$8:$N$1867,$B$8:$B$1867,B599,$C$8:$C$1867,C599,$D$8:$D$1867,D599,$H$8:$H$1867,"Serviço"),0))))</f>
        <v>9068.3665325966867</v>
      </c>
      <c r="O599" s="462"/>
      <c r="P599" s="213"/>
      <c r="Q599" s="35"/>
      <c r="R599" s="35"/>
      <c r="S599" s="35"/>
    </row>
    <row r="600" spans="1:19" s="34" customFormat="1" ht="13.9" hidden="1" customHeight="1" outlineLevel="3" x14ac:dyDescent="0.2">
      <c r="A600" s="457">
        <f ca="1">IF($H600="UNIDADE CONSTRUTIVA",OFFSET(A600,-1,0)+1,LARGE(A$3:A599,1))</f>
        <v>0</v>
      </c>
      <c r="B600" s="457">
        <f t="shared" ca="1" si="141"/>
        <v>8</v>
      </c>
      <c r="C600" s="457">
        <f t="shared" ca="1" si="142"/>
        <v>8</v>
      </c>
      <c r="D600" s="458">
        <f t="shared" ca="1" si="143"/>
        <v>3</v>
      </c>
      <c r="E600" s="458">
        <f t="shared" ca="1" si="144"/>
        <v>1</v>
      </c>
      <c r="G600" s="206"/>
      <c r="H600" s="207" t="s">
        <v>212</v>
      </c>
      <c r="I600" s="208" t="str">
        <f t="shared" ca="1" si="147"/>
        <v>08.008.003.001</v>
      </c>
      <c r="J600" s="209" t="s">
        <v>940</v>
      </c>
      <c r="K600" s="210" t="s">
        <v>151</v>
      </c>
      <c r="L600" s="455">
        <v>1</v>
      </c>
      <c r="M600" s="455">
        <f>Instalações!K40</f>
        <v>9068.3665325966867</v>
      </c>
      <c r="N600" s="285">
        <f t="shared" si="153"/>
        <v>9068.3665325966867</v>
      </c>
      <c r="O600" s="462"/>
      <c r="P600" s="213" t="s">
        <v>518</v>
      </c>
      <c r="Q600" s="35"/>
      <c r="R600" s="35"/>
      <c r="S600" s="35"/>
    </row>
    <row r="601" spans="1:19" s="34" customFormat="1" ht="13.9" hidden="1" customHeight="1" outlineLevel="2" x14ac:dyDescent="0.2">
      <c r="A601" s="457">
        <f ca="1">IF($H601="UNIDADE CONSTRUTIVA",OFFSET(A601,-1,0)+1,LARGE(A$3:A600,1))</f>
        <v>0</v>
      </c>
      <c r="B601" s="457">
        <f t="shared" ca="1" si="141"/>
        <v>8</v>
      </c>
      <c r="C601" s="457">
        <f t="shared" ca="1" si="142"/>
        <v>8</v>
      </c>
      <c r="D601" s="458">
        <f t="shared" ca="1" si="143"/>
        <v>4</v>
      </c>
      <c r="E601" s="458">
        <f t="shared" ca="1" si="144"/>
        <v>0</v>
      </c>
      <c r="G601" s="206"/>
      <c r="H601" s="207" t="s">
        <v>211</v>
      </c>
      <c r="I601" s="208" t="str">
        <f t="shared" ca="1" si="147"/>
        <v>08.008.004</v>
      </c>
      <c r="J601" s="209" t="s">
        <v>153</v>
      </c>
      <c r="K601" s="210"/>
      <c r="L601" s="455"/>
      <c r="M601" s="455"/>
      <c r="N601" s="285">
        <f t="shared" ca="1" si="153"/>
        <v>2571.5248441988952</v>
      </c>
      <c r="O601" s="462"/>
      <c r="P601" s="213"/>
      <c r="Q601" s="35"/>
      <c r="R601" s="35"/>
      <c r="S601" s="35"/>
    </row>
    <row r="602" spans="1:19" s="34" customFormat="1" ht="13.9" hidden="1" customHeight="1" outlineLevel="3" x14ac:dyDescent="0.2">
      <c r="A602" s="457">
        <f ca="1">IF($H602="UNIDADE CONSTRUTIVA",OFFSET(A602,-1,0)+1,LARGE(A$3:A601,1))</f>
        <v>0</v>
      </c>
      <c r="B602" s="457">
        <f t="shared" ca="1" si="141"/>
        <v>8</v>
      </c>
      <c r="C602" s="457">
        <f t="shared" ca="1" si="142"/>
        <v>8</v>
      </c>
      <c r="D602" s="458">
        <f t="shared" ca="1" si="143"/>
        <v>4</v>
      </c>
      <c r="E602" s="458">
        <f t="shared" ca="1" si="144"/>
        <v>1</v>
      </c>
      <c r="G602" s="206"/>
      <c r="H602" s="207" t="s">
        <v>212</v>
      </c>
      <c r="I602" s="208" t="str">
        <f t="shared" ca="1" si="147"/>
        <v>08.008.004.001</v>
      </c>
      <c r="J602" s="209" t="s">
        <v>153</v>
      </c>
      <c r="K602" s="210" t="s">
        <v>151</v>
      </c>
      <c r="L602" s="455">
        <v>1</v>
      </c>
      <c r="M602" s="455">
        <f>Instalações!K54</f>
        <v>2571.5248441988952</v>
      </c>
      <c r="N602" s="285">
        <f t="shared" si="153"/>
        <v>2571.5248441988952</v>
      </c>
      <c r="O602" s="462"/>
      <c r="P602" s="213" t="s">
        <v>518</v>
      </c>
      <c r="Q602" s="35"/>
      <c r="R602" s="35"/>
      <c r="S602" s="35"/>
    </row>
    <row r="603" spans="1:19" s="34" customFormat="1" ht="13.9" hidden="1" customHeight="1" outlineLevel="2" x14ac:dyDescent="0.2">
      <c r="A603" s="457">
        <f ca="1">IF($H603="UNIDADE CONSTRUTIVA",OFFSET(A603,-1,0)+1,LARGE(A$3:A602,1))</f>
        <v>0</v>
      </c>
      <c r="B603" s="457">
        <f t="shared" ca="1" si="141"/>
        <v>8</v>
      </c>
      <c r="C603" s="457">
        <f t="shared" ca="1" si="142"/>
        <v>8</v>
      </c>
      <c r="D603" s="458">
        <f t="shared" ca="1" si="143"/>
        <v>5</v>
      </c>
      <c r="E603" s="458">
        <f t="shared" ca="1" si="144"/>
        <v>0</v>
      </c>
      <c r="G603" s="206"/>
      <c r="H603" s="207" t="s">
        <v>211</v>
      </c>
      <c r="I603" s="208" t="str">
        <f t="shared" ca="1" si="147"/>
        <v>08.008.005</v>
      </c>
      <c r="J603" s="209" t="s">
        <v>179</v>
      </c>
      <c r="K603" s="210"/>
      <c r="L603" s="455"/>
      <c r="M603" s="455"/>
      <c r="N603" s="285">
        <f t="shared" ca="1" si="153"/>
        <v>4121.7900729281764</v>
      </c>
      <c r="O603" s="462"/>
      <c r="P603" s="213"/>
      <c r="Q603" s="35"/>
      <c r="R603" s="35"/>
      <c r="S603" s="35"/>
    </row>
    <row r="604" spans="1:19" s="34" customFormat="1" ht="13.9" hidden="1" customHeight="1" outlineLevel="3" x14ac:dyDescent="0.2">
      <c r="A604" s="457">
        <f ca="1">IF($H604="UNIDADE CONSTRUTIVA",OFFSET(A604,-1,0)+1,LARGE(A$3:A603,1))</f>
        <v>0</v>
      </c>
      <c r="B604" s="457">
        <f t="shared" ca="1" si="141"/>
        <v>8</v>
      </c>
      <c r="C604" s="457">
        <f t="shared" ca="1" si="142"/>
        <v>8</v>
      </c>
      <c r="D604" s="458">
        <f t="shared" ca="1" si="143"/>
        <v>5</v>
      </c>
      <c r="E604" s="458">
        <f t="shared" ca="1" si="144"/>
        <v>1</v>
      </c>
      <c r="G604" s="206"/>
      <c r="H604" s="207" t="s">
        <v>212</v>
      </c>
      <c r="I604" s="208" t="str">
        <f t="shared" ca="1" si="147"/>
        <v>08.008.005.001</v>
      </c>
      <c r="J604" s="209" t="s">
        <v>179</v>
      </c>
      <c r="K604" s="210" t="s">
        <v>151</v>
      </c>
      <c r="L604" s="455">
        <v>1</v>
      </c>
      <c r="M604" s="455">
        <f>Instalações!K61</f>
        <v>4121.7900729281764</v>
      </c>
      <c r="N604" s="285">
        <f t="shared" si="153"/>
        <v>4121.7900729281764</v>
      </c>
      <c r="O604" s="462"/>
      <c r="P604" s="213" t="s">
        <v>518</v>
      </c>
      <c r="Q604" s="35"/>
      <c r="R604" s="35"/>
      <c r="S604" s="35"/>
    </row>
    <row r="605" spans="1:19" s="34" customFormat="1" ht="13.9" hidden="1" customHeight="1" outlineLevel="2" x14ac:dyDescent="0.2">
      <c r="A605" s="457">
        <f ca="1">IF($H605="UNIDADE CONSTRUTIVA",OFFSET(A605,-1,0)+1,LARGE(A$3:A604,1))</f>
        <v>0</v>
      </c>
      <c r="B605" s="457">
        <f t="shared" ca="1" si="141"/>
        <v>8</v>
      </c>
      <c r="C605" s="457">
        <f t="shared" ca="1" si="142"/>
        <v>8</v>
      </c>
      <c r="D605" s="458">
        <f t="shared" ca="1" si="143"/>
        <v>6</v>
      </c>
      <c r="E605" s="458">
        <f t="shared" ca="1" si="144"/>
        <v>0</v>
      </c>
      <c r="G605" s="206"/>
      <c r="H605" s="207" t="s">
        <v>211</v>
      </c>
      <c r="I605" s="208" t="str">
        <f t="shared" ca="1" si="147"/>
        <v>08.008.006</v>
      </c>
      <c r="J605" s="209" t="s">
        <v>180</v>
      </c>
      <c r="K605" s="210"/>
      <c r="L605" s="455"/>
      <c r="M605" s="455"/>
      <c r="N605" s="285">
        <f t="shared" ca="1" si="153"/>
        <v>3331.3754519337017</v>
      </c>
      <c r="O605" s="462"/>
      <c r="P605" s="213"/>
      <c r="Q605" s="35"/>
      <c r="R605" s="35"/>
      <c r="S605" s="35"/>
    </row>
    <row r="606" spans="1:19" s="34" customFormat="1" ht="13.9" hidden="1" customHeight="1" outlineLevel="3" x14ac:dyDescent="0.2">
      <c r="A606" s="457">
        <f ca="1">IF($H606="UNIDADE CONSTRUTIVA",OFFSET(A606,-1,0)+1,LARGE(A$3:A605,1))</f>
        <v>0</v>
      </c>
      <c r="B606" s="457">
        <f t="shared" ca="1" si="141"/>
        <v>8</v>
      </c>
      <c r="C606" s="457">
        <f t="shared" ca="1" si="142"/>
        <v>8</v>
      </c>
      <c r="D606" s="458">
        <f t="shared" ca="1" si="143"/>
        <v>6</v>
      </c>
      <c r="E606" s="458">
        <f t="shared" ca="1" si="144"/>
        <v>1</v>
      </c>
      <c r="G606" s="206"/>
      <c r="H606" s="207" t="s">
        <v>212</v>
      </c>
      <c r="I606" s="208" t="str">
        <f t="shared" ca="1" si="147"/>
        <v>08.008.006.001</v>
      </c>
      <c r="J606" s="209" t="s">
        <v>181</v>
      </c>
      <c r="K606" s="210" t="s">
        <v>151</v>
      </c>
      <c r="L606" s="455">
        <v>1</v>
      </c>
      <c r="M606" s="455">
        <f>Instalações!K50</f>
        <v>3331.3754519337017</v>
      </c>
      <c r="N606" s="285">
        <f t="shared" si="153"/>
        <v>3331.3754519337017</v>
      </c>
      <c r="O606" s="462"/>
      <c r="P606" s="213" t="s">
        <v>518</v>
      </c>
      <c r="Q606" s="35"/>
      <c r="R606" s="35"/>
      <c r="S606" s="35"/>
    </row>
    <row r="607" spans="1:19" s="34" customFormat="1" ht="13.9" hidden="1" customHeight="1" outlineLevel="2" x14ac:dyDescent="0.2">
      <c r="A607" s="457">
        <f ca="1">IF($H607="UNIDADE CONSTRUTIVA",OFFSET(A607,-1,0)+1,LARGE(A$3:A606,1))</f>
        <v>0</v>
      </c>
      <c r="B607" s="457">
        <f t="shared" ca="1" si="141"/>
        <v>8</v>
      </c>
      <c r="C607" s="457">
        <f t="shared" ca="1" si="142"/>
        <v>8</v>
      </c>
      <c r="D607" s="458">
        <f t="shared" ca="1" si="143"/>
        <v>7</v>
      </c>
      <c r="E607" s="458">
        <f t="shared" ca="1" si="144"/>
        <v>0</v>
      </c>
      <c r="G607" s="206"/>
      <c r="H607" s="207" t="s">
        <v>211</v>
      </c>
      <c r="I607" s="208" t="str">
        <f t="shared" ca="1" si="147"/>
        <v>08.008.007</v>
      </c>
      <c r="J607" s="209" t="s">
        <v>941</v>
      </c>
      <c r="K607" s="210"/>
      <c r="L607" s="455"/>
      <c r="M607" s="455"/>
      <c r="N607" s="285">
        <f t="shared" ca="1" si="153"/>
        <v>18460.8</v>
      </c>
      <c r="O607" s="462"/>
      <c r="P607" s="213"/>
      <c r="Q607" s="35"/>
      <c r="R607" s="35"/>
      <c r="S607" s="35"/>
    </row>
    <row r="608" spans="1:19" s="34" customFormat="1" ht="13.9" hidden="1" customHeight="1" outlineLevel="3" x14ac:dyDescent="0.2">
      <c r="A608" s="457">
        <f ca="1">IF($H608="UNIDADE CONSTRUTIVA",OFFSET(A608,-1,0)+1,LARGE(A$3:A607,1))</f>
        <v>0</v>
      </c>
      <c r="B608" s="457">
        <f t="shared" ca="1" si="141"/>
        <v>8</v>
      </c>
      <c r="C608" s="457">
        <f t="shared" ca="1" si="142"/>
        <v>8</v>
      </c>
      <c r="D608" s="458">
        <f t="shared" ca="1" si="143"/>
        <v>7</v>
      </c>
      <c r="E608" s="458">
        <f t="shared" ca="1" si="144"/>
        <v>1</v>
      </c>
      <c r="G608" s="206"/>
      <c r="H608" s="207" t="s">
        <v>212</v>
      </c>
      <c r="I608" s="208" t="str">
        <f t="shared" ca="1" si="147"/>
        <v>08.008.007.001</v>
      </c>
      <c r="J608" s="209" t="s">
        <v>942</v>
      </c>
      <c r="K608" s="210" t="s">
        <v>151</v>
      </c>
      <c r="L608" s="455">
        <v>1</v>
      </c>
      <c r="M608" s="455">
        <f>('Obra '!E24+'Obra '!E25)*60</f>
        <v>18460.8</v>
      </c>
      <c r="N608" s="285">
        <f t="shared" si="153"/>
        <v>18460.8</v>
      </c>
      <c r="O608" s="462"/>
      <c r="P608" s="213" t="s">
        <v>518</v>
      </c>
      <c r="Q608" s="35"/>
      <c r="R608" s="35"/>
      <c r="S608" s="35"/>
    </row>
    <row r="609" spans="1:19" s="34" customFormat="1" ht="13.9" customHeight="1" collapsed="1" x14ac:dyDescent="0.2">
      <c r="A609" s="457">
        <f ca="1">IF($H609="UNIDADE CONSTRUTIVA",OFFSET(A609,-1,0)+1,LARGE(A$3:A608,1))</f>
        <v>0</v>
      </c>
      <c r="B609" s="457">
        <f t="shared" ref="B609:B864" ca="1" si="154">IF(H609="UNIDADE CONSTRUTIVA",0,IF(H609="CÉLULA CONSTRUTIVA",OFFSET(B609,-1,0)+1,OFFSET(B609,-1,0)))</f>
        <v>9</v>
      </c>
      <c r="C609" s="457">
        <f t="shared" ref="C609:C864" ca="1" si="155">IF(H609="CÉLULA CONSTRUTIVA",0,IF(H609="ETAPA",OFFSET(C609,-1,0)+1,OFFSET(C609,-1,0)))</f>
        <v>0</v>
      </c>
      <c r="D609" s="458">
        <f t="shared" ref="D609:D864" ca="1" si="156">IF(H609="ETAPA",0,IF(H609="SUBETAPA",OFFSET(D609,-1,0)+1,OFFSET(D609,-1,0)))</f>
        <v>7</v>
      </c>
      <c r="E609" s="458">
        <f t="shared" ref="E609:E864" ca="1" si="157">IF(H609="Subetapa",0,IF(H609="serviço",OFFSET(E609,-1,0)+1,OFFSET(E609,-1,0)))</f>
        <v>1</v>
      </c>
      <c r="G609" s="206"/>
      <c r="H609" s="207" t="s">
        <v>209</v>
      </c>
      <c r="I609" s="208" t="str">
        <f t="shared" ca="1" si="94"/>
        <v>09</v>
      </c>
      <c r="J609" s="209" t="s">
        <v>402</v>
      </c>
      <c r="K609" s="210"/>
      <c r="L609" s="455"/>
      <c r="M609" s="455"/>
      <c r="N609" s="285">
        <f ca="1">IF(H609="Serviço",M609*L609,IF(H609="CÉLULA CONSTRUTIVA",SUMIFS($N$8:$N$1393,$B$8:$B$1393,B609,$H$8:$H$1393,"Serviço"),IF(H609="ETAPA",SUMIFS($N$8:$N$1393,$B$8:$B$1393,B609,$C$8:$C$1393,C609,$H$8:$H$1393,"Serviço"),IF(H609="SUBETAPA",SUMIFS($N$8:$N$1393,$B$8:$B$1393,B609,$C$8:$C$1393,C609,$D$8:$D$1393,D609,$H$8:$H$1393,"Serviço"),0))))</f>
        <v>412114.6663518431</v>
      </c>
      <c r="O609" s="462"/>
      <c r="P609" s="213"/>
      <c r="Q609" s="463"/>
      <c r="R609" s="463"/>
      <c r="S609" s="35"/>
    </row>
    <row r="610" spans="1:19" s="34" customFormat="1" ht="13.9" hidden="1" customHeight="1" outlineLevel="1" x14ac:dyDescent="0.2">
      <c r="A610" s="457">
        <f ca="1">IF($H610="UNIDADE CONSTRUTIVA",OFFSET(A610,-1,0)+1,LARGE(A$3:A609,1))</f>
        <v>0</v>
      </c>
      <c r="B610" s="457">
        <f t="shared" ca="1" si="154"/>
        <v>9</v>
      </c>
      <c r="C610" s="457">
        <f t="shared" ca="1" si="155"/>
        <v>1</v>
      </c>
      <c r="D610" s="458">
        <f t="shared" ca="1" si="156"/>
        <v>0</v>
      </c>
      <c r="E610" s="458">
        <f t="shared" ca="1" si="157"/>
        <v>1</v>
      </c>
      <c r="G610" s="206"/>
      <c r="H610" s="207" t="s">
        <v>210</v>
      </c>
      <c r="I610" s="208" t="str">
        <f t="shared" ca="1" si="94"/>
        <v>09.001</v>
      </c>
      <c r="J610" s="209" t="s">
        <v>954</v>
      </c>
      <c r="K610" s="210"/>
      <c r="L610" s="455"/>
      <c r="M610" s="455"/>
      <c r="N610" s="285">
        <f t="shared" ref="N610:N641" ca="1" si="158">IF(H610="Serviço",M610*L610,IF(H610="CÉLULA CONSTRUTIVA",SUMIFS($N$8:$N$1765,$B$8:$B$1765,B610,$H$8:$H$1765,"Serviço"),IF(H610="ETAPA",SUMIFS($N$8:$N$1765,$B$8:$B$1765,B610,$C$8:$C$1765,C610,$H$8:$H$1765,"Serviço"),IF(H610="SUBETAPA",SUMIFS($N$8:$N$1765,$B$8:$B$1765,B610,$C$8:$C$1765,C610,$D$8:$D$1765,D610,$H$8:$H$1765,"Serviço"),0))))</f>
        <v>48325.559690330032</v>
      </c>
      <c r="O610" s="462"/>
      <c r="P610" s="213"/>
      <c r="Q610" s="35"/>
      <c r="R610" s="35"/>
      <c r="S610" s="35"/>
    </row>
    <row r="611" spans="1:19" s="34" customFormat="1" ht="13.9" hidden="1" customHeight="1" outlineLevel="1" x14ac:dyDescent="0.2">
      <c r="A611" s="457">
        <f ca="1">IF($H611="UNIDADE CONSTRUTIVA",OFFSET(A611,-1,0)+1,LARGE(A$3:A610,1))</f>
        <v>0</v>
      </c>
      <c r="B611" s="457">
        <f t="shared" ca="1" si="154"/>
        <v>9</v>
      </c>
      <c r="C611" s="457">
        <f t="shared" ca="1" si="155"/>
        <v>1</v>
      </c>
      <c r="D611" s="458">
        <f t="shared" ca="1" si="156"/>
        <v>1</v>
      </c>
      <c r="E611" s="458">
        <f t="shared" ca="1" si="157"/>
        <v>0</v>
      </c>
      <c r="G611" s="206"/>
      <c r="H611" s="207" t="s">
        <v>211</v>
      </c>
      <c r="I611" s="208" t="str">
        <f ca="1">IF(H611="Unidade Construtiva",TEXT(A611,"00"),IF(H611="Célula Construtiva",TEXT(B611,"00"),IF(H611="Etapa",CONCATENATE(TEXT(B611,"00"),".",TEXT(C611,"000")),IF(H611="Subetapa",CONCATENATE(TEXT(B611,"00"),".",TEXT(C611,"000"),".",TEXT(D611,"000")),IF(H611="Serviço",CONCATENATE(TEXT(B611,"00"),".",TEXT(C611,"000"),".",TEXT(D611,"000"),".",TEXT(E611,"000")),"")))))</f>
        <v>09.001.001</v>
      </c>
      <c r="J611" s="209" t="s">
        <v>955</v>
      </c>
      <c r="K611" s="210"/>
      <c r="L611" s="455"/>
      <c r="M611" s="455"/>
      <c r="N611" s="285">
        <f t="shared" ca="1" si="158"/>
        <v>2455.59</v>
      </c>
      <c r="O611" s="462"/>
      <c r="P611" s="213"/>
      <c r="Q611" s="35"/>
      <c r="R611" s="35"/>
      <c r="S611" s="35"/>
    </row>
    <row r="612" spans="1:19" s="34" customFormat="1" ht="13.9" hidden="1" customHeight="1" outlineLevel="2" x14ac:dyDescent="0.2">
      <c r="A612" s="457">
        <f ca="1">IF($H612="UNIDADE CONSTRUTIVA",OFFSET(A612,-1,0)+1,LARGE(A$3:A611,1))</f>
        <v>0</v>
      </c>
      <c r="B612" s="457">
        <f t="shared" ca="1" si="154"/>
        <v>9</v>
      </c>
      <c r="C612" s="457">
        <f t="shared" ca="1" si="155"/>
        <v>1</v>
      </c>
      <c r="D612" s="458">
        <f t="shared" ca="1" si="156"/>
        <v>1</v>
      </c>
      <c r="E612" s="458">
        <f t="shared" ca="1" si="157"/>
        <v>1</v>
      </c>
      <c r="G612" s="206"/>
      <c r="H612" s="207" t="s">
        <v>212</v>
      </c>
      <c r="I612" s="208" t="str">
        <f ca="1">IF(H612="Unidade Construtiva",TEXT(A612,"00"),IF(H612="Célula Construtiva",TEXT(B612,"00"),IF(H612="Etapa",CONCATENATE(TEXT(B612,"00"),".",TEXT(C612,"000")),IF(H612="Subetapa",CONCATENATE(TEXT(B612,"00"),".",TEXT(C612,"000"),".",TEXT(D612,"000")),IF(H612="Serviço",CONCATENATE(TEXT(B612,"00"),".",TEXT(C612,"000"),".",TEXT(D612,"000"),".",TEXT(E612,"000")),"")))))</f>
        <v>09.001.001.001</v>
      </c>
      <c r="J612" s="209" t="s">
        <v>955</v>
      </c>
      <c r="K612" s="210" t="s">
        <v>151</v>
      </c>
      <c r="L612" s="455">
        <v>1</v>
      </c>
      <c r="M612" s="455">
        <f>PREVENTIVO!J7</f>
        <v>2455.59</v>
      </c>
      <c r="N612" s="285">
        <f t="shared" si="158"/>
        <v>2455.59</v>
      </c>
      <c r="O612" s="462"/>
      <c r="P612" s="213" t="s">
        <v>518</v>
      </c>
      <c r="Q612" s="35"/>
      <c r="R612" s="35"/>
      <c r="S612" s="35"/>
    </row>
    <row r="613" spans="1:19" s="34" customFormat="1" ht="13.9" hidden="1" customHeight="1" outlineLevel="1" x14ac:dyDescent="0.2">
      <c r="A613" s="457">
        <f ca="1">IF($H613="UNIDADE CONSTRUTIVA",OFFSET(A613,-1,0)+1,LARGE(A$3:A612,1))</f>
        <v>0</v>
      </c>
      <c r="B613" s="457">
        <f t="shared" ca="1" si="154"/>
        <v>9</v>
      </c>
      <c r="C613" s="457">
        <f t="shared" ca="1" si="155"/>
        <v>1</v>
      </c>
      <c r="D613" s="458">
        <f t="shared" ca="1" si="156"/>
        <v>2</v>
      </c>
      <c r="E613" s="458">
        <f t="shared" ca="1" si="157"/>
        <v>0</v>
      </c>
      <c r="G613" s="206"/>
      <c r="H613" s="207" t="s">
        <v>211</v>
      </c>
      <c r="I613" s="208" t="str">
        <f t="shared" ref="I613:I624" ca="1" si="159">IF(H613="Unidade Construtiva",TEXT(A613,"00"),IF(H613="Célula Construtiva",TEXT(B613,"00"),IF(H613="Etapa",CONCATENATE(TEXT(B613,"00"),".",TEXT(C613,"000")),IF(H613="Subetapa",CONCATENATE(TEXT(B613,"00"),".",TEXT(C613,"000"),".",TEXT(D613,"000")),IF(H613="Serviço",CONCATENATE(TEXT(B613,"00"),".",TEXT(C613,"000"),".",TEXT(D613,"000"),".",TEXT(E613,"000")),"")))))</f>
        <v>09.001.002</v>
      </c>
      <c r="J613" s="209" t="s">
        <v>956</v>
      </c>
      <c r="K613" s="210"/>
      <c r="L613" s="455"/>
      <c r="M613" s="455"/>
      <c r="N613" s="285">
        <f t="shared" ca="1" si="158"/>
        <v>6929.8698510837139</v>
      </c>
      <c r="O613" s="462"/>
      <c r="P613" s="213"/>
      <c r="Q613" s="35"/>
      <c r="R613" s="35"/>
      <c r="S613" s="35"/>
    </row>
    <row r="614" spans="1:19" s="34" customFormat="1" ht="13.9" hidden="1" customHeight="1" outlineLevel="2" x14ac:dyDescent="0.2">
      <c r="A614" s="457">
        <f ca="1">IF($H614="UNIDADE CONSTRUTIVA",OFFSET(A614,-1,0)+1,LARGE(A$3:A613,1))</f>
        <v>0</v>
      </c>
      <c r="B614" s="457">
        <f t="shared" ca="1" si="154"/>
        <v>9</v>
      </c>
      <c r="C614" s="457">
        <f t="shared" ca="1" si="155"/>
        <v>1</v>
      </c>
      <c r="D614" s="458">
        <f t="shared" ca="1" si="156"/>
        <v>2</v>
      </c>
      <c r="E614" s="458">
        <f t="shared" ca="1" si="157"/>
        <v>1</v>
      </c>
      <c r="G614" s="206"/>
      <c r="H614" s="207" t="s">
        <v>212</v>
      </c>
      <c r="I614" s="208" t="str">
        <f t="shared" ca="1" si="159"/>
        <v>09.001.002.001</v>
      </c>
      <c r="J614" s="209" t="s">
        <v>957</v>
      </c>
      <c r="K614" s="210" t="s">
        <v>151</v>
      </c>
      <c r="L614" s="455">
        <v>1</v>
      </c>
      <c r="M614" s="455">
        <f>PREVENTIVO!J71</f>
        <v>6929.8698510837139</v>
      </c>
      <c r="N614" s="285">
        <f t="shared" si="158"/>
        <v>6929.8698510837139</v>
      </c>
      <c r="O614" s="462"/>
      <c r="P614" s="213" t="s">
        <v>518</v>
      </c>
      <c r="Q614" s="465"/>
      <c r="R614" s="465"/>
      <c r="S614" s="35"/>
    </row>
    <row r="615" spans="1:19" s="34" customFormat="1" ht="13.9" hidden="1" customHeight="1" outlineLevel="1" x14ac:dyDescent="0.2">
      <c r="A615" s="457">
        <f ca="1">IF($H615="UNIDADE CONSTRUTIVA",OFFSET(A615,-1,0)+1,LARGE(A$3:A614,1))</f>
        <v>0</v>
      </c>
      <c r="B615" s="457">
        <f t="shared" ca="1" si="154"/>
        <v>9</v>
      </c>
      <c r="C615" s="457">
        <f t="shared" ca="1" si="155"/>
        <v>1</v>
      </c>
      <c r="D615" s="458">
        <f t="shared" ca="1" si="156"/>
        <v>3</v>
      </c>
      <c r="E615" s="458">
        <f t="shared" ca="1" si="157"/>
        <v>0</v>
      </c>
      <c r="G615" s="206"/>
      <c r="H615" s="207" t="s">
        <v>211</v>
      </c>
      <c r="I615" s="208" t="str">
        <f t="shared" ca="1" si="159"/>
        <v>09.001.003</v>
      </c>
      <c r="J615" s="209" t="s">
        <v>958</v>
      </c>
      <c r="K615" s="210"/>
      <c r="L615" s="455"/>
      <c r="M615" s="455"/>
      <c r="N615" s="285">
        <f t="shared" ca="1" si="158"/>
        <v>5983.6234999999997</v>
      </c>
      <c r="O615" s="462"/>
      <c r="P615" s="213"/>
      <c r="Q615" s="35"/>
      <c r="R615" s="35"/>
      <c r="S615" s="35"/>
    </row>
    <row r="616" spans="1:19" s="34" customFormat="1" ht="13.9" hidden="1" customHeight="1" outlineLevel="2" x14ac:dyDescent="0.2">
      <c r="A616" s="457">
        <f ca="1">IF($H616="UNIDADE CONSTRUTIVA",OFFSET(A616,-1,0)+1,LARGE(A$3:A615,1))</f>
        <v>0</v>
      </c>
      <c r="B616" s="457">
        <f t="shared" ca="1" si="154"/>
        <v>9</v>
      </c>
      <c r="C616" s="457">
        <f t="shared" ca="1" si="155"/>
        <v>1</v>
      </c>
      <c r="D616" s="458">
        <f t="shared" ca="1" si="156"/>
        <v>3</v>
      </c>
      <c r="E616" s="458">
        <f t="shared" ca="1" si="157"/>
        <v>1</v>
      </c>
      <c r="G616" s="206"/>
      <c r="H616" s="207" t="s">
        <v>212</v>
      </c>
      <c r="I616" s="208" t="str">
        <f t="shared" ca="1" si="159"/>
        <v>09.001.003.001</v>
      </c>
      <c r="J616" s="209" t="s">
        <v>547</v>
      </c>
      <c r="K616" s="210" t="s">
        <v>151</v>
      </c>
      <c r="L616" s="455">
        <v>1</v>
      </c>
      <c r="M616" s="455">
        <f>HIDRANTES!L6</f>
        <v>5983.6234999999997</v>
      </c>
      <c r="N616" s="285">
        <f t="shared" si="158"/>
        <v>5983.6234999999997</v>
      </c>
      <c r="O616" s="462"/>
      <c r="P616" s="213" t="s">
        <v>518</v>
      </c>
      <c r="Q616" s="465"/>
      <c r="R616" s="465"/>
      <c r="S616" s="35"/>
    </row>
    <row r="617" spans="1:19" s="34" customFormat="1" ht="13.9" hidden="1" customHeight="1" outlineLevel="1" x14ac:dyDescent="0.2">
      <c r="A617" s="457">
        <f ca="1">IF($H617="UNIDADE CONSTRUTIVA",OFFSET(A617,-1,0)+1,LARGE(A$3:A616,1))</f>
        <v>0</v>
      </c>
      <c r="B617" s="457">
        <f t="shared" ca="1" si="154"/>
        <v>9</v>
      </c>
      <c r="C617" s="457">
        <f t="shared" ca="1" si="155"/>
        <v>1</v>
      </c>
      <c r="D617" s="458">
        <f t="shared" ca="1" si="156"/>
        <v>4</v>
      </c>
      <c r="E617" s="458">
        <f t="shared" ca="1" si="157"/>
        <v>0</v>
      </c>
      <c r="G617" s="206"/>
      <c r="H617" s="207" t="s">
        <v>211</v>
      </c>
      <c r="I617" s="208" t="str">
        <f t="shared" ca="1" si="159"/>
        <v>09.001.004</v>
      </c>
      <c r="J617" s="209" t="s">
        <v>959</v>
      </c>
      <c r="K617" s="210"/>
      <c r="L617" s="455"/>
      <c r="M617" s="455"/>
      <c r="N617" s="285">
        <f t="shared" ca="1" si="158"/>
        <v>2212.5927543398734</v>
      </c>
      <c r="O617" s="462"/>
      <c r="P617" s="213"/>
      <c r="Q617" s="35"/>
      <c r="R617" s="35"/>
      <c r="S617" s="35"/>
    </row>
    <row r="618" spans="1:19" s="34" customFormat="1" ht="13.9" hidden="1" customHeight="1" outlineLevel="2" x14ac:dyDescent="0.2">
      <c r="A618" s="457">
        <f ca="1">IF($H618="UNIDADE CONSTRUTIVA",OFFSET(A618,-1,0)+1,LARGE(A$3:A617,1))</f>
        <v>0</v>
      </c>
      <c r="B618" s="457">
        <f t="shared" ca="1" si="154"/>
        <v>9</v>
      </c>
      <c r="C618" s="457">
        <f t="shared" ca="1" si="155"/>
        <v>1</v>
      </c>
      <c r="D618" s="458">
        <f t="shared" ca="1" si="156"/>
        <v>4</v>
      </c>
      <c r="E618" s="458">
        <f t="shared" ca="1" si="157"/>
        <v>1</v>
      </c>
      <c r="G618" s="206"/>
      <c r="H618" s="207" t="s">
        <v>212</v>
      </c>
      <c r="I618" s="208" t="str">
        <f t="shared" ca="1" si="159"/>
        <v>09.001.004.001</v>
      </c>
      <c r="J618" s="209" t="s">
        <v>960</v>
      </c>
      <c r="K618" s="210" t="s">
        <v>151</v>
      </c>
      <c r="L618" s="455">
        <v>1</v>
      </c>
      <c r="M618" s="455">
        <f>SPDA!H14</f>
        <v>2212.5927543398734</v>
      </c>
      <c r="N618" s="285">
        <f t="shared" si="158"/>
        <v>2212.5927543398734</v>
      </c>
      <c r="O618" s="462"/>
      <c r="P618" s="213" t="s">
        <v>518</v>
      </c>
      <c r="Q618" s="35"/>
      <c r="R618" s="35"/>
      <c r="S618" s="35"/>
    </row>
    <row r="619" spans="1:19" s="34" customFormat="1" ht="13.9" hidden="1" customHeight="1" outlineLevel="1" x14ac:dyDescent="0.2">
      <c r="A619" s="457">
        <f ca="1">IF($H619="UNIDADE CONSTRUTIVA",OFFSET(A619,-1,0)+1,LARGE(A$3:A618,1))</f>
        <v>0</v>
      </c>
      <c r="B619" s="457">
        <f t="shared" ca="1" si="154"/>
        <v>9</v>
      </c>
      <c r="C619" s="457">
        <f t="shared" ca="1" si="155"/>
        <v>1</v>
      </c>
      <c r="D619" s="458">
        <f t="shared" ca="1" si="156"/>
        <v>5</v>
      </c>
      <c r="E619" s="458">
        <f t="shared" ca="1" si="157"/>
        <v>0</v>
      </c>
      <c r="G619" s="206"/>
      <c r="H619" s="207" t="s">
        <v>211</v>
      </c>
      <c r="I619" s="208" t="str">
        <f t="shared" ca="1" si="159"/>
        <v>09.001.005</v>
      </c>
      <c r="J619" s="209" t="s">
        <v>548</v>
      </c>
      <c r="K619" s="210"/>
      <c r="L619" s="455"/>
      <c r="M619" s="455"/>
      <c r="N619" s="285">
        <f t="shared" ca="1" si="158"/>
        <v>14137.750211157187</v>
      </c>
      <c r="O619" s="462"/>
      <c r="P619" s="213"/>
      <c r="Q619" s="35"/>
      <c r="R619" s="35"/>
      <c r="S619" s="35"/>
    </row>
    <row r="620" spans="1:19" s="34" customFormat="1" ht="13.9" hidden="1" customHeight="1" outlineLevel="2" x14ac:dyDescent="0.2">
      <c r="A620" s="457">
        <f ca="1">IF($H620="UNIDADE CONSTRUTIVA",OFFSET(A620,-1,0)+1,LARGE(A$3:A619,1))</f>
        <v>0</v>
      </c>
      <c r="B620" s="457">
        <f t="shared" ca="1" si="154"/>
        <v>9</v>
      </c>
      <c r="C620" s="457">
        <f t="shared" ca="1" si="155"/>
        <v>1</v>
      </c>
      <c r="D620" s="458">
        <f t="shared" ca="1" si="156"/>
        <v>5</v>
      </c>
      <c r="E620" s="458">
        <f t="shared" ca="1" si="157"/>
        <v>1</v>
      </c>
      <c r="G620" s="206"/>
      <c r="H620" s="207" t="s">
        <v>212</v>
      </c>
      <c r="I620" s="208" t="str">
        <f t="shared" ca="1" si="159"/>
        <v>09.001.005.001</v>
      </c>
      <c r="J620" s="209" t="s">
        <v>961</v>
      </c>
      <c r="K620" s="210" t="s">
        <v>151</v>
      </c>
      <c r="L620" s="455">
        <v>1</v>
      </c>
      <c r="M620" s="455">
        <f>GÁS!L24</f>
        <v>14137.750211157187</v>
      </c>
      <c r="N620" s="285">
        <f t="shared" si="158"/>
        <v>14137.750211157187</v>
      </c>
      <c r="O620" s="462"/>
      <c r="P620" s="213" t="s">
        <v>518</v>
      </c>
      <c r="Q620" s="35"/>
      <c r="R620" s="35"/>
      <c r="S620" s="35"/>
    </row>
    <row r="621" spans="1:19" s="34" customFormat="1" ht="13.9" hidden="1" customHeight="1" outlineLevel="1" x14ac:dyDescent="0.2">
      <c r="A621" s="457">
        <f ca="1">IF($H621="UNIDADE CONSTRUTIVA",OFFSET(A621,-1,0)+1,LARGE(A$3:A620,1))</f>
        <v>0</v>
      </c>
      <c r="B621" s="457">
        <f t="shared" ca="1" si="154"/>
        <v>9</v>
      </c>
      <c r="C621" s="457">
        <f t="shared" ca="1" si="155"/>
        <v>1</v>
      </c>
      <c r="D621" s="458">
        <f t="shared" ca="1" si="156"/>
        <v>6</v>
      </c>
      <c r="E621" s="458">
        <f t="shared" ca="1" si="157"/>
        <v>0</v>
      </c>
      <c r="G621" s="206"/>
      <c r="H621" s="207" t="s">
        <v>211</v>
      </c>
      <c r="I621" s="208" t="str">
        <f t="shared" ca="1" si="159"/>
        <v>09.001.006</v>
      </c>
      <c r="J621" s="209" t="s">
        <v>130</v>
      </c>
      <c r="K621" s="210"/>
      <c r="L621" s="455"/>
      <c r="M621" s="455"/>
      <c r="N621" s="285">
        <f t="shared" ca="1" si="158"/>
        <v>16606.133373749264</v>
      </c>
      <c r="O621" s="462"/>
      <c r="P621" s="213"/>
      <c r="Q621" s="35"/>
      <c r="R621" s="35"/>
      <c r="S621" s="35"/>
    </row>
    <row r="622" spans="1:19" s="34" customFormat="1" ht="13.9" hidden="1" customHeight="1" outlineLevel="2" x14ac:dyDescent="0.2">
      <c r="A622" s="457">
        <f ca="1">IF($H622="UNIDADE CONSTRUTIVA",OFFSET(A622,-1,0)+1,LARGE(A$3:A621,1))</f>
        <v>0</v>
      </c>
      <c r="B622" s="457">
        <f t="shared" ca="1" si="154"/>
        <v>9</v>
      </c>
      <c r="C622" s="457">
        <f t="shared" ca="1" si="155"/>
        <v>1</v>
      </c>
      <c r="D622" s="458">
        <f t="shared" ca="1" si="156"/>
        <v>6</v>
      </c>
      <c r="E622" s="458">
        <f t="shared" ca="1" si="157"/>
        <v>1</v>
      </c>
      <c r="G622" s="206"/>
      <c r="H622" s="207" t="s">
        <v>212</v>
      </c>
      <c r="I622" s="208" t="str">
        <f t="shared" ca="1" si="159"/>
        <v>09.001.006.001</v>
      </c>
      <c r="J622" s="209" t="s">
        <v>962</v>
      </c>
      <c r="K622" s="210" t="s">
        <v>151</v>
      </c>
      <c r="L622" s="455">
        <v>1</v>
      </c>
      <c r="M622" s="455">
        <f>'Obra '!E15*8</f>
        <v>6396.16</v>
      </c>
      <c r="N622" s="285">
        <f t="shared" si="158"/>
        <v>6396.16</v>
      </c>
      <c r="O622" s="462"/>
      <c r="P622" s="213" t="s">
        <v>518</v>
      </c>
      <c r="Q622" s="35"/>
      <c r="R622" s="35"/>
      <c r="S622" s="35"/>
    </row>
    <row r="623" spans="1:19" s="34" customFormat="1" ht="13.9" hidden="1" customHeight="1" outlineLevel="2" x14ac:dyDescent="0.2">
      <c r="A623" s="457">
        <f ca="1">IF($H623="UNIDADE CONSTRUTIVA",OFFSET(A623,-1,0)+1,LARGE(A$3:A622,1))</f>
        <v>0</v>
      </c>
      <c r="B623" s="457">
        <f t="shared" ca="1" si="154"/>
        <v>9</v>
      </c>
      <c r="C623" s="457">
        <f t="shared" ca="1" si="155"/>
        <v>1</v>
      </c>
      <c r="D623" s="458">
        <f t="shared" ca="1" si="156"/>
        <v>6</v>
      </c>
      <c r="E623" s="458">
        <f t="shared" ca="1" si="157"/>
        <v>2</v>
      </c>
      <c r="G623" s="206"/>
      <c r="H623" s="207" t="s">
        <v>212</v>
      </c>
      <c r="I623" s="208" t="str">
        <f t="shared" ca="1" si="159"/>
        <v>09.001.006.002</v>
      </c>
      <c r="J623" s="209" t="s">
        <v>549</v>
      </c>
      <c r="K623" s="210" t="s">
        <v>151</v>
      </c>
      <c r="L623" s="455">
        <v>1</v>
      </c>
      <c r="M623" s="455">
        <f>GÁS!L25</f>
        <v>10209.973373749264</v>
      </c>
      <c r="N623" s="285">
        <f t="shared" si="158"/>
        <v>10209.973373749264</v>
      </c>
      <c r="O623" s="462"/>
      <c r="P623" s="213" t="s">
        <v>518</v>
      </c>
      <c r="Q623" s="35"/>
      <c r="R623" s="35"/>
      <c r="S623" s="35"/>
    </row>
    <row r="624" spans="1:19" s="34" customFormat="1" ht="13.9" hidden="1" customHeight="1" outlineLevel="1" x14ac:dyDescent="0.2">
      <c r="A624" s="457">
        <f ca="1">IF($H624="UNIDADE CONSTRUTIVA",OFFSET(A624,-1,0)+1,LARGE(A$3:A623,1))</f>
        <v>0</v>
      </c>
      <c r="B624" s="457">
        <f t="shared" ca="1" si="154"/>
        <v>9</v>
      </c>
      <c r="C624" s="457">
        <f t="shared" ca="1" si="155"/>
        <v>2</v>
      </c>
      <c r="D624" s="458">
        <f t="shared" ca="1" si="156"/>
        <v>0</v>
      </c>
      <c r="E624" s="458">
        <f t="shared" ca="1" si="157"/>
        <v>2</v>
      </c>
      <c r="G624" s="206"/>
      <c r="H624" s="207" t="s">
        <v>210</v>
      </c>
      <c r="I624" s="208" t="str">
        <f t="shared" ca="1" si="159"/>
        <v>09.002</v>
      </c>
      <c r="J624" s="209" t="s">
        <v>4332</v>
      </c>
      <c r="K624" s="210"/>
      <c r="L624" s="455"/>
      <c r="M624" s="455"/>
      <c r="N624" s="285">
        <f t="shared" ca="1" si="158"/>
        <v>52417.042890490433</v>
      </c>
      <c r="O624" s="462"/>
      <c r="P624" s="213"/>
      <c r="Q624" s="35"/>
      <c r="R624" s="35"/>
      <c r="S624" s="35"/>
    </row>
    <row r="625" spans="1:19" s="34" customFormat="1" ht="13.9" hidden="1" customHeight="1" outlineLevel="1" x14ac:dyDescent="0.2">
      <c r="A625" s="457">
        <f ca="1">IF($H625="UNIDADE CONSTRUTIVA",OFFSET(A625,-1,0)+1,LARGE(A$3:A624,1))</f>
        <v>0</v>
      </c>
      <c r="B625" s="457">
        <f t="shared" ca="1" si="154"/>
        <v>9</v>
      </c>
      <c r="C625" s="457">
        <f t="shared" ca="1" si="155"/>
        <v>2</v>
      </c>
      <c r="D625" s="458">
        <f t="shared" ca="1" si="156"/>
        <v>1</v>
      </c>
      <c r="E625" s="458">
        <f t="shared" ca="1" si="157"/>
        <v>0</v>
      </c>
      <c r="G625" s="206"/>
      <c r="H625" s="207" t="s">
        <v>211</v>
      </c>
      <c r="I625" s="208" t="str">
        <f ca="1">IF(H625="Unidade Construtiva",TEXT(A625,"00"),IF(H625="Célula Construtiva",TEXT(B625,"00"),IF(H625="Etapa",CONCATENATE(TEXT(B625,"00"),".",TEXT(C625,"000")),IF(H625="Subetapa",CONCATENATE(TEXT(B625,"00"),".",TEXT(C625,"000"),".",TEXT(D625,"000")),IF(H625="Serviço",CONCATENATE(TEXT(B625,"00"),".",TEXT(C625,"000"),".",TEXT(D625,"000"),".",TEXT(E625,"000")),"")))))</f>
        <v>09.002.001</v>
      </c>
      <c r="J625" s="209" t="s">
        <v>955</v>
      </c>
      <c r="K625" s="210"/>
      <c r="L625" s="455"/>
      <c r="M625" s="455"/>
      <c r="N625" s="285">
        <f t="shared" ca="1" si="158"/>
        <v>4059.92</v>
      </c>
      <c r="O625" s="462"/>
      <c r="P625" s="213"/>
      <c r="Q625" s="35"/>
      <c r="R625" s="35"/>
      <c r="S625" s="35"/>
    </row>
    <row r="626" spans="1:19" s="34" customFormat="1" ht="13.9" hidden="1" customHeight="1" outlineLevel="2" x14ac:dyDescent="0.2">
      <c r="A626" s="457">
        <f ca="1">IF($H626="UNIDADE CONSTRUTIVA",OFFSET(A626,-1,0)+1,LARGE(A$3:A625,1))</f>
        <v>0</v>
      </c>
      <c r="B626" s="457">
        <f t="shared" ca="1" si="154"/>
        <v>9</v>
      </c>
      <c r="C626" s="457">
        <f t="shared" ca="1" si="155"/>
        <v>2</v>
      </c>
      <c r="D626" s="458">
        <f t="shared" ca="1" si="156"/>
        <v>1</v>
      </c>
      <c r="E626" s="458">
        <f t="shared" ca="1" si="157"/>
        <v>1</v>
      </c>
      <c r="G626" s="206"/>
      <c r="H626" s="207" t="s">
        <v>212</v>
      </c>
      <c r="I626" s="208" t="str">
        <f ca="1">IF(H626="Unidade Construtiva",TEXT(A626,"00"),IF(H626="Célula Construtiva",TEXT(B626,"00"),IF(H626="Etapa",CONCATENATE(TEXT(B626,"00"),".",TEXT(C626,"000")),IF(H626="Subetapa",CONCATENATE(TEXT(B626,"00"),".",TEXT(C626,"000"),".",TEXT(D626,"000")),IF(H626="Serviço",CONCATENATE(TEXT(B626,"00"),".",TEXT(C626,"000"),".",TEXT(D626,"000"),".",TEXT(E626,"000")),"")))))</f>
        <v>09.002.001.001</v>
      </c>
      <c r="J626" s="209" t="s">
        <v>955</v>
      </c>
      <c r="K626" s="210" t="s">
        <v>151</v>
      </c>
      <c r="L626" s="455">
        <v>1</v>
      </c>
      <c r="M626" s="455">
        <f>PREVENTIVO!J16</f>
        <v>4059.92</v>
      </c>
      <c r="N626" s="285">
        <f t="shared" si="158"/>
        <v>4059.92</v>
      </c>
      <c r="O626" s="462"/>
      <c r="P626" s="213" t="s">
        <v>518</v>
      </c>
      <c r="Q626" s="35"/>
      <c r="R626" s="35"/>
      <c r="S626" s="35"/>
    </row>
    <row r="627" spans="1:19" s="34" customFormat="1" ht="13.9" hidden="1" customHeight="1" outlineLevel="1" x14ac:dyDescent="0.2">
      <c r="A627" s="457">
        <f ca="1">IF($H627="UNIDADE CONSTRUTIVA",OFFSET(A627,-1,0)+1,LARGE(A$3:A626,1))</f>
        <v>0</v>
      </c>
      <c r="B627" s="457">
        <f t="shared" ca="1" si="154"/>
        <v>9</v>
      </c>
      <c r="C627" s="457">
        <f t="shared" ca="1" si="155"/>
        <v>2</v>
      </c>
      <c r="D627" s="458">
        <f t="shared" ca="1" si="156"/>
        <v>2</v>
      </c>
      <c r="E627" s="458">
        <f t="shared" ca="1" si="157"/>
        <v>0</v>
      </c>
      <c r="G627" s="206"/>
      <c r="H627" s="207" t="s">
        <v>211</v>
      </c>
      <c r="I627" s="208" t="str">
        <f ca="1">IF(H627="Unidade Construtiva",TEXT(A627,"00"),IF(H627="Célula Construtiva",TEXT(B627,"00"),IF(H627="Etapa",CONCATENATE(TEXT(B627,"00"),".",TEXT(C627,"000")),IF(H627="Subetapa",CONCATENATE(TEXT(B627,"00"),".",TEXT(C627,"000"),".",TEXT(D627,"000")),IF(H627="Serviço",CONCATENATE(TEXT(B627,"00"),".",TEXT(C627,"000"),".",TEXT(D627,"000"),".",TEXT(E627,"000")),"")))))</f>
        <v>09.002.002</v>
      </c>
      <c r="J627" s="209" t="s">
        <v>956</v>
      </c>
      <c r="K627" s="210"/>
      <c r="L627" s="455"/>
      <c r="M627" s="455"/>
      <c r="N627" s="285">
        <f t="shared" ca="1" si="158"/>
        <v>11457.416427747219</v>
      </c>
      <c r="O627" s="462"/>
      <c r="P627" s="213"/>
      <c r="Q627" s="35"/>
      <c r="R627" s="35"/>
      <c r="S627" s="35"/>
    </row>
    <row r="628" spans="1:19" s="34" customFormat="1" ht="13.9" hidden="1" customHeight="1" outlineLevel="2" x14ac:dyDescent="0.2">
      <c r="A628" s="457">
        <f ca="1">IF($H628="UNIDADE CONSTRUTIVA",OFFSET(A628,-1,0)+1,LARGE(A$3:A627,1))</f>
        <v>0</v>
      </c>
      <c r="B628" s="457">
        <f t="shared" ca="1" si="154"/>
        <v>9</v>
      </c>
      <c r="C628" s="457">
        <f t="shared" ca="1" si="155"/>
        <v>2</v>
      </c>
      <c r="D628" s="458">
        <f t="shared" ca="1" si="156"/>
        <v>2</v>
      </c>
      <c r="E628" s="458">
        <f t="shared" ca="1" si="157"/>
        <v>1</v>
      </c>
      <c r="G628" s="206"/>
      <c r="H628" s="207" t="s">
        <v>212</v>
      </c>
      <c r="I628" s="208" t="str">
        <f ca="1">IF(H628="Unidade Construtiva",TEXT(A628,"00"),IF(H628="Célula Construtiva",TEXT(B628,"00"),IF(H628="Etapa",CONCATENATE(TEXT(B628,"00"),".",TEXT(C628,"000")),IF(H628="Subetapa",CONCATENATE(TEXT(B628,"00"),".",TEXT(C628,"000"),".",TEXT(D628,"000")),IF(H628="Serviço",CONCATENATE(TEXT(B628,"00"),".",TEXT(C628,"000"),".",TEXT(D628,"000"),".",TEXT(E628,"000")),"")))))</f>
        <v>09.002.002.001</v>
      </c>
      <c r="J628" s="209" t="s">
        <v>957</v>
      </c>
      <c r="K628" s="210" t="s">
        <v>151</v>
      </c>
      <c r="L628" s="455">
        <v>1</v>
      </c>
      <c r="M628" s="455">
        <f>PREVENTIVO!J72</f>
        <v>11457.416427747219</v>
      </c>
      <c r="N628" s="285">
        <f t="shared" si="158"/>
        <v>11457.416427747219</v>
      </c>
      <c r="O628" s="462"/>
      <c r="P628" s="213" t="s">
        <v>518</v>
      </c>
      <c r="Q628" s="35"/>
      <c r="R628" s="35"/>
      <c r="S628" s="35"/>
    </row>
    <row r="629" spans="1:19" s="34" customFormat="1" ht="13.9" hidden="1" customHeight="1" outlineLevel="1" x14ac:dyDescent="0.2">
      <c r="A629" s="457">
        <f ca="1">IF($H629="UNIDADE CONSTRUTIVA",OFFSET(A629,-1,0)+1,LARGE(A$3:A628,1))</f>
        <v>0</v>
      </c>
      <c r="B629" s="457">
        <f t="shared" ca="1" si="154"/>
        <v>9</v>
      </c>
      <c r="C629" s="457">
        <f t="shared" ca="1" si="155"/>
        <v>2</v>
      </c>
      <c r="D629" s="458">
        <f t="shared" ca="1" si="156"/>
        <v>3</v>
      </c>
      <c r="E629" s="458">
        <f t="shared" ca="1" si="157"/>
        <v>0</v>
      </c>
      <c r="G629" s="206"/>
      <c r="H629" s="207" t="s">
        <v>211</v>
      </c>
      <c r="I629" s="208" t="str">
        <f t="shared" ref="I629:I637" ca="1" si="160">IF(H629="Unidade Construtiva",TEXT(A629,"00"),IF(H629="Célula Construtiva",TEXT(B629,"00"),IF(H629="Etapa",CONCATENATE(TEXT(B629,"00"),".",TEXT(C629,"000")),IF(H629="Subetapa",CONCATENATE(TEXT(B629,"00"),".",TEXT(C629,"000"),".",TEXT(D629,"000")),IF(H629="Serviço",CONCATENATE(TEXT(B629,"00"),".",TEXT(C629,"000"),".",TEXT(D629,"000"),".",TEXT(E629,"000")),"")))))</f>
        <v>09.002.003</v>
      </c>
      <c r="J629" s="209" t="s">
        <v>958</v>
      </c>
      <c r="K629" s="210"/>
      <c r="L629" s="455"/>
      <c r="M629" s="455"/>
      <c r="N629" s="285">
        <f t="shared" ca="1" si="158"/>
        <v>1898.8505</v>
      </c>
      <c r="O629" s="462"/>
      <c r="P629" s="213"/>
      <c r="Q629" s="35"/>
      <c r="R629" s="35"/>
      <c r="S629" s="35"/>
    </row>
    <row r="630" spans="1:19" s="34" customFormat="1" ht="13.9" hidden="1" customHeight="1" outlineLevel="2" x14ac:dyDescent="0.2">
      <c r="A630" s="457">
        <f ca="1">IF($H630="UNIDADE CONSTRUTIVA",OFFSET(A630,-1,0)+1,LARGE(A$3:A629,1))</f>
        <v>0</v>
      </c>
      <c r="B630" s="457">
        <f t="shared" ca="1" si="154"/>
        <v>9</v>
      </c>
      <c r="C630" s="457">
        <f t="shared" ca="1" si="155"/>
        <v>2</v>
      </c>
      <c r="D630" s="458">
        <f t="shared" ca="1" si="156"/>
        <v>3</v>
      </c>
      <c r="E630" s="458">
        <f t="shared" ca="1" si="157"/>
        <v>1</v>
      </c>
      <c r="G630" s="206"/>
      <c r="H630" s="207" t="s">
        <v>212</v>
      </c>
      <c r="I630" s="208" t="str">
        <f t="shared" ca="1" si="160"/>
        <v>09.002.003.001</v>
      </c>
      <c r="J630" s="209" t="s">
        <v>547</v>
      </c>
      <c r="K630" s="210" t="s">
        <v>151</v>
      </c>
      <c r="L630" s="455">
        <v>1</v>
      </c>
      <c r="M630" s="455">
        <f>HIDRANTES!L17</f>
        <v>1898.8505</v>
      </c>
      <c r="N630" s="285">
        <f t="shared" si="158"/>
        <v>1898.8505</v>
      </c>
      <c r="O630" s="462"/>
      <c r="P630" s="213" t="s">
        <v>518</v>
      </c>
      <c r="Q630" s="465"/>
      <c r="R630" s="465"/>
      <c r="S630" s="35"/>
    </row>
    <row r="631" spans="1:19" s="34" customFormat="1" ht="13.9" hidden="1" customHeight="1" outlineLevel="1" x14ac:dyDescent="0.2">
      <c r="A631" s="457">
        <f ca="1">IF($H631="UNIDADE CONSTRUTIVA",OFFSET(A631,-1,0)+1,LARGE(A$3:A630,1))</f>
        <v>0</v>
      </c>
      <c r="B631" s="457">
        <f t="shared" ca="1" si="154"/>
        <v>9</v>
      </c>
      <c r="C631" s="457">
        <f t="shared" ca="1" si="155"/>
        <v>2</v>
      </c>
      <c r="D631" s="458">
        <f t="shared" ca="1" si="156"/>
        <v>4</v>
      </c>
      <c r="E631" s="458">
        <f t="shared" ca="1" si="157"/>
        <v>0</v>
      </c>
      <c r="G631" s="206"/>
      <c r="H631" s="207" t="s">
        <v>211</v>
      </c>
      <c r="I631" s="208" t="str">
        <f t="shared" ca="1" si="160"/>
        <v>09.002.004</v>
      </c>
      <c r="J631" s="209" t="s">
        <v>959</v>
      </c>
      <c r="K631" s="210"/>
      <c r="L631" s="455"/>
      <c r="M631" s="455"/>
      <c r="N631" s="285">
        <f t="shared" ca="1" si="158"/>
        <v>8741.6121429779159</v>
      </c>
      <c r="O631" s="462"/>
      <c r="P631" s="213"/>
      <c r="Q631" s="35"/>
      <c r="R631" s="35"/>
      <c r="S631" s="35"/>
    </row>
    <row r="632" spans="1:19" s="34" customFormat="1" ht="13.9" hidden="1" customHeight="1" outlineLevel="2" x14ac:dyDescent="0.2">
      <c r="A632" s="457">
        <f ca="1">IF($H632="UNIDADE CONSTRUTIVA",OFFSET(A632,-1,0)+1,LARGE(A$3:A631,1))</f>
        <v>0</v>
      </c>
      <c r="B632" s="457">
        <f t="shared" ca="1" si="154"/>
        <v>9</v>
      </c>
      <c r="C632" s="457">
        <f t="shared" ca="1" si="155"/>
        <v>2</v>
      </c>
      <c r="D632" s="458">
        <f t="shared" ca="1" si="156"/>
        <v>4</v>
      </c>
      <c r="E632" s="458">
        <f t="shared" ca="1" si="157"/>
        <v>1</v>
      </c>
      <c r="G632" s="206"/>
      <c r="H632" s="207" t="s">
        <v>212</v>
      </c>
      <c r="I632" s="208" t="str">
        <f t="shared" ca="1" si="160"/>
        <v>09.002.004.001</v>
      </c>
      <c r="J632" s="209" t="s">
        <v>963</v>
      </c>
      <c r="K632" s="210" t="s">
        <v>151</v>
      </c>
      <c r="L632" s="455">
        <v>1</v>
      </c>
      <c r="M632" s="455">
        <f>SPDA!H15</f>
        <v>8741.6121429779159</v>
      </c>
      <c r="N632" s="285">
        <f t="shared" si="158"/>
        <v>8741.6121429779159</v>
      </c>
      <c r="O632" s="462"/>
      <c r="P632" s="213" t="s">
        <v>518</v>
      </c>
      <c r="Q632" s="35"/>
      <c r="R632" s="35"/>
      <c r="S632" s="35"/>
    </row>
    <row r="633" spans="1:19" s="34" customFormat="1" ht="13.9" hidden="1" customHeight="1" outlineLevel="1" x14ac:dyDescent="0.2">
      <c r="A633" s="457">
        <f ca="1">IF($H633="UNIDADE CONSTRUTIVA",OFFSET(A633,-1,0)+1,LARGE(A$3:A632,1))</f>
        <v>0</v>
      </c>
      <c r="B633" s="457">
        <f t="shared" ca="1" si="154"/>
        <v>9</v>
      </c>
      <c r="C633" s="457">
        <f t="shared" ca="1" si="155"/>
        <v>2</v>
      </c>
      <c r="D633" s="458">
        <f t="shared" ca="1" si="156"/>
        <v>5</v>
      </c>
      <c r="E633" s="458">
        <f t="shared" ca="1" si="157"/>
        <v>0</v>
      </c>
      <c r="G633" s="206"/>
      <c r="H633" s="207" t="s">
        <v>211</v>
      </c>
      <c r="I633" s="208" t="str">
        <f t="shared" ca="1" si="160"/>
        <v>09.002.005</v>
      </c>
      <c r="J633" s="209" t="s">
        <v>548</v>
      </c>
      <c r="K633" s="210"/>
      <c r="L633" s="455"/>
      <c r="M633" s="455"/>
      <c r="N633" s="285">
        <f t="shared" ca="1" si="158"/>
        <v>574.27499999999986</v>
      </c>
      <c r="O633" s="462"/>
      <c r="P633" s="213"/>
      <c r="Q633" s="35"/>
      <c r="R633" s="35"/>
      <c r="S633" s="35"/>
    </row>
    <row r="634" spans="1:19" s="34" customFormat="1" ht="13.9" hidden="1" customHeight="1" outlineLevel="2" x14ac:dyDescent="0.2">
      <c r="A634" s="457">
        <f ca="1">IF($H634="UNIDADE CONSTRUTIVA",OFFSET(A634,-1,0)+1,LARGE(A$3:A633,1))</f>
        <v>0</v>
      </c>
      <c r="B634" s="457">
        <f t="shared" ca="1" si="154"/>
        <v>9</v>
      </c>
      <c r="C634" s="457">
        <f t="shared" ca="1" si="155"/>
        <v>2</v>
      </c>
      <c r="D634" s="458">
        <f t="shared" ca="1" si="156"/>
        <v>5</v>
      </c>
      <c r="E634" s="458">
        <f t="shared" ca="1" si="157"/>
        <v>1</v>
      </c>
      <c r="G634" s="206"/>
      <c r="H634" s="207" t="s">
        <v>212</v>
      </c>
      <c r="I634" s="208" t="str">
        <f t="shared" ca="1" si="160"/>
        <v>09.002.005.001</v>
      </c>
      <c r="J634" s="209" t="s">
        <v>961</v>
      </c>
      <c r="K634" s="210" t="s">
        <v>151</v>
      </c>
      <c r="L634" s="455">
        <v>1</v>
      </c>
      <c r="M634" s="455">
        <f>GÁS!L30</f>
        <v>574.27499999999986</v>
      </c>
      <c r="N634" s="285">
        <f t="shared" si="158"/>
        <v>574.27499999999986</v>
      </c>
      <c r="O634" s="462"/>
      <c r="P634" s="213" t="s">
        <v>518</v>
      </c>
      <c r="Q634" s="35"/>
      <c r="R634" s="35"/>
      <c r="S634" s="35"/>
    </row>
    <row r="635" spans="1:19" s="34" customFormat="1" ht="13.9" hidden="1" customHeight="1" outlineLevel="1" x14ac:dyDescent="0.2">
      <c r="A635" s="457">
        <f ca="1">IF($H635="UNIDADE CONSTRUTIVA",OFFSET(A635,-1,0)+1,LARGE(A$3:A634,1))</f>
        <v>0</v>
      </c>
      <c r="B635" s="457">
        <f t="shared" ca="1" si="154"/>
        <v>9</v>
      </c>
      <c r="C635" s="457">
        <f t="shared" ca="1" si="155"/>
        <v>2</v>
      </c>
      <c r="D635" s="458">
        <f t="shared" ca="1" si="156"/>
        <v>6</v>
      </c>
      <c r="E635" s="458">
        <f t="shared" ca="1" si="157"/>
        <v>0</v>
      </c>
      <c r="G635" s="206"/>
      <c r="H635" s="207" t="s">
        <v>211</v>
      </c>
      <c r="I635" s="208" t="str">
        <f t="shared" ca="1" si="160"/>
        <v>09.002.006</v>
      </c>
      <c r="J635" s="209" t="s">
        <v>130</v>
      </c>
      <c r="K635" s="210"/>
      <c r="L635" s="455"/>
      <c r="M635" s="455"/>
      <c r="N635" s="285">
        <f t="shared" ca="1" si="158"/>
        <v>25684.968819765298</v>
      </c>
      <c r="O635" s="462"/>
      <c r="P635" s="213"/>
      <c r="Q635" s="35"/>
      <c r="R635" s="35"/>
      <c r="S635" s="35"/>
    </row>
    <row r="636" spans="1:19" s="34" customFormat="1" ht="13.9" hidden="1" customHeight="1" outlineLevel="2" x14ac:dyDescent="0.2">
      <c r="A636" s="457">
        <f ca="1">IF($H636="UNIDADE CONSTRUTIVA",OFFSET(A636,-1,0)+1,LARGE(A$3:A635,1))</f>
        <v>0</v>
      </c>
      <c r="B636" s="457">
        <f t="shared" ca="1" si="154"/>
        <v>9</v>
      </c>
      <c r="C636" s="457">
        <f t="shared" ca="1" si="155"/>
        <v>2</v>
      </c>
      <c r="D636" s="458">
        <f t="shared" ca="1" si="156"/>
        <v>6</v>
      </c>
      <c r="E636" s="458">
        <f t="shared" ca="1" si="157"/>
        <v>1</v>
      </c>
      <c r="G636" s="206"/>
      <c r="H636" s="207" t="s">
        <v>212</v>
      </c>
      <c r="I636" s="208" t="str">
        <f t="shared" ca="1" si="160"/>
        <v>09.002.006.001</v>
      </c>
      <c r="J636" s="209" t="s">
        <v>962</v>
      </c>
      <c r="K636" s="210" t="s">
        <v>151</v>
      </c>
      <c r="L636" s="455">
        <v>1</v>
      </c>
      <c r="M636" s="455">
        <f>SUM('Obra '!E16:E19)*8</f>
        <v>25270.239999999998</v>
      </c>
      <c r="N636" s="285">
        <f t="shared" si="158"/>
        <v>25270.239999999998</v>
      </c>
      <c r="O636" s="462"/>
      <c r="P636" s="213" t="s">
        <v>518</v>
      </c>
      <c r="Q636" s="35"/>
      <c r="R636" s="35"/>
      <c r="S636" s="35"/>
    </row>
    <row r="637" spans="1:19" s="34" customFormat="1" ht="13.9" hidden="1" customHeight="1" outlineLevel="2" x14ac:dyDescent="0.2">
      <c r="A637" s="457">
        <f ca="1">IF($H637="UNIDADE CONSTRUTIVA",OFFSET(A637,-1,0)+1,LARGE(A$3:A636,1))</f>
        <v>0</v>
      </c>
      <c r="B637" s="457">
        <f t="shared" ca="1" si="154"/>
        <v>9</v>
      </c>
      <c r="C637" s="457">
        <f t="shared" ca="1" si="155"/>
        <v>2</v>
      </c>
      <c r="D637" s="458">
        <f t="shared" ca="1" si="156"/>
        <v>6</v>
      </c>
      <c r="E637" s="458">
        <f t="shared" ca="1" si="157"/>
        <v>2</v>
      </c>
      <c r="G637" s="206"/>
      <c r="H637" s="207" t="s">
        <v>212</v>
      </c>
      <c r="I637" s="208" t="str">
        <f t="shared" ca="1" si="160"/>
        <v>09.002.006.002</v>
      </c>
      <c r="J637" s="209" t="s">
        <v>549</v>
      </c>
      <c r="K637" s="210" t="s">
        <v>151</v>
      </c>
      <c r="L637" s="455">
        <v>1</v>
      </c>
      <c r="M637" s="455">
        <f>GÁS!L31</f>
        <v>414.72881976530113</v>
      </c>
      <c r="N637" s="285">
        <f t="shared" si="158"/>
        <v>414.72881976530113</v>
      </c>
      <c r="O637" s="462"/>
      <c r="P637" s="213" t="s">
        <v>518</v>
      </c>
      <c r="Q637" s="35"/>
      <c r="R637" s="35"/>
      <c r="S637" s="35"/>
    </row>
    <row r="638" spans="1:19" s="34" customFormat="1" ht="13.9" hidden="1" customHeight="1" outlineLevel="1" x14ac:dyDescent="0.2">
      <c r="A638" s="457">
        <f ca="1">IF($H638="UNIDADE CONSTRUTIVA",OFFSET(A638,-1,0)+1,LARGE(A$3:A637,1))</f>
        <v>0</v>
      </c>
      <c r="B638" s="457">
        <f t="shared" ca="1" si="154"/>
        <v>9</v>
      </c>
      <c r="C638" s="457">
        <f t="shared" ca="1" si="155"/>
        <v>3</v>
      </c>
      <c r="D638" s="458">
        <f t="shared" ca="1" si="156"/>
        <v>0</v>
      </c>
      <c r="E638" s="458">
        <f t="shared" ca="1" si="157"/>
        <v>2</v>
      </c>
      <c r="G638" s="206"/>
      <c r="H638" s="207" t="s">
        <v>210</v>
      </c>
      <c r="I638" s="208" t="str">
        <f ca="1">IF(H638="Unidade Construtiva",TEXT(A638,"00"),IF(H638="Célula Construtiva",TEXT(B638,"00"),IF(H638="Etapa",CONCATENATE(TEXT(B638,"00"),".",TEXT(C638,"000")),IF(H638="Subetapa",CONCATENATE(TEXT(B638,"00"),".",TEXT(C638,"000"),".",TEXT(D638,"000")),IF(H638="Serviço",CONCATENATE(TEXT(B638,"00"),".",TEXT(C638,"000"),".",TEXT(D638,"000"),".",TEXT(E638,"000")),"")))))</f>
        <v>09.003</v>
      </c>
      <c r="J638" s="209" t="s">
        <v>965</v>
      </c>
      <c r="K638" s="210"/>
      <c r="L638" s="455"/>
      <c r="M638" s="455"/>
      <c r="N638" s="285">
        <f t="shared" ca="1" si="158"/>
        <v>19661.759095378544</v>
      </c>
      <c r="O638" s="462"/>
      <c r="P638" s="213"/>
      <c r="Q638" s="35"/>
      <c r="R638" s="35"/>
      <c r="S638" s="35"/>
    </row>
    <row r="639" spans="1:19" s="34" customFormat="1" ht="13.9" hidden="1" customHeight="1" outlineLevel="1" x14ac:dyDescent="0.2">
      <c r="A639" s="457">
        <f ca="1">IF($H639="UNIDADE CONSTRUTIVA",OFFSET(A639,-1,0)+1,LARGE(A$3:A638,1))</f>
        <v>0</v>
      </c>
      <c r="B639" s="457">
        <f t="shared" ca="1" si="154"/>
        <v>9</v>
      </c>
      <c r="C639" s="457">
        <f t="shared" ca="1" si="155"/>
        <v>3</v>
      </c>
      <c r="D639" s="458">
        <f t="shared" ca="1" si="156"/>
        <v>1</v>
      </c>
      <c r="E639" s="458">
        <f t="shared" ca="1" si="157"/>
        <v>0</v>
      </c>
      <c r="G639" s="206"/>
      <c r="H639" s="207" t="s">
        <v>211</v>
      </c>
      <c r="I639" s="208" t="str">
        <f ca="1">IF(H639="Unidade Construtiva",TEXT(A639,"00"),IF(H639="Célula Construtiva",TEXT(B639,"00"),IF(H639="Etapa",CONCATENATE(TEXT(B639,"00"),".",TEXT(C639,"000")),IF(H639="Subetapa",CONCATENATE(TEXT(B639,"00"),".",TEXT(C639,"000"),".",TEXT(D639,"000")),IF(H639="Serviço",CONCATENATE(TEXT(B639,"00"),".",TEXT(C639,"000"),".",TEXT(D639,"000"),".",TEXT(E639,"000")),"")))))</f>
        <v>09.003.001</v>
      </c>
      <c r="J639" s="209" t="s">
        <v>955</v>
      </c>
      <c r="K639" s="210"/>
      <c r="L639" s="455"/>
      <c r="M639" s="455"/>
      <c r="N639" s="285">
        <f t="shared" ca="1" si="158"/>
        <v>1559.88</v>
      </c>
      <c r="O639" s="462"/>
      <c r="P639" s="213"/>
      <c r="Q639" s="35"/>
      <c r="R639" s="35"/>
      <c r="S639" s="35"/>
    </row>
    <row r="640" spans="1:19" s="34" customFormat="1" ht="13.9" hidden="1" customHeight="1" outlineLevel="2" x14ac:dyDescent="0.2">
      <c r="A640" s="457">
        <f ca="1">IF($H640="UNIDADE CONSTRUTIVA",OFFSET(A640,-1,0)+1,LARGE(A$3:A639,1))</f>
        <v>0</v>
      </c>
      <c r="B640" s="457">
        <f t="shared" ca="1" si="154"/>
        <v>9</v>
      </c>
      <c r="C640" s="457">
        <f t="shared" ca="1" si="155"/>
        <v>3</v>
      </c>
      <c r="D640" s="458">
        <f t="shared" ca="1" si="156"/>
        <v>1</v>
      </c>
      <c r="E640" s="458">
        <f t="shared" ca="1" si="157"/>
        <v>1</v>
      </c>
      <c r="G640" s="206"/>
      <c r="H640" s="207" t="s">
        <v>212</v>
      </c>
      <c r="I640" s="208" t="str">
        <f ca="1">IF(H640="Unidade Construtiva",TEXT(A640,"00"),IF(H640="Célula Construtiva",TEXT(B640,"00"),IF(H640="Etapa",CONCATENATE(TEXT(B640,"00"),".",TEXT(C640,"000")),IF(H640="Subetapa",CONCATENATE(TEXT(B640,"00"),".",TEXT(C640,"000"),".",TEXT(D640,"000")),IF(H640="Serviço",CONCATENATE(TEXT(B640,"00"),".",TEXT(C640,"000"),".",TEXT(D640,"000"),".",TEXT(E640,"000")),"")))))</f>
        <v>09.003.001.001</v>
      </c>
      <c r="J640" s="209" t="s">
        <v>955</v>
      </c>
      <c r="K640" s="210" t="s">
        <v>151</v>
      </c>
      <c r="L640" s="455">
        <v>1</v>
      </c>
      <c r="M640" s="455">
        <f>PREVENTIVO!J20</f>
        <v>1559.88</v>
      </c>
      <c r="N640" s="285">
        <f t="shared" si="158"/>
        <v>1559.88</v>
      </c>
      <c r="O640" s="462"/>
      <c r="P640" s="213" t="s">
        <v>518</v>
      </c>
      <c r="Q640" s="35"/>
      <c r="R640" s="35"/>
      <c r="S640" s="35"/>
    </row>
    <row r="641" spans="1:19" s="34" customFormat="1" ht="13.9" hidden="1" customHeight="1" outlineLevel="1" x14ac:dyDescent="0.2">
      <c r="A641" s="457">
        <f ca="1">IF($H641="UNIDADE CONSTRUTIVA",OFFSET(A641,-1,0)+1,LARGE(A$3:A640,1))</f>
        <v>0</v>
      </c>
      <c r="B641" s="457">
        <f t="shared" ca="1" si="154"/>
        <v>9</v>
      </c>
      <c r="C641" s="457">
        <f t="shared" ca="1" si="155"/>
        <v>3</v>
      </c>
      <c r="D641" s="458">
        <f t="shared" ca="1" si="156"/>
        <v>2</v>
      </c>
      <c r="E641" s="458">
        <f t="shared" ca="1" si="157"/>
        <v>0</v>
      </c>
      <c r="G641" s="206"/>
      <c r="H641" s="207" t="s">
        <v>211</v>
      </c>
      <c r="I641" s="208" t="str">
        <f ca="1">IF(H641="Unidade Construtiva",TEXT(A641,"00"),IF(H641="Célula Construtiva",TEXT(B641,"00"),IF(H641="Etapa",CONCATENATE(TEXT(B641,"00"),".",TEXT(C641,"000")),IF(H641="Subetapa",CONCATENATE(TEXT(B641,"00"),".",TEXT(C641,"000"),".",TEXT(D641,"000")),IF(H641="Serviço",CONCATENATE(TEXT(B641,"00"),".",TEXT(C641,"000"),".",TEXT(D641,"000"),".",TEXT(E641,"000")),"")))))</f>
        <v>09.003.002</v>
      </c>
      <c r="J641" s="209" t="s">
        <v>956</v>
      </c>
      <c r="K641" s="210"/>
      <c r="L641" s="455"/>
      <c r="M641" s="455"/>
      <c r="N641" s="285">
        <f t="shared" ca="1" si="158"/>
        <v>4402.1051491936623</v>
      </c>
      <c r="O641" s="462"/>
      <c r="P641" s="213"/>
      <c r="Q641" s="35"/>
      <c r="R641" s="35"/>
      <c r="S641" s="35"/>
    </row>
    <row r="642" spans="1:19" s="34" customFormat="1" ht="13.9" hidden="1" customHeight="1" outlineLevel="2" x14ac:dyDescent="0.2">
      <c r="A642" s="457">
        <f ca="1">IF($H642="UNIDADE CONSTRUTIVA",OFFSET(A642,-1,0)+1,LARGE(A$3:A641,1))</f>
        <v>0</v>
      </c>
      <c r="B642" s="457">
        <f t="shared" ca="1" si="154"/>
        <v>9</v>
      </c>
      <c r="C642" s="457">
        <f t="shared" ca="1" si="155"/>
        <v>3</v>
      </c>
      <c r="D642" s="458">
        <f t="shared" ca="1" si="156"/>
        <v>2</v>
      </c>
      <c r="E642" s="458">
        <f t="shared" ca="1" si="157"/>
        <v>1</v>
      </c>
      <c r="G642" s="206"/>
      <c r="H642" s="207" t="s">
        <v>212</v>
      </c>
      <c r="I642" s="208" t="str">
        <f ca="1">IF(H642="Unidade Construtiva",TEXT(A642,"00"),IF(H642="Célula Construtiva",TEXT(B642,"00"),IF(H642="Etapa",CONCATENATE(TEXT(B642,"00"),".",TEXT(C642,"000")),IF(H642="Subetapa",CONCATENATE(TEXT(B642,"00"),".",TEXT(C642,"000"),".",TEXT(D642,"000")),IF(H642="Serviço",CONCATENATE(TEXT(B642,"00"),".",TEXT(C642,"000"),".",TEXT(D642,"000"),".",TEXT(E642,"000")),"")))))</f>
        <v>09.003.002.001</v>
      </c>
      <c r="J642" s="209" t="s">
        <v>957</v>
      </c>
      <c r="K642" s="210" t="s">
        <v>151</v>
      </c>
      <c r="L642" s="455">
        <v>1</v>
      </c>
      <c r="M642" s="455">
        <f>PREVENTIVO!J73</f>
        <v>4402.1051491936623</v>
      </c>
      <c r="N642" s="285">
        <f t="shared" ref="N642:N673" si="161">IF(H642="Serviço",M642*L642,IF(H642="CÉLULA CONSTRUTIVA",SUMIFS($N$8:$N$1765,$B$8:$B$1765,B642,$H$8:$H$1765,"Serviço"),IF(H642="ETAPA",SUMIFS($N$8:$N$1765,$B$8:$B$1765,B642,$C$8:$C$1765,C642,$H$8:$H$1765,"Serviço"),IF(H642="SUBETAPA",SUMIFS($N$8:$N$1765,$B$8:$B$1765,B642,$C$8:$C$1765,C642,$D$8:$D$1765,D642,$H$8:$H$1765,"Serviço"),0))))</f>
        <v>4402.1051491936623</v>
      </c>
      <c r="O642" s="462"/>
      <c r="P642" s="213" t="s">
        <v>518</v>
      </c>
      <c r="Q642" s="35"/>
      <c r="R642" s="35"/>
      <c r="S642" s="35"/>
    </row>
    <row r="643" spans="1:19" s="34" customFormat="1" ht="13.9" hidden="1" customHeight="1" outlineLevel="1" x14ac:dyDescent="0.2">
      <c r="A643" s="457">
        <f ca="1">IF($H643="UNIDADE CONSTRUTIVA",OFFSET(A643,-1,0)+1,LARGE(A$3:A642,1))</f>
        <v>0</v>
      </c>
      <c r="B643" s="457">
        <f t="shared" ca="1" si="154"/>
        <v>9</v>
      </c>
      <c r="C643" s="457">
        <f t="shared" ca="1" si="155"/>
        <v>3</v>
      </c>
      <c r="D643" s="458">
        <f t="shared" ca="1" si="156"/>
        <v>3</v>
      </c>
      <c r="E643" s="458">
        <f t="shared" ca="1" si="157"/>
        <v>0</v>
      </c>
      <c r="G643" s="206"/>
      <c r="H643" s="207" t="s">
        <v>211</v>
      </c>
      <c r="I643" s="208" t="str">
        <f t="shared" ref="I643:I652" ca="1" si="162">IF(H643="Unidade Construtiva",TEXT(A643,"00"),IF(H643="Célula Construtiva",TEXT(B643,"00"),IF(H643="Etapa",CONCATENATE(TEXT(B643,"00"),".",TEXT(C643,"000")),IF(H643="Subetapa",CONCATENATE(TEXT(B643,"00"),".",TEXT(C643,"000"),".",TEXT(D643,"000")),IF(H643="Serviço",CONCATENATE(TEXT(B643,"00"),".",TEXT(C643,"000"),".",TEXT(D643,"000"),".",TEXT(E643,"000")),"")))))</f>
        <v>09.003.003</v>
      </c>
      <c r="J643" s="209" t="s">
        <v>958</v>
      </c>
      <c r="K643" s="210"/>
      <c r="L643" s="455"/>
      <c r="M643" s="455"/>
      <c r="N643" s="285">
        <f t="shared" ca="1" si="161"/>
        <v>776.53549999999996</v>
      </c>
      <c r="O643" s="462"/>
      <c r="P643" s="213"/>
      <c r="Q643" s="35"/>
      <c r="R643" s="35"/>
      <c r="S643" s="35"/>
    </row>
    <row r="644" spans="1:19" s="34" customFormat="1" ht="13.9" hidden="1" customHeight="1" outlineLevel="2" x14ac:dyDescent="0.2">
      <c r="A644" s="457">
        <f ca="1">IF($H644="UNIDADE CONSTRUTIVA",OFFSET(A644,-1,0)+1,LARGE(A$3:A643,1))</f>
        <v>0</v>
      </c>
      <c r="B644" s="457">
        <f t="shared" ca="1" si="154"/>
        <v>9</v>
      </c>
      <c r="C644" s="457">
        <f t="shared" ca="1" si="155"/>
        <v>3</v>
      </c>
      <c r="D644" s="458">
        <f t="shared" ca="1" si="156"/>
        <v>3</v>
      </c>
      <c r="E644" s="458">
        <f t="shared" ca="1" si="157"/>
        <v>1</v>
      </c>
      <c r="G644" s="206"/>
      <c r="H644" s="207" t="s">
        <v>212</v>
      </c>
      <c r="I644" s="208" t="str">
        <f t="shared" ca="1" si="162"/>
        <v>09.003.003.001</v>
      </c>
      <c r="J644" s="209" t="s">
        <v>547</v>
      </c>
      <c r="K644" s="210" t="s">
        <v>151</v>
      </c>
      <c r="L644" s="455">
        <v>1</v>
      </c>
      <c r="M644" s="455">
        <f>HIDRANTES!L22</f>
        <v>776.53549999999996</v>
      </c>
      <c r="N644" s="285">
        <f t="shared" si="161"/>
        <v>776.53549999999996</v>
      </c>
      <c r="O644" s="462"/>
      <c r="P644" s="213" t="s">
        <v>518</v>
      </c>
      <c r="Q644" s="465"/>
      <c r="R644" s="465"/>
      <c r="S644" s="35"/>
    </row>
    <row r="645" spans="1:19" s="34" customFormat="1" ht="13.9" hidden="1" customHeight="1" outlineLevel="1" x14ac:dyDescent="0.2">
      <c r="A645" s="457">
        <f ca="1">IF($H645="UNIDADE CONSTRUTIVA",OFFSET(A645,-1,0)+1,LARGE(A$3:A644,1))</f>
        <v>0</v>
      </c>
      <c r="B645" s="457">
        <f t="shared" ca="1" si="154"/>
        <v>9</v>
      </c>
      <c r="C645" s="457">
        <f t="shared" ca="1" si="155"/>
        <v>3</v>
      </c>
      <c r="D645" s="458">
        <f t="shared" ca="1" si="156"/>
        <v>4</v>
      </c>
      <c r="E645" s="458">
        <f t="shared" ca="1" si="157"/>
        <v>0</v>
      </c>
      <c r="G645" s="206"/>
      <c r="H645" s="207" t="s">
        <v>211</v>
      </c>
      <c r="I645" s="208" t="str">
        <f t="shared" ca="1" si="162"/>
        <v>09.003.004</v>
      </c>
      <c r="J645" s="209" t="s">
        <v>959</v>
      </c>
      <c r="K645" s="210"/>
      <c r="L645" s="455"/>
      <c r="M645" s="455"/>
      <c r="N645" s="285">
        <f t="shared" ca="1" si="161"/>
        <v>2205.5635548251353</v>
      </c>
      <c r="O645" s="462"/>
      <c r="P645" s="213"/>
      <c r="Q645" s="35"/>
      <c r="R645" s="35"/>
      <c r="S645" s="35"/>
    </row>
    <row r="646" spans="1:19" s="34" customFormat="1" ht="13.9" hidden="1" customHeight="1" outlineLevel="2" x14ac:dyDescent="0.2">
      <c r="A646" s="457">
        <f ca="1">IF($H646="UNIDADE CONSTRUTIVA",OFFSET(A646,-1,0)+1,LARGE(A$3:A645,1))</f>
        <v>0</v>
      </c>
      <c r="B646" s="457">
        <f t="shared" ca="1" si="154"/>
        <v>9</v>
      </c>
      <c r="C646" s="457">
        <f t="shared" ca="1" si="155"/>
        <v>3</v>
      </c>
      <c r="D646" s="458">
        <f t="shared" ca="1" si="156"/>
        <v>4</v>
      </c>
      <c r="E646" s="458">
        <f t="shared" ca="1" si="157"/>
        <v>1</v>
      </c>
      <c r="G646" s="206"/>
      <c r="H646" s="207" t="s">
        <v>212</v>
      </c>
      <c r="I646" s="208" t="str">
        <f t="shared" ca="1" si="162"/>
        <v>09.003.004.001</v>
      </c>
      <c r="J646" s="209" t="s">
        <v>963</v>
      </c>
      <c r="K646" s="210" t="s">
        <v>151</v>
      </c>
      <c r="L646" s="455">
        <v>1</v>
      </c>
      <c r="M646" s="455">
        <f>SPDA!H16</f>
        <v>2205.5635548251353</v>
      </c>
      <c r="N646" s="285">
        <f t="shared" si="161"/>
        <v>2205.5635548251353</v>
      </c>
      <c r="O646" s="462"/>
      <c r="P646" s="213" t="s">
        <v>518</v>
      </c>
      <c r="Q646" s="35"/>
      <c r="R646" s="35"/>
      <c r="S646" s="35"/>
    </row>
    <row r="647" spans="1:19" s="34" customFormat="1" ht="13.9" hidden="1" customHeight="1" outlineLevel="1" x14ac:dyDescent="0.2">
      <c r="A647" s="457">
        <f ca="1">IF($H647="UNIDADE CONSTRUTIVA",OFFSET(A647,-1,0)+1,LARGE(A$3:A646,1))</f>
        <v>0</v>
      </c>
      <c r="B647" s="457">
        <f t="shared" ca="1" si="154"/>
        <v>9</v>
      </c>
      <c r="C647" s="457">
        <f t="shared" ca="1" si="155"/>
        <v>3</v>
      </c>
      <c r="D647" s="458">
        <f t="shared" ca="1" si="156"/>
        <v>5</v>
      </c>
      <c r="E647" s="458">
        <f t="shared" ca="1" si="157"/>
        <v>0</v>
      </c>
      <c r="G647" s="206"/>
      <c r="H647" s="207" t="s">
        <v>211</v>
      </c>
      <c r="I647" s="208" t="str">
        <f t="shared" ca="1" si="162"/>
        <v>09.003.005</v>
      </c>
      <c r="J647" s="209" t="s">
        <v>548</v>
      </c>
      <c r="K647" s="210"/>
      <c r="L647" s="455"/>
      <c r="M647" s="455"/>
      <c r="N647" s="285">
        <f t="shared" ca="1" si="161"/>
        <v>2521.130032467745</v>
      </c>
      <c r="O647" s="462"/>
      <c r="P647" s="213"/>
      <c r="Q647" s="35"/>
      <c r="R647" s="35"/>
      <c r="S647" s="35"/>
    </row>
    <row r="648" spans="1:19" s="34" customFormat="1" ht="13.9" hidden="1" customHeight="1" outlineLevel="2" x14ac:dyDescent="0.2">
      <c r="A648" s="457">
        <f ca="1">IF($H648="UNIDADE CONSTRUTIVA",OFFSET(A648,-1,0)+1,LARGE(A$3:A647,1))</f>
        <v>0</v>
      </c>
      <c r="B648" s="457">
        <f t="shared" ca="1" si="154"/>
        <v>9</v>
      </c>
      <c r="C648" s="457">
        <f t="shared" ca="1" si="155"/>
        <v>3</v>
      </c>
      <c r="D648" s="458">
        <f t="shared" ca="1" si="156"/>
        <v>5</v>
      </c>
      <c r="E648" s="458">
        <f t="shared" ca="1" si="157"/>
        <v>1</v>
      </c>
      <c r="G648" s="206"/>
      <c r="H648" s="207" t="s">
        <v>212</v>
      </c>
      <c r="I648" s="208" t="str">
        <f t="shared" ca="1" si="162"/>
        <v>09.003.005.001</v>
      </c>
      <c r="J648" s="209" t="s">
        <v>961</v>
      </c>
      <c r="K648" s="210" t="s">
        <v>151</v>
      </c>
      <c r="L648" s="455">
        <v>1</v>
      </c>
      <c r="M648" s="455">
        <f>GÁS!L44</f>
        <v>2521.130032467745</v>
      </c>
      <c r="N648" s="285">
        <f t="shared" si="161"/>
        <v>2521.130032467745</v>
      </c>
      <c r="O648" s="462"/>
      <c r="P648" s="213" t="s">
        <v>518</v>
      </c>
      <c r="Q648" s="35"/>
      <c r="R648" s="35"/>
      <c r="S648" s="35"/>
    </row>
    <row r="649" spans="1:19" s="34" customFormat="1" ht="13.9" hidden="1" customHeight="1" outlineLevel="1" x14ac:dyDescent="0.2">
      <c r="A649" s="457">
        <f ca="1">IF($H649="UNIDADE CONSTRUTIVA",OFFSET(A649,-1,0)+1,LARGE(A$3:A648,1))</f>
        <v>0</v>
      </c>
      <c r="B649" s="457">
        <f t="shared" ca="1" si="154"/>
        <v>9</v>
      </c>
      <c r="C649" s="457">
        <f t="shared" ca="1" si="155"/>
        <v>3</v>
      </c>
      <c r="D649" s="458">
        <f t="shared" ca="1" si="156"/>
        <v>6</v>
      </c>
      <c r="E649" s="458">
        <f t="shared" ca="1" si="157"/>
        <v>0</v>
      </c>
      <c r="G649" s="206"/>
      <c r="H649" s="207" t="s">
        <v>211</v>
      </c>
      <c r="I649" s="208" t="str">
        <f t="shared" ca="1" si="162"/>
        <v>09.003.006</v>
      </c>
      <c r="J649" s="209" t="s">
        <v>130</v>
      </c>
      <c r="K649" s="210"/>
      <c r="L649" s="455"/>
      <c r="M649" s="455"/>
      <c r="N649" s="285">
        <f t="shared" ca="1" si="161"/>
        <v>8196.5448588920008</v>
      </c>
      <c r="O649" s="462"/>
      <c r="P649" s="213"/>
      <c r="Q649" s="35"/>
      <c r="R649" s="35"/>
      <c r="S649" s="35"/>
    </row>
    <row r="650" spans="1:19" s="34" customFormat="1" ht="13.9" hidden="1" customHeight="1" outlineLevel="2" x14ac:dyDescent="0.2">
      <c r="A650" s="457">
        <f ca="1">IF($H650="UNIDADE CONSTRUTIVA",OFFSET(A650,-1,0)+1,LARGE(A$3:A649,1))</f>
        <v>0</v>
      </c>
      <c r="B650" s="457">
        <f t="shared" ca="1" si="154"/>
        <v>9</v>
      </c>
      <c r="C650" s="457">
        <f t="shared" ca="1" si="155"/>
        <v>3</v>
      </c>
      <c r="D650" s="458">
        <f t="shared" ca="1" si="156"/>
        <v>6</v>
      </c>
      <c r="E650" s="458">
        <f t="shared" ca="1" si="157"/>
        <v>1</v>
      </c>
      <c r="G650" s="206"/>
      <c r="H650" s="207" t="s">
        <v>212</v>
      </c>
      <c r="I650" s="208" t="str">
        <f t="shared" ca="1" si="162"/>
        <v>09.003.006.001</v>
      </c>
      <c r="J650" s="209" t="s">
        <v>962</v>
      </c>
      <c r="K650" s="210" t="s">
        <v>151</v>
      </c>
      <c r="L650" s="455">
        <v>1</v>
      </c>
      <c r="M650" s="455">
        <f>'Obra '!E20*8</f>
        <v>6375.84</v>
      </c>
      <c r="N650" s="285">
        <f t="shared" si="161"/>
        <v>6375.84</v>
      </c>
      <c r="O650" s="462"/>
      <c r="P650" s="213" t="s">
        <v>518</v>
      </c>
      <c r="Q650" s="35"/>
      <c r="R650" s="35"/>
      <c r="S650" s="35"/>
    </row>
    <row r="651" spans="1:19" s="34" customFormat="1" ht="13.9" hidden="1" customHeight="1" outlineLevel="2" x14ac:dyDescent="0.2">
      <c r="A651" s="457">
        <f ca="1">IF($H651="UNIDADE CONSTRUTIVA",OFFSET(A651,-1,0)+1,LARGE(A$3:A650,1))</f>
        <v>0</v>
      </c>
      <c r="B651" s="457">
        <f t="shared" ca="1" si="154"/>
        <v>9</v>
      </c>
      <c r="C651" s="457">
        <f t="shared" ca="1" si="155"/>
        <v>3</v>
      </c>
      <c r="D651" s="458">
        <f t="shared" ca="1" si="156"/>
        <v>6</v>
      </c>
      <c r="E651" s="458">
        <f t="shared" ca="1" si="157"/>
        <v>2</v>
      </c>
      <c r="G651" s="206"/>
      <c r="H651" s="207" t="s">
        <v>212</v>
      </c>
      <c r="I651" s="208" t="str">
        <f t="shared" ca="1" si="162"/>
        <v>09.003.006.002</v>
      </c>
      <c r="J651" s="209" t="s">
        <v>549</v>
      </c>
      <c r="K651" s="210" t="s">
        <v>151</v>
      </c>
      <c r="L651" s="455">
        <v>1</v>
      </c>
      <c r="M651" s="455">
        <f>GÁS!L45</f>
        <v>1820.7048588920004</v>
      </c>
      <c r="N651" s="285">
        <f t="shared" si="161"/>
        <v>1820.7048588920004</v>
      </c>
      <c r="O651" s="462"/>
      <c r="P651" s="213" t="s">
        <v>518</v>
      </c>
      <c r="Q651" s="35"/>
      <c r="R651" s="35"/>
      <c r="S651" s="35"/>
    </row>
    <row r="652" spans="1:19" s="34" customFormat="1" ht="13.9" hidden="1" customHeight="1" outlineLevel="1" x14ac:dyDescent="0.2">
      <c r="A652" s="457">
        <f ca="1">IF($H652="UNIDADE CONSTRUTIVA",OFFSET(A652,-1,0)+1,LARGE(A$3:A651,1))</f>
        <v>0</v>
      </c>
      <c r="B652" s="457">
        <f t="shared" ca="1" si="154"/>
        <v>9</v>
      </c>
      <c r="C652" s="457">
        <f t="shared" ca="1" si="155"/>
        <v>4</v>
      </c>
      <c r="D652" s="458">
        <f t="shared" ca="1" si="156"/>
        <v>0</v>
      </c>
      <c r="E652" s="458">
        <f t="shared" ca="1" si="157"/>
        <v>2</v>
      </c>
      <c r="G652" s="206"/>
      <c r="H652" s="207" t="s">
        <v>210</v>
      </c>
      <c r="I652" s="208" t="str">
        <f t="shared" ca="1" si="162"/>
        <v>09.004</v>
      </c>
      <c r="J652" s="209" t="s">
        <v>966</v>
      </c>
      <c r="K652" s="210"/>
      <c r="L652" s="455"/>
      <c r="M652" s="455"/>
      <c r="N652" s="285">
        <f t="shared" ca="1" si="161"/>
        <v>227478.98086651409</v>
      </c>
      <c r="O652" s="462"/>
      <c r="P652" s="213"/>
      <c r="Q652" s="35"/>
      <c r="R652" s="35"/>
      <c r="S652" s="35"/>
    </row>
    <row r="653" spans="1:19" s="34" customFormat="1" ht="13.9" hidden="1" customHeight="1" outlineLevel="1" x14ac:dyDescent="0.2">
      <c r="A653" s="457">
        <f ca="1">IF($H653="UNIDADE CONSTRUTIVA",OFFSET(A653,-1,0)+1,LARGE(A$3:A652,1))</f>
        <v>0</v>
      </c>
      <c r="B653" s="457">
        <f t="shared" ca="1" si="154"/>
        <v>9</v>
      </c>
      <c r="C653" s="457">
        <f t="shared" ca="1" si="155"/>
        <v>4</v>
      </c>
      <c r="D653" s="458">
        <f t="shared" ca="1" si="156"/>
        <v>1</v>
      </c>
      <c r="E653" s="458">
        <f t="shared" ca="1" si="157"/>
        <v>0</v>
      </c>
      <c r="G653" s="206"/>
      <c r="H653" s="207" t="s">
        <v>211</v>
      </c>
      <c r="I653" s="208" t="str">
        <f ca="1">IF(H653="Unidade Construtiva",TEXT(A653,"00"),IF(H653="Célula Construtiva",TEXT(B653,"00"),IF(H653="Etapa",CONCATENATE(TEXT(B653,"00"),".",TEXT(C653,"000")),IF(H653="Subetapa",CONCATENATE(TEXT(B653,"00"),".",TEXT(C653,"000"),".",TEXT(D653,"000")),IF(H653="Serviço",CONCATENATE(TEXT(B653,"00"),".",TEXT(C653,"000"),".",TEXT(D653,"000"),".",TEXT(E653,"000")),"")))))</f>
        <v>09.004.001</v>
      </c>
      <c r="J653" s="209" t="s">
        <v>955</v>
      </c>
      <c r="K653" s="210"/>
      <c r="L653" s="455"/>
      <c r="M653" s="455"/>
      <c r="N653" s="285">
        <f t="shared" ca="1" si="161"/>
        <v>4614.74</v>
      </c>
      <c r="O653" s="462"/>
      <c r="P653" s="213"/>
      <c r="Q653" s="35"/>
      <c r="R653" s="35"/>
      <c r="S653" s="35"/>
    </row>
    <row r="654" spans="1:19" s="34" customFormat="1" ht="13.9" hidden="1" customHeight="1" outlineLevel="2" x14ac:dyDescent="0.2">
      <c r="A654" s="457">
        <f ca="1">IF($H654="UNIDADE CONSTRUTIVA",OFFSET(A654,-1,0)+1,LARGE(A$3:A653,1))</f>
        <v>0</v>
      </c>
      <c r="B654" s="457">
        <f t="shared" ca="1" si="154"/>
        <v>9</v>
      </c>
      <c r="C654" s="457">
        <f t="shared" ca="1" si="155"/>
        <v>4</v>
      </c>
      <c r="D654" s="458">
        <f t="shared" ca="1" si="156"/>
        <v>1</v>
      </c>
      <c r="E654" s="458">
        <f t="shared" ca="1" si="157"/>
        <v>1</v>
      </c>
      <c r="G654" s="206"/>
      <c r="H654" s="207" t="s">
        <v>212</v>
      </c>
      <c r="I654" s="208" t="str">
        <f ca="1">IF(H654="Unidade Construtiva",TEXT(A654,"00"),IF(H654="Célula Construtiva",TEXT(B654,"00"),IF(H654="Etapa",CONCATENATE(TEXT(B654,"00"),".",TEXT(C654,"000")),IF(H654="Subetapa",CONCATENATE(TEXT(B654,"00"),".",TEXT(C654,"000"),".",TEXT(D654,"000")),IF(H654="Serviço",CONCATENATE(TEXT(B654,"00"),".",TEXT(C654,"000"),".",TEXT(D654,"000"),".",TEXT(E654,"000")),"")))))</f>
        <v>09.004.001.001</v>
      </c>
      <c r="J654" s="209" t="s">
        <v>955</v>
      </c>
      <c r="K654" s="210" t="s">
        <v>151</v>
      </c>
      <c r="L654" s="455">
        <v>1</v>
      </c>
      <c r="M654" s="455">
        <f>PREVENTIVO!J23</f>
        <v>4614.74</v>
      </c>
      <c r="N654" s="285">
        <f t="shared" si="161"/>
        <v>4614.74</v>
      </c>
      <c r="O654" s="462"/>
      <c r="P654" s="213" t="s">
        <v>518</v>
      </c>
      <c r="Q654" s="35"/>
      <c r="R654" s="35"/>
      <c r="S654" s="35"/>
    </row>
    <row r="655" spans="1:19" s="34" customFormat="1" ht="13.9" hidden="1" customHeight="1" outlineLevel="1" x14ac:dyDescent="0.2">
      <c r="A655" s="457">
        <f ca="1">IF($H655="UNIDADE CONSTRUTIVA",OFFSET(A655,-1,0)+1,LARGE(A$3:A654,1))</f>
        <v>0</v>
      </c>
      <c r="B655" s="457">
        <f t="shared" ca="1" si="154"/>
        <v>9</v>
      </c>
      <c r="C655" s="457">
        <f t="shared" ca="1" si="155"/>
        <v>4</v>
      </c>
      <c r="D655" s="458">
        <f t="shared" ca="1" si="156"/>
        <v>2</v>
      </c>
      <c r="E655" s="458">
        <f t="shared" ca="1" si="157"/>
        <v>0</v>
      </c>
      <c r="G655" s="206"/>
      <c r="H655" s="207" t="s">
        <v>211</v>
      </c>
      <c r="I655" s="208" t="str">
        <f ca="1">IF(H655="Unidade Construtiva",TEXT(A655,"00"),IF(H655="Célula Construtiva",TEXT(B655,"00"),IF(H655="Etapa",CONCATENATE(TEXT(B655,"00"),".",TEXT(C655,"000")),IF(H655="Subetapa",CONCATENATE(TEXT(B655,"00"),".",TEXT(C655,"000"),".",TEXT(D655,"000")),IF(H655="Serviço",CONCATENATE(TEXT(B655,"00"),".",TEXT(C655,"000"),".",TEXT(D655,"000"),".",TEXT(E655,"000")),"")))))</f>
        <v>09.004.002</v>
      </c>
      <c r="J655" s="209" t="s">
        <v>956</v>
      </c>
      <c r="K655" s="210"/>
      <c r="L655" s="455"/>
      <c r="M655" s="455"/>
      <c r="N655" s="285">
        <f t="shared" ca="1" si="161"/>
        <v>13023.162497236939</v>
      </c>
      <c r="O655" s="462"/>
      <c r="P655" s="213"/>
      <c r="Q655" s="35"/>
      <c r="R655" s="35"/>
      <c r="S655" s="35"/>
    </row>
    <row r="656" spans="1:19" s="34" customFormat="1" ht="13.9" hidden="1" customHeight="1" outlineLevel="2" x14ac:dyDescent="0.2">
      <c r="A656" s="457">
        <f ca="1">IF($H656="UNIDADE CONSTRUTIVA",OFFSET(A656,-1,0)+1,LARGE(A$3:A655,1))</f>
        <v>0</v>
      </c>
      <c r="B656" s="457">
        <f t="shared" ca="1" si="154"/>
        <v>9</v>
      </c>
      <c r="C656" s="457">
        <f t="shared" ca="1" si="155"/>
        <v>4</v>
      </c>
      <c r="D656" s="458">
        <f t="shared" ca="1" si="156"/>
        <v>2</v>
      </c>
      <c r="E656" s="458">
        <f t="shared" ca="1" si="157"/>
        <v>1</v>
      </c>
      <c r="G656" s="206"/>
      <c r="H656" s="207" t="s">
        <v>212</v>
      </c>
      <c r="I656" s="208" t="str">
        <f ca="1">IF(H656="Unidade Construtiva",TEXT(A656,"00"),IF(H656="Célula Construtiva",TEXT(B656,"00"),IF(H656="Etapa",CONCATENATE(TEXT(B656,"00"),".",TEXT(C656,"000")),IF(H656="Subetapa",CONCATENATE(TEXT(B656,"00"),".",TEXT(C656,"000"),".",TEXT(D656,"000")),IF(H656="Serviço",CONCATENATE(TEXT(B656,"00"),".",TEXT(C656,"000"),".",TEXT(D656,"000"),".",TEXT(E656,"000")),"")))))</f>
        <v>09.004.002.001</v>
      </c>
      <c r="J656" s="209" t="s">
        <v>957</v>
      </c>
      <c r="K656" s="210" t="s">
        <v>151</v>
      </c>
      <c r="L656" s="455">
        <v>1</v>
      </c>
      <c r="M656" s="455">
        <f>PREVENTIVO!J74</f>
        <v>13023.162497236939</v>
      </c>
      <c r="N656" s="285">
        <f t="shared" si="161"/>
        <v>13023.162497236939</v>
      </c>
      <c r="O656" s="462"/>
      <c r="P656" s="213" t="s">
        <v>518</v>
      </c>
      <c r="Q656" s="35"/>
      <c r="R656" s="35"/>
      <c r="S656" s="35"/>
    </row>
    <row r="657" spans="1:19" s="34" customFormat="1" ht="13.9" hidden="1" customHeight="1" outlineLevel="1" x14ac:dyDescent="0.2">
      <c r="A657" s="457">
        <f ca="1">IF($H657="UNIDADE CONSTRUTIVA",OFFSET(A657,-1,0)+1,LARGE(A$3:A656,1))</f>
        <v>0</v>
      </c>
      <c r="B657" s="457">
        <f t="shared" ca="1" si="154"/>
        <v>9</v>
      </c>
      <c r="C657" s="457">
        <f t="shared" ca="1" si="155"/>
        <v>4</v>
      </c>
      <c r="D657" s="458">
        <f t="shared" ca="1" si="156"/>
        <v>3</v>
      </c>
      <c r="E657" s="458">
        <f t="shared" ca="1" si="157"/>
        <v>0</v>
      </c>
      <c r="G657" s="206"/>
      <c r="H657" s="207" t="s">
        <v>211</v>
      </c>
      <c r="I657" s="208" t="str">
        <f t="shared" ref="I657:I666" ca="1" si="163">IF(H657="Unidade Construtiva",TEXT(A657,"00"),IF(H657="Célula Construtiva",TEXT(B657,"00"),IF(H657="Etapa",CONCATENATE(TEXT(B657,"00"),".",TEXT(C657,"000")),IF(H657="Subetapa",CONCATENATE(TEXT(B657,"00"),".",TEXT(C657,"000"),".",TEXT(D657,"000")),IF(H657="Serviço",CONCATENATE(TEXT(B657,"00"),".",TEXT(C657,"000"),".",TEXT(D657,"000"),".",TEXT(E657,"000")),"")))))</f>
        <v>09.004.003</v>
      </c>
      <c r="J657" s="209" t="s">
        <v>958</v>
      </c>
      <c r="K657" s="210"/>
      <c r="L657" s="455"/>
      <c r="M657" s="455"/>
      <c r="N657" s="285">
        <f t="shared" ca="1" si="161"/>
        <v>5431.0893000000005</v>
      </c>
      <c r="O657" s="462"/>
      <c r="P657" s="213"/>
      <c r="Q657" s="35"/>
      <c r="R657" s="35"/>
      <c r="S657" s="35"/>
    </row>
    <row r="658" spans="1:19" s="34" customFormat="1" ht="13.9" hidden="1" customHeight="1" outlineLevel="2" x14ac:dyDescent="0.2">
      <c r="A658" s="457">
        <f ca="1">IF($H658="UNIDADE CONSTRUTIVA",OFFSET(A658,-1,0)+1,LARGE(A$3:A657,1))</f>
        <v>0</v>
      </c>
      <c r="B658" s="457">
        <f t="shared" ca="1" si="154"/>
        <v>9</v>
      </c>
      <c r="C658" s="457">
        <f t="shared" ca="1" si="155"/>
        <v>4</v>
      </c>
      <c r="D658" s="458">
        <f t="shared" ca="1" si="156"/>
        <v>3</v>
      </c>
      <c r="E658" s="458">
        <f t="shared" ca="1" si="157"/>
        <v>1</v>
      </c>
      <c r="G658" s="206"/>
      <c r="H658" s="207" t="s">
        <v>212</v>
      </c>
      <c r="I658" s="208" t="str">
        <f t="shared" ca="1" si="163"/>
        <v>09.004.003.001</v>
      </c>
      <c r="J658" s="209" t="s">
        <v>547</v>
      </c>
      <c r="K658" s="210" t="s">
        <v>151</v>
      </c>
      <c r="L658" s="455">
        <v>1</v>
      </c>
      <c r="M658" s="455">
        <f>HIDRANTES!L26</f>
        <v>5431.0893000000005</v>
      </c>
      <c r="N658" s="285">
        <f t="shared" si="161"/>
        <v>5431.0893000000005</v>
      </c>
      <c r="O658" s="462"/>
      <c r="P658" s="213" t="s">
        <v>518</v>
      </c>
      <c r="Q658" s="465"/>
      <c r="R658" s="465"/>
      <c r="S658" s="35"/>
    </row>
    <row r="659" spans="1:19" s="34" customFormat="1" ht="13.9" hidden="1" customHeight="1" outlineLevel="1" x14ac:dyDescent="0.2">
      <c r="A659" s="457">
        <f ca="1">IF($H659="UNIDADE CONSTRUTIVA",OFFSET(A659,-1,0)+1,LARGE(A$3:A658,1))</f>
        <v>0</v>
      </c>
      <c r="B659" s="457">
        <f t="shared" ca="1" si="154"/>
        <v>9</v>
      </c>
      <c r="C659" s="457">
        <f t="shared" ca="1" si="155"/>
        <v>4</v>
      </c>
      <c r="D659" s="458">
        <f t="shared" ca="1" si="156"/>
        <v>4</v>
      </c>
      <c r="E659" s="458">
        <f t="shared" ca="1" si="157"/>
        <v>0</v>
      </c>
      <c r="G659" s="206"/>
      <c r="H659" s="207" t="s">
        <v>211</v>
      </c>
      <c r="I659" s="208" t="str">
        <f t="shared" ca="1" si="163"/>
        <v>09.004.004</v>
      </c>
      <c r="J659" s="209" t="s">
        <v>959</v>
      </c>
      <c r="K659" s="210"/>
      <c r="L659" s="455"/>
      <c r="M659" s="455"/>
      <c r="N659" s="285">
        <f t="shared" ca="1" si="161"/>
        <v>19683.308386041135</v>
      </c>
      <c r="O659" s="462"/>
      <c r="P659" s="213"/>
      <c r="Q659" s="35"/>
      <c r="R659" s="35"/>
      <c r="S659" s="35"/>
    </row>
    <row r="660" spans="1:19" s="34" customFormat="1" ht="13.9" hidden="1" customHeight="1" outlineLevel="2" x14ac:dyDescent="0.2">
      <c r="A660" s="457">
        <f ca="1">IF($H660="UNIDADE CONSTRUTIVA",OFFSET(A660,-1,0)+1,LARGE(A$3:A659,1))</f>
        <v>0</v>
      </c>
      <c r="B660" s="457">
        <f t="shared" ca="1" si="154"/>
        <v>9</v>
      </c>
      <c r="C660" s="457">
        <f t="shared" ca="1" si="155"/>
        <v>4</v>
      </c>
      <c r="D660" s="458">
        <f t="shared" ca="1" si="156"/>
        <v>4</v>
      </c>
      <c r="E660" s="458">
        <f t="shared" ca="1" si="157"/>
        <v>1</v>
      </c>
      <c r="G660" s="206"/>
      <c r="H660" s="207" t="s">
        <v>212</v>
      </c>
      <c r="I660" s="208" t="str">
        <f t="shared" ca="1" si="163"/>
        <v>09.004.004.001</v>
      </c>
      <c r="J660" s="209" t="s">
        <v>963</v>
      </c>
      <c r="K660" s="210" t="s">
        <v>151</v>
      </c>
      <c r="L660" s="455">
        <v>1</v>
      </c>
      <c r="M660" s="455">
        <f>SPDA!H17</f>
        <v>19683.308386041135</v>
      </c>
      <c r="N660" s="285">
        <f t="shared" si="161"/>
        <v>19683.308386041135</v>
      </c>
      <c r="O660" s="462"/>
      <c r="P660" s="213" t="s">
        <v>518</v>
      </c>
      <c r="Q660" s="35"/>
      <c r="R660" s="35"/>
      <c r="S660" s="35"/>
    </row>
    <row r="661" spans="1:19" s="34" customFormat="1" ht="13.9" hidden="1" customHeight="1" outlineLevel="1" x14ac:dyDescent="0.2">
      <c r="A661" s="457">
        <f ca="1">IF($H661="UNIDADE CONSTRUTIVA",OFFSET(A661,-1,0)+1,LARGE(A$3:A660,1))</f>
        <v>0</v>
      </c>
      <c r="B661" s="457">
        <f t="shared" ca="1" si="154"/>
        <v>9</v>
      </c>
      <c r="C661" s="457">
        <f t="shared" ca="1" si="155"/>
        <v>4</v>
      </c>
      <c r="D661" s="458">
        <f t="shared" ca="1" si="156"/>
        <v>5</v>
      </c>
      <c r="E661" s="458">
        <f t="shared" ca="1" si="157"/>
        <v>0</v>
      </c>
      <c r="G661" s="206"/>
      <c r="H661" s="207" t="s">
        <v>211</v>
      </c>
      <c r="I661" s="208" t="str">
        <f t="shared" ca="1" si="163"/>
        <v>09.004.005</v>
      </c>
      <c r="J661" s="209" t="s">
        <v>548</v>
      </c>
      <c r="K661" s="210"/>
      <c r="L661" s="455"/>
      <c r="M661" s="455"/>
      <c r="N661" s="285">
        <f t="shared" ca="1" si="161"/>
        <v>74223.567119068917</v>
      </c>
      <c r="O661" s="462"/>
      <c r="P661" s="213"/>
      <c r="Q661" s="35"/>
      <c r="R661" s="35"/>
      <c r="S661" s="35"/>
    </row>
    <row r="662" spans="1:19" s="34" customFormat="1" ht="13.9" hidden="1" customHeight="1" outlineLevel="2" x14ac:dyDescent="0.2">
      <c r="A662" s="457">
        <f ca="1">IF($H662="UNIDADE CONSTRUTIVA",OFFSET(A662,-1,0)+1,LARGE(A$3:A661,1))</f>
        <v>0</v>
      </c>
      <c r="B662" s="457">
        <f t="shared" ca="1" si="154"/>
        <v>9</v>
      </c>
      <c r="C662" s="457">
        <f t="shared" ca="1" si="155"/>
        <v>4</v>
      </c>
      <c r="D662" s="458">
        <f t="shared" ca="1" si="156"/>
        <v>5</v>
      </c>
      <c r="E662" s="458">
        <f t="shared" ca="1" si="157"/>
        <v>1</v>
      </c>
      <c r="G662" s="206"/>
      <c r="H662" s="207" t="s">
        <v>212</v>
      </c>
      <c r="I662" s="208" t="str">
        <f t="shared" ca="1" si="163"/>
        <v>09.004.005.001</v>
      </c>
      <c r="J662" s="209" t="s">
        <v>961</v>
      </c>
      <c r="K662" s="210" t="s">
        <v>151</v>
      </c>
      <c r="L662" s="455">
        <v>1</v>
      </c>
      <c r="M662" s="455">
        <f>GÁS!L60</f>
        <v>74223.567119068917</v>
      </c>
      <c r="N662" s="285">
        <f t="shared" si="161"/>
        <v>74223.567119068917</v>
      </c>
      <c r="O662" s="462"/>
      <c r="P662" s="213" t="s">
        <v>518</v>
      </c>
      <c r="Q662" s="35"/>
      <c r="R662" s="35"/>
      <c r="S662" s="35"/>
    </row>
    <row r="663" spans="1:19" s="34" customFormat="1" ht="13.9" hidden="1" customHeight="1" outlineLevel="1" x14ac:dyDescent="0.2">
      <c r="A663" s="457">
        <f ca="1">IF($H663="UNIDADE CONSTRUTIVA",OFFSET(A663,-1,0)+1,LARGE(A$3:A662,1))</f>
        <v>0</v>
      </c>
      <c r="B663" s="457">
        <f t="shared" ca="1" si="154"/>
        <v>9</v>
      </c>
      <c r="C663" s="457">
        <f t="shared" ca="1" si="155"/>
        <v>4</v>
      </c>
      <c r="D663" s="458">
        <f t="shared" ca="1" si="156"/>
        <v>6</v>
      </c>
      <c r="E663" s="458">
        <f t="shared" ca="1" si="157"/>
        <v>0</v>
      </c>
      <c r="G663" s="206"/>
      <c r="H663" s="207" t="s">
        <v>211</v>
      </c>
      <c r="I663" s="208" t="str">
        <f t="shared" ca="1" si="163"/>
        <v>09.004.006</v>
      </c>
      <c r="J663" s="209" t="s">
        <v>130</v>
      </c>
      <c r="K663" s="210"/>
      <c r="L663" s="455"/>
      <c r="M663" s="455"/>
      <c r="N663" s="285">
        <f t="shared" ca="1" si="161"/>
        <v>110503.11356416711</v>
      </c>
      <c r="O663" s="462"/>
      <c r="P663" s="213"/>
      <c r="Q663" s="35"/>
      <c r="R663" s="35"/>
      <c r="S663" s="35"/>
    </row>
    <row r="664" spans="1:19" s="34" customFormat="1" ht="13.9" hidden="1" customHeight="1" outlineLevel="2" x14ac:dyDescent="0.2">
      <c r="A664" s="457">
        <f ca="1">IF($H664="UNIDADE CONSTRUTIVA",OFFSET(A664,-1,0)+1,LARGE(A$3:A663,1))</f>
        <v>0</v>
      </c>
      <c r="B664" s="457">
        <f t="shared" ca="1" si="154"/>
        <v>9</v>
      </c>
      <c r="C664" s="457">
        <f t="shared" ca="1" si="155"/>
        <v>4</v>
      </c>
      <c r="D664" s="458">
        <f t="shared" ca="1" si="156"/>
        <v>6</v>
      </c>
      <c r="E664" s="458">
        <f t="shared" ca="1" si="157"/>
        <v>1</v>
      </c>
      <c r="G664" s="206"/>
      <c r="H664" s="207" t="s">
        <v>212</v>
      </c>
      <c r="I664" s="208" t="str">
        <f t="shared" ca="1" si="163"/>
        <v>09.004.006.001</v>
      </c>
      <c r="J664" s="209" t="s">
        <v>962</v>
      </c>
      <c r="K664" s="210" t="s">
        <v>151</v>
      </c>
      <c r="L664" s="455">
        <v>1</v>
      </c>
      <c r="M664" s="455">
        <f>'Obra '!E21*8</f>
        <v>56900.480000000003</v>
      </c>
      <c r="N664" s="285">
        <f t="shared" si="161"/>
        <v>56900.480000000003</v>
      </c>
      <c r="O664" s="462"/>
      <c r="P664" s="213" t="s">
        <v>518</v>
      </c>
      <c r="Q664" s="35"/>
      <c r="R664" s="35"/>
      <c r="S664" s="35"/>
    </row>
    <row r="665" spans="1:19" s="34" customFormat="1" ht="13.9" hidden="1" customHeight="1" outlineLevel="2" x14ac:dyDescent="0.2">
      <c r="A665" s="457">
        <f ca="1">IF($H665="UNIDADE CONSTRUTIVA",OFFSET(A665,-1,0)+1,LARGE(A$3:A664,1))</f>
        <v>0</v>
      </c>
      <c r="B665" s="457">
        <f t="shared" ca="1" si="154"/>
        <v>9</v>
      </c>
      <c r="C665" s="457">
        <f t="shared" ca="1" si="155"/>
        <v>4</v>
      </c>
      <c r="D665" s="458">
        <f t="shared" ca="1" si="156"/>
        <v>6</v>
      </c>
      <c r="E665" s="458">
        <f t="shared" ca="1" si="157"/>
        <v>2</v>
      </c>
      <c r="G665" s="206"/>
      <c r="H665" s="207" t="s">
        <v>212</v>
      </c>
      <c r="I665" s="208" t="str">
        <f t="shared" ca="1" si="163"/>
        <v>09.004.006.002</v>
      </c>
      <c r="J665" s="209" t="s">
        <v>549</v>
      </c>
      <c r="K665" s="210" t="s">
        <v>151</v>
      </c>
      <c r="L665" s="455">
        <v>1</v>
      </c>
      <c r="M665" s="455">
        <f>GÁS!L61</f>
        <v>53602.633564167118</v>
      </c>
      <c r="N665" s="285">
        <f t="shared" si="161"/>
        <v>53602.633564167118</v>
      </c>
      <c r="O665" s="462"/>
      <c r="P665" s="213" t="s">
        <v>518</v>
      </c>
      <c r="Q665" s="35"/>
      <c r="R665" s="35"/>
      <c r="S665" s="35"/>
    </row>
    <row r="666" spans="1:19" s="34" customFormat="1" ht="13.9" hidden="1" customHeight="1" outlineLevel="1" x14ac:dyDescent="0.2">
      <c r="A666" s="457">
        <f ca="1">IF($H666="UNIDADE CONSTRUTIVA",OFFSET(A666,-1,0)+1,LARGE(A$3:A665,1))</f>
        <v>0</v>
      </c>
      <c r="B666" s="457">
        <f t="shared" ca="1" si="154"/>
        <v>9</v>
      </c>
      <c r="C666" s="457">
        <f t="shared" ca="1" si="155"/>
        <v>5</v>
      </c>
      <c r="D666" s="458">
        <f t="shared" ca="1" si="156"/>
        <v>0</v>
      </c>
      <c r="E666" s="458">
        <f t="shared" ca="1" si="157"/>
        <v>2</v>
      </c>
      <c r="G666" s="206"/>
      <c r="H666" s="207" t="s">
        <v>210</v>
      </c>
      <c r="I666" s="208" t="str">
        <f t="shared" ca="1" si="163"/>
        <v>09.005</v>
      </c>
      <c r="J666" s="209" t="s">
        <v>967</v>
      </c>
      <c r="K666" s="210"/>
      <c r="L666" s="455"/>
      <c r="M666" s="455"/>
      <c r="N666" s="285">
        <f t="shared" ca="1" si="161"/>
        <v>17217.920462096605</v>
      </c>
      <c r="O666" s="462"/>
      <c r="P666" s="213"/>
      <c r="Q666" s="35"/>
      <c r="R666" s="35"/>
      <c r="S666" s="35"/>
    </row>
    <row r="667" spans="1:19" s="34" customFormat="1" ht="13.9" hidden="1" customHeight="1" outlineLevel="1" x14ac:dyDescent="0.2">
      <c r="A667" s="457">
        <f ca="1">IF($H667="UNIDADE CONSTRUTIVA",OFFSET(A667,-1,0)+1,LARGE(A$3:A666,1))</f>
        <v>0</v>
      </c>
      <c r="B667" s="457">
        <f t="shared" ca="1" si="154"/>
        <v>9</v>
      </c>
      <c r="C667" s="457">
        <f t="shared" ca="1" si="155"/>
        <v>5</v>
      </c>
      <c r="D667" s="458">
        <f t="shared" ca="1" si="156"/>
        <v>1</v>
      </c>
      <c r="E667" s="458">
        <f t="shared" ca="1" si="157"/>
        <v>0</v>
      </c>
      <c r="G667" s="206"/>
      <c r="H667" s="207" t="s">
        <v>211</v>
      </c>
      <c r="I667" s="208" t="str">
        <f t="shared" ref="I667:I684" ca="1" si="164">IF(H667="Unidade Construtiva",TEXT(A667,"00"),IF(H667="Célula Construtiva",TEXT(B667,"00"),IF(H667="Etapa",CONCATENATE(TEXT(B667,"00"),".",TEXT(C667,"000")),IF(H667="Subetapa",CONCATENATE(TEXT(B667,"00"),".",TEXT(C667,"000"),".",TEXT(D667,"000")),IF(H667="Serviço",CONCATENATE(TEXT(B667,"00"),".",TEXT(C667,"000"),".",TEXT(D667,"000"),".",TEXT(E667,"000")),"")))))</f>
        <v>09.005.001</v>
      </c>
      <c r="J667" s="209" t="s">
        <v>955</v>
      </c>
      <c r="K667" s="210"/>
      <c r="L667" s="455"/>
      <c r="M667" s="455"/>
      <c r="N667" s="285">
        <f t="shared" ca="1" si="161"/>
        <v>1014.98</v>
      </c>
      <c r="O667" s="462"/>
      <c r="P667" s="213"/>
      <c r="Q667" s="35"/>
      <c r="R667" s="35"/>
      <c r="S667" s="35"/>
    </row>
    <row r="668" spans="1:19" s="34" customFormat="1" ht="13.9" hidden="1" customHeight="1" outlineLevel="2" x14ac:dyDescent="0.2">
      <c r="A668" s="457">
        <f ca="1">IF($H668="UNIDADE CONSTRUTIVA",OFFSET(A668,-1,0)+1,LARGE(A$3:A667,1))</f>
        <v>0</v>
      </c>
      <c r="B668" s="457">
        <f t="shared" ca="1" si="154"/>
        <v>9</v>
      </c>
      <c r="C668" s="457">
        <f t="shared" ca="1" si="155"/>
        <v>5</v>
      </c>
      <c r="D668" s="458">
        <f t="shared" ca="1" si="156"/>
        <v>1</v>
      </c>
      <c r="E668" s="458">
        <f t="shared" ca="1" si="157"/>
        <v>1</v>
      </c>
      <c r="G668" s="206"/>
      <c r="H668" s="207" t="s">
        <v>212</v>
      </c>
      <c r="I668" s="208" t="str">
        <f t="shared" ca="1" si="164"/>
        <v>09.005.001.001</v>
      </c>
      <c r="J668" s="209" t="s">
        <v>955</v>
      </c>
      <c r="K668" s="210" t="s">
        <v>151</v>
      </c>
      <c r="L668" s="455">
        <v>1</v>
      </c>
      <c r="M668" s="455">
        <f>PREVENTIVO!J26</f>
        <v>1014.98</v>
      </c>
      <c r="N668" s="285">
        <f t="shared" si="161"/>
        <v>1014.98</v>
      </c>
      <c r="O668" s="462"/>
      <c r="P668" s="213" t="s">
        <v>518</v>
      </c>
      <c r="Q668" s="35"/>
      <c r="R668" s="35"/>
      <c r="S668" s="35"/>
    </row>
    <row r="669" spans="1:19" s="34" customFormat="1" ht="13.9" hidden="1" customHeight="1" outlineLevel="1" x14ac:dyDescent="0.2">
      <c r="A669" s="457">
        <f ca="1">IF($H669="UNIDADE CONSTRUTIVA",OFFSET(A669,-1,0)+1,LARGE(A$3:A668,1))</f>
        <v>0</v>
      </c>
      <c r="B669" s="457">
        <f t="shared" ca="1" si="154"/>
        <v>9</v>
      </c>
      <c r="C669" s="457">
        <f t="shared" ca="1" si="155"/>
        <v>5</v>
      </c>
      <c r="D669" s="458">
        <f t="shared" ca="1" si="156"/>
        <v>2</v>
      </c>
      <c r="E669" s="458">
        <f t="shared" ca="1" si="157"/>
        <v>0</v>
      </c>
      <c r="G669" s="206"/>
      <c r="H669" s="207" t="s">
        <v>211</v>
      </c>
      <c r="I669" s="208" t="str">
        <f t="shared" ca="1" si="164"/>
        <v>09.005.002</v>
      </c>
      <c r="J669" s="209" t="s">
        <v>956</v>
      </c>
      <c r="K669" s="210"/>
      <c r="L669" s="455"/>
      <c r="M669" s="455"/>
      <c r="N669" s="285">
        <f t="shared" ca="1" si="161"/>
        <v>2864.3541069368048</v>
      </c>
      <c r="O669" s="462"/>
      <c r="P669" s="213"/>
      <c r="Q669" s="35"/>
      <c r="R669" s="35"/>
      <c r="S669" s="35"/>
    </row>
    <row r="670" spans="1:19" s="34" customFormat="1" ht="13.9" hidden="1" customHeight="1" outlineLevel="2" x14ac:dyDescent="0.2">
      <c r="A670" s="457">
        <f ca="1">IF($H670="UNIDADE CONSTRUTIVA",OFFSET(A670,-1,0)+1,LARGE(A$3:A669,1))</f>
        <v>0</v>
      </c>
      <c r="B670" s="457">
        <f t="shared" ca="1" si="154"/>
        <v>9</v>
      </c>
      <c r="C670" s="457">
        <f t="shared" ca="1" si="155"/>
        <v>5</v>
      </c>
      <c r="D670" s="458">
        <f t="shared" ca="1" si="156"/>
        <v>2</v>
      </c>
      <c r="E670" s="458">
        <f t="shared" ca="1" si="157"/>
        <v>1</v>
      </c>
      <c r="G670" s="206"/>
      <c r="H670" s="207" t="s">
        <v>212</v>
      </c>
      <c r="I670" s="208" t="str">
        <f t="shared" ca="1" si="164"/>
        <v>09.005.002.001</v>
      </c>
      <c r="J670" s="209" t="s">
        <v>957</v>
      </c>
      <c r="K670" s="210" t="s">
        <v>151</v>
      </c>
      <c r="L670" s="455">
        <v>1</v>
      </c>
      <c r="M670" s="455">
        <f>PREVENTIVO!J75</f>
        <v>2864.3541069368048</v>
      </c>
      <c r="N670" s="285">
        <f t="shared" si="161"/>
        <v>2864.3541069368048</v>
      </c>
      <c r="O670" s="462"/>
      <c r="P670" s="213" t="s">
        <v>518</v>
      </c>
      <c r="Q670" s="35"/>
      <c r="R670" s="35"/>
      <c r="S670" s="35"/>
    </row>
    <row r="671" spans="1:19" s="34" customFormat="1" ht="13.9" hidden="1" customHeight="1" outlineLevel="1" x14ac:dyDescent="0.2">
      <c r="A671" s="457">
        <f ca="1">IF($H671="UNIDADE CONSTRUTIVA",OFFSET(A671,-1,0)+1,LARGE(A$3:A670,1))</f>
        <v>0</v>
      </c>
      <c r="B671" s="457">
        <f t="shared" ca="1" si="154"/>
        <v>9</v>
      </c>
      <c r="C671" s="457">
        <f t="shared" ca="1" si="155"/>
        <v>5</v>
      </c>
      <c r="D671" s="458">
        <f t="shared" ca="1" si="156"/>
        <v>3</v>
      </c>
      <c r="E671" s="458">
        <f t="shared" ca="1" si="157"/>
        <v>0</v>
      </c>
      <c r="G671" s="206"/>
      <c r="H671" s="207" t="s">
        <v>211</v>
      </c>
      <c r="I671" s="208" t="str">
        <f t="shared" ca="1" si="164"/>
        <v>09.005.003</v>
      </c>
      <c r="J671" s="209" t="s">
        <v>958</v>
      </c>
      <c r="K671" s="210"/>
      <c r="L671" s="455"/>
      <c r="M671" s="455"/>
      <c r="N671" s="285">
        <f t="shared" ca="1" si="161"/>
        <v>434.30029999999999</v>
      </c>
      <c r="O671" s="462"/>
      <c r="P671" s="213"/>
      <c r="Q671" s="35"/>
      <c r="R671" s="35"/>
      <c r="S671" s="35"/>
    </row>
    <row r="672" spans="1:19" s="34" customFormat="1" ht="13.9" hidden="1" customHeight="1" outlineLevel="2" x14ac:dyDescent="0.2">
      <c r="A672" s="457">
        <f ca="1">IF($H672="UNIDADE CONSTRUTIVA",OFFSET(A672,-1,0)+1,LARGE(A$3:A671,1))</f>
        <v>0</v>
      </c>
      <c r="B672" s="457">
        <f t="shared" ca="1" si="154"/>
        <v>9</v>
      </c>
      <c r="C672" s="457">
        <f t="shared" ca="1" si="155"/>
        <v>5</v>
      </c>
      <c r="D672" s="458">
        <f t="shared" ca="1" si="156"/>
        <v>3</v>
      </c>
      <c r="E672" s="458">
        <f t="shared" ca="1" si="157"/>
        <v>1</v>
      </c>
      <c r="G672" s="206"/>
      <c r="H672" s="207" t="s">
        <v>212</v>
      </c>
      <c r="I672" s="208" t="str">
        <f t="shared" ca="1" si="164"/>
        <v>09.005.003.001</v>
      </c>
      <c r="J672" s="209" t="s">
        <v>547</v>
      </c>
      <c r="K672" s="210" t="s">
        <v>151</v>
      </c>
      <c r="L672" s="455">
        <v>1</v>
      </c>
      <c r="M672" s="455">
        <f>HIDRANTES!L30</f>
        <v>434.30029999999999</v>
      </c>
      <c r="N672" s="285">
        <f t="shared" si="161"/>
        <v>434.30029999999999</v>
      </c>
      <c r="O672" s="462"/>
      <c r="P672" s="213" t="s">
        <v>518</v>
      </c>
      <c r="Q672" s="465"/>
      <c r="R672" s="465"/>
      <c r="S672" s="35"/>
    </row>
    <row r="673" spans="1:19" s="34" customFormat="1" ht="13.9" hidden="1" customHeight="1" outlineLevel="1" x14ac:dyDescent="0.2">
      <c r="A673" s="457">
        <f ca="1">IF($H673="UNIDADE CONSTRUTIVA",OFFSET(A673,-1,0)+1,LARGE(A$3:A672,1))</f>
        <v>0</v>
      </c>
      <c r="B673" s="457">
        <f t="shared" ca="1" si="154"/>
        <v>9</v>
      </c>
      <c r="C673" s="457">
        <f t="shared" ca="1" si="155"/>
        <v>5</v>
      </c>
      <c r="D673" s="458">
        <f t="shared" ca="1" si="156"/>
        <v>4</v>
      </c>
      <c r="E673" s="458">
        <f t="shared" ca="1" si="157"/>
        <v>0</v>
      </c>
      <c r="G673" s="206"/>
      <c r="H673" s="207" t="s">
        <v>211</v>
      </c>
      <c r="I673" s="208" t="str">
        <f t="shared" ca="1" si="164"/>
        <v>09.005.004</v>
      </c>
      <c r="J673" s="209" t="s">
        <v>959</v>
      </c>
      <c r="K673" s="210"/>
      <c r="L673" s="455"/>
      <c r="M673" s="455"/>
      <c r="N673" s="285">
        <f t="shared" ca="1" si="161"/>
        <v>1514.1006450800874</v>
      </c>
      <c r="O673" s="462"/>
      <c r="P673" s="213"/>
      <c r="Q673" s="35"/>
      <c r="R673" s="35"/>
      <c r="S673" s="35"/>
    </row>
    <row r="674" spans="1:19" s="34" customFormat="1" ht="13.9" hidden="1" customHeight="1" outlineLevel="2" x14ac:dyDescent="0.2">
      <c r="A674" s="457">
        <f ca="1">IF($H674="UNIDADE CONSTRUTIVA",OFFSET(A674,-1,0)+1,LARGE(A$3:A673,1))</f>
        <v>0</v>
      </c>
      <c r="B674" s="457">
        <f t="shared" ca="1" si="154"/>
        <v>9</v>
      </c>
      <c r="C674" s="457">
        <f t="shared" ca="1" si="155"/>
        <v>5</v>
      </c>
      <c r="D674" s="458">
        <f t="shared" ca="1" si="156"/>
        <v>4</v>
      </c>
      <c r="E674" s="458">
        <f t="shared" ca="1" si="157"/>
        <v>1</v>
      </c>
      <c r="G674" s="206"/>
      <c r="H674" s="207" t="s">
        <v>212</v>
      </c>
      <c r="I674" s="208" t="str">
        <f t="shared" ca="1" si="164"/>
        <v>09.005.004.001</v>
      </c>
      <c r="J674" s="209" t="s">
        <v>963</v>
      </c>
      <c r="K674" s="210" t="s">
        <v>151</v>
      </c>
      <c r="L674" s="455">
        <v>1</v>
      </c>
      <c r="M674" s="455">
        <f>SPDA!H18</f>
        <v>1514.1006450800874</v>
      </c>
      <c r="N674" s="285">
        <f t="shared" ref="N674:N705" si="165">IF(H674="Serviço",M674*L674,IF(H674="CÉLULA CONSTRUTIVA",SUMIFS($N$8:$N$1765,$B$8:$B$1765,B674,$H$8:$H$1765,"Serviço"),IF(H674="ETAPA",SUMIFS($N$8:$N$1765,$B$8:$B$1765,B674,$C$8:$C$1765,C674,$H$8:$H$1765,"Serviço"),IF(H674="SUBETAPA",SUMIFS($N$8:$N$1765,$B$8:$B$1765,B674,$C$8:$C$1765,C674,$D$8:$D$1765,D674,$H$8:$H$1765,"Serviço"),0))))</f>
        <v>1514.1006450800874</v>
      </c>
      <c r="O674" s="462"/>
      <c r="P674" s="213" t="s">
        <v>518</v>
      </c>
      <c r="Q674" s="35"/>
      <c r="R674" s="35"/>
      <c r="S674" s="35"/>
    </row>
    <row r="675" spans="1:19" s="34" customFormat="1" ht="13.9" hidden="1" customHeight="1" outlineLevel="1" x14ac:dyDescent="0.2">
      <c r="A675" s="457">
        <f ca="1">IF($H675="UNIDADE CONSTRUTIVA",OFFSET(A675,-1,0)+1,LARGE(A$3:A674,1))</f>
        <v>0</v>
      </c>
      <c r="B675" s="457">
        <f t="shared" ca="1" si="154"/>
        <v>9</v>
      </c>
      <c r="C675" s="457">
        <f t="shared" ca="1" si="155"/>
        <v>5</v>
      </c>
      <c r="D675" s="458">
        <f t="shared" ca="1" si="156"/>
        <v>5</v>
      </c>
      <c r="E675" s="458">
        <f t="shared" ca="1" si="157"/>
        <v>0</v>
      </c>
      <c r="G675" s="206"/>
      <c r="H675" s="207" t="s">
        <v>211</v>
      </c>
      <c r="I675" s="208" t="str">
        <f t="shared" ca="1" si="164"/>
        <v>09.005.005</v>
      </c>
      <c r="J675" s="209" t="s">
        <v>548</v>
      </c>
      <c r="K675" s="210"/>
      <c r="L675" s="455"/>
      <c r="M675" s="455"/>
      <c r="N675" s="285">
        <f t="shared" ca="1" si="165"/>
        <v>4072.2997645542882</v>
      </c>
      <c r="O675" s="462"/>
      <c r="P675" s="213"/>
      <c r="Q675" s="35"/>
      <c r="R675" s="35"/>
      <c r="S675" s="35"/>
    </row>
    <row r="676" spans="1:19" s="34" customFormat="1" ht="13.9" hidden="1" customHeight="1" outlineLevel="2" x14ac:dyDescent="0.2">
      <c r="A676" s="457">
        <f ca="1">IF($H676="UNIDADE CONSTRUTIVA",OFFSET(A676,-1,0)+1,LARGE(A$3:A675,1))</f>
        <v>0</v>
      </c>
      <c r="B676" s="457">
        <f t="shared" ca="1" si="154"/>
        <v>9</v>
      </c>
      <c r="C676" s="457">
        <f t="shared" ca="1" si="155"/>
        <v>5</v>
      </c>
      <c r="D676" s="458">
        <f t="shared" ca="1" si="156"/>
        <v>5</v>
      </c>
      <c r="E676" s="458">
        <f t="shared" ca="1" si="157"/>
        <v>1</v>
      </c>
      <c r="G676" s="206"/>
      <c r="H676" s="207" t="s">
        <v>212</v>
      </c>
      <c r="I676" s="208" t="str">
        <f t="shared" ca="1" si="164"/>
        <v>09.005.005.001</v>
      </c>
      <c r="J676" s="209" t="s">
        <v>961</v>
      </c>
      <c r="K676" s="210" t="s">
        <v>151</v>
      </c>
      <c r="L676" s="455">
        <v>1</v>
      </c>
      <c r="M676" s="455">
        <f>GÁS!L76</f>
        <v>4072.2997645542882</v>
      </c>
      <c r="N676" s="285">
        <f t="shared" si="165"/>
        <v>4072.2997645542882</v>
      </c>
      <c r="O676" s="462"/>
      <c r="P676" s="213" t="s">
        <v>518</v>
      </c>
      <c r="Q676" s="35"/>
      <c r="R676" s="35"/>
      <c r="S676" s="35"/>
    </row>
    <row r="677" spans="1:19" s="34" customFormat="1" ht="13.9" hidden="1" customHeight="1" outlineLevel="1" x14ac:dyDescent="0.2">
      <c r="A677" s="457">
        <f ca="1">IF($H677="UNIDADE CONSTRUTIVA",OFFSET(A677,-1,0)+1,LARGE(A$3:A676,1))</f>
        <v>0</v>
      </c>
      <c r="B677" s="457">
        <f t="shared" ca="1" si="154"/>
        <v>9</v>
      </c>
      <c r="C677" s="457">
        <f t="shared" ca="1" si="155"/>
        <v>5</v>
      </c>
      <c r="D677" s="458">
        <f t="shared" ca="1" si="156"/>
        <v>6</v>
      </c>
      <c r="E677" s="458">
        <f t="shared" ca="1" si="157"/>
        <v>0</v>
      </c>
      <c r="G677" s="206"/>
      <c r="H677" s="207" t="s">
        <v>211</v>
      </c>
      <c r="I677" s="208" t="str">
        <f t="shared" ca="1" si="164"/>
        <v>09.005.006</v>
      </c>
      <c r="J677" s="209" t="s">
        <v>130</v>
      </c>
      <c r="K677" s="210"/>
      <c r="L677" s="455"/>
      <c r="M677" s="455"/>
      <c r="N677" s="285">
        <f t="shared" ca="1" si="165"/>
        <v>7317.8856455254263</v>
      </c>
      <c r="O677" s="462"/>
      <c r="P677" s="213"/>
      <c r="Q677" s="35"/>
      <c r="R677" s="35"/>
      <c r="S677" s="35"/>
    </row>
    <row r="678" spans="1:19" s="34" customFormat="1" ht="13.9" hidden="1" customHeight="1" outlineLevel="2" x14ac:dyDescent="0.2">
      <c r="A678" s="457">
        <f ca="1">IF($H678="UNIDADE CONSTRUTIVA",OFFSET(A678,-1,0)+1,LARGE(A$3:A677,1))</f>
        <v>0</v>
      </c>
      <c r="B678" s="457">
        <f t="shared" ca="1" si="154"/>
        <v>9</v>
      </c>
      <c r="C678" s="457">
        <f t="shared" ca="1" si="155"/>
        <v>5</v>
      </c>
      <c r="D678" s="458">
        <f t="shared" ca="1" si="156"/>
        <v>6</v>
      </c>
      <c r="E678" s="458">
        <f t="shared" ca="1" si="157"/>
        <v>1</v>
      </c>
      <c r="G678" s="206"/>
      <c r="H678" s="207" t="s">
        <v>212</v>
      </c>
      <c r="I678" s="208" t="str">
        <f t="shared" ca="1" si="164"/>
        <v>09.005.006.001</v>
      </c>
      <c r="J678" s="209" t="s">
        <v>962</v>
      </c>
      <c r="K678" s="210" t="s">
        <v>151</v>
      </c>
      <c r="L678" s="455">
        <v>1</v>
      </c>
      <c r="M678" s="455">
        <f>'Obra '!E22*8</f>
        <v>4376.96</v>
      </c>
      <c r="N678" s="285">
        <f t="shared" si="165"/>
        <v>4376.96</v>
      </c>
      <c r="O678" s="462"/>
      <c r="P678" s="213" t="s">
        <v>518</v>
      </c>
      <c r="Q678" s="35"/>
      <c r="R678" s="35"/>
      <c r="S678" s="35"/>
    </row>
    <row r="679" spans="1:19" s="34" customFormat="1" ht="13.9" hidden="1" customHeight="1" outlineLevel="2" x14ac:dyDescent="0.2">
      <c r="A679" s="457">
        <f ca="1">IF($H679="UNIDADE CONSTRUTIVA",OFFSET(A679,-1,0)+1,LARGE(A$3:A678,1))</f>
        <v>0</v>
      </c>
      <c r="B679" s="457">
        <f t="shared" ca="1" si="154"/>
        <v>9</v>
      </c>
      <c r="C679" s="457">
        <f t="shared" ca="1" si="155"/>
        <v>5</v>
      </c>
      <c r="D679" s="458">
        <f t="shared" ca="1" si="156"/>
        <v>6</v>
      </c>
      <c r="E679" s="458">
        <f t="shared" ca="1" si="157"/>
        <v>2</v>
      </c>
      <c r="G679" s="206"/>
      <c r="H679" s="207" t="s">
        <v>212</v>
      </c>
      <c r="I679" s="208" t="str">
        <f t="shared" ca="1" si="164"/>
        <v>09.005.006.002</v>
      </c>
      <c r="J679" s="209" t="s">
        <v>549</v>
      </c>
      <c r="K679" s="210" t="s">
        <v>151</v>
      </c>
      <c r="L679" s="455">
        <v>1</v>
      </c>
      <c r="M679" s="455">
        <f>GÁS!L77</f>
        <v>2940.9256455254263</v>
      </c>
      <c r="N679" s="285">
        <f t="shared" si="165"/>
        <v>2940.9256455254263</v>
      </c>
      <c r="O679" s="462"/>
      <c r="P679" s="213" t="s">
        <v>518</v>
      </c>
      <c r="Q679" s="35"/>
      <c r="R679" s="35"/>
      <c r="S679" s="35"/>
    </row>
    <row r="680" spans="1:19" s="34" customFormat="1" ht="13.9" hidden="1" customHeight="1" outlineLevel="1" x14ac:dyDescent="0.2">
      <c r="A680" s="457">
        <f ca="1">IF($H680="UNIDADE CONSTRUTIVA",OFFSET(A680,-1,0)+1,LARGE(A$3:A679,1))</f>
        <v>0</v>
      </c>
      <c r="B680" s="457">
        <f t="shared" ref="B680:B693" ca="1" si="166">IF(H680="UNIDADE CONSTRUTIVA",0,IF(H680="CÉLULA CONSTRUTIVA",OFFSET(B680,-1,0)+1,OFFSET(B680,-1,0)))</f>
        <v>9</v>
      </c>
      <c r="C680" s="457">
        <f t="shared" ref="C680:C693" ca="1" si="167">IF(H680="CÉLULA CONSTRUTIVA",0,IF(H680="ETAPA",OFFSET(C680,-1,0)+1,OFFSET(C680,-1,0)))</f>
        <v>6</v>
      </c>
      <c r="D680" s="458">
        <f t="shared" ref="D680:D693" ca="1" si="168">IF(H680="ETAPA",0,IF(H680="SUBETAPA",OFFSET(D680,-1,0)+1,OFFSET(D680,-1,0)))</f>
        <v>0</v>
      </c>
      <c r="E680" s="458">
        <f t="shared" ref="E680:E693" ca="1" si="169">IF(H680="Subetapa",0,IF(H680="serviço",OFFSET(E680,-1,0)+1,OFFSET(E680,-1,0)))</f>
        <v>2</v>
      </c>
      <c r="G680" s="206"/>
      <c r="H680" s="207" t="s">
        <v>210</v>
      </c>
      <c r="I680" s="208" t="str">
        <f t="shared" ca="1" si="164"/>
        <v>09.006</v>
      </c>
      <c r="J680" s="209" t="s">
        <v>968</v>
      </c>
      <c r="K680" s="210"/>
      <c r="L680" s="455"/>
      <c r="M680" s="455"/>
      <c r="N680" s="285">
        <f t="shared" ca="1" si="165"/>
        <v>15996.24674103309</v>
      </c>
      <c r="O680" s="462"/>
      <c r="P680" s="213"/>
      <c r="Q680" s="35"/>
      <c r="R680" s="35"/>
      <c r="S680" s="35"/>
    </row>
    <row r="681" spans="1:19" s="34" customFormat="1" ht="13.9" hidden="1" customHeight="1" outlineLevel="1" x14ac:dyDescent="0.2">
      <c r="A681" s="457">
        <f ca="1">IF($H681="UNIDADE CONSTRUTIVA",OFFSET(A681,-1,0)+1,LARGE(A$3:A680,1))</f>
        <v>0</v>
      </c>
      <c r="B681" s="457">
        <f t="shared" ca="1" si="166"/>
        <v>9</v>
      </c>
      <c r="C681" s="457">
        <f t="shared" ca="1" si="167"/>
        <v>6</v>
      </c>
      <c r="D681" s="458">
        <f t="shared" ca="1" si="168"/>
        <v>1</v>
      </c>
      <c r="E681" s="458">
        <f t="shared" ca="1" si="169"/>
        <v>0</v>
      </c>
      <c r="G681" s="206"/>
      <c r="H681" s="207" t="s">
        <v>211</v>
      </c>
      <c r="I681" s="208" t="str">
        <f t="shared" ca="1" si="164"/>
        <v>09.006.001</v>
      </c>
      <c r="J681" s="209" t="s">
        <v>955</v>
      </c>
      <c r="K681" s="210"/>
      <c r="L681" s="455"/>
      <c r="M681" s="455"/>
      <c r="N681" s="285">
        <f t="shared" ca="1" si="165"/>
        <v>1014.98</v>
      </c>
      <c r="O681" s="462"/>
      <c r="P681" s="213"/>
      <c r="Q681" s="35"/>
      <c r="R681" s="35"/>
      <c r="S681" s="35"/>
    </row>
    <row r="682" spans="1:19" s="34" customFormat="1" ht="13.9" hidden="1" customHeight="1" outlineLevel="2" x14ac:dyDescent="0.2">
      <c r="A682" s="457">
        <f ca="1">IF($H682="UNIDADE CONSTRUTIVA",OFFSET(A682,-1,0)+1,LARGE(A$3:A681,1))</f>
        <v>0</v>
      </c>
      <c r="B682" s="457">
        <f t="shared" ca="1" si="166"/>
        <v>9</v>
      </c>
      <c r="C682" s="457">
        <f t="shared" ca="1" si="167"/>
        <v>6</v>
      </c>
      <c r="D682" s="458">
        <f t="shared" ca="1" si="168"/>
        <v>1</v>
      </c>
      <c r="E682" s="458">
        <f t="shared" ca="1" si="169"/>
        <v>1</v>
      </c>
      <c r="G682" s="206"/>
      <c r="H682" s="207" t="s">
        <v>212</v>
      </c>
      <c r="I682" s="208" t="str">
        <f t="shared" ca="1" si="164"/>
        <v>09.006.001.001</v>
      </c>
      <c r="J682" s="209" t="s">
        <v>955</v>
      </c>
      <c r="K682" s="210" t="s">
        <v>151</v>
      </c>
      <c r="L682" s="455">
        <v>1</v>
      </c>
      <c r="M682" s="455">
        <f>PREVENTIVO!J29</f>
        <v>1014.98</v>
      </c>
      <c r="N682" s="285">
        <f t="shared" si="165"/>
        <v>1014.98</v>
      </c>
      <c r="O682" s="462"/>
      <c r="P682" s="213" t="s">
        <v>518</v>
      </c>
      <c r="Q682" s="35"/>
      <c r="R682" s="35"/>
      <c r="S682" s="35"/>
    </row>
    <row r="683" spans="1:19" s="34" customFormat="1" ht="13.9" hidden="1" customHeight="1" outlineLevel="1" x14ac:dyDescent="0.2">
      <c r="A683" s="457">
        <f ca="1">IF($H683="UNIDADE CONSTRUTIVA",OFFSET(A683,-1,0)+1,LARGE(A$3:A682,1))</f>
        <v>0</v>
      </c>
      <c r="B683" s="457">
        <f t="shared" ca="1" si="166"/>
        <v>9</v>
      </c>
      <c r="C683" s="457">
        <f t="shared" ca="1" si="167"/>
        <v>6</v>
      </c>
      <c r="D683" s="458">
        <f t="shared" ca="1" si="168"/>
        <v>2</v>
      </c>
      <c r="E683" s="458">
        <f t="shared" ca="1" si="169"/>
        <v>0</v>
      </c>
      <c r="G683" s="206"/>
      <c r="H683" s="207" t="s">
        <v>211</v>
      </c>
      <c r="I683" s="208" t="str">
        <f t="shared" ca="1" si="164"/>
        <v>09.006.002</v>
      </c>
      <c r="J683" s="209" t="s">
        <v>956</v>
      </c>
      <c r="K683" s="210"/>
      <c r="L683" s="455"/>
      <c r="M683" s="455"/>
      <c r="N683" s="285">
        <f t="shared" ca="1" si="165"/>
        <v>2864.3541069368048</v>
      </c>
      <c r="O683" s="462"/>
      <c r="P683" s="213"/>
      <c r="Q683" s="35"/>
      <c r="R683" s="35"/>
      <c r="S683" s="35"/>
    </row>
    <row r="684" spans="1:19" s="34" customFormat="1" ht="13.9" hidden="1" customHeight="1" outlineLevel="2" x14ac:dyDescent="0.2">
      <c r="A684" s="457">
        <f ca="1">IF($H684="UNIDADE CONSTRUTIVA",OFFSET(A684,-1,0)+1,LARGE(A$3:A683,1))</f>
        <v>0</v>
      </c>
      <c r="B684" s="457">
        <f t="shared" ca="1" si="166"/>
        <v>9</v>
      </c>
      <c r="C684" s="457">
        <f t="shared" ca="1" si="167"/>
        <v>6</v>
      </c>
      <c r="D684" s="458">
        <f t="shared" ca="1" si="168"/>
        <v>2</v>
      </c>
      <c r="E684" s="458">
        <f t="shared" ca="1" si="169"/>
        <v>1</v>
      </c>
      <c r="G684" s="206"/>
      <c r="H684" s="207" t="s">
        <v>212</v>
      </c>
      <c r="I684" s="208" t="str">
        <f t="shared" ca="1" si="164"/>
        <v>09.006.002.001</v>
      </c>
      <c r="J684" s="209" t="s">
        <v>957</v>
      </c>
      <c r="K684" s="210" t="s">
        <v>151</v>
      </c>
      <c r="L684" s="455">
        <v>1</v>
      </c>
      <c r="M684" s="455">
        <f>PREVENTIVO!J76</f>
        <v>2864.3541069368048</v>
      </c>
      <c r="N684" s="285">
        <f t="shared" si="165"/>
        <v>2864.3541069368048</v>
      </c>
      <c r="O684" s="462"/>
      <c r="P684" s="213" t="s">
        <v>518</v>
      </c>
      <c r="Q684" s="35"/>
      <c r="R684" s="35"/>
      <c r="S684" s="35"/>
    </row>
    <row r="685" spans="1:19" s="34" customFormat="1" ht="13.9" hidden="1" customHeight="1" outlineLevel="1" x14ac:dyDescent="0.2">
      <c r="A685" s="457">
        <f ca="1">IF($H685="UNIDADE CONSTRUTIVA",OFFSET(A685,-1,0)+1,LARGE(A$3:A684,1))</f>
        <v>0</v>
      </c>
      <c r="B685" s="457">
        <f t="shared" ca="1" si="166"/>
        <v>9</v>
      </c>
      <c r="C685" s="457">
        <f t="shared" ca="1" si="167"/>
        <v>6</v>
      </c>
      <c r="D685" s="458">
        <f t="shared" ca="1" si="168"/>
        <v>3</v>
      </c>
      <c r="E685" s="458">
        <f t="shared" ca="1" si="169"/>
        <v>0</v>
      </c>
      <c r="G685" s="206"/>
      <c r="H685" s="207" t="s">
        <v>211</v>
      </c>
      <c r="I685" s="208" t="str">
        <f t="shared" ref="I685:I693" ca="1" si="170">IF(H685="Unidade Construtiva",TEXT(A685,"00"),IF(H685="Célula Construtiva",TEXT(B685,"00"),IF(H685="Etapa",CONCATENATE(TEXT(B685,"00"),".",TEXT(C685,"000")),IF(H685="Subetapa",CONCATENATE(TEXT(B685,"00"),".",TEXT(C685,"000"),".",TEXT(D685,"000")),IF(H685="Serviço",CONCATENATE(TEXT(B685,"00"),".",TEXT(C685,"000"),".",TEXT(D685,"000"),".",TEXT(E685,"000")),"")))))</f>
        <v>09.006.003</v>
      </c>
      <c r="J685" s="209" t="s">
        <v>958</v>
      </c>
      <c r="K685" s="210"/>
      <c r="L685" s="455"/>
      <c r="M685" s="455"/>
      <c r="N685" s="285">
        <f t="shared" ca="1" si="165"/>
        <v>456.726</v>
      </c>
      <c r="O685" s="462"/>
      <c r="P685" s="213"/>
      <c r="Q685" s="35"/>
      <c r="R685" s="35"/>
      <c r="S685" s="35"/>
    </row>
    <row r="686" spans="1:19" s="34" customFormat="1" ht="13.9" hidden="1" customHeight="1" outlineLevel="2" x14ac:dyDescent="0.2">
      <c r="A686" s="457">
        <f ca="1">IF($H686="UNIDADE CONSTRUTIVA",OFFSET(A686,-1,0)+1,LARGE(A$3:A685,1))</f>
        <v>0</v>
      </c>
      <c r="B686" s="457">
        <f t="shared" ca="1" si="166"/>
        <v>9</v>
      </c>
      <c r="C686" s="457">
        <f t="shared" ca="1" si="167"/>
        <v>6</v>
      </c>
      <c r="D686" s="458">
        <f t="shared" ca="1" si="168"/>
        <v>3</v>
      </c>
      <c r="E686" s="458">
        <f t="shared" ca="1" si="169"/>
        <v>1</v>
      </c>
      <c r="G686" s="206"/>
      <c r="H686" s="207" t="s">
        <v>212</v>
      </c>
      <c r="I686" s="208" t="str">
        <f t="shared" ca="1" si="170"/>
        <v>09.006.003.001</v>
      </c>
      <c r="J686" s="209" t="s">
        <v>547</v>
      </c>
      <c r="K686" s="210" t="s">
        <v>151</v>
      </c>
      <c r="L686" s="455">
        <v>1</v>
      </c>
      <c r="M686" s="455">
        <f>HIDRANTES!L34</f>
        <v>456.726</v>
      </c>
      <c r="N686" s="285">
        <f t="shared" si="165"/>
        <v>456.726</v>
      </c>
      <c r="O686" s="462"/>
      <c r="P686" s="213" t="s">
        <v>518</v>
      </c>
      <c r="Q686" s="465"/>
      <c r="R686" s="465"/>
      <c r="S686" s="35"/>
    </row>
    <row r="687" spans="1:19" s="34" customFormat="1" ht="13.9" hidden="1" customHeight="1" outlineLevel="1" x14ac:dyDescent="0.2">
      <c r="A687" s="457">
        <f ca="1">IF($H687="UNIDADE CONSTRUTIVA",OFFSET(A687,-1,0)+1,LARGE(A$3:A686,1))</f>
        <v>0</v>
      </c>
      <c r="B687" s="457">
        <f t="shared" ca="1" si="166"/>
        <v>9</v>
      </c>
      <c r="C687" s="457">
        <f t="shared" ca="1" si="167"/>
        <v>6</v>
      </c>
      <c r="D687" s="458">
        <f t="shared" ca="1" si="168"/>
        <v>4</v>
      </c>
      <c r="E687" s="458">
        <f t="shared" ca="1" si="169"/>
        <v>0</v>
      </c>
      <c r="G687" s="206"/>
      <c r="H687" s="207" t="s">
        <v>211</v>
      </c>
      <c r="I687" s="208" t="str">
        <f t="shared" ca="1" si="170"/>
        <v>09.006.004</v>
      </c>
      <c r="J687" s="209" t="s">
        <v>959</v>
      </c>
      <c r="K687" s="210"/>
      <c r="L687" s="455"/>
      <c r="M687" s="455"/>
      <c r="N687" s="285">
        <f t="shared" ca="1" si="165"/>
        <v>1289.9134589820871</v>
      </c>
      <c r="O687" s="462"/>
      <c r="P687" s="213"/>
      <c r="Q687" s="35"/>
      <c r="R687" s="35"/>
      <c r="S687" s="35"/>
    </row>
    <row r="688" spans="1:19" s="34" customFormat="1" ht="13.9" hidden="1" customHeight="1" outlineLevel="2" x14ac:dyDescent="0.2">
      <c r="A688" s="457">
        <f ca="1">IF($H688="UNIDADE CONSTRUTIVA",OFFSET(A688,-1,0)+1,LARGE(A$3:A687,1))</f>
        <v>0</v>
      </c>
      <c r="B688" s="457">
        <f t="shared" ca="1" si="166"/>
        <v>9</v>
      </c>
      <c r="C688" s="457">
        <f t="shared" ca="1" si="167"/>
        <v>6</v>
      </c>
      <c r="D688" s="458">
        <f t="shared" ca="1" si="168"/>
        <v>4</v>
      </c>
      <c r="E688" s="458">
        <f t="shared" ca="1" si="169"/>
        <v>1</v>
      </c>
      <c r="G688" s="206"/>
      <c r="H688" s="207" t="s">
        <v>212</v>
      </c>
      <c r="I688" s="208" t="str">
        <f t="shared" ca="1" si="170"/>
        <v>09.006.004.001</v>
      </c>
      <c r="J688" s="209" t="s">
        <v>963</v>
      </c>
      <c r="K688" s="210" t="s">
        <v>151</v>
      </c>
      <c r="L688" s="455">
        <v>1</v>
      </c>
      <c r="M688" s="455">
        <f>SPDA!H19</f>
        <v>1289.9134589820871</v>
      </c>
      <c r="N688" s="285">
        <f t="shared" si="165"/>
        <v>1289.9134589820871</v>
      </c>
      <c r="O688" s="462"/>
      <c r="P688" s="213" t="s">
        <v>518</v>
      </c>
      <c r="Q688" s="35"/>
      <c r="R688" s="35"/>
      <c r="S688" s="35"/>
    </row>
    <row r="689" spans="1:19" s="34" customFormat="1" ht="13.9" hidden="1" customHeight="1" outlineLevel="1" x14ac:dyDescent="0.2">
      <c r="A689" s="457">
        <f ca="1">IF($H689="UNIDADE CONSTRUTIVA",OFFSET(A689,-1,0)+1,LARGE(A$3:A688,1))</f>
        <v>0</v>
      </c>
      <c r="B689" s="457">
        <f t="shared" ca="1" si="166"/>
        <v>9</v>
      </c>
      <c r="C689" s="457">
        <f t="shared" ca="1" si="167"/>
        <v>6</v>
      </c>
      <c r="D689" s="458">
        <f t="shared" ca="1" si="168"/>
        <v>5</v>
      </c>
      <c r="E689" s="458">
        <f t="shared" ca="1" si="169"/>
        <v>0</v>
      </c>
      <c r="G689" s="206"/>
      <c r="H689" s="207" t="s">
        <v>211</v>
      </c>
      <c r="I689" s="208" t="str">
        <f t="shared" ca="1" si="170"/>
        <v>09.006.005</v>
      </c>
      <c r="J689" s="209" t="s">
        <v>548</v>
      </c>
      <c r="K689" s="210"/>
      <c r="L689" s="455"/>
      <c r="M689" s="455"/>
      <c r="N689" s="285">
        <f t="shared" ca="1" si="165"/>
        <v>3856.3916432029509</v>
      </c>
      <c r="O689" s="462"/>
      <c r="P689" s="213"/>
      <c r="Q689" s="35"/>
      <c r="R689" s="35"/>
      <c r="S689" s="35"/>
    </row>
    <row r="690" spans="1:19" s="34" customFormat="1" ht="13.9" hidden="1" customHeight="1" outlineLevel="2" x14ac:dyDescent="0.2">
      <c r="A690" s="457">
        <f ca="1">IF($H690="UNIDADE CONSTRUTIVA",OFFSET(A690,-1,0)+1,LARGE(A$3:A689,1))</f>
        <v>0</v>
      </c>
      <c r="B690" s="457">
        <f t="shared" ca="1" si="166"/>
        <v>9</v>
      </c>
      <c r="C690" s="457">
        <f t="shared" ca="1" si="167"/>
        <v>6</v>
      </c>
      <c r="D690" s="458">
        <f t="shared" ca="1" si="168"/>
        <v>5</v>
      </c>
      <c r="E690" s="458">
        <f t="shared" ca="1" si="169"/>
        <v>1</v>
      </c>
      <c r="G690" s="206"/>
      <c r="H690" s="207" t="s">
        <v>212</v>
      </c>
      <c r="I690" s="208" t="str">
        <f t="shared" ca="1" si="170"/>
        <v>09.006.005.001</v>
      </c>
      <c r="J690" s="209" t="s">
        <v>961</v>
      </c>
      <c r="K690" s="210" t="s">
        <v>151</v>
      </c>
      <c r="L690" s="455">
        <v>1</v>
      </c>
      <c r="M690" s="455">
        <f>GÁS!L92</f>
        <v>3856.3916432029509</v>
      </c>
      <c r="N690" s="285">
        <f t="shared" si="165"/>
        <v>3856.3916432029509</v>
      </c>
      <c r="O690" s="462"/>
      <c r="P690" s="213" t="s">
        <v>518</v>
      </c>
      <c r="Q690" s="35"/>
      <c r="R690" s="35"/>
      <c r="S690" s="35"/>
    </row>
    <row r="691" spans="1:19" s="34" customFormat="1" ht="13.9" hidden="1" customHeight="1" outlineLevel="1" x14ac:dyDescent="0.2">
      <c r="A691" s="457">
        <f ca="1">IF($H691="UNIDADE CONSTRUTIVA",OFFSET(A691,-1,0)+1,LARGE(A$3:A690,1))</f>
        <v>0</v>
      </c>
      <c r="B691" s="457">
        <f t="shared" ca="1" si="166"/>
        <v>9</v>
      </c>
      <c r="C691" s="457">
        <f t="shared" ca="1" si="167"/>
        <v>6</v>
      </c>
      <c r="D691" s="458">
        <f t="shared" ca="1" si="168"/>
        <v>6</v>
      </c>
      <c r="E691" s="458">
        <f t="shared" ca="1" si="169"/>
        <v>0</v>
      </c>
      <c r="G691" s="206"/>
      <c r="H691" s="207" t="s">
        <v>211</v>
      </c>
      <c r="I691" s="208" t="str">
        <f t="shared" ca="1" si="170"/>
        <v>09.006.006</v>
      </c>
      <c r="J691" s="209" t="s">
        <v>130</v>
      </c>
      <c r="K691" s="210"/>
      <c r="L691" s="455"/>
      <c r="M691" s="455"/>
      <c r="N691" s="285">
        <f t="shared" ca="1" si="165"/>
        <v>6513.8815319112455</v>
      </c>
      <c r="O691" s="462"/>
      <c r="P691" s="213"/>
      <c r="Q691" s="35"/>
      <c r="R691" s="35"/>
      <c r="S691" s="35"/>
    </row>
    <row r="692" spans="1:19" s="34" customFormat="1" ht="13.9" hidden="1" customHeight="1" outlineLevel="2" x14ac:dyDescent="0.2">
      <c r="A692" s="457">
        <f ca="1">IF($H692="UNIDADE CONSTRUTIVA",OFFSET(A692,-1,0)+1,LARGE(A$3:A691,1))</f>
        <v>0</v>
      </c>
      <c r="B692" s="457">
        <f t="shared" ca="1" si="166"/>
        <v>9</v>
      </c>
      <c r="C692" s="457">
        <f t="shared" ca="1" si="167"/>
        <v>6</v>
      </c>
      <c r="D692" s="458">
        <f t="shared" ca="1" si="168"/>
        <v>6</v>
      </c>
      <c r="E692" s="458">
        <f t="shared" ca="1" si="169"/>
        <v>1</v>
      </c>
      <c r="G692" s="206"/>
      <c r="H692" s="207" t="s">
        <v>212</v>
      </c>
      <c r="I692" s="208" t="str">
        <f t="shared" ca="1" si="170"/>
        <v>09.006.006.001</v>
      </c>
      <c r="J692" s="209" t="s">
        <v>962</v>
      </c>
      <c r="K692" s="210" t="s">
        <v>151</v>
      </c>
      <c r="L692" s="455">
        <v>1</v>
      </c>
      <c r="M692" s="455">
        <f>'Obra '!E23*8</f>
        <v>3728.88</v>
      </c>
      <c r="N692" s="285">
        <f t="shared" si="165"/>
        <v>3728.88</v>
      </c>
      <c r="O692" s="462"/>
      <c r="P692" s="213" t="s">
        <v>518</v>
      </c>
      <c r="Q692" s="35"/>
      <c r="R692" s="35"/>
      <c r="S692" s="35"/>
    </row>
    <row r="693" spans="1:19" s="34" customFormat="1" ht="13.9" hidden="1" customHeight="1" outlineLevel="2" x14ac:dyDescent="0.2">
      <c r="A693" s="457">
        <f ca="1">IF($H693="UNIDADE CONSTRUTIVA",OFFSET(A693,-1,0)+1,LARGE(A$3:A692,1))</f>
        <v>0</v>
      </c>
      <c r="B693" s="457">
        <f t="shared" ca="1" si="166"/>
        <v>9</v>
      </c>
      <c r="C693" s="457">
        <f t="shared" ca="1" si="167"/>
        <v>6</v>
      </c>
      <c r="D693" s="458">
        <f t="shared" ca="1" si="168"/>
        <v>6</v>
      </c>
      <c r="E693" s="458">
        <f t="shared" ca="1" si="169"/>
        <v>2</v>
      </c>
      <c r="G693" s="206"/>
      <c r="H693" s="207" t="s">
        <v>212</v>
      </c>
      <c r="I693" s="208" t="str">
        <f t="shared" ca="1" si="170"/>
        <v>09.006.006.002</v>
      </c>
      <c r="J693" s="209" t="s">
        <v>549</v>
      </c>
      <c r="K693" s="210" t="s">
        <v>151</v>
      </c>
      <c r="L693" s="455">
        <v>1</v>
      </c>
      <c r="M693" s="455">
        <f>GÁS!L93</f>
        <v>2785.0015319112458</v>
      </c>
      <c r="N693" s="285">
        <f t="shared" si="165"/>
        <v>2785.0015319112458</v>
      </c>
      <c r="O693" s="462"/>
      <c r="P693" s="213" t="s">
        <v>518</v>
      </c>
      <c r="Q693" s="35"/>
      <c r="R693" s="35"/>
      <c r="S693" s="35"/>
    </row>
    <row r="694" spans="1:19" s="34" customFormat="1" ht="13.9" hidden="1" customHeight="1" outlineLevel="1" x14ac:dyDescent="0.2">
      <c r="A694" s="457">
        <f ca="1">IF($H694="UNIDADE CONSTRUTIVA",OFFSET(A694,-1,0)+1,LARGE(A$3:A693,1))</f>
        <v>0</v>
      </c>
      <c r="B694" s="457">
        <f t="shared" ca="1" si="154"/>
        <v>9</v>
      </c>
      <c r="C694" s="457">
        <f t="shared" ca="1" si="155"/>
        <v>7</v>
      </c>
      <c r="D694" s="458">
        <f t="shared" ca="1" si="156"/>
        <v>0</v>
      </c>
      <c r="E694" s="458">
        <f t="shared" ca="1" si="157"/>
        <v>2</v>
      </c>
      <c r="G694" s="206"/>
      <c r="H694" s="207" t="s">
        <v>210</v>
      </c>
      <c r="I694" s="208" t="str">
        <f ca="1">IF(H694="Unidade Construtiva",TEXT(A694,"00"),IF(H694="Célula Construtiva",TEXT(B694,"00"),IF(H694="Etapa",CONCATENATE(TEXT(B694,"00"),".",TEXT(C694,"000")),IF(H694="Subetapa",CONCATENATE(TEXT(B694,"00"),".",TEXT(C694,"000"),".",TEXT(D694,"000")),IF(H694="Serviço",CONCATENATE(TEXT(B694,"00"),".",TEXT(C694,"000"),".",TEXT(D694,"000"),".",TEXT(E694,"000")),"")))))</f>
        <v>09.007</v>
      </c>
      <c r="J694" s="209" t="s">
        <v>964</v>
      </c>
      <c r="K694" s="210"/>
      <c r="L694" s="455"/>
      <c r="M694" s="455"/>
      <c r="N694" s="285">
        <f t="shared" ca="1" si="165"/>
        <v>31017.156606000273</v>
      </c>
      <c r="O694" s="462"/>
      <c r="P694" s="213"/>
      <c r="Q694" s="35"/>
      <c r="R694" s="35"/>
      <c r="S694" s="35"/>
    </row>
    <row r="695" spans="1:19" s="34" customFormat="1" ht="13.9" hidden="1" customHeight="1" outlineLevel="1" x14ac:dyDescent="0.2">
      <c r="A695" s="457">
        <f ca="1">IF($H695="UNIDADE CONSTRUTIVA",OFFSET(A695,-1,0)+1,LARGE(A$3:A694,1))</f>
        <v>0</v>
      </c>
      <c r="B695" s="457">
        <f t="shared" ca="1" si="154"/>
        <v>9</v>
      </c>
      <c r="C695" s="457">
        <f t="shared" ca="1" si="155"/>
        <v>7</v>
      </c>
      <c r="D695" s="458">
        <f t="shared" ca="1" si="156"/>
        <v>1</v>
      </c>
      <c r="E695" s="458">
        <f t="shared" ca="1" si="157"/>
        <v>0</v>
      </c>
      <c r="G695" s="206"/>
      <c r="H695" s="207" t="s">
        <v>211</v>
      </c>
      <c r="I695" s="208" t="str">
        <f ca="1">IF(H695="Unidade Construtiva",TEXT(A695,"00"),IF(H695="Célula Construtiva",TEXT(B695,"00"),IF(H695="Etapa",CONCATENATE(TEXT(B695,"00"),".",TEXT(C695,"000")),IF(H695="Subetapa",CONCATENATE(TEXT(B695,"00"),".",TEXT(C695,"000"),".",TEXT(D695,"000")),IF(H695="Serviço",CONCATENATE(TEXT(B695,"00"),".",TEXT(C695,"000"),".",TEXT(D695,"000"),".",TEXT(E695,"000")),"")))))</f>
        <v>09.007.001</v>
      </c>
      <c r="J695" s="209" t="s">
        <v>955</v>
      </c>
      <c r="K695" s="210"/>
      <c r="L695" s="455"/>
      <c r="M695" s="455"/>
      <c r="N695" s="285">
        <f t="shared" ca="1" si="165"/>
        <v>544.9</v>
      </c>
      <c r="O695" s="462"/>
      <c r="P695" s="213"/>
      <c r="Q695" s="35"/>
      <c r="R695" s="35"/>
      <c r="S695" s="35"/>
    </row>
    <row r="696" spans="1:19" s="34" customFormat="1" ht="13.9" hidden="1" customHeight="1" outlineLevel="2" x14ac:dyDescent="0.2">
      <c r="A696" s="457">
        <f ca="1">IF($H696="UNIDADE CONSTRUTIVA",OFFSET(A696,-1,0)+1,LARGE(A$3:A695,1))</f>
        <v>0</v>
      </c>
      <c r="B696" s="457">
        <f t="shared" ca="1" si="154"/>
        <v>9</v>
      </c>
      <c r="C696" s="457">
        <f t="shared" ca="1" si="155"/>
        <v>7</v>
      </c>
      <c r="D696" s="458">
        <f t="shared" ca="1" si="156"/>
        <v>1</v>
      </c>
      <c r="E696" s="458">
        <f t="shared" ca="1" si="157"/>
        <v>1</v>
      </c>
      <c r="G696" s="206"/>
      <c r="H696" s="207" t="s">
        <v>212</v>
      </c>
      <c r="I696" s="208" t="str">
        <f ca="1">IF(H696="Unidade Construtiva",TEXT(A696,"00"),IF(H696="Célula Construtiva",TEXT(B696,"00"),IF(H696="Etapa",CONCATENATE(TEXT(B696,"00"),".",TEXT(C696,"000")),IF(H696="Subetapa",CONCATENATE(TEXT(B696,"00"),".",TEXT(C696,"000"),".",TEXT(D696,"000")),IF(H696="Serviço",CONCATENATE(TEXT(B696,"00"),".",TEXT(C696,"000"),".",TEXT(D696,"000"),".",TEXT(E696,"000")),"")))))</f>
        <v>09.007.001.001</v>
      </c>
      <c r="J696" s="209" t="s">
        <v>955</v>
      </c>
      <c r="K696" s="210" t="s">
        <v>151</v>
      </c>
      <c r="L696" s="455">
        <v>1</v>
      </c>
      <c r="M696" s="455">
        <f>PREVENTIVO!J31</f>
        <v>544.9</v>
      </c>
      <c r="N696" s="285">
        <f t="shared" si="165"/>
        <v>544.9</v>
      </c>
      <c r="O696" s="462"/>
      <c r="P696" s="213" t="s">
        <v>518</v>
      </c>
      <c r="Q696" s="35"/>
      <c r="R696" s="35"/>
      <c r="S696" s="35"/>
    </row>
    <row r="697" spans="1:19" s="34" customFormat="1" ht="13.9" hidden="1" customHeight="1" outlineLevel="1" x14ac:dyDescent="0.2">
      <c r="A697" s="457">
        <f ca="1">IF($H697="UNIDADE CONSTRUTIVA",OFFSET(A697,-1,0)+1,LARGE(A$3:A696,1))</f>
        <v>0</v>
      </c>
      <c r="B697" s="457">
        <f t="shared" ca="1" si="154"/>
        <v>9</v>
      </c>
      <c r="C697" s="457">
        <f t="shared" ca="1" si="155"/>
        <v>7</v>
      </c>
      <c r="D697" s="458">
        <f t="shared" ca="1" si="156"/>
        <v>2</v>
      </c>
      <c r="E697" s="458">
        <f t="shared" ca="1" si="157"/>
        <v>0</v>
      </c>
      <c r="G697" s="206"/>
      <c r="H697" s="207" t="s">
        <v>211</v>
      </c>
      <c r="I697" s="208" t="str">
        <f ca="1">IF(H697="Unidade Construtiva",TEXT(A697,"00"),IF(H697="Célula Construtiva",TEXT(B697,"00"),IF(H697="Etapa",CONCATENATE(TEXT(B697,"00"),".",TEXT(C697,"000")),IF(H697="Subetapa",CONCATENATE(TEXT(B697,"00"),".",TEXT(C697,"000"),".",TEXT(D697,"000")),IF(H697="Serviço",CONCATENATE(TEXT(B697,"00"),".",TEXT(C697,"000"),".",TEXT(D697,"000"),".",TEXT(E697,"000")),"")))))</f>
        <v>09.007.002</v>
      </c>
      <c r="J697" s="209" t="s">
        <v>956</v>
      </c>
      <c r="K697" s="210"/>
      <c r="L697" s="455"/>
      <c r="M697" s="455"/>
      <c r="N697" s="285">
        <f t="shared" ca="1" si="165"/>
        <v>1537.7510422568571</v>
      </c>
      <c r="O697" s="462"/>
      <c r="P697" s="213"/>
      <c r="Q697" s="35"/>
      <c r="R697" s="35"/>
      <c r="S697" s="35"/>
    </row>
    <row r="698" spans="1:19" s="34" customFormat="1" ht="13.9" hidden="1" customHeight="1" outlineLevel="2" x14ac:dyDescent="0.2">
      <c r="A698" s="457">
        <f ca="1">IF($H698="UNIDADE CONSTRUTIVA",OFFSET(A698,-1,0)+1,LARGE(A$3:A697,1))</f>
        <v>0</v>
      </c>
      <c r="B698" s="457">
        <f t="shared" ca="1" si="154"/>
        <v>9</v>
      </c>
      <c r="C698" s="457">
        <f t="shared" ca="1" si="155"/>
        <v>7</v>
      </c>
      <c r="D698" s="458">
        <f t="shared" ca="1" si="156"/>
        <v>2</v>
      </c>
      <c r="E698" s="458">
        <f t="shared" ca="1" si="157"/>
        <v>1</v>
      </c>
      <c r="G698" s="206"/>
      <c r="H698" s="207" t="s">
        <v>212</v>
      </c>
      <c r="I698" s="208" t="str">
        <f ca="1">IF(H698="Unidade Construtiva",TEXT(A698,"00"),IF(H698="Célula Construtiva",TEXT(B698,"00"),IF(H698="Etapa",CONCATENATE(TEXT(B698,"00"),".",TEXT(C698,"000")),IF(H698="Subetapa",CONCATENATE(TEXT(B698,"00"),".",TEXT(C698,"000"),".",TEXT(D698,"000")),IF(H698="Serviço",CONCATENATE(TEXT(B698,"00"),".",TEXT(C698,"000"),".",TEXT(D698,"000"),".",TEXT(E698,"000")),"")))))</f>
        <v>09.007.002.001</v>
      </c>
      <c r="J698" s="209" t="s">
        <v>957</v>
      </c>
      <c r="K698" s="210" t="s">
        <v>151</v>
      </c>
      <c r="L698" s="455">
        <v>1</v>
      </c>
      <c r="M698" s="455">
        <f>PREVENTIVO!J77</f>
        <v>1537.7510422568571</v>
      </c>
      <c r="N698" s="285">
        <f t="shared" si="165"/>
        <v>1537.7510422568571</v>
      </c>
      <c r="O698" s="462"/>
      <c r="P698" s="213" t="s">
        <v>518</v>
      </c>
      <c r="Q698" s="35"/>
      <c r="R698" s="35"/>
      <c r="S698" s="35"/>
    </row>
    <row r="699" spans="1:19" s="34" customFormat="1" ht="13.9" hidden="1" customHeight="1" outlineLevel="1" x14ac:dyDescent="0.2">
      <c r="A699" s="457">
        <f ca="1">IF($H699="UNIDADE CONSTRUTIVA",OFFSET(A699,-1,0)+1,LARGE(A$3:A698,1))</f>
        <v>0</v>
      </c>
      <c r="B699" s="457">
        <f t="shared" ca="1" si="154"/>
        <v>9</v>
      </c>
      <c r="C699" s="457">
        <f t="shared" ca="1" si="155"/>
        <v>7</v>
      </c>
      <c r="D699" s="458">
        <f t="shared" ca="1" si="156"/>
        <v>3</v>
      </c>
      <c r="E699" s="458">
        <f t="shared" ca="1" si="157"/>
        <v>0</v>
      </c>
      <c r="G699" s="206"/>
      <c r="H699" s="207" t="s">
        <v>211</v>
      </c>
      <c r="I699" s="208" t="str">
        <f t="shared" ref="I699:I707" ca="1" si="171">IF(H699="Unidade Construtiva",TEXT(A699,"00"),IF(H699="Célula Construtiva",TEXT(B699,"00"),IF(H699="Etapa",CONCATENATE(TEXT(B699,"00"),".",TEXT(C699,"000")),IF(H699="Subetapa",CONCATENATE(TEXT(B699,"00"),".",TEXT(C699,"000"),".",TEXT(D699,"000")),IF(H699="Serviço",CONCATENATE(TEXT(B699,"00"),".",TEXT(C699,"000"),".",TEXT(D699,"000"),".",TEXT(E699,"000")),"")))))</f>
        <v>09.007.003</v>
      </c>
      <c r="J699" s="209" t="s">
        <v>958</v>
      </c>
      <c r="K699" s="210"/>
      <c r="L699" s="455"/>
      <c r="M699" s="455"/>
      <c r="N699" s="285">
        <f t="shared" ca="1" si="165"/>
        <v>25057.354299999999</v>
      </c>
      <c r="O699" s="462"/>
      <c r="P699" s="213"/>
      <c r="Q699" s="35"/>
      <c r="R699" s="35"/>
      <c r="S699" s="35"/>
    </row>
    <row r="700" spans="1:19" s="34" customFormat="1" ht="13.9" hidden="1" customHeight="1" outlineLevel="2" x14ac:dyDescent="0.2">
      <c r="A700" s="457">
        <f ca="1">IF($H700="UNIDADE CONSTRUTIVA",OFFSET(A700,-1,0)+1,LARGE(A$3:A699,1))</f>
        <v>0</v>
      </c>
      <c r="B700" s="457">
        <f t="shared" ca="1" si="154"/>
        <v>9</v>
      </c>
      <c r="C700" s="457">
        <f t="shared" ca="1" si="155"/>
        <v>7</v>
      </c>
      <c r="D700" s="458">
        <f t="shared" ca="1" si="156"/>
        <v>3</v>
      </c>
      <c r="E700" s="458">
        <f t="shared" ca="1" si="157"/>
        <v>1</v>
      </c>
      <c r="G700" s="206"/>
      <c r="H700" s="207" t="s">
        <v>212</v>
      </c>
      <c r="I700" s="208" t="str">
        <f t="shared" ca="1" si="171"/>
        <v>09.007.003.001</v>
      </c>
      <c r="J700" s="209" t="s">
        <v>547</v>
      </c>
      <c r="K700" s="210" t="s">
        <v>151</v>
      </c>
      <c r="L700" s="455">
        <v>1</v>
      </c>
      <c r="M700" s="455">
        <f>HIDRANTES!L50</f>
        <v>25057.354299999999</v>
      </c>
      <c r="N700" s="285">
        <f t="shared" si="165"/>
        <v>25057.354299999999</v>
      </c>
      <c r="O700" s="462"/>
      <c r="P700" s="213" t="s">
        <v>518</v>
      </c>
      <c r="Q700" s="465"/>
      <c r="R700" s="465"/>
      <c r="S700" s="35"/>
    </row>
    <row r="701" spans="1:19" s="34" customFormat="1" ht="13.9" hidden="1" customHeight="1" outlineLevel="1" x14ac:dyDescent="0.2">
      <c r="A701" s="457">
        <f ca="1">IF($H701="UNIDADE CONSTRUTIVA",OFFSET(A701,-1,0)+1,LARGE(A$3:A700,1))</f>
        <v>0</v>
      </c>
      <c r="B701" s="457">
        <f t="shared" ca="1" si="154"/>
        <v>9</v>
      </c>
      <c r="C701" s="457">
        <f t="shared" ca="1" si="155"/>
        <v>7</v>
      </c>
      <c r="D701" s="458">
        <f t="shared" ca="1" si="156"/>
        <v>4</v>
      </c>
      <c r="E701" s="458">
        <f t="shared" ca="1" si="157"/>
        <v>0</v>
      </c>
      <c r="G701" s="206"/>
      <c r="H701" s="207" t="s">
        <v>211</v>
      </c>
      <c r="I701" s="208" t="str">
        <f t="shared" ca="1" si="171"/>
        <v>09.007.004</v>
      </c>
      <c r="J701" s="209" t="s">
        <v>959</v>
      </c>
      <c r="K701" s="210"/>
      <c r="L701" s="455"/>
      <c r="M701" s="455"/>
      <c r="N701" s="285">
        <f t="shared" ca="1" si="165"/>
        <v>851.4740577537674</v>
      </c>
      <c r="O701" s="462"/>
      <c r="P701" s="213"/>
      <c r="Q701" s="35"/>
      <c r="R701" s="35"/>
      <c r="S701" s="35"/>
    </row>
    <row r="702" spans="1:19" s="34" customFormat="1" ht="13.9" hidden="1" customHeight="1" outlineLevel="2" x14ac:dyDescent="0.2">
      <c r="A702" s="457">
        <f ca="1">IF($H702="UNIDADE CONSTRUTIVA",OFFSET(A702,-1,0)+1,LARGE(A$3:A701,1))</f>
        <v>0</v>
      </c>
      <c r="B702" s="457">
        <f t="shared" ca="1" si="154"/>
        <v>9</v>
      </c>
      <c r="C702" s="457">
        <f t="shared" ca="1" si="155"/>
        <v>7</v>
      </c>
      <c r="D702" s="458">
        <f t="shared" ca="1" si="156"/>
        <v>4</v>
      </c>
      <c r="E702" s="458">
        <f t="shared" ca="1" si="157"/>
        <v>1</v>
      </c>
      <c r="G702" s="206"/>
      <c r="H702" s="207" t="s">
        <v>212</v>
      </c>
      <c r="I702" s="208" t="str">
        <f t="shared" ca="1" si="171"/>
        <v>09.007.004.001</v>
      </c>
      <c r="J702" s="209" t="s">
        <v>963</v>
      </c>
      <c r="K702" s="210" t="s">
        <v>151</v>
      </c>
      <c r="L702" s="455">
        <v>1</v>
      </c>
      <c r="M702" s="455">
        <f>SPDA!H20</f>
        <v>851.4740577537674</v>
      </c>
      <c r="N702" s="285">
        <f t="shared" si="165"/>
        <v>851.4740577537674</v>
      </c>
      <c r="O702" s="462"/>
      <c r="P702" s="213" t="s">
        <v>518</v>
      </c>
      <c r="Q702" s="35"/>
      <c r="R702" s="35"/>
      <c r="S702" s="35"/>
    </row>
    <row r="703" spans="1:19" s="34" customFormat="1" ht="13.9" hidden="1" customHeight="1" outlineLevel="1" x14ac:dyDescent="0.2">
      <c r="A703" s="457">
        <f ca="1">IF($H703="UNIDADE CONSTRUTIVA",OFFSET(A703,-1,0)+1,LARGE(A$3:A702,1))</f>
        <v>0</v>
      </c>
      <c r="B703" s="457">
        <f t="shared" ca="1" si="154"/>
        <v>9</v>
      </c>
      <c r="C703" s="457">
        <f t="shared" ca="1" si="155"/>
        <v>7</v>
      </c>
      <c r="D703" s="458">
        <f t="shared" ca="1" si="156"/>
        <v>5</v>
      </c>
      <c r="E703" s="458">
        <f t="shared" ca="1" si="157"/>
        <v>0</v>
      </c>
      <c r="G703" s="206"/>
      <c r="H703" s="207" t="s">
        <v>211</v>
      </c>
      <c r="I703" s="208" t="str">
        <f t="shared" ca="1" si="171"/>
        <v>09.007.005</v>
      </c>
      <c r="J703" s="209" t="s">
        <v>548</v>
      </c>
      <c r="K703" s="210"/>
      <c r="L703" s="455"/>
      <c r="M703" s="455"/>
      <c r="N703" s="285">
        <f t="shared" ca="1" si="165"/>
        <v>327.63</v>
      </c>
      <c r="O703" s="462"/>
      <c r="P703" s="213"/>
      <c r="Q703" s="35"/>
      <c r="R703" s="35"/>
      <c r="S703" s="35"/>
    </row>
    <row r="704" spans="1:19" s="34" customFormat="1" ht="13.9" hidden="1" customHeight="1" outlineLevel="2" x14ac:dyDescent="0.2">
      <c r="A704" s="457">
        <f ca="1">IF($H704="UNIDADE CONSTRUTIVA",OFFSET(A704,-1,0)+1,LARGE(A$3:A703,1))</f>
        <v>0</v>
      </c>
      <c r="B704" s="457">
        <f t="shared" ca="1" si="154"/>
        <v>9</v>
      </c>
      <c r="C704" s="457">
        <f t="shared" ca="1" si="155"/>
        <v>7</v>
      </c>
      <c r="D704" s="458">
        <f t="shared" ca="1" si="156"/>
        <v>5</v>
      </c>
      <c r="E704" s="458">
        <f t="shared" ca="1" si="157"/>
        <v>1</v>
      </c>
      <c r="G704" s="206"/>
      <c r="H704" s="207" t="s">
        <v>212</v>
      </c>
      <c r="I704" s="208" t="str">
        <f t="shared" ca="1" si="171"/>
        <v>09.007.005.001</v>
      </c>
      <c r="J704" s="209" t="s">
        <v>961</v>
      </c>
      <c r="K704" s="210" t="s">
        <v>151</v>
      </c>
      <c r="L704" s="455">
        <v>1</v>
      </c>
      <c r="M704" s="455">
        <f>GÁS!L95</f>
        <v>327.63</v>
      </c>
      <c r="N704" s="285">
        <f t="shared" si="165"/>
        <v>327.63</v>
      </c>
      <c r="O704" s="462"/>
      <c r="P704" s="213" t="s">
        <v>518</v>
      </c>
      <c r="Q704" s="35"/>
      <c r="R704" s="35"/>
      <c r="S704" s="35"/>
    </row>
    <row r="705" spans="1:19" s="34" customFormat="1" ht="13.9" hidden="1" customHeight="1" outlineLevel="1" x14ac:dyDescent="0.2">
      <c r="A705" s="457">
        <f ca="1">IF($H705="UNIDADE CONSTRUTIVA",OFFSET(A705,-1,0)+1,LARGE(A$3:A702,1))</f>
        <v>0</v>
      </c>
      <c r="B705" s="457">
        <f t="shared" ca="1" si="154"/>
        <v>9</v>
      </c>
      <c r="C705" s="457">
        <f t="shared" ca="1" si="155"/>
        <v>7</v>
      </c>
      <c r="D705" s="458">
        <f t="shared" ca="1" si="156"/>
        <v>6</v>
      </c>
      <c r="E705" s="458">
        <f t="shared" ca="1" si="157"/>
        <v>0</v>
      </c>
      <c r="G705" s="206"/>
      <c r="H705" s="207" t="s">
        <v>211</v>
      </c>
      <c r="I705" s="208" t="str">
        <f t="shared" ca="1" si="171"/>
        <v>09.007.006</v>
      </c>
      <c r="J705" s="209" t="s">
        <v>130</v>
      </c>
      <c r="K705" s="210"/>
      <c r="L705" s="455"/>
      <c r="M705" s="455"/>
      <c r="N705" s="285">
        <f t="shared" ca="1" si="165"/>
        <v>2698.0472059896492</v>
      </c>
      <c r="O705" s="462"/>
      <c r="P705" s="213"/>
      <c r="Q705" s="35"/>
      <c r="R705" s="35"/>
      <c r="S705" s="35"/>
    </row>
    <row r="706" spans="1:19" s="34" customFormat="1" ht="13.9" hidden="1" customHeight="1" outlineLevel="2" x14ac:dyDescent="0.2">
      <c r="A706" s="457">
        <f ca="1">IF($H706="UNIDADE CONSTRUTIVA",OFFSET(A706,-1,0)+1,LARGE(A$3:A705,1))</f>
        <v>0</v>
      </c>
      <c r="B706" s="457">
        <f t="shared" ca="1" si="154"/>
        <v>9</v>
      </c>
      <c r="C706" s="457">
        <f t="shared" ca="1" si="155"/>
        <v>7</v>
      </c>
      <c r="D706" s="458">
        <f t="shared" ca="1" si="156"/>
        <v>6</v>
      </c>
      <c r="E706" s="458">
        <f t="shared" ca="1" si="157"/>
        <v>1</v>
      </c>
      <c r="G706" s="206"/>
      <c r="H706" s="207" t="s">
        <v>212</v>
      </c>
      <c r="I706" s="208" t="str">
        <f t="shared" ca="1" si="171"/>
        <v>09.007.006.001</v>
      </c>
      <c r="J706" s="209" t="s">
        <v>962</v>
      </c>
      <c r="K706" s="210" t="s">
        <v>151</v>
      </c>
      <c r="L706" s="455">
        <v>1</v>
      </c>
      <c r="M706" s="455">
        <f>('Obra '!E24+'Obra '!E25)*8</f>
        <v>2461.44</v>
      </c>
      <c r="N706" s="285">
        <f t="shared" ref="N706:N707" si="172">IF(H706="Serviço",M706*L706,IF(H706="CÉLULA CONSTRUTIVA",SUMIFS($N$8:$N$1765,$B$8:$B$1765,B706,$H$8:$H$1765,"Serviço"),IF(H706="ETAPA",SUMIFS($N$8:$N$1765,$B$8:$B$1765,B706,$C$8:$C$1765,C706,$H$8:$H$1765,"Serviço"),IF(H706="SUBETAPA",SUMIFS($N$8:$N$1765,$B$8:$B$1765,B706,$C$8:$C$1765,C706,$D$8:$D$1765,D706,$H$8:$H$1765,"Serviço"),0))))</f>
        <v>2461.44</v>
      </c>
      <c r="O706" s="462"/>
      <c r="P706" s="213" t="s">
        <v>518</v>
      </c>
      <c r="Q706" s="35"/>
      <c r="R706" s="35"/>
      <c r="S706" s="35"/>
    </row>
    <row r="707" spans="1:19" s="34" customFormat="1" ht="13.9" hidden="1" customHeight="1" outlineLevel="2" x14ac:dyDescent="0.2">
      <c r="A707" s="457">
        <f ca="1">IF($H707="UNIDADE CONSTRUTIVA",OFFSET(A707,-1,0)+1,LARGE(A$3:A706,1))</f>
        <v>0</v>
      </c>
      <c r="B707" s="457">
        <f t="shared" ca="1" si="154"/>
        <v>9</v>
      </c>
      <c r="C707" s="457">
        <f t="shared" ca="1" si="155"/>
        <v>7</v>
      </c>
      <c r="D707" s="458">
        <f t="shared" ca="1" si="156"/>
        <v>6</v>
      </c>
      <c r="E707" s="458">
        <f t="shared" ca="1" si="157"/>
        <v>2</v>
      </c>
      <c r="G707" s="206"/>
      <c r="H707" s="207" t="s">
        <v>212</v>
      </c>
      <c r="I707" s="208" t="str">
        <f t="shared" ca="1" si="171"/>
        <v>09.007.006.002</v>
      </c>
      <c r="J707" s="209" t="s">
        <v>549</v>
      </c>
      <c r="K707" s="210" t="s">
        <v>151</v>
      </c>
      <c r="L707" s="455">
        <v>1</v>
      </c>
      <c r="M707" s="455">
        <f>GÁS!L96</f>
        <v>236.60720598964895</v>
      </c>
      <c r="N707" s="285">
        <f t="shared" si="172"/>
        <v>236.60720598964895</v>
      </c>
      <c r="O707" s="462"/>
      <c r="P707" s="213" t="s">
        <v>518</v>
      </c>
      <c r="Q707" s="35"/>
      <c r="R707" s="35"/>
      <c r="S707" s="35"/>
    </row>
    <row r="708" spans="1:19" s="34" customFormat="1" ht="13.9" customHeight="1" collapsed="1" x14ac:dyDescent="0.2">
      <c r="A708" s="457">
        <f ca="1">IF($H708="UNIDADE CONSTRUTIVA",OFFSET(A708,-1,0)+1,LARGE(A$3:A706,1))</f>
        <v>0</v>
      </c>
      <c r="B708" s="457">
        <f t="shared" ca="1" si="154"/>
        <v>10</v>
      </c>
      <c r="C708" s="457">
        <f t="shared" ca="1" si="155"/>
        <v>0</v>
      </c>
      <c r="D708" s="458">
        <f t="shared" ca="1" si="156"/>
        <v>6</v>
      </c>
      <c r="E708" s="458">
        <f t="shared" ca="1" si="157"/>
        <v>2</v>
      </c>
      <c r="G708" s="206"/>
      <c r="H708" s="207" t="s">
        <v>209</v>
      </c>
      <c r="I708" s="208" t="str">
        <f t="shared" ref="I708:I713" ca="1" si="173">IF(H708="Unidade Construtiva",TEXT(A708,"00"),IF(H708="Célula Construtiva",TEXT(B708,"00"),IF(H708="Etapa",CONCATENATE(TEXT(B708,"00"),".",TEXT(C708,"000")),IF(H708="Subetapa",CONCATENATE(TEXT(B708,"00"),".",TEXT(C708,"000"),".",TEXT(D708,"000")),IF(H708="Serviço",CONCATENATE(TEXT(B708,"00"),".",TEXT(C708,"000"),".",TEXT(D708,"000"),".",TEXT(E708,"000")),"")))))</f>
        <v>10</v>
      </c>
      <c r="J708" s="209" t="s">
        <v>182</v>
      </c>
      <c r="K708" s="210"/>
      <c r="L708" s="455"/>
      <c r="M708" s="455"/>
      <c r="N708" s="285">
        <f t="shared" ref="N708:N720" ca="1" si="174">IF(H708="Serviço",M708*L708,IF(H708="CÉLULA CONSTRUTIVA",SUMIFS($N$8:$N$1393,$B$8:$B$1393,B708,$H$8:$H$1393,"Serviço"),IF(H708="ETAPA",SUMIFS($N$8:$N$1393,$B$8:$B$1393,B708,$C$8:$C$1393,C708,$H$8:$H$1393,"Serviço"),IF(H708="SUBETAPA",SUMIFS($N$8:$N$1393,$B$8:$B$1393,B708,$C$8:$C$1393,C708,$D$8:$D$1393,D708,$H$8:$H$1393,"Serviço"),0))))</f>
        <v>1274485.5546274062</v>
      </c>
      <c r="O708" s="462"/>
      <c r="P708" s="213"/>
      <c r="Q708" s="463"/>
      <c r="R708" s="463"/>
      <c r="S708" s="35"/>
    </row>
    <row r="709" spans="1:19" s="34" customFormat="1" ht="13.9" hidden="1" customHeight="1" outlineLevel="1" x14ac:dyDescent="0.2">
      <c r="A709" s="457">
        <f ca="1">IF($H709="UNIDADE CONSTRUTIVA",OFFSET(A709,-1,0)+1,LARGE(A$3:A708,1))</f>
        <v>0</v>
      </c>
      <c r="B709" s="457">
        <f t="shared" ca="1" si="154"/>
        <v>10</v>
      </c>
      <c r="C709" s="457">
        <f t="shared" ca="1" si="155"/>
        <v>1</v>
      </c>
      <c r="D709" s="458">
        <f t="shared" ca="1" si="156"/>
        <v>0</v>
      </c>
      <c r="E709" s="458">
        <f t="shared" ca="1" si="157"/>
        <v>2</v>
      </c>
      <c r="G709" s="206"/>
      <c r="H709" s="207" t="s">
        <v>210</v>
      </c>
      <c r="I709" s="208" t="str">
        <f t="shared" ca="1" si="173"/>
        <v>10.001</v>
      </c>
      <c r="J709" s="209" t="s">
        <v>182</v>
      </c>
      <c r="K709" s="210"/>
      <c r="L709" s="455"/>
      <c r="M709" s="455"/>
      <c r="N709" s="285">
        <f t="shared" ca="1" si="174"/>
        <v>1274485.5546274062</v>
      </c>
      <c r="O709" s="462"/>
      <c r="P709" s="213"/>
      <c r="Q709" s="35"/>
      <c r="R709" s="35"/>
      <c r="S709" s="35"/>
    </row>
    <row r="710" spans="1:19" s="34" customFormat="1" ht="13.9" hidden="1" customHeight="1" outlineLevel="1" x14ac:dyDescent="0.2">
      <c r="A710" s="457">
        <f ca="1">IF($H710="UNIDADE CONSTRUTIVA",OFFSET(A710,-1,0)+1,LARGE(A$3:A709,1))</f>
        <v>0</v>
      </c>
      <c r="B710" s="457">
        <f t="shared" ca="1" si="154"/>
        <v>10</v>
      </c>
      <c r="C710" s="457">
        <f t="shared" ca="1" si="155"/>
        <v>1</v>
      </c>
      <c r="D710" s="458">
        <f t="shared" ca="1" si="156"/>
        <v>1</v>
      </c>
      <c r="E710" s="458">
        <f t="shared" ca="1" si="157"/>
        <v>0</v>
      </c>
      <c r="G710" s="206"/>
      <c r="H710" s="207" t="s">
        <v>211</v>
      </c>
      <c r="I710" s="208" t="str">
        <f t="shared" ca="1" si="173"/>
        <v>10.001.001</v>
      </c>
      <c r="J710" s="209" t="s">
        <v>551</v>
      </c>
      <c r="K710" s="210"/>
      <c r="L710" s="455"/>
      <c r="M710" s="455"/>
      <c r="N710" s="285">
        <f t="shared" ca="1" si="174"/>
        <v>277929.50462740619</v>
      </c>
      <c r="O710" s="462"/>
      <c r="P710" s="213"/>
      <c r="Q710" s="35"/>
      <c r="R710" s="35"/>
      <c r="S710" s="35"/>
    </row>
    <row r="711" spans="1:19" s="34" customFormat="1" ht="13.9" hidden="1" customHeight="1" outlineLevel="2" x14ac:dyDescent="0.2">
      <c r="A711" s="457">
        <f ca="1">IF($H711="UNIDADE CONSTRUTIVA",OFFSET(A711,-1,0)+1,LARGE(A$3:A710,1))</f>
        <v>0</v>
      </c>
      <c r="B711" s="457">
        <f t="shared" ca="1" si="154"/>
        <v>10</v>
      </c>
      <c r="C711" s="457">
        <f t="shared" ca="1" si="155"/>
        <v>1</v>
      </c>
      <c r="D711" s="458">
        <f t="shared" ca="1" si="156"/>
        <v>1</v>
      </c>
      <c r="E711" s="458">
        <f t="shared" ca="1" si="157"/>
        <v>1</v>
      </c>
      <c r="G711" s="1000"/>
      <c r="H711" s="1001" t="s">
        <v>212</v>
      </c>
      <c r="I711" s="1002" t="str">
        <f t="shared" ca="1" si="173"/>
        <v>10.001.001.001</v>
      </c>
      <c r="J711" s="1003" t="s">
        <v>183</v>
      </c>
      <c r="K711" s="1004" t="s">
        <v>151</v>
      </c>
      <c r="L711" s="1009">
        <v>1</v>
      </c>
      <c r="M711" s="1009">
        <f>PISCINA!F25+PISCINA!F45+PISCINA!F63</f>
        <v>91941.26999999999</v>
      </c>
      <c r="N711" s="1006">
        <f t="shared" si="174"/>
        <v>91941.26999999999</v>
      </c>
      <c r="O711" s="1010" t="s">
        <v>5074</v>
      </c>
      <c r="P711" s="213" t="s">
        <v>518</v>
      </c>
      <c r="Q711" s="35"/>
      <c r="R711" s="35"/>
      <c r="S711" s="35"/>
    </row>
    <row r="712" spans="1:19" s="34" customFormat="1" ht="13.9" hidden="1" customHeight="1" outlineLevel="2" x14ac:dyDescent="0.2">
      <c r="A712" s="457">
        <f ca="1">IF($H712="UNIDADE CONSTRUTIVA",OFFSET(A712,-1,0)+1,LARGE(A$3:A711,1))</f>
        <v>0</v>
      </c>
      <c r="B712" s="457">
        <f ca="1">IF(H712="UNIDADE CONSTRUTIVA",0,IF(H712="CÉLULA CONSTRUTIVA",OFFSET(B712,-1,0)+1,OFFSET(B712,-1,0)))</f>
        <v>10</v>
      </c>
      <c r="C712" s="457">
        <f ca="1">IF(H712="CÉLULA CONSTRUTIVA",0,IF(H712="ETAPA",OFFSET(C712,-1,0)+1,OFFSET(C712,-1,0)))</f>
        <v>1</v>
      </c>
      <c r="D712" s="458">
        <f ca="1">IF(H712="ETAPA",0,IF(H712="SUBETAPA",OFFSET(D712,-1,0)+1,OFFSET(D712,-1,0)))</f>
        <v>1</v>
      </c>
      <c r="E712" s="458">
        <f ca="1">IF(H712="Subetapa",0,IF(H712="serviço",OFFSET(E712,-1,0)+1,OFFSET(E712,-1,0)))</f>
        <v>2</v>
      </c>
      <c r="G712" s="1000"/>
      <c r="H712" s="1001" t="s">
        <v>212</v>
      </c>
      <c r="I712" s="1002" t="str">
        <f ca="1">IF(H712="Unidade Construtiva",TEXT(A712,"00"),IF(H712="Célula Construtiva",TEXT(B712,"00"),IF(H712="Etapa",CONCATENATE(TEXT(B712,"00"),".",TEXT(C712,"000")),IF(H712="Subetapa",CONCATENATE(TEXT(B712,"00"),".",TEXT(C712,"000"),".",TEXT(D712,"000")),IF(H712="Serviço",CONCATENATE(TEXT(B712,"00"),".",TEXT(C712,"000"),".",TEXT(D712,"000"),".",TEXT(E712,"000")),"")))))</f>
        <v>10.001.001.002</v>
      </c>
      <c r="J712" s="1003" t="s">
        <v>5102</v>
      </c>
      <c r="K712" s="1004" t="s">
        <v>151</v>
      </c>
      <c r="L712" s="1009">
        <v>1</v>
      </c>
      <c r="M712" s="1009">
        <f>80000/21215.27*'Obra '!E9</f>
        <v>49733.046055977604</v>
      </c>
      <c r="N712" s="1006">
        <f t="shared" si="174"/>
        <v>49733.046055977604</v>
      </c>
      <c r="O712" s="1010" t="s">
        <v>5063</v>
      </c>
      <c r="P712" s="213" t="s">
        <v>518</v>
      </c>
      <c r="Q712" s="35"/>
      <c r="R712" s="35"/>
      <c r="S712" s="35"/>
    </row>
    <row r="713" spans="1:19" s="34" customFormat="1" ht="13.9" hidden="1" customHeight="1" outlineLevel="2" x14ac:dyDescent="0.2">
      <c r="A713" s="457">
        <f ca="1">IF($H713="UNIDADE CONSTRUTIVA",OFFSET(A713,-1,0)+1,LARGE(A$3:A712,1))</f>
        <v>0</v>
      </c>
      <c r="B713" s="457">
        <f t="shared" ca="1" si="154"/>
        <v>10</v>
      </c>
      <c r="C713" s="457">
        <f t="shared" ca="1" si="155"/>
        <v>1</v>
      </c>
      <c r="D713" s="458">
        <f t="shared" ca="1" si="156"/>
        <v>1</v>
      </c>
      <c r="E713" s="458">
        <f t="shared" ca="1" si="157"/>
        <v>3</v>
      </c>
      <c r="G713" s="206"/>
      <c r="H713" s="207" t="s">
        <v>212</v>
      </c>
      <c r="I713" s="208" t="str">
        <f t="shared" ca="1" si="173"/>
        <v>10.001.001.003</v>
      </c>
      <c r="J713" s="209" t="s">
        <v>1243</v>
      </c>
      <c r="K713" s="210" t="s">
        <v>151</v>
      </c>
      <c r="L713" s="455">
        <v>1</v>
      </c>
      <c r="M713" s="455">
        <v>48454</v>
      </c>
      <c r="N713" s="285">
        <f t="shared" si="174"/>
        <v>48454</v>
      </c>
      <c r="O713" s="462"/>
      <c r="P713" s="213" t="s">
        <v>518</v>
      </c>
      <c r="Q713" s="35"/>
      <c r="R713" s="35"/>
      <c r="S713" s="35"/>
    </row>
    <row r="714" spans="1:19" s="34" customFormat="1" ht="13.9" hidden="1" customHeight="1" outlineLevel="2" x14ac:dyDescent="0.2">
      <c r="A714" s="457">
        <f ca="1">IF($H714="UNIDADE CONSTRUTIVA",OFFSET(A714,-1,0)+1,LARGE(A$3:A713,1))</f>
        <v>0</v>
      </c>
      <c r="B714" s="457">
        <f t="shared" ref="B714" ca="1" si="175">IF(H714="UNIDADE CONSTRUTIVA",0,IF(H714="CÉLULA CONSTRUTIVA",OFFSET(B714,-1,0)+1,OFFSET(B714,-1,0)))</f>
        <v>10</v>
      </c>
      <c r="C714" s="457">
        <f t="shared" ref="C714" ca="1" si="176">IF(H714="CÉLULA CONSTRUTIVA",0,IF(H714="ETAPA",OFFSET(C714,-1,0)+1,OFFSET(C714,-1,0)))</f>
        <v>1</v>
      </c>
      <c r="D714" s="458">
        <f t="shared" ref="D714" ca="1" si="177">IF(H714="ETAPA",0,IF(H714="SUBETAPA",OFFSET(D714,-1,0)+1,OFFSET(D714,-1,0)))</f>
        <v>1</v>
      </c>
      <c r="E714" s="458">
        <f t="shared" ref="E714" ca="1" si="178">IF(H714="Subetapa",0,IF(H714="serviço",OFFSET(E714,-1,0)+1,OFFSET(E714,-1,0)))</f>
        <v>4</v>
      </c>
      <c r="G714" s="1000"/>
      <c r="H714" s="1001" t="s">
        <v>212</v>
      </c>
      <c r="I714" s="1002" t="str">
        <f t="shared" ref="I714" ca="1" si="179">IF(H714="Unidade Construtiva",TEXT(A714,"00"),IF(H714="Célula Construtiva",TEXT(B714,"00"),IF(H714="Etapa",CONCATENATE(TEXT(B714,"00"),".",TEXT(C714,"000")),IF(H714="Subetapa",CONCATENATE(TEXT(B714,"00"),".",TEXT(C714,"000"),".",TEXT(D714,"000")),IF(H714="Serviço",CONCATENATE(TEXT(B714,"00"),".",TEXT(C714,"000"),".",TEXT(D714,"000"),".",TEXT(E714,"000")),"")))))</f>
        <v>10.001.001.004</v>
      </c>
      <c r="J714" s="1003" t="s">
        <v>5097</v>
      </c>
      <c r="K714" s="1004" t="s">
        <v>151</v>
      </c>
      <c r="L714" s="1009">
        <v>1</v>
      </c>
      <c r="M714" s="1009">
        <f>COMUNICAÇÃO!E19+COMUNICAÇÃO!E20</f>
        <v>54657.942857142858</v>
      </c>
      <c r="N714" s="1006">
        <f t="shared" si="174"/>
        <v>54657.942857142858</v>
      </c>
      <c r="O714" s="1010" t="s">
        <v>5101</v>
      </c>
      <c r="P714" s="213" t="s">
        <v>518</v>
      </c>
      <c r="Q714" s="35"/>
      <c r="R714" s="35"/>
      <c r="S714" s="35"/>
    </row>
    <row r="715" spans="1:19" s="34" customFormat="1" ht="13.9" hidden="1" customHeight="1" outlineLevel="2" x14ac:dyDescent="0.2">
      <c r="A715" s="457">
        <f ca="1">IF($H715="UNIDADE CONSTRUTIVA",OFFSET(A715,-1,0)+1,LARGE(A$3:A714,1))</f>
        <v>0</v>
      </c>
      <c r="B715" s="457">
        <f t="shared" ref="B715" ca="1" si="180">IF(H715="UNIDADE CONSTRUTIVA",0,IF(H715="CÉLULA CONSTRUTIVA",OFFSET(B715,-1,0)+1,OFFSET(B715,-1,0)))</f>
        <v>10</v>
      </c>
      <c r="C715" s="457">
        <f t="shared" ref="C715" ca="1" si="181">IF(H715="CÉLULA CONSTRUTIVA",0,IF(H715="ETAPA",OFFSET(C715,-1,0)+1,OFFSET(C715,-1,0)))</f>
        <v>1</v>
      </c>
      <c r="D715" s="458">
        <f t="shared" ref="D715" ca="1" si="182">IF(H715="ETAPA",0,IF(H715="SUBETAPA",OFFSET(D715,-1,0)+1,OFFSET(D715,-1,0)))</f>
        <v>1</v>
      </c>
      <c r="E715" s="458">
        <f t="shared" ref="E715" ca="1" si="183">IF(H715="Subetapa",0,IF(H715="serviço",OFFSET(E715,-1,0)+1,OFFSET(E715,-1,0)))</f>
        <v>5</v>
      </c>
      <c r="G715" s="1000"/>
      <c r="H715" s="1001" t="s">
        <v>212</v>
      </c>
      <c r="I715" s="1002" t="str">
        <f t="shared" ref="I715" ca="1" si="184">IF(H715="Unidade Construtiva",TEXT(A715,"00"),IF(H715="Célula Construtiva",TEXT(B715,"00"),IF(H715="Etapa",CONCATENATE(TEXT(B715,"00"),".",TEXT(C715,"000")),IF(H715="Subetapa",CONCATENATE(TEXT(B715,"00"),".",TEXT(C715,"000"),".",TEXT(D715,"000")),IF(H715="Serviço",CONCATENATE(TEXT(B715,"00"),".",TEXT(C715,"000"),".",TEXT(D715,"000"),".",TEXT(E715,"000")),"")))))</f>
        <v>10.001.001.005</v>
      </c>
      <c r="J715" s="1003" t="s">
        <v>5100</v>
      </c>
      <c r="K715" s="1004" t="s">
        <v>151</v>
      </c>
      <c r="L715" s="1009">
        <v>1</v>
      </c>
      <c r="M715" s="1009">
        <f>COMUNICAÇÃO!E32+COMUNICAÇÃO!E33+COMUNICAÇÃO!E34</f>
        <v>33143.245714285709</v>
      </c>
      <c r="N715" s="1006">
        <f t="shared" si="174"/>
        <v>33143.245714285709</v>
      </c>
      <c r="O715" s="1010" t="s">
        <v>5101</v>
      </c>
      <c r="P715" s="213" t="s">
        <v>518</v>
      </c>
      <c r="Q715" s="35"/>
      <c r="R715" s="35"/>
      <c r="S715" s="35"/>
    </row>
    <row r="716" spans="1:19" s="34" customFormat="1" ht="13.9" hidden="1" customHeight="1" outlineLevel="1" x14ac:dyDescent="0.2">
      <c r="A716" s="457">
        <f ca="1">IF($H716="UNIDADE CONSTRUTIVA",OFFSET(A716,-1,0)+1,LARGE(A$3:A713,1))</f>
        <v>0</v>
      </c>
      <c r="B716" s="457">
        <f t="shared" ca="1" si="154"/>
        <v>10</v>
      </c>
      <c r="C716" s="457">
        <f t="shared" ca="1" si="155"/>
        <v>1</v>
      </c>
      <c r="D716" s="458">
        <f t="shared" ca="1" si="156"/>
        <v>2</v>
      </c>
      <c r="E716" s="458">
        <f t="shared" ca="1" si="157"/>
        <v>0</v>
      </c>
      <c r="G716" s="206"/>
      <c r="H716" s="207" t="s">
        <v>211</v>
      </c>
      <c r="I716" s="208" t="str">
        <f t="shared" ref="I716:I1005" ca="1" si="185">IF(H716="Unidade Construtiva",TEXT(A716,"00"),IF(H716="Célula Construtiva",TEXT(B716,"00"),IF(H716="Etapa",CONCATENATE(TEXT(B716,"00"),".",TEXT(C716,"000")),IF(H716="Subetapa",CONCATENATE(TEXT(B716,"00"),".",TEXT(C716,"000"),".",TEXT(D716,"000")),IF(H716="Serviço",CONCATENATE(TEXT(B716,"00"),".",TEXT(C716,"000"),".",TEXT(D716,"000"),".",TEXT(E716,"000")),"")))))</f>
        <v>10.001.002</v>
      </c>
      <c r="J716" s="209" t="s">
        <v>184</v>
      </c>
      <c r="K716" s="210"/>
      <c r="L716" s="455"/>
      <c r="M716" s="455"/>
      <c r="N716" s="285">
        <f t="shared" ca="1" si="174"/>
        <v>996556.04999999993</v>
      </c>
      <c r="O716" s="462"/>
      <c r="P716" s="213"/>
      <c r="Q716" s="35"/>
      <c r="R716" s="35"/>
      <c r="S716" s="35"/>
    </row>
    <row r="717" spans="1:19" s="34" customFormat="1" ht="13.9" hidden="1" customHeight="1" outlineLevel="2" x14ac:dyDescent="0.2">
      <c r="A717" s="457">
        <f ca="1">IF($H717="UNIDADE CONSTRUTIVA",OFFSET(A717,-1,0)+1,LARGE(A$3:A716,1))</f>
        <v>0</v>
      </c>
      <c r="B717" s="457">
        <f t="shared" ca="1" si="154"/>
        <v>10</v>
      </c>
      <c r="C717" s="457">
        <f t="shared" ca="1" si="155"/>
        <v>1</v>
      </c>
      <c r="D717" s="458">
        <f t="shared" ca="1" si="156"/>
        <v>2</v>
      </c>
      <c r="E717" s="458">
        <f t="shared" ca="1" si="157"/>
        <v>1</v>
      </c>
      <c r="G717" s="206"/>
      <c r="H717" s="207" t="s">
        <v>212</v>
      </c>
      <c r="I717" s="208" t="str">
        <f t="shared" ca="1" si="185"/>
        <v>10.001.002.001</v>
      </c>
      <c r="J717" s="209" t="s">
        <v>184</v>
      </c>
      <c r="K717" s="210" t="s">
        <v>2</v>
      </c>
      <c r="L717" s="455">
        <v>2</v>
      </c>
      <c r="M717" s="455">
        <f>332185.35/14*'Obra '!E13</f>
        <v>498278.02499999997</v>
      </c>
      <c r="N717" s="285">
        <f t="shared" si="174"/>
        <v>996556.04999999993</v>
      </c>
      <c r="O717" s="462"/>
      <c r="P717" s="213" t="s">
        <v>518</v>
      </c>
      <c r="Q717" s="35"/>
      <c r="R717" s="35"/>
      <c r="S717" s="35"/>
    </row>
    <row r="718" spans="1:19" s="34" customFormat="1" ht="13.9" customHeight="1" collapsed="1" x14ac:dyDescent="0.2">
      <c r="A718" s="457">
        <f ca="1">IF($H718="UNIDADE CONSTRUTIVA",OFFSET(A718,-1,0)+1,LARGE(A$3:A717,1))</f>
        <v>0</v>
      </c>
      <c r="B718" s="457">
        <f t="shared" ca="1" si="154"/>
        <v>11</v>
      </c>
      <c r="C718" s="457">
        <f t="shared" ca="1" si="155"/>
        <v>0</v>
      </c>
      <c r="D718" s="458">
        <f t="shared" ca="1" si="156"/>
        <v>2</v>
      </c>
      <c r="E718" s="458">
        <f t="shared" ca="1" si="157"/>
        <v>1</v>
      </c>
      <c r="G718" s="206"/>
      <c r="H718" s="207" t="s">
        <v>209</v>
      </c>
      <c r="I718" s="208" t="str">
        <f t="shared" ca="1" si="185"/>
        <v>11</v>
      </c>
      <c r="J718" s="209" t="s">
        <v>185</v>
      </c>
      <c r="K718" s="210"/>
      <c r="L718" s="455"/>
      <c r="M718" s="455"/>
      <c r="N718" s="285">
        <f t="shared" ca="1" si="174"/>
        <v>434728.92881240003</v>
      </c>
      <c r="O718" s="462"/>
      <c r="P718" s="213"/>
      <c r="Q718" s="463"/>
      <c r="R718" s="463"/>
      <c r="S718" s="35"/>
    </row>
    <row r="719" spans="1:19" s="34" customFormat="1" ht="13.9" hidden="1" customHeight="1" outlineLevel="1" x14ac:dyDescent="0.2">
      <c r="A719" s="457">
        <f ca="1">IF($H719="UNIDADE CONSTRUTIVA",OFFSET(A719,-1,0)+1,LARGE(A$3:A710,1))</f>
        <v>0</v>
      </c>
      <c r="B719" s="457">
        <f ca="1">IF(H719="UNIDADE CONSTRUTIVA",0,IF(H719="CÉLULA CONSTRUTIVA",OFFSET(B719,-1,0)+1,OFFSET(B719,-1,0)))</f>
        <v>11</v>
      </c>
      <c r="C719" s="457">
        <f ca="1">IF(H719="CÉLULA CONSTRUTIVA",0,IF(H719="ETAPA",OFFSET(C719,-1,0)+1,OFFSET(C719,-1,0)))</f>
        <v>1</v>
      </c>
      <c r="D719" s="458">
        <f ca="1">IF(H719="ETAPA",0,IF(H719="SUBETAPA",OFFSET(D719,-1,0)+1,OFFSET(D719,-1,0)))</f>
        <v>0</v>
      </c>
      <c r="E719" s="458">
        <f ca="1">IF(H719="Subetapa",0,IF(H719="serviço",OFFSET(E719,-1,0)+1,OFFSET(E719,-1,0)))</f>
        <v>1</v>
      </c>
      <c r="G719" s="206"/>
      <c r="H719" s="207" t="s">
        <v>210</v>
      </c>
      <c r="I719" s="208" t="str">
        <f ca="1">IF(H719="Unidade Construtiva",TEXT(A719,"00"),IF(H719="Célula Construtiva",TEXT(B719,"00"),IF(H719="Etapa",CONCATENATE(TEXT(B719,"00"),".",TEXT(C719,"000")),IF(H719="Subetapa",CONCATENATE(TEXT(B719,"00"),".",TEXT(C719,"000"),".",TEXT(D719,"000")),IF(H719="Serviço",CONCATENATE(TEXT(B719,"00"),".",TEXT(C719,"000"),".",TEXT(D719,"000"),".",TEXT(E719,"000")),"")))))</f>
        <v>11.001</v>
      </c>
      <c r="J719" s="209" t="s">
        <v>4481</v>
      </c>
      <c r="K719" s="210"/>
      <c r="L719" s="455"/>
      <c r="M719" s="455"/>
      <c r="N719" s="285">
        <f t="shared" ca="1" si="174"/>
        <v>342.62787680000002</v>
      </c>
      <c r="O719" s="462"/>
      <c r="P719" s="213"/>
      <c r="Q719" s="35"/>
      <c r="R719" s="35"/>
      <c r="S719" s="35"/>
    </row>
    <row r="720" spans="1:19" s="34" customFormat="1" ht="13.9" hidden="1" customHeight="1" outlineLevel="1" x14ac:dyDescent="0.2">
      <c r="A720" s="457">
        <f ca="1">IF($H720="UNIDADE CONSTRUTIVA",OFFSET(A720,-1,0)+1,LARGE(A$3:A719,1))</f>
        <v>0</v>
      </c>
      <c r="B720" s="457">
        <f ca="1">IF(H720="UNIDADE CONSTRUTIVA",0,IF(H720="CÉLULA CONSTRUTIVA",OFFSET(B720,-1,0)+1,OFFSET(B720,-1,0)))</f>
        <v>11</v>
      </c>
      <c r="C720" s="457">
        <f ca="1">IF(H720="CÉLULA CONSTRUTIVA",0,IF(H720="ETAPA",OFFSET(C720,-1,0)+1,OFFSET(C720,-1,0)))</f>
        <v>1</v>
      </c>
      <c r="D720" s="458">
        <f ca="1">IF(H720="ETAPA",0,IF(H720="SUBETAPA",OFFSET(D720,-1,0)+1,OFFSET(D720,-1,0)))</f>
        <v>1</v>
      </c>
      <c r="E720" s="458">
        <f ca="1">IF(H720="Subetapa",0,IF(H720="serviço",OFFSET(E720,-1,0)+1,OFFSET(E720,-1,0)))</f>
        <v>0</v>
      </c>
      <c r="G720" s="206"/>
      <c r="H720" s="207" t="s">
        <v>211</v>
      </c>
      <c r="I720" s="208" t="str">
        <f ca="1">IF(H720="Unidade Construtiva",TEXT(A720,"00"),IF(H720="Célula Construtiva",TEXT(B720,"00"),IF(H720="Etapa",CONCATENATE(TEXT(B720,"00"),".",TEXT(C720,"000")),IF(H720="Subetapa",CONCATENATE(TEXT(B720,"00"),".",TEXT(C720,"000"),".",TEXT(D720,"000")),IF(H720="Serviço",CONCATENATE(TEXT(B720,"00"),".",TEXT(C720,"000"),".",TEXT(D720,"000"),".",TEXT(E720,"000")),"")))))</f>
        <v>11.001.001</v>
      </c>
      <c r="J720" s="209" t="s">
        <v>186</v>
      </c>
      <c r="K720" s="210"/>
      <c r="L720" s="455"/>
      <c r="M720" s="455"/>
      <c r="N720" s="285">
        <f t="shared" ca="1" si="174"/>
        <v>342.62787680000002</v>
      </c>
      <c r="O720" s="462"/>
      <c r="P720" s="213"/>
      <c r="Q720" s="35"/>
      <c r="R720" s="35"/>
      <c r="S720" s="35"/>
    </row>
    <row r="721" spans="1:19" s="34" customFormat="1" ht="13.9" hidden="1" customHeight="1" outlineLevel="2" x14ac:dyDescent="0.2">
      <c r="A721" s="457">
        <f ca="1">IF($H721="UNIDADE CONSTRUTIVA",OFFSET(A721,-1,0)+1,LARGE(A$3:A720,1))</f>
        <v>0</v>
      </c>
      <c r="B721" s="457">
        <f ca="1">IF(H721="UNIDADE CONSTRUTIVA",0,IF(H721="CÉLULA CONSTRUTIVA",OFFSET(B721,-1,0)+1,OFFSET(B721,-1,0)))</f>
        <v>11</v>
      </c>
      <c r="C721" s="457">
        <f ca="1">IF(H721="CÉLULA CONSTRUTIVA",0,IF(H721="ETAPA",OFFSET(C721,-1,0)+1,OFFSET(C721,-1,0)))</f>
        <v>1</v>
      </c>
      <c r="D721" s="458">
        <f ca="1">IF(H721="ETAPA",0,IF(H721="SUBETAPA",OFFSET(D721,-1,0)+1,OFFSET(D721,-1,0)))</f>
        <v>1</v>
      </c>
      <c r="E721" s="458">
        <f ca="1">IF(H721="Subetapa",0,IF(H721="serviço",OFFSET(E721,-1,0)+1,OFFSET(E721,-1,0)))</f>
        <v>1</v>
      </c>
      <c r="G721" s="206"/>
      <c r="H721" s="207" t="s">
        <v>212</v>
      </c>
      <c r="I721" s="208" t="str">
        <f ca="1">IF(H721="Unidade Construtiva",TEXT(A721,"00"),IF(H721="Célula Construtiva",TEXT(B721,"00"),IF(H721="Etapa",CONCATENATE(TEXT(B721,"00"),".",TEXT(C721,"000")),IF(H721="Subetapa",CONCATENATE(TEXT(B721,"00"),".",TEXT(C721,"000"),".",TEXT(D721,"000")),IF(H721="Serviço",CONCATENATE(TEXT(B721,"00"),".",TEXT(C721,"000"),".",TEXT(D721,"000"),".",TEXT(E721,"000")),"")))))</f>
        <v>11.001.001.001</v>
      </c>
      <c r="J721" s="209" t="s">
        <v>4482</v>
      </c>
      <c r="K721" s="210" t="s">
        <v>151</v>
      </c>
      <c r="L721" s="455">
        <v>1</v>
      </c>
      <c r="M721" s="455">
        <f>CLIMATIZAÇÃO!L7</f>
        <v>342.62787680000002</v>
      </c>
      <c r="N721" s="285">
        <f>IF(H721="Serviço",M721*L721,IF(H721="CÉLULA CONSTRUTIVA",SUMIFS($N$8:$N$1780,$B$8:$B$1780,B721,$H$8:$H$1780,"Serviço"),IF(H721="ETAPA",SUMIFS($N$8:$N$1780,$B$8:$B$1780,B721,$C$8:$C$1780,C721,$H$8:$H$1780,"Serviço"),IF(H721="SUBETAPA",SUMIFS($N$8:$N$1780,$B$8:$B$1780,B721,$C$8:$C$1780,C721,$D$8:$D$1780,D721,$H$8:$H$1780,"Serviço"),0))))</f>
        <v>342.62787680000002</v>
      </c>
      <c r="O721" s="462"/>
      <c r="P721" s="213" t="s">
        <v>518</v>
      </c>
      <c r="Q721" s="35"/>
      <c r="R721" s="35"/>
      <c r="S721" s="35"/>
    </row>
    <row r="722" spans="1:19" s="34" customFormat="1" ht="13.9" hidden="1" customHeight="1" outlineLevel="1" x14ac:dyDescent="0.2">
      <c r="A722" s="457">
        <f ca="1">IF($H722="UNIDADE CONSTRUTIVA",OFFSET(A722,-1,0)+1,LARGE(A$3:A718,1))</f>
        <v>0</v>
      </c>
      <c r="B722" s="457">
        <f t="shared" ca="1" si="154"/>
        <v>11</v>
      </c>
      <c r="C722" s="457">
        <f t="shared" ca="1" si="155"/>
        <v>2</v>
      </c>
      <c r="D722" s="458">
        <f t="shared" ca="1" si="156"/>
        <v>0</v>
      </c>
      <c r="E722" s="458">
        <f t="shared" ca="1" si="157"/>
        <v>1</v>
      </c>
      <c r="G722" s="206"/>
      <c r="H722" s="207" t="s">
        <v>210</v>
      </c>
      <c r="I722" s="208" t="str">
        <f t="shared" ca="1" si="185"/>
        <v>11.002</v>
      </c>
      <c r="J722" s="209" t="s">
        <v>969</v>
      </c>
      <c r="K722" s="210"/>
      <c r="L722" s="455"/>
      <c r="M722" s="455"/>
      <c r="N722" s="285">
        <f ca="1">IF(H722="Serviço",M722*L722,IF(H722="CÉLULA CONSTRUTIVA",SUMIFS($N$8:$N$1393,$B$8:$B$1393,B722,$H$8:$H$1393,"Serviço"),IF(H722="ETAPA",SUMIFS($N$8:$N$1393,$B$8:$B$1393,B722,$C$8:$C$1393,C722,$H$8:$H$1393,"Serviço"),IF(H722="SUBETAPA",SUMIFS($N$8:$N$1393,$B$8:$B$1393,B722,$C$8:$C$1393,C722,$D$8:$D$1393,D722,$H$8:$H$1393,"Serviço"),0))))</f>
        <v>59393.192499999997</v>
      </c>
      <c r="O722" s="462"/>
      <c r="P722" s="213"/>
      <c r="Q722" s="35"/>
      <c r="R722" s="35"/>
      <c r="S722" s="35"/>
    </row>
    <row r="723" spans="1:19" s="34" customFormat="1" ht="13.9" hidden="1" customHeight="1" outlineLevel="1" x14ac:dyDescent="0.2">
      <c r="A723" s="457">
        <f ca="1">IF($H723="UNIDADE CONSTRUTIVA",OFFSET(A723,-1,0)+1,LARGE(A$3:A722,1))</f>
        <v>0</v>
      </c>
      <c r="B723" s="457">
        <f t="shared" ca="1" si="154"/>
        <v>11</v>
      </c>
      <c r="C723" s="457">
        <f t="shared" ca="1" si="155"/>
        <v>2</v>
      </c>
      <c r="D723" s="458">
        <f t="shared" ca="1" si="156"/>
        <v>1</v>
      </c>
      <c r="E723" s="458">
        <f t="shared" ca="1" si="157"/>
        <v>0</v>
      </c>
      <c r="G723" s="206"/>
      <c r="H723" s="207" t="s">
        <v>211</v>
      </c>
      <c r="I723" s="208" t="str">
        <f t="shared" ca="1" si="185"/>
        <v>11.002.001</v>
      </c>
      <c r="J723" s="209" t="s">
        <v>186</v>
      </c>
      <c r="K723" s="210"/>
      <c r="L723" s="455"/>
      <c r="M723" s="455"/>
      <c r="N723" s="285">
        <f ca="1">IF(H723="Serviço",M723*L723,IF(H723="CÉLULA CONSTRUTIVA",SUMIFS($N$8:$N$1393,$B$8:$B$1393,B723,$H$8:$H$1393,"Serviço"),IF(H723="ETAPA",SUMIFS($N$8:$N$1393,$B$8:$B$1393,B723,$C$8:$C$1393,C723,$H$8:$H$1393,"Serviço"),IF(H723="SUBETAPA",SUMIFS($N$8:$N$1393,$B$8:$B$1393,B723,$C$8:$C$1393,C723,$D$8:$D$1393,D723,$H$8:$H$1393,"Serviço"),0))))</f>
        <v>54197.192499999997</v>
      </c>
      <c r="O723" s="462"/>
      <c r="P723" s="213"/>
      <c r="Q723" s="35"/>
      <c r="R723" s="35"/>
      <c r="S723" s="35"/>
    </row>
    <row r="724" spans="1:19" s="34" customFormat="1" ht="13.9" hidden="1" customHeight="1" outlineLevel="2" x14ac:dyDescent="0.2">
      <c r="A724" s="457">
        <f ca="1">IF($H724="UNIDADE CONSTRUTIVA",OFFSET(A724,-1,0)+1,LARGE(A$3:A723,1))</f>
        <v>0</v>
      </c>
      <c r="B724" s="457">
        <f t="shared" ca="1" si="154"/>
        <v>11</v>
      </c>
      <c r="C724" s="457">
        <f t="shared" ca="1" si="155"/>
        <v>2</v>
      </c>
      <c r="D724" s="458">
        <f t="shared" ca="1" si="156"/>
        <v>1</v>
      </c>
      <c r="E724" s="458">
        <f t="shared" ca="1" si="157"/>
        <v>1</v>
      </c>
      <c r="G724" s="206"/>
      <c r="H724" s="207" t="s">
        <v>212</v>
      </c>
      <c r="I724" s="208" t="str">
        <f t="shared" ca="1" si="185"/>
        <v>11.002.001.001</v>
      </c>
      <c r="J724" s="209" t="s">
        <v>404</v>
      </c>
      <c r="K724" s="210" t="s">
        <v>151</v>
      </c>
      <c r="L724" s="455">
        <v>1</v>
      </c>
      <c r="M724" s="455">
        <f>CLIMATIZAÇÃO!L26</f>
        <v>11644.2125</v>
      </c>
      <c r="N724" s="285">
        <f>IF(H724="Serviço",M724*L724,IF(H724="CÉLULA CONSTRUTIVA",SUMIFS($N$8:$N$1393,$B$8:$B$1393,B724,$H$8:$H$1393,"Serviço"),IF(H724="ETAPA",SUMIFS($N$8:$N$1393,$B$8:$B$1393,B724,$C$8:$C$1393,C724,$H$8:$H$1393,"Serviço"),IF(H724="SUBETAPA",SUMIFS($N$8:$N$1393,$B$8:$B$1393,B724,$C$8:$C$1393,C724,$D$8:$D$1393,D724,$H$8:$H$1393,"Serviço"),0))))</f>
        <v>11644.2125</v>
      </c>
      <c r="O724" s="462"/>
      <c r="P724" s="213" t="s">
        <v>518</v>
      </c>
      <c r="Q724" s="35"/>
      <c r="R724" s="35"/>
      <c r="S724" s="35"/>
    </row>
    <row r="725" spans="1:19" s="34" customFormat="1" ht="13.9" hidden="1" customHeight="1" outlineLevel="2" x14ac:dyDescent="0.2">
      <c r="A725" s="457">
        <f ca="1">IF($H725="UNIDADE CONSTRUTIVA",OFFSET(A725,-1,0)+1,LARGE(A$3:A724,1))</f>
        <v>0</v>
      </c>
      <c r="B725" s="457">
        <f t="shared" ca="1" si="154"/>
        <v>11</v>
      </c>
      <c r="C725" s="457">
        <f t="shared" ca="1" si="155"/>
        <v>2</v>
      </c>
      <c r="D725" s="458">
        <f t="shared" ca="1" si="156"/>
        <v>1</v>
      </c>
      <c r="E725" s="458">
        <f t="shared" ca="1" si="157"/>
        <v>2</v>
      </c>
      <c r="G725" s="206"/>
      <c r="H725" s="207" t="s">
        <v>212</v>
      </c>
      <c r="I725" s="208" t="str">
        <f t="shared" ca="1" si="185"/>
        <v>11.002.001.002</v>
      </c>
      <c r="J725" s="209" t="s">
        <v>971</v>
      </c>
      <c r="K725" s="210" t="s">
        <v>151</v>
      </c>
      <c r="L725" s="455">
        <v>1</v>
      </c>
      <c r="M725" s="455">
        <f>CLIMATIZAÇÃO!O12</f>
        <v>42552.979999999996</v>
      </c>
      <c r="N725" s="285">
        <f>IF(H725="Serviço",M725*L725,IF(H725="CÉLULA CONSTRUTIVA",SUMIFS($N$8:$N$1780,$B$8:$B$1780,B725,$H$8:$H$1780,"Serviço"),IF(H725="ETAPA",SUMIFS($N$8:$N$1780,$B$8:$B$1780,B725,$C$8:$C$1780,C725,$H$8:$H$1780,"Serviço"),IF(H725="SUBETAPA",SUMIFS($N$8:$N$1780,$B$8:$B$1780,B725,$C$8:$C$1780,C725,$D$8:$D$1780,D725,$H$8:$H$1780,"Serviço"),0))))</f>
        <v>42552.979999999996</v>
      </c>
      <c r="O725" s="462" t="s">
        <v>4487</v>
      </c>
      <c r="P725" s="213" t="s">
        <v>518</v>
      </c>
      <c r="Q725" s="35"/>
      <c r="R725" s="35"/>
      <c r="S725" s="35"/>
    </row>
    <row r="726" spans="1:19" s="34" customFormat="1" ht="13.9" hidden="1" customHeight="1" outlineLevel="1" x14ac:dyDescent="0.2">
      <c r="A726" s="457">
        <f ca="1">IF($H726="UNIDADE CONSTRUTIVA",OFFSET(A726,-1,0)+1,LARGE(A$3:A725,1))</f>
        <v>0</v>
      </c>
      <c r="B726" s="457">
        <f t="shared" ca="1" si="154"/>
        <v>11</v>
      </c>
      <c r="C726" s="457">
        <f t="shared" ca="1" si="155"/>
        <v>2</v>
      </c>
      <c r="D726" s="458">
        <f t="shared" ca="1" si="156"/>
        <v>2</v>
      </c>
      <c r="E726" s="458">
        <f t="shared" ca="1" si="157"/>
        <v>0</v>
      </c>
      <c r="G726" s="206"/>
      <c r="H726" s="207" t="s">
        <v>211</v>
      </c>
      <c r="I726" s="208" t="str">
        <f t="shared" ca="1" si="185"/>
        <v>11.002.002</v>
      </c>
      <c r="J726" s="209" t="s">
        <v>187</v>
      </c>
      <c r="K726" s="210"/>
      <c r="L726" s="455"/>
      <c r="M726" s="455"/>
      <c r="N726" s="285">
        <f t="shared" ref="N726:N747" ca="1" si="186">IF(H726="Serviço",M726*L726,IF(H726="CÉLULA CONSTRUTIVA",SUMIFS($N$8:$N$1393,$B$8:$B$1393,B726,$H$8:$H$1393,"Serviço"),IF(H726="ETAPA",SUMIFS($N$8:$N$1393,$B$8:$B$1393,B726,$C$8:$C$1393,C726,$H$8:$H$1393,"Serviço"),IF(H726="SUBETAPA",SUMIFS($N$8:$N$1393,$B$8:$B$1393,B726,$C$8:$C$1393,C726,$D$8:$D$1393,D726,$H$8:$H$1393,"Serviço"),0))))</f>
        <v>5196</v>
      </c>
      <c r="O726" s="462"/>
      <c r="P726" s="213"/>
      <c r="Q726" s="35"/>
      <c r="R726" s="35"/>
      <c r="S726" s="35"/>
    </row>
    <row r="727" spans="1:19" s="34" customFormat="1" ht="13.9" hidden="1" customHeight="1" outlineLevel="2" x14ac:dyDescent="0.2">
      <c r="A727" s="457">
        <f ca="1">IF($H727="UNIDADE CONSTRUTIVA",OFFSET(A727,-1,0)+1,LARGE(A$3:A726,1))</f>
        <v>0</v>
      </c>
      <c r="B727" s="457">
        <f t="shared" ca="1" si="154"/>
        <v>11</v>
      </c>
      <c r="C727" s="457">
        <f t="shared" ca="1" si="155"/>
        <v>2</v>
      </c>
      <c r="D727" s="458">
        <f t="shared" ca="1" si="156"/>
        <v>2</v>
      </c>
      <c r="E727" s="458">
        <f t="shared" ca="1" si="157"/>
        <v>1</v>
      </c>
      <c r="G727" s="206"/>
      <c r="H727" s="207" t="s">
        <v>212</v>
      </c>
      <c r="I727" s="208" t="str">
        <f t="shared" ca="1" si="185"/>
        <v>11.002.002.001</v>
      </c>
      <c r="J727" s="209" t="s">
        <v>403</v>
      </c>
      <c r="K727" s="210" t="s">
        <v>2</v>
      </c>
      <c r="L727" s="455">
        <v>1</v>
      </c>
      <c r="M727" s="455">
        <v>2000</v>
      </c>
      <c r="N727" s="285">
        <f t="shared" si="186"/>
        <v>2000</v>
      </c>
      <c r="O727" s="462" t="s">
        <v>4484</v>
      </c>
      <c r="P727" s="213" t="s">
        <v>518</v>
      </c>
      <c r="Q727" s="35"/>
      <c r="R727" s="35"/>
      <c r="S727" s="35"/>
    </row>
    <row r="728" spans="1:19" s="34" customFormat="1" ht="13.9" hidden="1" customHeight="1" outlineLevel="2" x14ac:dyDescent="0.2">
      <c r="A728" s="457">
        <f ca="1">IF($H728="UNIDADE CONSTRUTIVA",OFFSET(A728,-1,0)+1,LARGE(A$3:A727,1))</f>
        <v>0</v>
      </c>
      <c r="B728" s="457">
        <f t="shared" ca="1" si="154"/>
        <v>11</v>
      </c>
      <c r="C728" s="457">
        <f t="shared" ca="1" si="155"/>
        <v>2</v>
      </c>
      <c r="D728" s="458">
        <f t="shared" ca="1" si="156"/>
        <v>2</v>
      </c>
      <c r="E728" s="458">
        <f t="shared" ca="1" si="157"/>
        <v>2</v>
      </c>
      <c r="G728" s="206"/>
      <c r="H728" s="207" t="s">
        <v>212</v>
      </c>
      <c r="I728" s="208" t="str">
        <f t="shared" ca="1" si="185"/>
        <v>11.002.002.002</v>
      </c>
      <c r="J728" s="209" t="s">
        <v>4995</v>
      </c>
      <c r="K728" s="210" t="s">
        <v>2</v>
      </c>
      <c r="L728" s="455">
        <f>CLIMATIZAÇÃO!I80</f>
        <v>10</v>
      </c>
      <c r="M728" s="455">
        <f>CLIMATIZAÇÃO!K80+CLIMATIZAÇÃO!K81</f>
        <v>319.59999999999997</v>
      </c>
      <c r="N728" s="285">
        <f t="shared" si="186"/>
        <v>3195.9999999999995</v>
      </c>
      <c r="O728" s="462"/>
      <c r="P728" s="213" t="s">
        <v>518</v>
      </c>
      <c r="Q728" s="35"/>
      <c r="R728" s="35"/>
      <c r="S728" s="35"/>
    </row>
    <row r="729" spans="1:19" s="34" customFormat="1" ht="13.9" hidden="1" customHeight="1" outlineLevel="1" x14ac:dyDescent="0.2">
      <c r="A729" s="457">
        <f ca="1">IF($H729="UNIDADE CONSTRUTIVA",OFFSET(A729,-1,0)+1,LARGE(A$3:A727,1))</f>
        <v>0</v>
      </c>
      <c r="B729" s="457">
        <f t="shared" ref="B729:B734" ca="1" si="187">IF(H729="UNIDADE CONSTRUTIVA",0,IF(H729="CÉLULA CONSTRUTIVA",OFFSET(B729,-1,0)+1,OFFSET(B729,-1,0)))</f>
        <v>11</v>
      </c>
      <c r="C729" s="457">
        <f t="shared" ref="C729:C734" ca="1" si="188">IF(H729="CÉLULA CONSTRUTIVA",0,IF(H729="ETAPA",OFFSET(C729,-1,0)+1,OFFSET(C729,-1,0)))</f>
        <v>3</v>
      </c>
      <c r="D729" s="458">
        <f t="shared" ref="D729:D734" ca="1" si="189">IF(H729="ETAPA",0,IF(H729="SUBETAPA",OFFSET(D729,-1,0)+1,OFFSET(D729,-1,0)))</f>
        <v>0</v>
      </c>
      <c r="E729" s="458">
        <f t="shared" ref="E729:E734" ca="1" si="190">IF(H729="Subetapa",0,IF(H729="serviço",OFFSET(E729,-1,0)+1,OFFSET(E729,-1,0)))</f>
        <v>2</v>
      </c>
      <c r="G729" s="206"/>
      <c r="H729" s="207" t="s">
        <v>210</v>
      </c>
      <c r="I729" s="208" t="str">
        <f t="shared" ref="I729:I734" ca="1" si="191">IF(H729="Unidade Construtiva",TEXT(A729,"00"),IF(H729="Célula Construtiva",TEXT(B729,"00"),IF(H729="Etapa",CONCATENATE(TEXT(B729,"00"),".",TEXT(C729,"000")),IF(H729="Subetapa",CONCATENATE(TEXT(B729,"00"),".",TEXT(C729,"000"),".",TEXT(D729,"000")),IF(H729="Serviço",CONCATENATE(TEXT(B729,"00"),".",TEXT(C729,"000"),".",TEXT(D729,"000"),".",TEXT(E729,"000")),"")))))</f>
        <v>11.003</v>
      </c>
      <c r="J729" s="209" t="s">
        <v>970</v>
      </c>
      <c r="K729" s="210"/>
      <c r="L729" s="455"/>
      <c r="M729" s="455"/>
      <c r="N729" s="285">
        <f t="shared" ca="1" si="186"/>
        <v>334090.06994400005</v>
      </c>
      <c r="O729" s="462"/>
      <c r="P729" s="213"/>
      <c r="Q729" s="35"/>
      <c r="R729" s="35"/>
      <c r="S729" s="35"/>
    </row>
    <row r="730" spans="1:19" s="34" customFormat="1" ht="13.9" hidden="1" customHeight="1" outlineLevel="1" x14ac:dyDescent="0.2">
      <c r="A730" s="457">
        <f ca="1">IF($H730="UNIDADE CONSTRUTIVA",OFFSET(A730,-1,0)+1,LARGE(A$3:A729,1))</f>
        <v>0</v>
      </c>
      <c r="B730" s="457">
        <f t="shared" ca="1" si="187"/>
        <v>11</v>
      </c>
      <c r="C730" s="457">
        <f t="shared" ca="1" si="188"/>
        <v>3</v>
      </c>
      <c r="D730" s="458">
        <f t="shared" ca="1" si="189"/>
        <v>1</v>
      </c>
      <c r="E730" s="458">
        <f t="shared" ca="1" si="190"/>
        <v>0</v>
      </c>
      <c r="G730" s="206"/>
      <c r="H730" s="207" t="s">
        <v>211</v>
      </c>
      <c r="I730" s="208" t="str">
        <f t="shared" ca="1" si="191"/>
        <v>11.003.001</v>
      </c>
      <c r="J730" s="209" t="s">
        <v>186</v>
      </c>
      <c r="K730" s="210"/>
      <c r="L730" s="455"/>
      <c r="M730" s="455"/>
      <c r="N730" s="285">
        <f t="shared" ca="1" si="186"/>
        <v>161470.86994400003</v>
      </c>
      <c r="O730" s="462"/>
      <c r="P730" s="213"/>
      <c r="Q730" s="35"/>
      <c r="R730" s="35"/>
      <c r="S730" s="35"/>
    </row>
    <row r="731" spans="1:19" s="34" customFormat="1" ht="13.9" hidden="1" customHeight="1" outlineLevel="2" x14ac:dyDescent="0.2">
      <c r="A731" s="457">
        <f ca="1">IF($H731="UNIDADE CONSTRUTIVA",OFFSET(A731,-1,0)+1,LARGE(A$3:A730,1))</f>
        <v>0</v>
      </c>
      <c r="B731" s="457">
        <f t="shared" ca="1" si="187"/>
        <v>11</v>
      </c>
      <c r="C731" s="457">
        <f t="shared" ca="1" si="188"/>
        <v>3</v>
      </c>
      <c r="D731" s="458">
        <f t="shared" ca="1" si="189"/>
        <v>1</v>
      </c>
      <c r="E731" s="458">
        <f t="shared" ca="1" si="190"/>
        <v>1</v>
      </c>
      <c r="G731" s="206"/>
      <c r="H731" s="207" t="s">
        <v>212</v>
      </c>
      <c r="I731" s="208" t="str">
        <f t="shared" ca="1" si="191"/>
        <v>11.003.001.001</v>
      </c>
      <c r="J731" s="209" t="s">
        <v>404</v>
      </c>
      <c r="K731" s="210" t="s">
        <v>151</v>
      </c>
      <c r="L731" s="455">
        <v>1</v>
      </c>
      <c r="M731" s="455">
        <f>CLIMATIZAÇÃO!L44</f>
        <v>161470.86994400003</v>
      </c>
      <c r="N731" s="285">
        <f t="shared" si="186"/>
        <v>161470.86994400003</v>
      </c>
      <c r="O731" s="462"/>
      <c r="P731" s="213" t="s">
        <v>518</v>
      </c>
      <c r="Q731" s="35"/>
      <c r="R731" s="35"/>
      <c r="S731" s="35"/>
    </row>
    <row r="732" spans="1:19" s="34" customFormat="1" ht="13.9" hidden="1" customHeight="1" outlineLevel="1" x14ac:dyDescent="0.2">
      <c r="A732" s="457">
        <f ca="1">IF($H732="UNIDADE CONSTRUTIVA",OFFSET(A732,-1,0)+1,LARGE(A$3:A731,1))</f>
        <v>0</v>
      </c>
      <c r="B732" s="457">
        <f t="shared" ca="1" si="187"/>
        <v>11</v>
      </c>
      <c r="C732" s="457">
        <f t="shared" ca="1" si="188"/>
        <v>3</v>
      </c>
      <c r="D732" s="458">
        <f t="shared" ca="1" si="189"/>
        <v>2</v>
      </c>
      <c r="E732" s="458">
        <f t="shared" ca="1" si="190"/>
        <v>0</v>
      </c>
      <c r="G732" s="206"/>
      <c r="H732" s="207" t="s">
        <v>211</v>
      </c>
      <c r="I732" s="208" t="str">
        <f t="shared" ca="1" si="191"/>
        <v>11.003.002</v>
      </c>
      <c r="J732" s="209" t="s">
        <v>187</v>
      </c>
      <c r="K732" s="210"/>
      <c r="L732" s="455"/>
      <c r="M732" s="455"/>
      <c r="N732" s="285">
        <f t="shared" ca="1" si="186"/>
        <v>172619.2</v>
      </c>
      <c r="O732" s="462"/>
      <c r="P732" s="213"/>
      <c r="Q732" s="35"/>
      <c r="R732" s="35"/>
      <c r="S732" s="35"/>
    </row>
    <row r="733" spans="1:19" s="34" customFormat="1" ht="13.9" hidden="1" customHeight="1" outlineLevel="2" x14ac:dyDescent="0.2">
      <c r="A733" s="457">
        <f ca="1">IF($H733="UNIDADE CONSTRUTIVA",OFFSET(A733,-1,0)+1,LARGE(A$3:A732,1))</f>
        <v>0</v>
      </c>
      <c r="B733" s="457">
        <f t="shared" ca="1" si="187"/>
        <v>11</v>
      </c>
      <c r="C733" s="457">
        <f t="shared" ca="1" si="188"/>
        <v>3</v>
      </c>
      <c r="D733" s="458">
        <f t="shared" ca="1" si="189"/>
        <v>2</v>
      </c>
      <c r="E733" s="458">
        <f t="shared" ca="1" si="190"/>
        <v>1</v>
      </c>
      <c r="G733" s="206"/>
      <c r="H733" s="207" t="s">
        <v>212</v>
      </c>
      <c r="I733" s="208" t="str">
        <f t="shared" ca="1" si="191"/>
        <v>11.003.002.001</v>
      </c>
      <c r="J733" s="209" t="s">
        <v>400</v>
      </c>
      <c r="K733" s="210" t="s">
        <v>2</v>
      </c>
      <c r="L733" s="455">
        <f>CLIMATIZAÇÃO!I84</f>
        <v>52</v>
      </c>
      <c r="M733" s="455">
        <f>CLIMATIZAÇÃO!K83+CLIMATIZAÇÃO!K84</f>
        <v>319.59999999999997</v>
      </c>
      <c r="N733" s="285">
        <f t="shared" si="186"/>
        <v>16619.199999999997</v>
      </c>
      <c r="O733" s="462"/>
      <c r="P733" s="213" t="s">
        <v>518</v>
      </c>
      <c r="Q733" s="35"/>
      <c r="R733" s="35"/>
      <c r="S733" s="35"/>
    </row>
    <row r="734" spans="1:19" s="34" customFormat="1" ht="13.9" hidden="1" customHeight="1" outlineLevel="2" x14ac:dyDescent="0.2">
      <c r="A734" s="457">
        <f ca="1">IF($H734="UNIDADE CONSTRUTIVA",OFFSET(A734,-1,0)+1,LARGE(A$3:A733,1))</f>
        <v>0</v>
      </c>
      <c r="B734" s="457">
        <f t="shared" ca="1" si="187"/>
        <v>11</v>
      </c>
      <c r="C734" s="457">
        <f t="shared" ca="1" si="188"/>
        <v>3</v>
      </c>
      <c r="D734" s="458">
        <f t="shared" ca="1" si="189"/>
        <v>2</v>
      </c>
      <c r="E734" s="458">
        <f t="shared" ca="1" si="190"/>
        <v>2</v>
      </c>
      <c r="G734" s="206"/>
      <c r="H734" s="207" t="s">
        <v>212</v>
      </c>
      <c r="I734" s="208" t="str">
        <f t="shared" ca="1" si="191"/>
        <v>11.003.002.002</v>
      </c>
      <c r="J734" s="209" t="s">
        <v>403</v>
      </c>
      <c r="K734" s="210" t="s">
        <v>2</v>
      </c>
      <c r="L734" s="455">
        <f>Instalações!H75</f>
        <v>78</v>
      </c>
      <c r="M734" s="455">
        <v>2000</v>
      </c>
      <c r="N734" s="285">
        <f t="shared" si="186"/>
        <v>156000</v>
      </c>
      <c r="O734" s="462" t="s">
        <v>4484</v>
      </c>
      <c r="P734" s="213" t="s">
        <v>518</v>
      </c>
      <c r="Q734" s="35"/>
      <c r="R734" s="35"/>
      <c r="S734" s="35"/>
    </row>
    <row r="735" spans="1:19" s="34" customFormat="1" ht="13.9" hidden="1" customHeight="1" outlineLevel="1" x14ac:dyDescent="0.2">
      <c r="A735" s="457">
        <f ca="1">IF($H735="UNIDADE CONSTRUTIVA",OFFSET(A735,-1,0)+1,LARGE(A$3:A734,1))</f>
        <v>0</v>
      </c>
      <c r="B735" s="457">
        <f t="shared" ref="B735:B740" ca="1" si="192">IF(H735="UNIDADE CONSTRUTIVA",0,IF(H735="CÉLULA CONSTRUTIVA",OFFSET(B735,-1,0)+1,OFFSET(B735,-1,0)))</f>
        <v>11</v>
      </c>
      <c r="C735" s="457">
        <f t="shared" ref="C735:C740" ca="1" si="193">IF(H735="CÉLULA CONSTRUTIVA",0,IF(H735="ETAPA",OFFSET(C735,-1,0)+1,OFFSET(C735,-1,0)))</f>
        <v>4</v>
      </c>
      <c r="D735" s="458">
        <f t="shared" ref="D735:D740" ca="1" si="194">IF(H735="ETAPA",0,IF(H735="SUBETAPA",OFFSET(D735,-1,0)+1,OFFSET(D735,-1,0)))</f>
        <v>0</v>
      </c>
      <c r="E735" s="458">
        <f t="shared" ref="E735:E740" ca="1" si="195">IF(H735="Subetapa",0,IF(H735="serviço",OFFSET(E735,-1,0)+1,OFFSET(E735,-1,0)))</f>
        <v>2</v>
      </c>
      <c r="G735" s="206"/>
      <c r="H735" s="207" t="s">
        <v>210</v>
      </c>
      <c r="I735" s="208" t="str">
        <f t="shared" ref="I735:I740" ca="1" si="196">IF(H735="Unidade Construtiva",TEXT(A735,"00"),IF(H735="Célula Construtiva",TEXT(B735,"00"),IF(H735="Etapa",CONCATENATE(TEXT(B735,"00"),".",TEXT(C735,"000")),IF(H735="Subetapa",CONCATENATE(TEXT(B735,"00"),".",TEXT(C735,"000"),".",TEXT(D735,"000")),IF(H735="Serviço",CONCATENATE(TEXT(B735,"00"),".",TEXT(C735,"000"),".",TEXT(D735,"000"),".",TEXT(E735,"000")),"")))))</f>
        <v>11.004</v>
      </c>
      <c r="J735" s="209" t="s">
        <v>972</v>
      </c>
      <c r="K735" s="210"/>
      <c r="L735" s="455"/>
      <c r="M735" s="455"/>
      <c r="N735" s="285">
        <f t="shared" ca="1" si="186"/>
        <v>25440.4041024</v>
      </c>
      <c r="O735" s="462"/>
      <c r="P735" s="213"/>
      <c r="Q735" s="35"/>
      <c r="R735" s="35"/>
      <c r="S735" s="35"/>
    </row>
    <row r="736" spans="1:19" s="34" customFormat="1" ht="13.9" hidden="1" customHeight="1" outlineLevel="1" x14ac:dyDescent="0.2">
      <c r="A736" s="457">
        <f ca="1">IF($H736="UNIDADE CONSTRUTIVA",OFFSET(A736,-1,0)+1,LARGE(A$3:A735,1))</f>
        <v>0</v>
      </c>
      <c r="B736" s="457">
        <f t="shared" ca="1" si="192"/>
        <v>11</v>
      </c>
      <c r="C736" s="457">
        <f t="shared" ca="1" si="193"/>
        <v>4</v>
      </c>
      <c r="D736" s="458">
        <f t="shared" ca="1" si="194"/>
        <v>1</v>
      </c>
      <c r="E736" s="458">
        <f t="shared" ca="1" si="195"/>
        <v>0</v>
      </c>
      <c r="G736" s="206"/>
      <c r="H736" s="207" t="s">
        <v>211</v>
      </c>
      <c r="I736" s="208" t="str">
        <f t="shared" ca="1" si="196"/>
        <v>11.004.001</v>
      </c>
      <c r="J736" s="209" t="s">
        <v>186</v>
      </c>
      <c r="K736" s="210"/>
      <c r="L736" s="455"/>
      <c r="M736" s="455"/>
      <c r="N736" s="285">
        <f t="shared" ca="1" si="186"/>
        <v>12801.204102399999</v>
      </c>
      <c r="O736" s="462"/>
      <c r="P736" s="213"/>
      <c r="Q736" s="35"/>
      <c r="R736" s="35"/>
      <c r="S736" s="35"/>
    </row>
    <row r="737" spans="1:19" s="34" customFormat="1" ht="13.9" hidden="1" customHeight="1" outlineLevel="2" x14ac:dyDescent="0.2">
      <c r="A737" s="457">
        <f ca="1">IF($H737="UNIDADE CONSTRUTIVA",OFFSET(A737,-1,0)+1,LARGE(A$3:A736,1))</f>
        <v>0</v>
      </c>
      <c r="B737" s="457">
        <f t="shared" ca="1" si="192"/>
        <v>11</v>
      </c>
      <c r="C737" s="457">
        <f t="shared" ca="1" si="193"/>
        <v>4</v>
      </c>
      <c r="D737" s="458">
        <f t="shared" ca="1" si="194"/>
        <v>1</v>
      </c>
      <c r="E737" s="458">
        <f t="shared" ca="1" si="195"/>
        <v>1</v>
      </c>
      <c r="G737" s="206"/>
      <c r="H737" s="207" t="s">
        <v>212</v>
      </c>
      <c r="I737" s="208" t="str">
        <f t="shared" ca="1" si="196"/>
        <v>11.004.001.001</v>
      </c>
      <c r="J737" s="209" t="s">
        <v>404</v>
      </c>
      <c r="K737" s="210" t="s">
        <v>151</v>
      </c>
      <c r="L737" s="455">
        <v>1</v>
      </c>
      <c r="M737" s="455">
        <f>CLIMATIZAÇÃO!L61</f>
        <v>12801.204102399999</v>
      </c>
      <c r="N737" s="285">
        <f t="shared" si="186"/>
        <v>12801.204102399999</v>
      </c>
      <c r="O737" s="462"/>
      <c r="P737" s="213" t="s">
        <v>518</v>
      </c>
      <c r="Q737" s="35"/>
      <c r="R737" s="35"/>
      <c r="S737" s="35"/>
    </row>
    <row r="738" spans="1:19" s="34" customFormat="1" ht="13.9" hidden="1" customHeight="1" outlineLevel="1" x14ac:dyDescent="0.2">
      <c r="A738" s="457">
        <f ca="1">IF($H738="UNIDADE CONSTRUTIVA",OFFSET(A738,-1,0)+1,LARGE(A$3:A737,1))</f>
        <v>0</v>
      </c>
      <c r="B738" s="457">
        <f t="shared" ca="1" si="192"/>
        <v>11</v>
      </c>
      <c r="C738" s="457">
        <f t="shared" ca="1" si="193"/>
        <v>4</v>
      </c>
      <c r="D738" s="458">
        <f t="shared" ca="1" si="194"/>
        <v>2</v>
      </c>
      <c r="E738" s="458">
        <f t="shared" ca="1" si="195"/>
        <v>0</v>
      </c>
      <c r="G738" s="206"/>
      <c r="H738" s="207" t="s">
        <v>211</v>
      </c>
      <c r="I738" s="208" t="str">
        <f t="shared" ca="1" si="196"/>
        <v>11.004.002</v>
      </c>
      <c r="J738" s="209" t="s">
        <v>187</v>
      </c>
      <c r="K738" s="210"/>
      <c r="L738" s="455"/>
      <c r="M738" s="455"/>
      <c r="N738" s="285">
        <f t="shared" ca="1" si="186"/>
        <v>12639.2</v>
      </c>
      <c r="O738" s="462"/>
      <c r="P738" s="213"/>
      <c r="Q738" s="35"/>
      <c r="R738" s="35"/>
      <c r="S738" s="35"/>
    </row>
    <row r="739" spans="1:19" s="34" customFormat="1" ht="13.9" hidden="1" customHeight="1" outlineLevel="2" x14ac:dyDescent="0.2">
      <c r="A739" s="457">
        <f ca="1">IF($H739="UNIDADE CONSTRUTIVA",OFFSET(A739,-1,0)+1,LARGE(A$3:A738,1))</f>
        <v>0</v>
      </c>
      <c r="B739" s="457">
        <f t="shared" ca="1" si="192"/>
        <v>11</v>
      </c>
      <c r="C739" s="457">
        <f t="shared" ca="1" si="193"/>
        <v>4</v>
      </c>
      <c r="D739" s="458">
        <f t="shared" ca="1" si="194"/>
        <v>2</v>
      </c>
      <c r="E739" s="458">
        <f t="shared" ca="1" si="195"/>
        <v>1</v>
      </c>
      <c r="G739" s="206"/>
      <c r="H739" s="207" t="s">
        <v>212</v>
      </c>
      <c r="I739" s="208" t="str">
        <f t="shared" ca="1" si="196"/>
        <v>11.004.002.001</v>
      </c>
      <c r="J739" s="209" t="s">
        <v>400</v>
      </c>
      <c r="K739" s="210" t="s">
        <v>2</v>
      </c>
      <c r="L739" s="455">
        <f>CLIMATIZAÇÃO!I86</f>
        <v>2</v>
      </c>
      <c r="M739" s="455">
        <f>CLIMATIZAÇÃO!K86+CLIMATIZAÇÃO!K87</f>
        <v>319.59999999999997</v>
      </c>
      <c r="N739" s="285">
        <f t="shared" si="186"/>
        <v>639.19999999999993</v>
      </c>
      <c r="O739" s="462"/>
      <c r="P739" s="213" t="s">
        <v>518</v>
      </c>
      <c r="Q739" s="35"/>
      <c r="R739" s="35"/>
      <c r="S739" s="35"/>
    </row>
    <row r="740" spans="1:19" s="34" customFormat="1" ht="13.9" hidden="1" customHeight="1" outlineLevel="2" x14ac:dyDescent="0.2">
      <c r="A740" s="457">
        <f ca="1">IF($H740="UNIDADE CONSTRUTIVA",OFFSET(A740,-1,0)+1,LARGE(A$3:A739,1))</f>
        <v>0</v>
      </c>
      <c r="B740" s="457">
        <f t="shared" ca="1" si="192"/>
        <v>11</v>
      </c>
      <c r="C740" s="457">
        <f t="shared" ca="1" si="193"/>
        <v>4</v>
      </c>
      <c r="D740" s="458">
        <f t="shared" ca="1" si="194"/>
        <v>2</v>
      </c>
      <c r="E740" s="458">
        <f t="shared" ca="1" si="195"/>
        <v>2</v>
      </c>
      <c r="G740" s="206"/>
      <c r="H740" s="207" t="s">
        <v>212</v>
      </c>
      <c r="I740" s="208" t="str">
        <f t="shared" ca="1" si="196"/>
        <v>11.004.002.002</v>
      </c>
      <c r="J740" s="209" t="s">
        <v>403</v>
      </c>
      <c r="K740" s="210" t="s">
        <v>2</v>
      </c>
      <c r="L740" s="455">
        <f>Instalações!I75</f>
        <v>6</v>
      </c>
      <c r="M740" s="455">
        <v>2000</v>
      </c>
      <c r="N740" s="285">
        <f t="shared" si="186"/>
        <v>12000</v>
      </c>
      <c r="O740" s="462" t="s">
        <v>4484</v>
      </c>
      <c r="P740" s="213" t="s">
        <v>518</v>
      </c>
      <c r="Q740" s="35"/>
      <c r="R740" s="35"/>
      <c r="S740" s="35"/>
    </row>
    <row r="741" spans="1:19" s="34" customFormat="1" ht="13.9" hidden="1" customHeight="1" outlineLevel="1" x14ac:dyDescent="0.2">
      <c r="A741" s="457">
        <f ca="1">IF($H741="UNIDADE CONSTRUTIVA",OFFSET(A741,-1,0)+1,LARGE(A$3:A740,1))</f>
        <v>0</v>
      </c>
      <c r="B741" s="457">
        <f t="shared" ref="B741:B746" ca="1" si="197">IF(H741="UNIDADE CONSTRUTIVA",0,IF(H741="CÉLULA CONSTRUTIVA",OFFSET(B741,-1,0)+1,OFFSET(B741,-1,0)))</f>
        <v>11</v>
      </c>
      <c r="C741" s="457">
        <f t="shared" ref="C741:C746" ca="1" si="198">IF(H741="CÉLULA CONSTRUTIVA",0,IF(H741="ETAPA",OFFSET(C741,-1,0)+1,OFFSET(C741,-1,0)))</f>
        <v>5</v>
      </c>
      <c r="D741" s="458">
        <f t="shared" ref="D741:D746" ca="1" si="199">IF(H741="ETAPA",0,IF(H741="SUBETAPA",OFFSET(D741,-1,0)+1,OFFSET(D741,-1,0)))</f>
        <v>0</v>
      </c>
      <c r="E741" s="458">
        <f t="shared" ref="E741:E746" ca="1" si="200">IF(H741="Subetapa",0,IF(H741="serviço",OFFSET(E741,-1,0)+1,OFFSET(E741,-1,0)))</f>
        <v>2</v>
      </c>
      <c r="G741" s="206"/>
      <c r="H741" s="207" t="s">
        <v>210</v>
      </c>
      <c r="I741" s="208" t="str">
        <f t="shared" ref="I741:I746" ca="1" si="201">IF(H741="Unidade Construtiva",TEXT(A741,"00"),IF(H741="Célula Construtiva",TEXT(B741,"00"),IF(H741="Etapa",CONCATENATE(TEXT(B741,"00"),".",TEXT(C741,"000")),IF(H741="Subetapa",CONCATENATE(TEXT(B741,"00"),".",TEXT(C741,"000"),".",TEXT(D741,"000")),IF(H741="Serviço",CONCATENATE(TEXT(B741,"00"),".",TEXT(C741,"000"),".",TEXT(D741,"000"),".",TEXT(E741,"000")),"")))))</f>
        <v>11.005</v>
      </c>
      <c r="J741" s="209" t="s">
        <v>973</v>
      </c>
      <c r="K741" s="210"/>
      <c r="L741" s="455"/>
      <c r="M741" s="455"/>
      <c r="N741" s="285">
        <f t="shared" ca="1" si="186"/>
        <v>15462.6343892</v>
      </c>
      <c r="O741" s="462"/>
      <c r="P741" s="213"/>
      <c r="Q741" s="35"/>
      <c r="R741" s="35"/>
      <c r="S741" s="35"/>
    </row>
    <row r="742" spans="1:19" s="34" customFormat="1" ht="13.9" hidden="1" customHeight="1" outlineLevel="1" x14ac:dyDescent="0.2">
      <c r="A742" s="457">
        <f ca="1">IF($H742="UNIDADE CONSTRUTIVA",OFFSET(A742,-1,0)+1,LARGE(A$3:A741,1))</f>
        <v>0</v>
      </c>
      <c r="B742" s="457">
        <f t="shared" ca="1" si="197"/>
        <v>11</v>
      </c>
      <c r="C742" s="457">
        <f t="shared" ca="1" si="198"/>
        <v>5</v>
      </c>
      <c r="D742" s="458">
        <f t="shared" ca="1" si="199"/>
        <v>1</v>
      </c>
      <c r="E742" s="458">
        <f t="shared" ca="1" si="200"/>
        <v>0</v>
      </c>
      <c r="G742" s="206"/>
      <c r="H742" s="207" t="s">
        <v>211</v>
      </c>
      <c r="I742" s="208" t="str">
        <f t="shared" ca="1" si="201"/>
        <v>11.005.001</v>
      </c>
      <c r="J742" s="209" t="s">
        <v>186</v>
      </c>
      <c r="K742" s="210"/>
      <c r="L742" s="455"/>
      <c r="M742" s="455"/>
      <c r="N742" s="285">
        <f t="shared" ca="1" si="186"/>
        <v>6823.4343891999997</v>
      </c>
      <c r="O742" s="462"/>
      <c r="P742" s="213"/>
      <c r="Q742" s="35"/>
      <c r="R742" s="35"/>
      <c r="S742" s="35"/>
    </row>
    <row r="743" spans="1:19" s="34" customFormat="1" ht="13.9" hidden="1" customHeight="1" outlineLevel="2" x14ac:dyDescent="0.2">
      <c r="A743" s="457">
        <f ca="1">IF($H743="UNIDADE CONSTRUTIVA",OFFSET(A743,-1,0)+1,LARGE(A$3:A742,1))</f>
        <v>0</v>
      </c>
      <c r="B743" s="457">
        <f t="shared" ca="1" si="197"/>
        <v>11</v>
      </c>
      <c r="C743" s="457">
        <f t="shared" ca="1" si="198"/>
        <v>5</v>
      </c>
      <c r="D743" s="458">
        <f t="shared" ca="1" si="199"/>
        <v>1</v>
      </c>
      <c r="E743" s="458">
        <f t="shared" ca="1" si="200"/>
        <v>1</v>
      </c>
      <c r="G743" s="206"/>
      <c r="H743" s="207" t="s">
        <v>212</v>
      </c>
      <c r="I743" s="208" t="str">
        <f t="shared" ca="1" si="201"/>
        <v>11.005.001.001</v>
      </c>
      <c r="J743" s="209" t="s">
        <v>404</v>
      </c>
      <c r="K743" s="210" t="s">
        <v>151</v>
      </c>
      <c r="L743" s="455">
        <v>1</v>
      </c>
      <c r="M743" s="455">
        <f>CLIMATIZAÇÃO!L75</f>
        <v>6823.4343891999997</v>
      </c>
      <c r="N743" s="285">
        <f t="shared" si="186"/>
        <v>6823.4343891999997</v>
      </c>
      <c r="O743" s="462"/>
      <c r="P743" s="213" t="s">
        <v>518</v>
      </c>
      <c r="Q743" s="35"/>
      <c r="R743" s="35"/>
      <c r="S743" s="35"/>
    </row>
    <row r="744" spans="1:19" s="34" customFormat="1" ht="13.9" hidden="1" customHeight="1" outlineLevel="1" x14ac:dyDescent="0.2">
      <c r="A744" s="457">
        <f ca="1">IF($H744="UNIDADE CONSTRUTIVA",OFFSET(A744,-1,0)+1,LARGE(A$3:A743,1))</f>
        <v>0</v>
      </c>
      <c r="B744" s="457">
        <f t="shared" ca="1" si="197"/>
        <v>11</v>
      </c>
      <c r="C744" s="457">
        <f t="shared" ca="1" si="198"/>
        <v>5</v>
      </c>
      <c r="D744" s="458">
        <f t="shared" ca="1" si="199"/>
        <v>2</v>
      </c>
      <c r="E744" s="458">
        <f t="shared" ca="1" si="200"/>
        <v>0</v>
      </c>
      <c r="G744" s="206"/>
      <c r="H744" s="207" t="s">
        <v>211</v>
      </c>
      <c r="I744" s="208" t="str">
        <f t="shared" ca="1" si="201"/>
        <v>11.005.002</v>
      </c>
      <c r="J744" s="209" t="s">
        <v>187</v>
      </c>
      <c r="K744" s="210"/>
      <c r="L744" s="455"/>
      <c r="M744" s="455"/>
      <c r="N744" s="285">
        <f t="shared" ca="1" si="186"/>
        <v>8639.2000000000007</v>
      </c>
      <c r="O744" s="462"/>
      <c r="P744" s="213"/>
      <c r="Q744" s="35"/>
      <c r="R744" s="35"/>
      <c r="S744" s="35"/>
    </row>
    <row r="745" spans="1:19" s="34" customFormat="1" ht="13.9" hidden="1" customHeight="1" outlineLevel="2" x14ac:dyDescent="0.2">
      <c r="A745" s="457">
        <f ca="1">IF($H745="UNIDADE CONSTRUTIVA",OFFSET(A745,-1,0)+1,LARGE(A$3:A744,1))</f>
        <v>0</v>
      </c>
      <c r="B745" s="457">
        <f t="shared" ca="1" si="197"/>
        <v>11</v>
      </c>
      <c r="C745" s="457">
        <f t="shared" ca="1" si="198"/>
        <v>5</v>
      </c>
      <c r="D745" s="458">
        <f t="shared" ca="1" si="199"/>
        <v>2</v>
      </c>
      <c r="E745" s="458">
        <f t="shared" ca="1" si="200"/>
        <v>1</v>
      </c>
      <c r="G745" s="206"/>
      <c r="H745" s="207" t="s">
        <v>212</v>
      </c>
      <c r="I745" s="208" t="str">
        <f t="shared" ca="1" si="201"/>
        <v>11.005.002.001</v>
      </c>
      <c r="J745" s="209" t="s">
        <v>400</v>
      </c>
      <c r="K745" s="210" t="s">
        <v>2</v>
      </c>
      <c r="L745" s="455">
        <f>CLIMATIZAÇÃO!I90</f>
        <v>2</v>
      </c>
      <c r="M745" s="455">
        <f>CLIMATIZAÇÃO!K89+CLIMATIZAÇÃO!K90</f>
        <v>319.59999999999997</v>
      </c>
      <c r="N745" s="285">
        <f t="shared" si="186"/>
        <v>639.19999999999993</v>
      </c>
      <c r="O745" s="462"/>
      <c r="P745" s="213" t="s">
        <v>518</v>
      </c>
      <c r="Q745" s="35"/>
      <c r="R745" s="35"/>
      <c r="S745" s="35"/>
    </row>
    <row r="746" spans="1:19" s="34" customFormat="1" ht="13.9" hidden="1" customHeight="1" outlineLevel="2" x14ac:dyDescent="0.2">
      <c r="A746" s="457">
        <f ca="1">IF($H746="UNIDADE CONSTRUTIVA",OFFSET(A746,-1,0)+1,LARGE(A$3:A745,1))</f>
        <v>0</v>
      </c>
      <c r="B746" s="457">
        <f t="shared" ca="1" si="197"/>
        <v>11</v>
      </c>
      <c r="C746" s="457">
        <f t="shared" ca="1" si="198"/>
        <v>5</v>
      </c>
      <c r="D746" s="458">
        <f t="shared" ca="1" si="199"/>
        <v>2</v>
      </c>
      <c r="E746" s="458">
        <f t="shared" ca="1" si="200"/>
        <v>2</v>
      </c>
      <c r="G746" s="206"/>
      <c r="H746" s="207" t="s">
        <v>212</v>
      </c>
      <c r="I746" s="208" t="str">
        <f t="shared" ca="1" si="201"/>
        <v>11.005.002.002</v>
      </c>
      <c r="J746" s="209" t="s">
        <v>403</v>
      </c>
      <c r="K746" s="210" t="s">
        <v>2</v>
      </c>
      <c r="L746" s="455">
        <f>Instalações!J75</f>
        <v>4</v>
      </c>
      <c r="M746" s="455">
        <v>2000</v>
      </c>
      <c r="N746" s="285">
        <f t="shared" si="186"/>
        <v>8000</v>
      </c>
      <c r="O746" s="462" t="s">
        <v>4484</v>
      </c>
      <c r="P746" s="213" t="s">
        <v>518</v>
      </c>
      <c r="Q746" s="35"/>
      <c r="R746" s="35"/>
      <c r="S746" s="35"/>
    </row>
    <row r="747" spans="1:19" s="34" customFormat="1" ht="13.9" customHeight="1" collapsed="1" x14ac:dyDescent="0.2">
      <c r="A747" s="457">
        <f ca="1">IF($H747="UNIDADE CONSTRUTIVA",OFFSET(A747,-1,0)+1,LARGE(A$3:A746,1))</f>
        <v>0</v>
      </c>
      <c r="B747" s="457">
        <f t="shared" ca="1" si="154"/>
        <v>12</v>
      </c>
      <c r="C747" s="457">
        <f t="shared" ca="1" si="155"/>
        <v>0</v>
      </c>
      <c r="D747" s="458">
        <f t="shared" ca="1" si="156"/>
        <v>2</v>
      </c>
      <c r="E747" s="458">
        <f t="shared" ca="1" si="157"/>
        <v>2</v>
      </c>
      <c r="G747" s="206"/>
      <c r="H747" s="207" t="s">
        <v>209</v>
      </c>
      <c r="I747" s="208" t="str">
        <f t="shared" ca="1" si="185"/>
        <v>12</v>
      </c>
      <c r="J747" s="209" t="s">
        <v>552</v>
      </c>
      <c r="K747" s="210"/>
      <c r="L747" s="455"/>
      <c r="M747" s="455"/>
      <c r="N747" s="285">
        <f t="shared" ca="1" si="186"/>
        <v>1655202.6570589996</v>
      </c>
      <c r="O747" s="462"/>
      <c r="P747" s="213"/>
      <c r="Q747" s="463"/>
      <c r="R747" s="463"/>
      <c r="S747" s="35"/>
    </row>
    <row r="748" spans="1:19" s="34" customFormat="1" ht="13.9" hidden="1" customHeight="1" outlineLevel="1" x14ac:dyDescent="0.2">
      <c r="A748" s="457">
        <f ca="1">IF($H748="UNIDADE CONSTRUTIVA",OFFSET(A748,-1,0)+1,LARGE(A$3:A747,1))</f>
        <v>0</v>
      </c>
      <c r="B748" s="457">
        <f t="shared" ca="1" si="154"/>
        <v>12</v>
      </c>
      <c r="C748" s="457">
        <f t="shared" ca="1" si="155"/>
        <v>1</v>
      </c>
      <c r="D748" s="458">
        <f t="shared" ca="1" si="156"/>
        <v>0</v>
      </c>
      <c r="E748" s="458">
        <f t="shared" ca="1" si="157"/>
        <v>2</v>
      </c>
      <c r="G748" s="206"/>
      <c r="H748" s="207" t="s">
        <v>210</v>
      </c>
      <c r="I748" s="208" t="str">
        <f t="shared" ca="1" si="185"/>
        <v>12.001</v>
      </c>
      <c r="J748" s="209" t="s">
        <v>985</v>
      </c>
      <c r="K748" s="210"/>
      <c r="L748" s="455"/>
      <c r="M748" s="455"/>
      <c r="N748" s="285">
        <f ca="1">IF(H748="Serviço",M748*L748,IF(H748="CÉLULA CONSTRUTIVA",SUMIFS($N$8:$N$1644,$B$8:$B$1644,B748,$H$8:$H$1644,"Serviço"),IF(H748="ETAPA",SUMIFS($N$8:$N$1644,$B$8:$B$1644,B748,$C$8:$C$1644,C748,$H$8:$H$1644,"Serviço"),IF(H748="SUBETAPA",SUMIFS($N$8:$N$1644,$B$8:$B$1644,B748,$C$8:$C$1644,C748,$D$8:$D$1644,D748,$H$8:$H$1644,"Serviço"),0))))</f>
        <v>62527.978649999997</v>
      </c>
      <c r="O748" s="462"/>
      <c r="P748" s="213"/>
      <c r="Q748" s="35"/>
      <c r="R748" s="35"/>
      <c r="S748" s="35"/>
    </row>
    <row r="749" spans="1:19" s="34" customFormat="1" ht="13.9" hidden="1" customHeight="1" outlineLevel="1" x14ac:dyDescent="0.2">
      <c r="A749" s="457">
        <f ca="1">IF($H749="UNIDADE CONSTRUTIVA",OFFSET(A749,-1,0)+1,LARGE(A$3:A748,1))</f>
        <v>0</v>
      </c>
      <c r="B749" s="457">
        <f t="shared" ca="1" si="154"/>
        <v>12</v>
      </c>
      <c r="C749" s="457">
        <f t="shared" ca="1" si="155"/>
        <v>1</v>
      </c>
      <c r="D749" s="458">
        <f t="shared" ca="1" si="156"/>
        <v>1</v>
      </c>
      <c r="E749" s="458">
        <f t="shared" ca="1" si="157"/>
        <v>0</v>
      </c>
      <c r="G749" s="206"/>
      <c r="H749" s="207" t="s">
        <v>211</v>
      </c>
      <c r="I749" s="208" t="str">
        <f t="shared" ca="1" si="185"/>
        <v>12.001.001</v>
      </c>
      <c r="J749" s="209" t="s">
        <v>417</v>
      </c>
      <c r="K749" s="210"/>
      <c r="L749" s="455"/>
      <c r="M749" s="455"/>
      <c r="N749" s="285">
        <f ca="1">IF(H749="Serviço",M749*L749,IF(H749="CÉLULA CONSTRUTIVA",SUMIFS($N$8:$N$1644,$B$8:$B$1644,B749,$H$8:$H$1644,"Serviço"),IF(H749="ETAPA",SUMIFS($N$8:$N$1644,$B$8:$B$1644,B749,$C$8:$C$1644,C749,$H$8:$H$1644,"Serviço"),IF(H749="SUBETAPA",SUMIFS($N$8:$N$1644,$B$8:$B$1644,B749,$C$8:$C$1644,C749,$D$8:$D$1644,D749,$H$8:$H$1644,"Serviço"),0))))</f>
        <v>3480.3512099999998</v>
      </c>
      <c r="O749" s="462"/>
      <c r="P749" s="213"/>
      <c r="Q749" s="35"/>
      <c r="R749" s="35"/>
      <c r="S749" s="35"/>
    </row>
    <row r="750" spans="1:19" s="34" customFormat="1" ht="13.9" hidden="1" customHeight="1" outlineLevel="2" x14ac:dyDescent="0.2">
      <c r="A750" s="457">
        <f ca="1">IF($H750="UNIDADE CONSTRUTIVA",OFFSET(A750,-1,0)+1,LARGE(A$3:A749,1))</f>
        <v>0</v>
      </c>
      <c r="B750" s="457">
        <f t="shared" ca="1" si="154"/>
        <v>12</v>
      </c>
      <c r="C750" s="457">
        <f t="shared" ca="1" si="155"/>
        <v>1</v>
      </c>
      <c r="D750" s="458">
        <f t="shared" ca="1" si="156"/>
        <v>1</v>
      </c>
      <c r="E750" s="458">
        <f t="shared" ca="1" si="157"/>
        <v>1</v>
      </c>
      <c r="G750" s="206"/>
      <c r="H750" s="207" t="s">
        <v>212</v>
      </c>
      <c r="I750" s="208" t="str">
        <f t="shared" ca="1" si="185"/>
        <v>12.001.001.001</v>
      </c>
      <c r="J750" s="469" t="s">
        <v>986</v>
      </c>
      <c r="K750" s="210" t="s">
        <v>1</v>
      </c>
      <c r="L750" s="455">
        <f>Arquitetura!D380</f>
        <v>217.95</v>
      </c>
      <c r="M750" s="455">
        <v>8.3789999999999996</v>
      </c>
      <c r="N750" s="285">
        <f>L750*M750</f>
        <v>1826.2030499999998</v>
      </c>
      <c r="O750" s="462"/>
      <c r="P750" s="213" t="s">
        <v>518</v>
      </c>
      <c r="Q750" s="35"/>
      <c r="R750" s="35"/>
      <c r="S750" s="35"/>
    </row>
    <row r="751" spans="1:19" s="34" customFormat="1" ht="13.9" hidden="1" customHeight="1" outlineLevel="2" x14ac:dyDescent="0.2">
      <c r="A751" s="457">
        <f ca="1">IF($H751="UNIDADE CONSTRUTIVA",OFFSET(A751,-1,0)+1,LARGE(A$3:A750,1))</f>
        <v>0</v>
      </c>
      <c r="B751" s="457">
        <f t="shared" ca="1" si="154"/>
        <v>12</v>
      </c>
      <c r="C751" s="457">
        <f t="shared" ca="1" si="155"/>
        <v>1</v>
      </c>
      <c r="D751" s="458">
        <f t="shared" ca="1" si="156"/>
        <v>1</v>
      </c>
      <c r="E751" s="458">
        <f t="shared" ca="1" si="157"/>
        <v>2</v>
      </c>
      <c r="G751" s="206"/>
      <c r="H751" s="207" t="s">
        <v>212</v>
      </c>
      <c r="I751" s="208" t="str">
        <f t="shared" ca="1" si="185"/>
        <v>12.001.001.002</v>
      </c>
      <c r="J751" s="469" t="s">
        <v>979</v>
      </c>
      <c r="K751" s="210" t="s">
        <v>1</v>
      </c>
      <c r="L751" s="455">
        <f>Arquitetura!D379</f>
        <v>820.51</v>
      </c>
      <c r="M751" s="455">
        <v>2.016</v>
      </c>
      <c r="N751" s="285">
        <f t="shared" ref="N751:N765" si="202">IF(H751="Serviço",M751*L751,IF(H751="CÉLULA CONSTRUTIVA",SUMIFS($N$8:$N$1644,$B$8:$B$1644,B751,$H$8:$H$1644,"Serviço"),IF(H751="ETAPA",SUMIFS($N$8:$N$1644,$B$8:$B$1644,B751,$C$8:$C$1644,C751,$H$8:$H$1644,"Serviço"),IF(H751="SUBETAPA",SUMIFS($N$8:$N$1644,$B$8:$B$1644,B751,$C$8:$C$1644,C751,$D$8:$D$1644,D751,$H$8:$H$1644,"Serviço"),0))))</f>
        <v>1654.14816</v>
      </c>
      <c r="O751" s="462"/>
      <c r="P751" s="213" t="s">
        <v>518</v>
      </c>
      <c r="Q751" s="35"/>
      <c r="R751" s="35"/>
      <c r="S751" s="35"/>
    </row>
    <row r="752" spans="1:19" s="34" customFormat="1" ht="13.9" hidden="1" customHeight="1" outlineLevel="1" x14ac:dyDescent="0.2">
      <c r="A752" s="457">
        <f ca="1">IF($H752="UNIDADE CONSTRUTIVA",OFFSET(A752,-1,0)+1,LARGE(A$3:A751,1))</f>
        <v>0</v>
      </c>
      <c r="B752" s="457">
        <f t="shared" ca="1" si="154"/>
        <v>12</v>
      </c>
      <c r="C752" s="457">
        <f t="shared" ca="1" si="155"/>
        <v>1</v>
      </c>
      <c r="D752" s="458">
        <f t="shared" ca="1" si="156"/>
        <v>2</v>
      </c>
      <c r="E752" s="458">
        <f t="shared" ca="1" si="157"/>
        <v>0</v>
      </c>
      <c r="G752" s="206"/>
      <c r="H752" s="207" t="s">
        <v>211</v>
      </c>
      <c r="I752" s="208" t="str">
        <f t="shared" ca="1" si="185"/>
        <v>12.001.002</v>
      </c>
      <c r="J752" s="209" t="s">
        <v>418</v>
      </c>
      <c r="K752" s="210"/>
      <c r="L752" s="455"/>
      <c r="M752" s="455"/>
      <c r="N752" s="285">
        <f t="shared" ca="1" si="202"/>
        <v>11468.4774</v>
      </c>
      <c r="O752" s="462"/>
      <c r="P752" s="213"/>
      <c r="Q752" s="35"/>
      <c r="R752" s="35"/>
      <c r="S752" s="35"/>
    </row>
    <row r="753" spans="1:19" s="34" customFormat="1" ht="13.9" hidden="1" customHeight="1" outlineLevel="2" x14ac:dyDescent="0.2">
      <c r="A753" s="457">
        <f ca="1">IF($H753="UNIDADE CONSTRUTIVA",OFFSET(A753,-1,0)+1,LARGE(A$3:A752,1))</f>
        <v>0</v>
      </c>
      <c r="B753" s="457">
        <f t="shared" ca="1" si="154"/>
        <v>12</v>
      </c>
      <c r="C753" s="457">
        <f t="shared" ca="1" si="155"/>
        <v>1</v>
      </c>
      <c r="D753" s="458">
        <f t="shared" ca="1" si="156"/>
        <v>2</v>
      </c>
      <c r="E753" s="458">
        <f t="shared" ca="1" si="157"/>
        <v>1</v>
      </c>
      <c r="G753" s="206"/>
      <c r="H753" s="207" t="s">
        <v>212</v>
      </c>
      <c r="I753" s="208" t="str">
        <f t="shared" ca="1" si="185"/>
        <v>12.001.002.001</v>
      </c>
      <c r="J753" s="209" t="s">
        <v>1244</v>
      </c>
      <c r="K753" s="210" t="s">
        <v>1</v>
      </c>
      <c r="L753" s="455">
        <f>Arquitetura!D446</f>
        <v>1038.46</v>
      </c>
      <c r="M753" s="455">
        <v>9.5399999999999991</v>
      </c>
      <c r="N753" s="285">
        <f t="shared" si="202"/>
        <v>9906.9084000000003</v>
      </c>
      <c r="O753" s="462"/>
      <c r="P753" s="213" t="s">
        <v>518</v>
      </c>
      <c r="Q753" s="470"/>
      <c r="R753" s="470"/>
      <c r="S753" s="35"/>
    </row>
    <row r="754" spans="1:19" s="34" customFormat="1" ht="13.9" hidden="1" customHeight="1" outlineLevel="2" x14ac:dyDescent="0.2">
      <c r="A754" s="457">
        <f ca="1">IF($H754="UNIDADE CONSTRUTIVA",OFFSET(A754,-1,0)+1,LARGE(A$3:A753,1))</f>
        <v>0</v>
      </c>
      <c r="B754" s="457">
        <f t="shared" ca="1" si="154"/>
        <v>12</v>
      </c>
      <c r="C754" s="457">
        <f t="shared" ca="1" si="155"/>
        <v>1</v>
      </c>
      <c r="D754" s="458">
        <f t="shared" ca="1" si="156"/>
        <v>2</v>
      </c>
      <c r="E754" s="458">
        <f t="shared" ca="1" si="157"/>
        <v>2</v>
      </c>
      <c r="G754" s="206"/>
      <c r="H754" s="207" t="s">
        <v>212</v>
      </c>
      <c r="I754" s="208" t="str">
        <f t="shared" ca="1" si="185"/>
        <v>12.001.002.002</v>
      </c>
      <c r="J754" s="209" t="s">
        <v>419</v>
      </c>
      <c r="K754" s="210" t="s">
        <v>1</v>
      </c>
      <c r="L754" s="455">
        <f>Arquitetura!D493</f>
        <v>306.19</v>
      </c>
      <c r="M754" s="455">
        <v>5.0999999999999996</v>
      </c>
      <c r="N754" s="285">
        <f t="shared" si="202"/>
        <v>1561.569</v>
      </c>
      <c r="O754" s="462"/>
      <c r="P754" s="213" t="s">
        <v>518</v>
      </c>
      <c r="Q754" s="35"/>
      <c r="R754" s="35"/>
      <c r="S754" s="35"/>
    </row>
    <row r="755" spans="1:19" s="34" customFormat="1" ht="13.9" hidden="1" customHeight="1" outlineLevel="1" x14ac:dyDescent="0.2">
      <c r="A755" s="457">
        <f ca="1">IF($H755="UNIDADE CONSTRUTIVA",OFFSET(A755,-1,0)+1,LARGE(A$3:A754,1))</f>
        <v>0</v>
      </c>
      <c r="B755" s="457">
        <f t="shared" ca="1" si="154"/>
        <v>12</v>
      </c>
      <c r="C755" s="457">
        <f t="shared" ca="1" si="155"/>
        <v>1</v>
      </c>
      <c r="D755" s="458">
        <f t="shared" ca="1" si="156"/>
        <v>3</v>
      </c>
      <c r="E755" s="458">
        <f t="shared" ca="1" si="157"/>
        <v>0</v>
      </c>
      <c r="G755" s="206"/>
      <c r="H755" s="207" t="s">
        <v>211</v>
      </c>
      <c r="I755" s="208" t="str">
        <f t="shared" ca="1" si="185"/>
        <v>12.001.003</v>
      </c>
      <c r="J755" s="209" t="s">
        <v>423</v>
      </c>
      <c r="K755" s="210"/>
      <c r="L755" s="455"/>
      <c r="M755" s="455"/>
      <c r="N755" s="285">
        <f t="shared" ca="1" si="202"/>
        <v>1249.4111399999999</v>
      </c>
      <c r="O755" s="462"/>
      <c r="P755" s="213"/>
      <c r="Q755" s="35"/>
      <c r="R755" s="35"/>
      <c r="S755" s="35"/>
    </row>
    <row r="756" spans="1:19" s="34" customFormat="1" ht="13.9" hidden="1" customHeight="1" outlineLevel="2" x14ac:dyDescent="0.2">
      <c r="A756" s="457">
        <f ca="1">IF($H756="UNIDADE CONSTRUTIVA",OFFSET(A756,-1,0)+1,LARGE(A$3:A755,1))</f>
        <v>0</v>
      </c>
      <c r="B756" s="457">
        <f t="shared" ca="1" si="154"/>
        <v>12</v>
      </c>
      <c r="C756" s="457">
        <f t="shared" ca="1" si="155"/>
        <v>1</v>
      </c>
      <c r="D756" s="458">
        <f t="shared" ca="1" si="156"/>
        <v>3</v>
      </c>
      <c r="E756" s="458">
        <f t="shared" ca="1" si="157"/>
        <v>1</v>
      </c>
      <c r="G756" s="206"/>
      <c r="H756" s="207" t="s">
        <v>212</v>
      </c>
      <c r="I756" s="208" t="str">
        <f t="shared" ca="1" si="185"/>
        <v>12.001.003.001</v>
      </c>
      <c r="J756" s="209" t="s">
        <v>4180</v>
      </c>
      <c r="K756" s="210" t="s">
        <v>1</v>
      </c>
      <c r="L756" s="455">
        <f>Arquitetura!D540</f>
        <v>21.24</v>
      </c>
      <c r="M756" s="455">
        <v>58.823500000000003</v>
      </c>
      <c r="N756" s="285">
        <f t="shared" si="202"/>
        <v>1249.4111399999999</v>
      </c>
      <c r="O756" s="462" t="s">
        <v>987</v>
      </c>
      <c r="P756" s="213" t="s">
        <v>518</v>
      </c>
      <c r="Q756" s="35"/>
      <c r="R756" s="35"/>
      <c r="S756" s="35"/>
    </row>
    <row r="757" spans="1:19" s="34" customFormat="1" ht="13.9" hidden="1" customHeight="1" outlineLevel="1" x14ac:dyDescent="0.2">
      <c r="A757" s="457">
        <f ca="1">IF($H757="UNIDADE CONSTRUTIVA",OFFSET(A757,-1,0)+1,LARGE(A$3:A756,1))</f>
        <v>0</v>
      </c>
      <c r="B757" s="457">
        <f t="shared" ca="1" si="154"/>
        <v>12</v>
      </c>
      <c r="C757" s="457">
        <f t="shared" ca="1" si="155"/>
        <v>1</v>
      </c>
      <c r="D757" s="458">
        <f t="shared" ca="1" si="156"/>
        <v>4</v>
      </c>
      <c r="E757" s="458">
        <f t="shared" ca="1" si="157"/>
        <v>0</v>
      </c>
      <c r="G757" s="206"/>
      <c r="H757" s="207" t="s">
        <v>211</v>
      </c>
      <c r="I757" s="208" t="str">
        <f t="shared" ca="1" si="185"/>
        <v>12.001.004</v>
      </c>
      <c r="J757" s="209" t="s">
        <v>424</v>
      </c>
      <c r="K757" s="210"/>
      <c r="L757" s="455"/>
      <c r="M757" s="455"/>
      <c r="N757" s="285">
        <f t="shared" ca="1" si="202"/>
        <v>113.7189</v>
      </c>
      <c r="O757" s="462"/>
      <c r="P757" s="213"/>
      <c r="Q757" s="35"/>
      <c r="R757" s="35"/>
      <c r="S757" s="35"/>
    </row>
    <row r="758" spans="1:19" s="34" customFormat="1" ht="13.9" hidden="1" customHeight="1" outlineLevel="2" x14ac:dyDescent="0.2">
      <c r="A758" s="457">
        <f ca="1">IF($H758="UNIDADE CONSTRUTIVA",OFFSET(A758,-1,0)+1,LARGE(A$3:A757,1))</f>
        <v>0</v>
      </c>
      <c r="B758" s="457">
        <f t="shared" ca="1" si="154"/>
        <v>12</v>
      </c>
      <c r="C758" s="457">
        <f t="shared" ca="1" si="155"/>
        <v>1</v>
      </c>
      <c r="D758" s="458">
        <f t="shared" ca="1" si="156"/>
        <v>4</v>
      </c>
      <c r="E758" s="458">
        <f t="shared" ca="1" si="157"/>
        <v>1</v>
      </c>
      <c r="G758" s="206"/>
      <c r="H758" s="207" t="s">
        <v>212</v>
      </c>
      <c r="I758" s="208" t="str">
        <f t="shared" ca="1" si="185"/>
        <v>12.001.004.001</v>
      </c>
      <c r="J758" s="209" t="s">
        <v>426</v>
      </c>
      <c r="K758" s="210" t="s">
        <v>1</v>
      </c>
      <c r="L758" s="455">
        <f>Arquitetura!D576</f>
        <v>0.23</v>
      </c>
      <c r="M758" s="455">
        <v>494.43</v>
      </c>
      <c r="N758" s="285">
        <f t="shared" si="202"/>
        <v>113.7189</v>
      </c>
      <c r="O758" s="462"/>
      <c r="P758" s="213" t="s">
        <v>518</v>
      </c>
      <c r="Q758" s="35"/>
      <c r="R758" s="35"/>
      <c r="S758" s="35"/>
    </row>
    <row r="759" spans="1:19" s="34" customFormat="1" ht="13.9" hidden="1" customHeight="1" outlineLevel="1" x14ac:dyDescent="0.2">
      <c r="A759" s="457">
        <f ca="1">IF($H759="UNIDADE CONSTRUTIVA",OFFSET(A759,-1,0)+1,LARGE(A$3:A758,1))</f>
        <v>0</v>
      </c>
      <c r="B759" s="457">
        <f t="shared" ca="1" si="154"/>
        <v>12</v>
      </c>
      <c r="C759" s="457">
        <f t="shared" ca="1" si="155"/>
        <v>1</v>
      </c>
      <c r="D759" s="458">
        <f t="shared" ca="1" si="156"/>
        <v>5</v>
      </c>
      <c r="E759" s="458">
        <f t="shared" ca="1" si="157"/>
        <v>0</v>
      </c>
      <c r="G759" s="206"/>
      <c r="H759" s="207" t="s">
        <v>211</v>
      </c>
      <c r="I759" s="208" t="str">
        <f t="shared" ca="1" si="185"/>
        <v>12.001.005</v>
      </c>
      <c r="J759" s="209" t="s">
        <v>425</v>
      </c>
      <c r="K759" s="210"/>
      <c r="L759" s="455"/>
      <c r="M759" s="455"/>
      <c r="N759" s="285">
        <f t="shared" ca="1" si="202"/>
        <v>46216.02</v>
      </c>
      <c r="O759" s="462"/>
      <c r="P759" s="213"/>
      <c r="Q759" s="35"/>
      <c r="R759" s="35"/>
      <c r="S759" s="35"/>
    </row>
    <row r="760" spans="1:19" s="34" customFormat="1" ht="13.9" hidden="1" customHeight="1" outlineLevel="2" x14ac:dyDescent="0.2">
      <c r="A760" s="457">
        <f ca="1">IF($H760="UNIDADE CONSTRUTIVA",OFFSET(A760,-1,0)+1,LARGE(A$3:A759,1))</f>
        <v>0</v>
      </c>
      <c r="B760" s="457">
        <f t="shared" ca="1" si="154"/>
        <v>12</v>
      </c>
      <c r="C760" s="457">
        <f t="shared" ca="1" si="155"/>
        <v>1</v>
      </c>
      <c r="D760" s="458">
        <f t="shared" ca="1" si="156"/>
        <v>5</v>
      </c>
      <c r="E760" s="458">
        <f t="shared" ca="1" si="157"/>
        <v>1</v>
      </c>
      <c r="G760" s="206"/>
      <c r="H760" s="207" t="s">
        <v>212</v>
      </c>
      <c r="I760" s="208" t="str">
        <f t="shared" ca="1" si="185"/>
        <v>12.001.005.001</v>
      </c>
      <c r="J760" s="209" t="s">
        <v>422</v>
      </c>
      <c r="K760" s="210" t="s">
        <v>1</v>
      </c>
      <c r="L760" s="455">
        <f>L753</f>
        <v>1038.46</v>
      </c>
      <c r="M760" s="455">
        <v>36</v>
      </c>
      <c r="N760" s="285">
        <f t="shared" si="202"/>
        <v>37384.559999999998</v>
      </c>
      <c r="O760" s="462"/>
      <c r="P760" s="213" t="s">
        <v>518</v>
      </c>
      <c r="Q760" s="35"/>
      <c r="R760" s="35"/>
      <c r="S760" s="35"/>
    </row>
    <row r="761" spans="1:19" s="34" customFormat="1" ht="13.9" hidden="1" customHeight="1" outlineLevel="2" x14ac:dyDescent="0.2">
      <c r="A761" s="457">
        <f ca="1">IF($H761="UNIDADE CONSTRUTIVA",OFFSET(A761,-1,0)+1,LARGE(A$3:A760,1))</f>
        <v>0</v>
      </c>
      <c r="B761" s="457">
        <f t="shared" ca="1" si="154"/>
        <v>12</v>
      </c>
      <c r="C761" s="457">
        <f t="shared" ca="1" si="155"/>
        <v>1</v>
      </c>
      <c r="D761" s="458">
        <f t="shared" ca="1" si="156"/>
        <v>5</v>
      </c>
      <c r="E761" s="458">
        <f t="shared" ca="1" si="157"/>
        <v>2</v>
      </c>
      <c r="G761" s="206"/>
      <c r="H761" s="207" t="s">
        <v>212</v>
      </c>
      <c r="I761" s="208" t="str">
        <f t="shared" ca="1" si="185"/>
        <v>12.001.005.002</v>
      </c>
      <c r="J761" s="209" t="s">
        <v>988</v>
      </c>
      <c r="K761" s="210" t="s">
        <v>1</v>
      </c>
      <c r="L761" s="455">
        <f>L754</f>
        <v>306.19</v>
      </c>
      <c r="M761" s="455">
        <v>25</v>
      </c>
      <c r="N761" s="285">
        <f t="shared" si="202"/>
        <v>7654.75</v>
      </c>
      <c r="O761" s="462"/>
      <c r="P761" s="213" t="s">
        <v>518</v>
      </c>
      <c r="Q761" s="35"/>
      <c r="R761" s="35"/>
      <c r="S761" s="35"/>
    </row>
    <row r="762" spans="1:19" s="34" customFormat="1" ht="13.9" hidden="1" customHeight="1" outlineLevel="2" x14ac:dyDescent="0.2">
      <c r="A762" s="457">
        <f ca="1">IF($H762="UNIDADE CONSTRUTIVA",OFFSET(A762,-1,0)+1,LARGE(A$3:A761,1))</f>
        <v>0</v>
      </c>
      <c r="B762" s="457">
        <f t="shared" ca="1" si="154"/>
        <v>12</v>
      </c>
      <c r="C762" s="457">
        <f t="shared" ca="1" si="155"/>
        <v>1</v>
      </c>
      <c r="D762" s="458">
        <f t="shared" ca="1" si="156"/>
        <v>5</v>
      </c>
      <c r="E762" s="458">
        <f t="shared" ca="1" si="157"/>
        <v>3</v>
      </c>
      <c r="G762" s="206"/>
      <c r="H762" s="207" t="s">
        <v>212</v>
      </c>
      <c r="I762" s="208" t="str">
        <f t="shared" ca="1" si="185"/>
        <v>12.001.005.003</v>
      </c>
      <c r="J762" s="209" t="s">
        <v>989</v>
      </c>
      <c r="K762" s="210" t="s">
        <v>1</v>
      </c>
      <c r="L762" s="455">
        <f>L756</f>
        <v>21.24</v>
      </c>
      <c r="M762" s="455">
        <v>55</v>
      </c>
      <c r="N762" s="285">
        <f t="shared" si="202"/>
        <v>1168.1999999999998</v>
      </c>
      <c r="O762" s="462"/>
      <c r="P762" s="213" t="s">
        <v>518</v>
      </c>
      <c r="Q762" s="35"/>
      <c r="R762" s="35"/>
      <c r="S762" s="35"/>
    </row>
    <row r="763" spans="1:19" s="34" customFormat="1" ht="13.9" hidden="1" customHeight="1" outlineLevel="2" x14ac:dyDescent="0.2">
      <c r="A763" s="457">
        <f ca="1">IF($H763="UNIDADE CONSTRUTIVA",OFFSET(A763,-1,0)+1,LARGE(A$3:A762,1))</f>
        <v>0</v>
      </c>
      <c r="B763" s="457">
        <f t="shared" ca="1" si="154"/>
        <v>12</v>
      </c>
      <c r="C763" s="457">
        <f t="shared" ca="1" si="155"/>
        <v>1</v>
      </c>
      <c r="D763" s="458">
        <f t="shared" ca="1" si="156"/>
        <v>5</v>
      </c>
      <c r="E763" s="458">
        <f t="shared" ca="1" si="157"/>
        <v>4</v>
      </c>
      <c r="G763" s="206"/>
      <c r="H763" s="207" t="s">
        <v>212</v>
      </c>
      <c r="I763" s="208" t="str">
        <f t="shared" ca="1" si="185"/>
        <v>12.001.005.004</v>
      </c>
      <c r="J763" s="209" t="s">
        <v>427</v>
      </c>
      <c r="K763" s="210" t="s">
        <v>1</v>
      </c>
      <c r="L763" s="455">
        <f>L758</f>
        <v>0.23</v>
      </c>
      <c r="M763" s="455">
        <v>37</v>
      </c>
      <c r="N763" s="285">
        <f t="shared" si="202"/>
        <v>8.51</v>
      </c>
      <c r="O763" s="462"/>
      <c r="P763" s="213" t="s">
        <v>518</v>
      </c>
      <c r="Q763" s="35"/>
      <c r="R763" s="35"/>
      <c r="S763" s="35"/>
    </row>
    <row r="764" spans="1:19" s="34" customFormat="1" ht="13.9" hidden="1" customHeight="1" outlineLevel="1" x14ac:dyDescent="0.2">
      <c r="A764" s="457">
        <f ca="1">IF($H764="UNIDADE CONSTRUTIVA",OFFSET(A764,-1,0)+1,LARGE(A$3:A763,1))</f>
        <v>0</v>
      </c>
      <c r="B764" s="457">
        <f t="shared" ca="1" si="154"/>
        <v>12</v>
      </c>
      <c r="C764" s="457">
        <f t="shared" ca="1" si="155"/>
        <v>2</v>
      </c>
      <c r="D764" s="458">
        <f t="shared" ca="1" si="156"/>
        <v>0</v>
      </c>
      <c r="E764" s="458">
        <f t="shared" ca="1" si="157"/>
        <v>4</v>
      </c>
      <c r="G764" s="206"/>
      <c r="H764" s="207" t="s">
        <v>210</v>
      </c>
      <c r="I764" s="208" t="str">
        <f t="shared" ca="1" si="185"/>
        <v>12.002</v>
      </c>
      <c r="J764" s="209" t="s">
        <v>993</v>
      </c>
      <c r="K764" s="210"/>
      <c r="L764" s="455"/>
      <c r="M764" s="455"/>
      <c r="N764" s="285">
        <f t="shared" ca="1" si="202"/>
        <v>143308.7917</v>
      </c>
      <c r="O764" s="462"/>
      <c r="P764" s="213"/>
      <c r="Q764" s="35"/>
      <c r="R764" s="35"/>
      <c r="S764" s="35"/>
    </row>
    <row r="765" spans="1:19" s="34" customFormat="1" ht="13.9" hidden="1" customHeight="1" outlineLevel="1" x14ac:dyDescent="0.2">
      <c r="A765" s="457">
        <f ca="1">IF($H765="UNIDADE CONSTRUTIVA",OFFSET(A765,-1,0)+1,LARGE(A$3:A764,1))</f>
        <v>0</v>
      </c>
      <c r="B765" s="457">
        <f t="shared" ca="1" si="154"/>
        <v>12</v>
      </c>
      <c r="C765" s="457">
        <f t="shared" ca="1" si="155"/>
        <v>2</v>
      </c>
      <c r="D765" s="458">
        <f t="shared" ca="1" si="156"/>
        <v>1</v>
      </c>
      <c r="E765" s="458">
        <f t="shared" ca="1" si="157"/>
        <v>0</v>
      </c>
      <c r="G765" s="206"/>
      <c r="H765" s="207" t="s">
        <v>211</v>
      </c>
      <c r="I765" s="208" t="str">
        <f t="shared" ca="1" si="185"/>
        <v>12.002.001</v>
      </c>
      <c r="J765" s="209" t="s">
        <v>417</v>
      </c>
      <c r="K765" s="210"/>
      <c r="L765" s="455"/>
      <c r="M765" s="455"/>
      <c r="N765" s="285">
        <f t="shared" ca="1" si="202"/>
        <v>7806.3111000000008</v>
      </c>
      <c r="O765" s="462"/>
      <c r="P765" s="213"/>
      <c r="Q765" s="35"/>
      <c r="R765" s="35"/>
      <c r="S765" s="35"/>
    </row>
    <row r="766" spans="1:19" s="34" customFormat="1" ht="13.9" hidden="1" customHeight="1" outlineLevel="2" x14ac:dyDescent="0.2">
      <c r="A766" s="457">
        <f ca="1">IF($H766="UNIDADE CONSTRUTIVA",OFFSET(A766,-1,0)+1,LARGE(A$3:A765,1))</f>
        <v>0</v>
      </c>
      <c r="B766" s="457">
        <f t="shared" ca="1" si="154"/>
        <v>12</v>
      </c>
      <c r="C766" s="457">
        <f t="shared" ca="1" si="155"/>
        <v>2</v>
      </c>
      <c r="D766" s="458">
        <f t="shared" ca="1" si="156"/>
        <v>1</v>
      </c>
      <c r="E766" s="458">
        <f t="shared" ca="1" si="157"/>
        <v>1</v>
      </c>
      <c r="G766" s="206"/>
      <c r="H766" s="207" t="s">
        <v>212</v>
      </c>
      <c r="I766" s="208" t="str">
        <f t="shared" ca="1" si="185"/>
        <v>12.002.001.001</v>
      </c>
      <c r="J766" s="469" t="s">
        <v>986</v>
      </c>
      <c r="K766" s="210" t="s">
        <v>1</v>
      </c>
      <c r="L766" s="455">
        <f>Arquitetura!H383</f>
        <v>534.9</v>
      </c>
      <c r="M766" s="455">
        <v>8.3789999999999996</v>
      </c>
      <c r="N766" s="285">
        <f>M766*L766</f>
        <v>4481.9270999999999</v>
      </c>
      <c r="O766" s="462"/>
      <c r="P766" s="213" t="s">
        <v>518</v>
      </c>
      <c r="Q766" s="35"/>
      <c r="R766" s="35"/>
      <c r="S766" s="35"/>
    </row>
    <row r="767" spans="1:19" s="34" customFormat="1" ht="13.9" hidden="1" customHeight="1" outlineLevel="2" x14ac:dyDescent="0.2">
      <c r="A767" s="457">
        <f ca="1">IF($H767="UNIDADE CONSTRUTIVA",OFFSET(A767,-1,0)+1,LARGE(A$3:A766,1))</f>
        <v>0</v>
      </c>
      <c r="B767" s="457">
        <f t="shared" ca="1" si="154"/>
        <v>12</v>
      </c>
      <c r="C767" s="457">
        <f t="shared" ca="1" si="155"/>
        <v>2</v>
      </c>
      <c r="D767" s="458">
        <f t="shared" ca="1" si="156"/>
        <v>1</v>
      </c>
      <c r="E767" s="458">
        <f t="shared" ca="1" si="157"/>
        <v>2</v>
      </c>
      <c r="G767" s="206"/>
      <c r="H767" s="207" t="s">
        <v>212</v>
      </c>
      <c r="I767" s="208" t="str">
        <f t="shared" ca="1" si="185"/>
        <v>12.002.001.002</v>
      </c>
      <c r="J767" s="469" t="s">
        <v>979</v>
      </c>
      <c r="K767" s="210" t="s">
        <v>1</v>
      </c>
      <c r="L767" s="455">
        <f>Arquitetura!H382</f>
        <v>1649.0000000000002</v>
      </c>
      <c r="M767" s="455">
        <v>2.016</v>
      </c>
      <c r="N767" s="285">
        <f t="shared" ref="N767:N778" si="203">IF(H767="Serviço",M767*L767,IF(H767="CÉLULA CONSTRUTIVA",SUMIFS($N$8:$N$1644,$B$8:$B$1644,B767,$H$8:$H$1644,"Serviço"),IF(H767="ETAPA",SUMIFS($N$8:$N$1644,$B$8:$B$1644,B767,$C$8:$C$1644,C767,$H$8:$H$1644,"Serviço"),IF(H767="SUBETAPA",SUMIFS($N$8:$N$1644,$B$8:$B$1644,B767,$C$8:$C$1644,C767,$D$8:$D$1644,D767,$H$8:$H$1644,"Serviço"),0))))</f>
        <v>3324.3840000000005</v>
      </c>
      <c r="O767" s="462"/>
      <c r="P767" s="213" t="s">
        <v>518</v>
      </c>
      <c r="Q767" s="35"/>
      <c r="R767" s="35"/>
      <c r="S767" s="35"/>
    </row>
    <row r="768" spans="1:19" s="34" customFormat="1" ht="13.9" hidden="1" customHeight="1" outlineLevel="1" x14ac:dyDescent="0.2">
      <c r="A768" s="457">
        <f ca="1">IF($H768="UNIDADE CONSTRUTIVA",OFFSET(A768,-1,0)+1,LARGE(A$3:A767,1))</f>
        <v>0</v>
      </c>
      <c r="B768" s="457">
        <f t="shared" ca="1" si="154"/>
        <v>12</v>
      </c>
      <c r="C768" s="457">
        <f t="shared" ca="1" si="155"/>
        <v>2</v>
      </c>
      <c r="D768" s="458">
        <f t="shared" ca="1" si="156"/>
        <v>2</v>
      </c>
      <c r="E768" s="458">
        <f t="shared" ca="1" si="157"/>
        <v>0</v>
      </c>
      <c r="G768" s="206"/>
      <c r="H768" s="207" t="s">
        <v>211</v>
      </c>
      <c r="I768" s="208" t="str">
        <f t="shared" ca="1" si="185"/>
        <v>12.002.002</v>
      </c>
      <c r="J768" s="209" t="s">
        <v>418</v>
      </c>
      <c r="K768" s="210"/>
      <c r="L768" s="455"/>
      <c r="M768" s="455"/>
      <c r="N768" s="285">
        <f t="shared" ca="1" si="203"/>
        <v>25672.527599999998</v>
      </c>
      <c r="O768" s="462"/>
      <c r="P768" s="213"/>
      <c r="Q768" s="35"/>
      <c r="R768" s="35"/>
      <c r="S768" s="35"/>
    </row>
    <row r="769" spans="1:19" s="34" customFormat="1" ht="13.9" hidden="1" customHeight="1" outlineLevel="2" x14ac:dyDescent="0.2">
      <c r="A769" s="457">
        <f ca="1">IF($H769="UNIDADE CONSTRUTIVA",OFFSET(A769,-1,0)+1,LARGE(A$3:A768,1))</f>
        <v>0</v>
      </c>
      <c r="B769" s="457">
        <f t="shared" ca="1" si="154"/>
        <v>12</v>
      </c>
      <c r="C769" s="457">
        <f t="shared" ca="1" si="155"/>
        <v>2</v>
      </c>
      <c r="D769" s="458">
        <f t="shared" ca="1" si="156"/>
        <v>2</v>
      </c>
      <c r="E769" s="458">
        <f t="shared" ca="1" si="157"/>
        <v>1</v>
      </c>
      <c r="G769" s="206"/>
      <c r="H769" s="207" t="s">
        <v>212</v>
      </c>
      <c r="I769" s="208" t="str">
        <f t="shared" ca="1" si="185"/>
        <v>12.002.002.001</v>
      </c>
      <c r="J769" s="209" t="s">
        <v>1244</v>
      </c>
      <c r="K769" s="210" t="s">
        <v>1</v>
      </c>
      <c r="L769" s="455">
        <f>Arquitetura!H448</f>
        <v>2183.89</v>
      </c>
      <c r="M769" s="455">
        <v>9.5399999999999991</v>
      </c>
      <c r="N769" s="285">
        <f t="shared" si="203"/>
        <v>20834.310599999997</v>
      </c>
      <c r="O769" s="462"/>
      <c r="P769" s="213" t="s">
        <v>518</v>
      </c>
      <c r="Q769" s="470"/>
      <c r="R769" s="470"/>
      <c r="S769" s="35"/>
    </row>
    <row r="770" spans="1:19" s="34" customFormat="1" ht="13.9" hidden="1" customHeight="1" outlineLevel="2" x14ac:dyDescent="0.2">
      <c r="A770" s="457">
        <f ca="1">IF($H770="UNIDADE CONSTRUTIVA",OFFSET(A770,-1,0)+1,LARGE(A$3:A769,1))</f>
        <v>0</v>
      </c>
      <c r="B770" s="457">
        <f t="shared" ca="1" si="154"/>
        <v>12</v>
      </c>
      <c r="C770" s="457">
        <f t="shared" ca="1" si="155"/>
        <v>2</v>
      </c>
      <c r="D770" s="458">
        <f t="shared" ca="1" si="156"/>
        <v>2</v>
      </c>
      <c r="E770" s="458">
        <f t="shared" ca="1" si="157"/>
        <v>2</v>
      </c>
      <c r="G770" s="206"/>
      <c r="H770" s="207" t="s">
        <v>212</v>
      </c>
      <c r="I770" s="208" t="str">
        <f t="shared" ca="1" si="185"/>
        <v>12.002.002.002</v>
      </c>
      <c r="J770" s="209" t="s">
        <v>419</v>
      </c>
      <c r="K770" s="210" t="s">
        <v>1</v>
      </c>
      <c r="L770" s="455">
        <f>Arquitetura!H495</f>
        <v>948.67000000000007</v>
      </c>
      <c r="M770" s="455">
        <v>5.0999999999999996</v>
      </c>
      <c r="N770" s="285">
        <f t="shared" si="203"/>
        <v>4838.2169999999996</v>
      </c>
      <c r="O770" s="462"/>
      <c r="P770" s="213" t="s">
        <v>518</v>
      </c>
      <c r="Q770" s="35"/>
      <c r="R770" s="35"/>
      <c r="S770" s="35"/>
    </row>
    <row r="771" spans="1:19" s="34" customFormat="1" ht="13.9" hidden="1" customHeight="1" outlineLevel="1" x14ac:dyDescent="0.2">
      <c r="A771" s="457">
        <f ca="1">IF($H771="UNIDADE CONSTRUTIVA",OFFSET(A771,-1,0)+1,LARGE(A$3:A770,1))</f>
        <v>0</v>
      </c>
      <c r="B771" s="457">
        <f ca="1">IF(H771="UNIDADE CONSTRUTIVA",0,IF(H771="CÉLULA CONSTRUTIVA",OFFSET(B771,-1,0)+1,OFFSET(B771,-1,0)))</f>
        <v>12</v>
      </c>
      <c r="C771" s="457">
        <f ca="1">IF(H771="CÉLULA CONSTRUTIVA",0,IF(H771="ETAPA",OFFSET(C771,-1,0)+1,OFFSET(C771,-1,0)))</f>
        <v>2</v>
      </c>
      <c r="D771" s="458">
        <f ca="1">IF(H771="ETAPA",0,IF(H771="SUBETAPA",OFFSET(D771,-1,0)+1,OFFSET(D771,-1,0)))</f>
        <v>3</v>
      </c>
      <c r="E771" s="458">
        <f ca="1">IF(H771="Subetapa",0,IF(H771="serviço",OFFSET(E771,-1,0)+1,OFFSET(E771,-1,0)))</f>
        <v>0</v>
      </c>
      <c r="G771" s="206"/>
      <c r="H771" s="207" t="s">
        <v>211</v>
      </c>
      <c r="I771" s="208" t="str">
        <f ca="1">IF(H771="Unidade Construtiva",TEXT(A771,"00"),IF(H771="Célula Construtiva",TEXT(B771,"00"),IF(H771="Etapa",CONCATENATE(TEXT(B771,"00"),".",TEXT(C771,"000")),IF(H771="Subetapa",CONCATENATE(TEXT(B771,"00"),".",TEXT(C771,"000"),".",TEXT(D771,"000")),IF(H771="Serviço",CONCATENATE(TEXT(B771,"00"),".",TEXT(C771,"000"),".",TEXT(D771,"000"),".",TEXT(E771,"000")),"")))))</f>
        <v>12.002.003</v>
      </c>
      <c r="J771" s="209" t="s">
        <v>424</v>
      </c>
      <c r="K771" s="210"/>
      <c r="L771" s="455"/>
      <c r="M771" s="455"/>
      <c r="N771" s="285">
        <f t="shared" ca="1" si="203"/>
        <v>6971.4630000000006</v>
      </c>
      <c r="O771" s="462"/>
      <c r="P771" s="213"/>
      <c r="Q771" s="35"/>
      <c r="R771" s="35"/>
      <c r="S771" s="35"/>
    </row>
    <row r="772" spans="1:19" s="34" customFormat="1" ht="13.9" hidden="1" customHeight="1" outlineLevel="2" x14ac:dyDescent="0.2">
      <c r="A772" s="457">
        <f ca="1">IF($H772="UNIDADE CONSTRUTIVA",OFFSET(A772,-1,0)+1,LARGE(A$3:A771,1))</f>
        <v>0</v>
      </c>
      <c r="B772" s="457">
        <f ca="1">IF(H772="UNIDADE CONSTRUTIVA",0,IF(H772="CÉLULA CONSTRUTIVA",OFFSET(B772,-1,0)+1,OFFSET(B772,-1,0)))</f>
        <v>12</v>
      </c>
      <c r="C772" s="457">
        <f ca="1">IF(H772="CÉLULA CONSTRUTIVA",0,IF(H772="ETAPA",OFFSET(C772,-1,0)+1,OFFSET(C772,-1,0)))</f>
        <v>2</v>
      </c>
      <c r="D772" s="458">
        <f ca="1">IF(H772="ETAPA",0,IF(H772="SUBETAPA",OFFSET(D772,-1,0)+1,OFFSET(D772,-1,0)))</f>
        <v>3</v>
      </c>
      <c r="E772" s="458">
        <f ca="1">IF(H772="Subetapa",0,IF(H772="serviço",OFFSET(E772,-1,0)+1,OFFSET(E772,-1,0)))</f>
        <v>1</v>
      </c>
      <c r="G772" s="206"/>
      <c r="H772" s="207" t="s">
        <v>212</v>
      </c>
      <c r="I772" s="208" t="str">
        <f ca="1">IF(H772="Unidade Construtiva",TEXT(A772,"00"),IF(H772="Célula Construtiva",TEXT(B772,"00"),IF(H772="Etapa",CONCATENATE(TEXT(B772,"00"),".",TEXT(C772,"000")),IF(H772="Subetapa",CONCATENATE(TEXT(B772,"00"),".",TEXT(C772,"000"),".",TEXT(D772,"000")),IF(H772="Serviço",CONCATENATE(TEXT(B772,"00"),".",TEXT(C772,"000"),".",TEXT(D772,"000"),".",TEXT(E772,"000")),"")))))</f>
        <v>12.002.003.001</v>
      </c>
      <c r="J772" s="209" t="s">
        <v>426</v>
      </c>
      <c r="K772" s="210" t="s">
        <v>1</v>
      </c>
      <c r="L772" s="455">
        <f>Arquitetura!H578</f>
        <v>14.100000000000001</v>
      </c>
      <c r="M772" s="455">
        <v>494.43</v>
      </c>
      <c r="N772" s="285">
        <f t="shared" si="203"/>
        <v>6971.4630000000006</v>
      </c>
      <c r="O772" s="462"/>
      <c r="P772" s="213" t="s">
        <v>518</v>
      </c>
      <c r="Q772" s="35"/>
      <c r="R772" s="35"/>
      <c r="S772" s="35"/>
    </row>
    <row r="773" spans="1:19" s="34" customFormat="1" ht="13.9" hidden="1" customHeight="1" outlineLevel="1" x14ac:dyDescent="0.2">
      <c r="A773" s="457">
        <f ca="1">IF($H773="UNIDADE CONSTRUTIVA",OFFSET(A773,-1,0)+1,LARGE(A$3:A772,1))</f>
        <v>0</v>
      </c>
      <c r="B773" s="457">
        <f t="shared" ca="1" si="154"/>
        <v>12</v>
      </c>
      <c r="C773" s="457">
        <f t="shared" ca="1" si="155"/>
        <v>2</v>
      </c>
      <c r="D773" s="458">
        <f t="shared" ca="1" si="156"/>
        <v>4</v>
      </c>
      <c r="E773" s="458">
        <f t="shared" ca="1" si="157"/>
        <v>0</v>
      </c>
      <c r="G773" s="206"/>
      <c r="H773" s="207" t="s">
        <v>211</v>
      </c>
      <c r="I773" s="208" t="str">
        <f t="shared" ca="1" si="185"/>
        <v>12.002.004</v>
      </c>
      <c r="J773" s="209" t="s">
        <v>425</v>
      </c>
      <c r="K773" s="210"/>
      <c r="L773" s="455"/>
      <c r="M773" s="455"/>
      <c r="N773" s="285">
        <f t="shared" ca="1" si="203"/>
        <v>102858.48999999999</v>
      </c>
      <c r="O773" s="462"/>
      <c r="P773" s="213"/>
      <c r="Q773" s="35"/>
      <c r="R773" s="35"/>
      <c r="S773" s="35"/>
    </row>
    <row r="774" spans="1:19" s="34" customFormat="1" ht="13.9" hidden="1" customHeight="1" outlineLevel="2" x14ac:dyDescent="0.2">
      <c r="A774" s="457">
        <f ca="1">IF($H774="UNIDADE CONSTRUTIVA",OFFSET(A774,-1,0)+1,LARGE(A$3:A773,1))</f>
        <v>0</v>
      </c>
      <c r="B774" s="457">
        <f t="shared" ca="1" si="154"/>
        <v>12</v>
      </c>
      <c r="C774" s="457">
        <f t="shared" ca="1" si="155"/>
        <v>2</v>
      </c>
      <c r="D774" s="458">
        <f t="shared" ca="1" si="156"/>
        <v>4</v>
      </c>
      <c r="E774" s="458">
        <f t="shared" ca="1" si="157"/>
        <v>1</v>
      </c>
      <c r="G774" s="206"/>
      <c r="H774" s="207" t="s">
        <v>212</v>
      </c>
      <c r="I774" s="208" t="str">
        <f t="shared" ca="1" si="185"/>
        <v>12.002.004.001</v>
      </c>
      <c r="J774" s="209" t="s">
        <v>422</v>
      </c>
      <c r="K774" s="210" t="s">
        <v>1</v>
      </c>
      <c r="L774" s="455">
        <f>L769</f>
        <v>2183.89</v>
      </c>
      <c r="M774" s="455">
        <v>36</v>
      </c>
      <c r="N774" s="285">
        <f t="shared" si="203"/>
        <v>78620.039999999994</v>
      </c>
      <c r="O774" s="462"/>
      <c r="P774" s="213" t="s">
        <v>518</v>
      </c>
      <c r="Q774" s="35"/>
      <c r="R774" s="35"/>
      <c r="S774" s="35"/>
    </row>
    <row r="775" spans="1:19" s="34" customFormat="1" ht="13.9" hidden="1" customHeight="1" outlineLevel="2" x14ac:dyDescent="0.2">
      <c r="A775" s="457">
        <f ca="1">IF($H775="UNIDADE CONSTRUTIVA",OFFSET(A775,-1,0)+1,LARGE(A$3:A774,1))</f>
        <v>0</v>
      </c>
      <c r="B775" s="457">
        <f t="shared" ca="1" si="154"/>
        <v>12</v>
      </c>
      <c r="C775" s="457">
        <f t="shared" ca="1" si="155"/>
        <v>2</v>
      </c>
      <c r="D775" s="458">
        <f t="shared" ca="1" si="156"/>
        <v>4</v>
      </c>
      <c r="E775" s="458">
        <f t="shared" ca="1" si="157"/>
        <v>2</v>
      </c>
      <c r="G775" s="206"/>
      <c r="H775" s="207" t="s">
        <v>212</v>
      </c>
      <c r="I775" s="208" t="str">
        <f t="shared" ca="1" si="185"/>
        <v>12.002.004.002</v>
      </c>
      <c r="J775" s="209" t="s">
        <v>988</v>
      </c>
      <c r="K775" s="210" t="s">
        <v>1</v>
      </c>
      <c r="L775" s="455">
        <f>L770</f>
        <v>948.67000000000007</v>
      </c>
      <c r="M775" s="455">
        <v>25</v>
      </c>
      <c r="N775" s="285">
        <f t="shared" si="203"/>
        <v>23716.75</v>
      </c>
      <c r="O775" s="462"/>
      <c r="P775" s="213" t="s">
        <v>518</v>
      </c>
      <c r="Q775" s="35"/>
      <c r="R775" s="35"/>
      <c r="S775" s="35"/>
    </row>
    <row r="776" spans="1:19" s="34" customFormat="1" ht="13.9" hidden="1" customHeight="1" outlineLevel="2" x14ac:dyDescent="0.2">
      <c r="A776" s="457">
        <f ca="1">IF($H776="UNIDADE CONSTRUTIVA",OFFSET(A776,-1,0)+1,LARGE(A$3:A775,1))</f>
        <v>0</v>
      </c>
      <c r="B776" s="457">
        <f ca="1">IF(H776="UNIDADE CONSTRUTIVA",0,IF(H776="CÉLULA CONSTRUTIVA",OFFSET(B776,-1,0)+1,OFFSET(B776,-1,0)))</f>
        <v>12</v>
      </c>
      <c r="C776" s="457">
        <f ca="1">IF(H776="CÉLULA CONSTRUTIVA",0,IF(H776="ETAPA",OFFSET(C776,-1,0)+1,OFFSET(C776,-1,0)))</f>
        <v>2</v>
      </c>
      <c r="D776" s="458">
        <f ca="1">IF(H776="ETAPA",0,IF(H776="SUBETAPA",OFFSET(D776,-1,0)+1,OFFSET(D776,-1,0)))</f>
        <v>4</v>
      </c>
      <c r="E776" s="458">
        <f ca="1">IF(H776="Subetapa",0,IF(H776="serviço",OFFSET(E776,-1,0)+1,OFFSET(E776,-1,0)))</f>
        <v>3</v>
      </c>
      <c r="G776" s="206"/>
      <c r="H776" s="207" t="s">
        <v>212</v>
      </c>
      <c r="I776" s="208" t="str">
        <f ca="1">IF(H776="Unidade Construtiva",TEXT(A776,"00"),IF(H776="Célula Construtiva",TEXT(B776,"00"),IF(H776="Etapa",CONCATENATE(TEXT(B776,"00"),".",TEXT(C776,"000")),IF(H776="Subetapa",CONCATENATE(TEXT(B776,"00"),".",TEXT(C776,"000"),".",TEXT(D776,"000")),IF(H776="Serviço",CONCATENATE(TEXT(B776,"00"),".",TEXT(C776,"000"),".",TEXT(D776,"000"),".",TEXT(E776,"000")),"")))))</f>
        <v>12.002.004.003</v>
      </c>
      <c r="J776" s="209" t="s">
        <v>427</v>
      </c>
      <c r="K776" s="210" t="s">
        <v>1</v>
      </c>
      <c r="L776" s="455">
        <f>L772</f>
        <v>14.100000000000001</v>
      </c>
      <c r="M776" s="455">
        <v>37</v>
      </c>
      <c r="N776" s="285">
        <f t="shared" si="203"/>
        <v>521.70000000000005</v>
      </c>
      <c r="O776" s="462"/>
      <c r="P776" s="213" t="s">
        <v>518</v>
      </c>
      <c r="Q776" s="35"/>
      <c r="R776" s="35"/>
      <c r="S776" s="35"/>
    </row>
    <row r="777" spans="1:19" s="34" customFormat="1" ht="13.9" hidden="1" customHeight="1" outlineLevel="1" x14ac:dyDescent="0.2">
      <c r="A777" s="457">
        <f ca="1">IF($H777="UNIDADE CONSTRUTIVA",OFFSET(A777,-1,0)+1,LARGE(A$3:A776,1))</f>
        <v>0</v>
      </c>
      <c r="B777" s="457">
        <f t="shared" ca="1" si="154"/>
        <v>12</v>
      </c>
      <c r="C777" s="457">
        <f t="shared" ca="1" si="155"/>
        <v>3</v>
      </c>
      <c r="D777" s="458">
        <f t="shared" ca="1" si="156"/>
        <v>0</v>
      </c>
      <c r="E777" s="458">
        <f t="shared" ca="1" si="157"/>
        <v>3</v>
      </c>
      <c r="G777" s="206"/>
      <c r="H777" s="207" t="s">
        <v>210</v>
      </c>
      <c r="I777" s="208" t="str">
        <f t="shared" ca="1" si="185"/>
        <v>12.003</v>
      </c>
      <c r="J777" s="209" t="s">
        <v>994</v>
      </c>
      <c r="K777" s="210"/>
      <c r="L777" s="455"/>
      <c r="M777" s="455"/>
      <c r="N777" s="285">
        <f t="shared" ca="1" si="203"/>
        <v>50550.791279999998</v>
      </c>
      <c r="O777" s="462"/>
      <c r="P777" s="213"/>
      <c r="Q777" s="35"/>
      <c r="R777" s="35"/>
      <c r="S777" s="35"/>
    </row>
    <row r="778" spans="1:19" s="34" customFormat="1" ht="13.9" hidden="1" customHeight="1" outlineLevel="1" x14ac:dyDescent="0.2">
      <c r="A778" s="457">
        <f ca="1">IF($H778="UNIDADE CONSTRUTIVA",OFFSET(A778,-1,0)+1,LARGE(A$3:A777,1))</f>
        <v>0</v>
      </c>
      <c r="B778" s="457">
        <f t="shared" ca="1" si="154"/>
        <v>12</v>
      </c>
      <c r="C778" s="457">
        <f t="shared" ca="1" si="155"/>
        <v>3</v>
      </c>
      <c r="D778" s="458">
        <f t="shared" ca="1" si="156"/>
        <v>1</v>
      </c>
      <c r="E778" s="458">
        <f t="shared" ca="1" si="157"/>
        <v>0</v>
      </c>
      <c r="G778" s="206"/>
      <c r="H778" s="207" t="s">
        <v>211</v>
      </c>
      <c r="I778" s="208" t="str">
        <f t="shared" ca="1" si="185"/>
        <v>12.003.001</v>
      </c>
      <c r="J778" s="209" t="s">
        <v>417</v>
      </c>
      <c r="K778" s="210"/>
      <c r="L778" s="455"/>
      <c r="M778" s="455"/>
      <c r="N778" s="285">
        <f t="shared" ca="1" si="203"/>
        <v>2622.1330800000001</v>
      </c>
      <c r="O778" s="462"/>
      <c r="P778" s="213"/>
      <c r="Q778" s="35"/>
      <c r="R778" s="35"/>
      <c r="S778" s="35"/>
    </row>
    <row r="779" spans="1:19" s="34" customFormat="1" ht="13.9" hidden="1" customHeight="1" outlineLevel="2" x14ac:dyDescent="0.2">
      <c r="A779" s="457">
        <f ca="1">IF($H779="UNIDADE CONSTRUTIVA",OFFSET(A779,-1,0)+1,LARGE(A$3:A778,1))</f>
        <v>0</v>
      </c>
      <c r="B779" s="457">
        <f t="shared" ca="1" si="154"/>
        <v>12</v>
      </c>
      <c r="C779" s="457">
        <f t="shared" ca="1" si="155"/>
        <v>3</v>
      </c>
      <c r="D779" s="458">
        <f t="shared" ca="1" si="156"/>
        <v>1</v>
      </c>
      <c r="E779" s="458">
        <f t="shared" ca="1" si="157"/>
        <v>1</v>
      </c>
      <c r="G779" s="206"/>
      <c r="H779" s="207" t="s">
        <v>212</v>
      </c>
      <c r="I779" s="208" t="str">
        <f t="shared" ca="1" si="185"/>
        <v>12.003.001.001</v>
      </c>
      <c r="J779" s="469" t="s">
        <v>986</v>
      </c>
      <c r="K779" s="210" t="s">
        <v>1</v>
      </c>
      <c r="L779" s="455">
        <f>Arquitetura!D392</f>
        <v>169.8</v>
      </c>
      <c r="M779" s="455">
        <v>8.3789999999999996</v>
      </c>
      <c r="N779" s="285">
        <f>M779*L779</f>
        <v>1422.7542000000001</v>
      </c>
      <c r="O779" s="462"/>
      <c r="P779" s="213" t="s">
        <v>518</v>
      </c>
      <c r="Q779" s="35"/>
      <c r="R779" s="35"/>
      <c r="S779" s="35"/>
    </row>
    <row r="780" spans="1:19" s="34" customFormat="1" ht="13.9" hidden="1" customHeight="1" outlineLevel="2" x14ac:dyDescent="0.2">
      <c r="A780" s="457">
        <f ca="1">IF($H780="UNIDADE CONSTRUTIVA",OFFSET(A780,-1,0)+1,LARGE(A$3:A779,1))</f>
        <v>0</v>
      </c>
      <c r="B780" s="457">
        <f t="shared" ca="1" si="154"/>
        <v>12</v>
      </c>
      <c r="C780" s="457">
        <f t="shared" ca="1" si="155"/>
        <v>3</v>
      </c>
      <c r="D780" s="458">
        <f t="shared" ca="1" si="156"/>
        <v>1</v>
      </c>
      <c r="E780" s="458">
        <f t="shared" ca="1" si="157"/>
        <v>2</v>
      </c>
      <c r="G780" s="206"/>
      <c r="H780" s="207" t="s">
        <v>212</v>
      </c>
      <c r="I780" s="208" t="str">
        <f t="shared" ca="1" si="185"/>
        <v>12.003.001.002</v>
      </c>
      <c r="J780" s="469" t="s">
        <v>979</v>
      </c>
      <c r="K780" s="210" t="s">
        <v>1</v>
      </c>
      <c r="L780" s="455">
        <f>Arquitetura!D391</f>
        <v>594.92999999999995</v>
      </c>
      <c r="M780" s="455">
        <v>2.016</v>
      </c>
      <c r="N780" s="285">
        <f t="shared" ref="N780:N791" si="204">IF(H780="Serviço",M780*L780,IF(H780="CÉLULA CONSTRUTIVA",SUMIFS($N$8:$N$1644,$B$8:$B$1644,B780,$H$8:$H$1644,"Serviço"),IF(H780="ETAPA",SUMIFS($N$8:$N$1644,$B$8:$B$1644,B780,$C$8:$C$1644,C780,$H$8:$H$1644,"Serviço"),IF(H780="SUBETAPA",SUMIFS($N$8:$N$1644,$B$8:$B$1644,B780,$C$8:$C$1644,C780,$D$8:$D$1644,D780,$H$8:$H$1644,"Serviço"),0))))</f>
        <v>1199.37888</v>
      </c>
      <c r="O780" s="462"/>
      <c r="P780" s="213" t="s">
        <v>518</v>
      </c>
      <c r="Q780" s="35"/>
      <c r="R780" s="35"/>
      <c r="S780" s="35"/>
    </row>
    <row r="781" spans="1:19" s="34" customFormat="1" ht="13.9" hidden="1" customHeight="1" outlineLevel="1" x14ac:dyDescent="0.2">
      <c r="A781" s="457">
        <f ca="1">IF($H781="UNIDADE CONSTRUTIVA",OFFSET(A781,-1,0)+1,LARGE(A$3:A780,1))</f>
        <v>0</v>
      </c>
      <c r="B781" s="457">
        <f t="shared" ca="1" si="154"/>
        <v>12</v>
      </c>
      <c r="C781" s="457">
        <f t="shared" ca="1" si="155"/>
        <v>3</v>
      </c>
      <c r="D781" s="458">
        <f t="shared" ca="1" si="156"/>
        <v>2</v>
      </c>
      <c r="E781" s="458">
        <f t="shared" ca="1" si="157"/>
        <v>0</v>
      </c>
      <c r="G781" s="206"/>
      <c r="H781" s="207" t="s">
        <v>211</v>
      </c>
      <c r="I781" s="208" t="str">
        <f t="shared" ca="1" si="185"/>
        <v>12.003.002</v>
      </c>
      <c r="J781" s="209" t="s">
        <v>418</v>
      </c>
      <c r="K781" s="210"/>
      <c r="L781" s="455"/>
      <c r="M781" s="455"/>
      <c r="N781" s="285">
        <f t="shared" ca="1" si="204"/>
        <v>9092.4071999999996</v>
      </c>
      <c r="O781" s="462"/>
      <c r="P781" s="213"/>
      <c r="Q781" s="35"/>
      <c r="R781" s="35"/>
      <c r="S781" s="35"/>
    </row>
    <row r="782" spans="1:19" s="34" customFormat="1" ht="13.9" hidden="1" customHeight="1" outlineLevel="2" x14ac:dyDescent="0.2">
      <c r="A782" s="457">
        <f ca="1">IF($H782="UNIDADE CONSTRUTIVA",OFFSET(A782,-1,0)+1,LARGE(A$3:A781,1))</f>
        <v>0</v>
      </c>
      <c r="B782" s="457">
        <f t="shared" ca="1" si="154"/>
        <v>12</v>
      </c>
      <c r="C782" s="457">
        <f t="shared" ca="1" si="155"/>
        <v>3</v>
      </c>
      <c r="D782" s="458">
        <f t="shared" ca="1" si="156"/>
        <v>2</v>
      </c>
      <c r="E782" s="458">
        <f t="shared" ca="1" si="157"/>
        <v>1</v>
      </c>
      <c r="G782" s="206"/>
      <c r="H782" s="207" t="s">
        <v>212</v>
      </c>
      <c r="I782" s="208" t="str">
        <f t="shared" ca="1" si="185"/>
        <v>12.003.002.001</v>
      </c>
      <c r="J782" s="209" t="s">
        <v>1244</v>
      </c>
      <c r="K782" s="210" t="s">
        <v>1</v>
      </c>
      <c r="L782" s="455">
        <f>Arquitetura!D454</f>
        <v>764.73</v>
      </c>
      <c r="M782" s="455">
        <v>9.5399999999999991</v>
      </c>
      <c r="N782" s="285">
        <f t="shared" si="204"/>
        <v>7295.5241999999998</v>
      </c>
      <c r="O782" s="462"/>
      <c r="P782" s="213" t="s">
        <v>518</v>
      </c>
      <c r="Q782" s="470"/>
      <c r="R782" s="470"/>
      <c r="S782" s="35"/>
    </row>
    <row r="783" spans="1:19" s="34" customFormat="1" ht="13.9" hidden="1" customHeight="1" outlineLevel="2" x14ac:dyDescent="0.2">
      <c r="A783" s="457">
        <f ca="1">IF($H783="UNIDADE CONSTRUTIVA",OFFSET(A783,-1,0)+1,LARGE(A$3:A782,1))</f>
        <v>0</v>
      </c>
      <c r="B783" s="457">
        <f t="shared" ca="1" si="154"/>
        <v>12</v>
      </c>
      <c r="C783" s="457">
        <f t="shared" ca="1" si="155"/>
        <v>3</v>
      </c>
      <c r="D783" s="458">
        <f t="shared" ca="1" si="156"/>
        <v>2</v>
      </c>
      <c r="E783" s="458">
        <f t="shared" ca="1" si="157"/>
        <v>2</v>
      </c>
      <c r="G783" s="206"/>
      <c r="H783" s="207" t="s">
        <v>212</v>
      </c>
      <c r="I783" s="208" t="str">
        <f t="shared" ca="1" si="185"/>
        <v>12.003.002.002</v>
      </c>
      <c r="J783" s="209" t="s">
        <v>419</v>
      </c>
      <c r="K783" s="210" t="s">
        <v>1</v>
      </c>
      <c r="L783" s="455">
        <f>Arquitetura!D501</f>
        <v>352.33</v>
      </c>
      <c r="M783" s="455">
        <v>5.0999999999999996</v>
      </c>
      <c r="N783" s="285">
        <f t="shared" si="204"/>
        <v>1796.8829999999998</v>
      </c>
      <c r="O783" s="462"/>
      <c r="P783" s="213" t="s">
        <v>518</v>
      </c>
      <c r="Q783" s="35"/>
      <c r="R783" s="35"/>
      <c r="S783" s="35"/>
    </row>
    <row r="784" spans="1:19" s="34" customFormat="1" ht="13.9" hidden="1" customHeight="1" outlineLevel="1" x14ac:dyDescent="0.2">
      <c r="A784" s="457">
        <f ca="1">IF($H784="UNIDADE CONSTRUTIVA",OFFSET(A784,-1,0)+1,LARGE(A$3:A783,1))</f>
        <v>0</v>
      </c>
      <c r="B784" s="457">
        <f t="shared" ca="1" si="154"/>
        <v>12</v>
      </c>
      <c r="C784" s="457">
        <f t="shared" ca="1" si="155"/>
        <v>3</v>
      </c>
      <c r="D784" s="458">
        <f t="shared" ca="1" si="156"/>
        <v>3</v>
      </c>
      <c r="E784" s="458">
        <f t="shared" ca="1" si="157"/>
        <v>0</v>
      </c>
      <c r="G784" s="206"/>
      <c r="H784" s="207" t="s">
        <v>211</v>
      </c>
      <c r="I784" s="208" t="str">
        <f t="shared" ca="1" si="185"/>
        <v>12.003.003</v>
      </c>
      <c r="J784" s="209" t="s">
        <v>424</v>
      </c>
      <c r="K784" s="210"/>
      <c r="L784" s="455"/>
      <c r="M784" s="455"/>
      <c r="N784" s="285">
        <f t="shared" ca="1" si="204"/>
        <v>2323.8209999999999</v>
      </c>
      <c r="O784" s="462"/>
      <c r="P784" s="213"/>
      <c r="Q784" s="35"/>
      <c r="R784" s="35"/>
      <c r="S784" s="35"/>
    </row>
    <row r="785" spans="1:19" s="34" customFormat="1" ht="13.9" hidden="1" customHeight="1" outlineLevel="2" x14ac:dyDescent="0.2">
      <c r="A785" s="457">
        <f ca="1">IF($H785="UNIDADE CONSTRUTIVA",OFFSET(A785,-1,0)+1,LARGE(A$3:A784,1))</f>
        <v>0</v>
      </c>
      <c r="B785" s="457">
        <f t="shared" ca="1" si="154"/>
        <v>12</v>
      </c>
      <c r="C785" s="457">
        <f t="shared" ca="1" si="155"/>
        <v>3</v>
      </c>
      <c r="D785" s="458">
        <f t="shared" ca="1" si="156"/>
        <v>3</v>
      </c>
      <c r="E785" s="458">
        <f t="shared" ca="1" si="157"/>
        <v>1</v>
      </c>
      <c r="G785" s="206"/>
      <c r="H785" s="207" t="s">
        <v>212</v>
      </c>
      <c r="I785" s="208" t="str">
        <f t="shared" ca="1" si="185"/>
        <v>12.003.003.001</v>
      </c>
      <c r="J785" s="209" t="s">
        <v>426</v>
      </c>
      <c r="K785" s="210" t="s">
        <v>1</v>
      </c>
      <c r="L785" s="455">
        <f>Arquitetura!D582</f>
        <v>4.7</v>
      </c>
      <c r="M785" s="455">
        <v>494.43</v>
      </c>
      <c r="N785" s="285">
        <f t="shared" si="204"/>
        <v>2323.8209999999999</v>
      </c>
      <c r="O785" s="462"/>
      <c r="P785" s="213" t="s">
        <v>518</v>
      </c>
      <c r="Q785" s="35"/>
      <c r="R785" s="35"/>
      <c r="S785" s="35"/>
    </row>
    <row r="786" spans="1:19" s="34" customFormat="1" ht="13.9" hidden="1" customHeight="1" outlineLevel="1" x14ac:dyDescent="0.2">
      <c r="A786" s="457">
        <f ca="1">IF($H786="UNIDADE CONSTRUTIVA",OFFSET(A786,-1,0)+1,LARGE(A$3:A785,1))</f>
        <v>0</v>
      </c>
      <c r="B786" s="457">
        <f t="shared" ca="1" si="154"/>
        <v>12</v>
      </c>
      <c r="C786" s="457">
        <f t="shared" ca="1" si="155"/>
        <v>3</v>
      </c>
      <c r="D786" s="458">
        <f t="shared" ca="1" si="156"/>
        <v>4</v>
      </c>
      <c r="E786" s="458">
        <f t="shared" ca="1" si="157"/>
        <v>0</v>
      </c>
      <c r="G786" s="206"/>
      <c r="H786" s="207" t="s">
        <v>211</v>
      </c>
      <c r="I786" s="208" t="str">
        <f t="shared" ca="1" si="185"/>
        <v>12.003.004</v>
      </c>
      <c r="J786" s="209" t="s">
        <v>425</v>
      </c>
      <c r="K786" s="210"/>
      <c r="L786" s="455"/>
      <c r="M786" s="455"/>
      <c r="N786" s="285">
        <f t="shared" ca="1" si="204"/>
        <v>36512.43</v>
      </c>
      <c r="O786" s="462"/>
      <c r="P786" s="213"/>
      <c r="Q786" s="35"/>
      <c r="R786" s="35"/>
      <c r="S786" s="35"/>
    </row>
    <row r="787" spans="1:19" s="34" customFormat="1" ht="13.9" hidden="1" customHeight="1" outlineLevel="2" x14ac:dyDescent="0.2">
      <c r="A787" s="457">
        <f ca="1">IF($H787="UNIDADE CONSTRUTIVA",OFFSET(A787,-1,0)+1,LARGE(A$3:A786,1))</f>
        <v>0</v>
      </c>
      <c r="B787" s="457">
        <f t="shared" ca="1" si="154"/>
        <v>12</v>
      </c>
      <c r="C787" s="457">
        <f t="shared" ca="1" si="155"/>
        <v>3</v>
      </c>
      <c r="D787" s="458">
        <f t="shared" ca="1" si="156"/>
        <v>4</v>
      </c>
      <c r="E787" s="458">
        <f t="shared" ca="1" si="157"/>
        <v>1</v>
      </c>
      <c r="G787" s="206"/>
      <c r="H787" s="207" t="s">
        <v>212</v>
      </c>
      <c r="I787" s="208" t="str">
        <f t="shared" ca="1" si="185"/>
        <v>12.003.004.001</v>
      </c>
      <c r="J787" s="209" t="s">
        <v>422</v>
      </c>
      <c r="K787" s="210" t="s">
        <v>1</v>
      </c>
      <c r="L787" s="455">
        <f>L782</f>
        <v>764.73</v>
      </c>
      <c r="M787" s="455">
        <v>36</v>
      </c>
      <c r="N787" s="285">
        <f t="shared" si="204"/>
        <v>27530.28</v>
      </c>
      <c r="O787" s="462"/>
      <c r="P787" s="213" t="s">
        <v>518</v>
      </c>
      <c r="Q787" s="35"/>
      <c r="R787" s="35"/>
      <c r="S787" s="35"/>
    </row>
    <row r="788" spans="1:19" s="34" customFormat="1" ht="13.9" hidden="1" customHeight="1" outlineLevel="2" x14ac:dyDescent="0.2">
      <c r="A788" s="457">
        <f ca="1">IF($H788="UNIDADE CONSTRUTIVA",OFFSET(A788,-1,0)+1,LARGE(A$3:A787,1))</f>
        <v>0</v>
      </c>
      <c r="B788" s="457">
        <f t="shared" ca="1" si="154"/>
        <v>12</v>
      </c>
      <c r="C788" s="457">
        <f t="shared" ca="1" si="155"/>
        <v>3</v>
      </c>
      <c r="D788" s="458">
        <f t="shared" ca="1" si="156"/>
        <v>4</v>
      </c>
      <c r="E788" s="458">
        <f t="shared" ca="1" si="157"/>
        <v>2</v>
      </c>
      <c r="G788" s="206"/>
      <c r="H788" s="207" t="s">
        <v>212</v>
      </c>
      <c r="I788" s="208" t="str">
        <f t="shared" ca="1" si="185"/>
        <v>12.003.004.002</v>
      </c>
      <c r="J788" s="209" t="s">
        <v>988</v>
      </c>
      <c r="K788" s="210" t="s">
        <v>1</v>
      </c>
      <c r="L788" s="455">
        <f>L783</f>
        <v>352.33</v>
      </c>
      <c r="M788" s="455">
        <v>25</v>
      </c>
      <c r="N788" s="285">
        <f t="shared" si="204"/>
        <v>8808.25</v>
      </c>
      <c r="O788" s="462"/>
      <c r="P788" s="213" t="s">
        <v>518</v>
      </c>
      <c r="Q788" s="35"/>
      <c r="R788" s="35"/>
      <c r="S788" s="35"/>
    </row>
    <row r="789" spans="1:19" s="34" customFormat="1" ht="13.9" hidden="1" customHeight="1" outlineLevel="2" x14ac:dyDescent="0.2">
      <c r="A789" s="457">
        <f ca="1">IF($H789="UNIDADE CONSTRUTIVA",OFFSET(A789,-1,0)+1,LARGE(A$3:A788,1))</f>
        <v>0</v>
      </c>
      <c r="B789" s="457">
        <f t="shared" ca="1" si="154"/>
        <v>12</v>
      </c>
      <c r="C789" s="457">
        <f t="shared" ca="1" si="155"/>
        <v>3</v>
      </c>
      <c r="D789" s="458">
        <f t="shared" ca="1" si="156"/>
        <v>4</v>
      </c>
      <c r="E789" s="458">
        <f t="shared" ca="1" si="157"/>
        <v>3</v>
      </c>
      <c r="G789" s="206"/>
      <c r="H789" s="207" t="s">
        <v>212</v>
      </c>
      <c r="I789" s="208" t="str">
        <f t="shared" ca="1" si="185"/>
        <v>12.003.004.003</v>
      </c>
      <c r="J789" s="209" t="s">
        <v>427</v>
      </c>
      <c r="K789" s="210" t="s">
        <v>1</v>
      </c>
      <c r="L789" s="455">
        <f>L785</f>
        <v>4.7</v>
      </c>
      <c r="M789" s="455">
        <v>37</v>
      </c>
      <c r="N789" s="285">
        <f t="shared" si="204"/>
        <v>173.9</v>
      </c>
      <c r="O789" s="462"/>
      <c r="P789" s="213" t="s">
        <v>518</v>
      </c>
      <c r="Q789" s="35"/>
      <c r="R789" s="35"/>
      <c r="S789" s="35"/>
    </row>
    <row r="790" spans="1:19" s="34" customFormat="1" ht="13.9" hidden="1" customHeight="1" outlineLevel="1" x14ac:dyDescent="0.2">
      <c r="A790" s="457">
        <f ca="1">IF($H790="UNIDADE CONSTRUTIVA",OFFSET(A790,-1,0)+1,LARGE(A$3:A789,1))</f>
        <v>0</v>
      </c>
      <c r="B790" s="457">
        <f t="shared" ca="1" si="154"/>
        <v>12</v>
      </c>
      <c r="C790" s="457">
        <f t="shared" ca="1" si="155"/>
        <v>4</v>
      </c>
      <c r="D790" s="458">
        <f t="shared" ca="1" si="156"/>
        <v>0</v>
      </c>
      <c r="E790" s="458">
        <f t="shared" ca="1" si="157"/>
        <v>3</v>
      </c>
      <c r="G790" s="206"/>
      <c r="H790" s="207" t="s">
        <v>210</v>
      </c>
      <c r="I790" s="208" t="str">
        <f t="shared" ca="1" si="185"/>
        <v>12.004</v>
      </c>
      <c r="J790" s="209" t="s">
        <v>995</v>
      </c>
      <c r="K790" s="210"/>
      <c r="L790" s="455"/>
      <c r="M790" s="455"/>
      <c r="N790" s="285">
        <f t="shared" ca="1" si="204"/>
        <v>131561.42285</v>
      </c>
      <c r="O790" s="462"/>
      <c r="P790" s="213"/>
      <c r="Q790" s="35"/>
      <c r="R790" s="35"/>
      <c r="S790" s="35"/>
    </row>
    <row r="791" spans="1:19" s="34" customFormat="1" ht="13.9" hidden="1" customHeight="1" outlineLevel="1" x14ac:dyDescent="0.2">
      <c r="A791" s="457">
        <f ca="1">IF($H791="UNIDADE CONSTRUTIVA",OFFSET(A791,-1,0)+1,LARGE(A$3:A790,1))</f>
        <v>0</v>
      </c>
      <c r="B791" s="457">
        <f t="shared" ca="1" si="154"/>
        <v>12</v>
      </c>
      <c r="C791" s="457">
        <f t="shared" ca="1" si="155"/>
        <v>4</v>
      </c>
      <c r="D791" s="458">
        <f t="shared" ca="1" si="156"/>
        <v>1</v>
      </c>
      <c r="E791" s="458">
        <f t="shared" ca="1" si="157"/>
        <v>0</v>
      </c>
      <c r="G791" s="206"/>
      <c r="H791" s="207" t="s">
        <v>211</v>
      </c>
      <c r="I791" s="208" t="str">
        <f t="shared" ca="1" si="185"/>
        <v>12.004.001</v>
      </c>
      <c r="J791" s="209" t="s">
        <v>417</v>
      </c>
      <c r="K791" s="210"/>
      <c r="L791" s="455"/>
      <c r="M791" s="455"/>
      <c r="N791" s="285">
        <f t="shared" ca="1" si="204"/>
        <v>6017.3397900000009</v>
      </c>
      <c r="O791" s="462"/>
      <c r="P791" s="213"/>
      <c r="Q791" s="35"/>
      <c r="R791" s="35"/>
      <c r="S791" s="35"/>
    </row>
    <row r="792" spans="1:19" s="34" customFormat="1" ht="13.9" hidden="1" customHeight="1" outlineLevel="2" x14ac:dyDescent="0.2">
      <c r="A792" s="457">
        <f ca="1">IF($H792="UNIDADE CONSTRUTIVA",OFFSET(A792,-1,0)+1,LARGE(A$3:A791,1))</f>
        <v>0</v>
      </c>
      <c r="B792" s="457">
        <f t="shared" ca="1" si="154"/>
        <v>12</v>
      </c>
      <c r="C792" s="457">
        <f t="shared" ca="1" si="155"/>
        <v>4</v>
      </c>
      <c r="D792" s="458">
        <f t="shared" ca="1" si="156"/>
        <v>1</v>
      </c>
      <c r="E792" s="458">
        <f t="shared" ca="1" si="157"/>
        <v>1</v>
      </c>
      <c r="G792" s="206"/>
      <c r="H792" s="207" t="s">
        <v>212</v>
      </c>
      <c r="I792" s="208" t="str">
        <f t="shared" ca="1" si="185"/>
        <v>12.004.001.001</v>
      </c>
      <c r="J792" s="469" t="s">
        <v>986</v>
      </c>
      <c r="K792" s="210" t="s">
        <v>1</v>
      </c>
      <c r="L792" s="455">
        <f>Arquitetura!D395</f>
        <v>522.57000000000005</v>
      </c>
      <c r="M792" s="455">
        <v>8.3789999999999996</v>
      </c>
      <c r="N792" s="285">
        <f>M792*L792</f>
        <v>4378.6140300000006</v>
      </c>
      <c r="O792" s="462"/>
      <c r="P792" s="213" t="s">
        <v>518</v>
      </c>
      <c r="Q792" s="35"/>
      <c r="R792" s="35"/>
      <c r="S792" s="35"/>
    </row>
    <row r="793" spans="1:19" s="34" customFormat="1" ht="13.9" hidden="1" customHeight="1" outlineLevel="2" x14ac:dyDescent="0.2">
      <c r="A793" s="457">
        <f ca="1">IF($H793="UNIDADE CONSTRUTIVA",OFFSET(A793,-1,0)+1,LARGE(A$3:A792,1))</f>
        <v>0</v>
      </c>
      <c r="B793" s="457">
        <f t="shared" ca="1" si="154"/>
        <v>12</v>
      </c>
      <c r="C793" s="457">
        <f t="shared" ca="1" si="155"/>
        <v>4</v>
      </c>
      <c r="D793" s="458">
        <f t="shared" ca="1" si="156"/>
        <v>1</v>
      </c>
      <c r="E793" s="458">
        <f t="shared" ca="1" si="157"/>
        <v>2</v>
      </c>
      <c r="G793" s="206"/>
      <c r="H793" s="207" t="s">
        <v>212</v>
      </c>
      <c r="I793" s="208" t="str">
        <f t="shared" ca="1" si="185"/>
        <v>12.004.001.002</v>
      </c>
      <c r="J793" s="469" t="s">
        <v>979</v>
      </c>
      <c r="K793" s="210" t="s">
        <v>1</v>
      </c>
      <c r="L793" s="455">
        <f>Arquitetura!D394</f>
        <v>812.86</v>
      </c>
      <c r="M793" s="455">
        <v>2.016</v>
      </c>
      <c r="N793" s="285">
        <f t="shared" ref="N793:N807" si="205">IF(H793="Serviço",M793*L793,IF(H793="CÉLULA CONSTRUTIVA",SUMIFS($N$8:$N$1644,$B$8:$B$1644,B793,$H$8:$H$1644,"Serviço"),IF(H793="ETAPA",SUMIFS($N$8:$N$1644,$B$8:$B$1644,B793,$C$8:$C$1644,C793,$H$8:$H$1644,"Serviço"),IF(H793="SUBETAPA",SUMIFS($N$8:$N$1644,$B$8:$B$1644,B793,$C$8:$C$1644,C793,$D$8:$D$1644,D793,$H$8:$H$1644,"Serviço"),0))))</f>
        <v>1638.72576</v>
      </c>
      <c r="O793" s="462"/>
      <c r="P793" s="213" t="s">
        <v>518</v>
      </c>
      <c r="Q793" s="35"/>
      <c r="R793" s="35"/>
      <c r="S793" s="35"/>
    </row>
    <row r="794" spans="1:19" s="34" customFormat="1" ht="13.9" hidden="1" customHeight="1" outlineLevel="1" x14ac:dyDescent="0.2">
      <c r="A794" s="457">
        <f ca="1">IF($H794="UNIDADE CONSTRUTIVA",OFFSET(A794,-1,0)+1,LARGE(A$3:A793,1))</f>
        <v>0</v>
      </c>
      <c r="B794" s="457">
        <f t="shared" ca="1" si="154"/>
        <v>12</v>
      </c>
      <c r="C794" s="457">
        <f t="shared" ca="1" si="155"/>
        <v>4</v>
      </c>
      <c r="D794" s="458">
        <f t="shared" ca="1" si="156"/>
        <v>2</v>
      </c>
      <c r="E794" s="458">
        <f t="shared" ca="1" si="157"/>
        <v>0</v>
      </c>
      <c r="G794" s="206"/>
      <c r="H794" s="207" t="s">
        <v>211</v>
      </c>
      <c r="I794" s="208" t="str">
        <f t="shared" ca="1" si="185"/>
        <v>12.004.002</v>
      </c>
      <c r="J794" s="209" t="s">
        <v>418</v>
      </c>
      <c r="K794" s="210"/>
      <c r="L794" s="455"/>
      <c r="M794" s="455"/>
      <c r="N794" s="285">
        <f t="shared" ca="1" si="205"/>
        <v>13212.357599999999</v>
      </c>
      <c r="O794" s="462"/>
      <c r="P794" s="213"/>
      <c r="Q794" s="35"/>
      <c r="R794" s="35"/>
      <c r="S794" s="35"/>
    </row>
    <row r="795" spans="1:19" s="34" customFormat="1" ht="13.9" hidden="1" customHeight="1" outlineLevel="2" x14ac:dyDescent="0.2">
      <c r="A795" s="457">
        <f ca="1">IF($H795="UNIDADE CONSTRUTIVA",OFFSET(A795,-1,0)+1,LARGE(A$3:A794,1))</f>
        <v>0</v>
      </c>
      <c r="B795" s="457">
        <f t="shared" ca="1" si="154"/>
        <v>12</v>
      </c>
      <c r="C795" s="457">
        <f t="shared" ca="1" si="155"/>
        <v>4</v>
      </c>
      <c r="D795" s="458">
        <f t="shared" ca="1" si="156"/>
        <v>2</v>
      </c>
      <c r="E795" s="458">
        <f t="shared" ca="1" si="157"/>
        <v>1</v>
      </c>
      <c r="G795" s="206"/>
      <c r="H795" s="207" t="s">
        <v>212</v>
      </c>
      <c r="I795" s="208" t="str">
        <f t="shared" ca="1" si="185"/>
        <v>12.004.002.001</v>
      </c>
      <c r="J795" s="209" t="s">
        <v>1244</v>
      </c>
      <c r="K795" s="210" t="s">
        <v>1</v>
      </c>
      <c r="L795" s="455">
        <f>Arquitetura!D456</f>
        <v>1335.44</v>
      </c>
      <c r="M795" s="455">
        <v>9.5399999999999991</v>
      </c>
      <c r="N795" s="285">
        <f t="shared" si="205"/>
        <v>12740.097599999999</v>
      </c>
      <c r="O795" s="462"/>
      <c r="P795" s="213" t="s">
        <v>518</v>
      </c>
      <c r="Q795" s="470"/>
      <c r="R795" s="470"/>
      <c r="S795" s="35"/>
    </row>
    <row r="796" spans="1:19" s="34" customFormat="1" ht="13.9" hidden="1" customHeight="1" outlineLevel="2" x14ac:dyDescent="0.2">
      <c r="A796" s="457">
        <f ca="1">IF($H796="UNIDADE CONSTRUTIVA",OFFSET(A796,-1,0)+1,LARGE(A$3:A795,1))</f>
        <v>0</v>
      </c>
      <c r="B796" s="457">
        <f t="shared" ca="1" si="154"/>
        <v>12</v>
      </c>
      <c r="C796" s="457">
        <f t="shared" ca="1" si="155"/>
        <v>4</v>
      </c>
      <c r="D796" s="458">
        <f t="shared" ca="1" si="156"/>
        <v>2</v>
      </c>
      <c r="E796" s="458">
        <f t="shared" ca="1" si="157"/>
        <v>2</v>
      </c>
      <c r="G796" s="206"/>
      <c r="H796" s="207" t="s">
        <v>212</v>
      </c>
      <c r="I796" s="208" t="str">
        <f t="shared" ca="1" si="185"/>
        <v>12.004.002.002</v>
      </c>
      <c r="J796" s="209" t="s">
        <v>419</v>
      </c>
      <c r="K796" s="210" t="s">
        <v>1</v>
      </c>
      <c r="L796" s="455">
        <f>Arquitetura!D503</f>
        <v>92.6</v>
      </c>
      <c r="M796" s="455">
        <v>5.0999999999999996</v>
      </c>
      <c r="N796" s="285">
        <f t="shared" si="205"/>
        <v>472.25999999999993</v>
      </c>
      <c r="O796" s="462"/>
      <c r="P796" s="213" t="s">
        <v>518</v>
      </c>
      <c r="Q796" s="35"/>
      <c r="R796" s="35"/>
      <c r="S796" s="35"/>
    </row>
    <row r="797" spans="1:19" s="34" customFormat="1" ht="13.9" hidden="1" customHeight="1" outlineLevel="1" x14ac:dyDescent="0.2">
      <c r="A797" s="457">
        <f ca="1">IF($H797="UNIDADE CONSTRUTIVA",OFFSET(A797,-1,0)+1,LARGE(A$3:A796,1))</f>
        <v>0</v>
      </c>
      <c r="B797" s="457">
        <f t="shared" ca="1" si="154"/>
        <v>12</v>
      </c>
      <c r="C797" s="457">
        <f t="shared" ca="1" si="155"/>
        <v>4</v>
      </c>
      <c r="D797" s="458">
        <f t="shared" ca="1" si="156"/>
        <v>3</v>
      </c>
      <c r="E797" s="458">
        <f t="shared" ca="1" si="157"/>
        <v>0</v>
      </c>
      <c r="G797" s="206"/>
      <c r="H797" s="207" t="s">
        <v>211</v>
      </c>
      <c r="I797" s="208" t="str">
        <f t="shared" ca="1" si="185"/>
        <v>12.004.003</v>
      </c>
      <c r="J797" s="209" t="s">
        <v>423</v>
      </c>
      <c r="K797" s="210"/>
      <c r="L797" s="455"/>
      <c r="M797" s="455"/>
      <c r="N797" s="285">
        <f t="shared" ca="1" si="205"/>
        <v>23137.647660000002</v>
      </c>
      <c r="O797" s="462"/>
      <c r="P797" s="213"/>
      <c r="Q797" s="35"/>
      <c r="R797" s="35"/>
      <c r="S797" s="35"/>
    </row>
    <row r="798" spans="1:19" s="34" customFormat="1" ht="13.9" hidden="1" customHeight="1" outlineLevel="2" x14ac:dyDescent="0.2">
      <c r="A798" s="457">
        <f ca="1">IF($H798="UNIDADE CONSTRUTIVA",OFFSET(A798,-1,0)+1,LARGE(A$3:A797,1))</f>
        <v>0</v>
      </c>
      <c r="B798" s="457">
        <f t="shared" ca="1" si="154"/>
        <v>12</v>
      </c>
      <c r="C798" s="457">
        <f t="shared" ca="1" si="155"/>
        <v>4</v>
      </c>
      <c r="D798" s="458">
        <f t="shared" ca="1" si="156"/>
        <v>3</v>
      </c>
      <c r="E798" s="458">
        <f t="shared" ca="1" si="157"/>
        <v>1</v>
      </c>
      <c r="G798" s="206"/>
      <c r="H798" s="207" t="s">
        <v>212</v>
      </c>
      <c r="I798" s="208" t="str">
        <f t="shared" ca="1" si="185"/>
        <v>12.004.003.001</v>
      </c>
      <c r="J798" s="209" t="s">
        <v>4181</v>
      </c>
      <c r="K798" s="210" t="s">
        <v>1</v>
      </c>
      <c r="L798" s="455">
        <f>Arquitetura!D542</f>
        <v>256.60000000000002</v>
      </c>
      <c r="M798" s="455">
        <v>90.170100000000005</v>
      </c>
      <c r="N798" s="285">
        <f t="shared" si="205"/>
        <v>23137.647660000002</v>
      </c>
      <c r="O798" s="462"/>
      <c r="P798" s="213" t="s">
        <v>518</v>
      </c>
      <c r="Q798" s="35"/>
      <c r="R798" s="35"/>
      <c r="S798" s="35"/>
    </row>
    <row r="799" spans="1:19" s="34" customFormat="1" ht="13.9" hidden="1" customHeight="1" outlineLevel="1" x14ac:dyDescent="0.2">
      <c r="A799" s="457">
        <f ca="1">IF($H799="UNIDADE CONSTRUTIVA",OFFSET(A799,-1,0)+1,LARGE(A$3:A798,1))</f>
        <v>0</v>
      </c>
      <c r="B799" s="457">
        <f t="shared" ca="1" si="154"/>
        <v>12</v>
      </c>
      <c r="C799" s="457">
        <f t="shared" ca="1" si="155"/>
        <v>4</v>
      </c>
      <c r="D799" s="458">
        <f t="shared" ca="1" si="156"/>
        <v>4</v>
      </c>
      <c r="E799" s="458">
        <f t="shared" ca="1" si="157"/>
        <v>0</v>
      </c>
      <c r="G799" s="206"/>
      <c r="H799" s="207" t="s">
        <v>211</v>
      </c>
      <c r="I799" s="208" t="str">
        <f t="shared" ca="1" si="185"/>
        <v>12.004.004</v>
      </c>
      <c r="J799" s="209" t="s">
        <v>424</v>
      </c>
      <c r="K799" s="210"/>
      <c r="L799" s="455"/>
      <c r="M799" s="455"/>
      <c r="N799" s="285">
        <f t="shared" ca="1" si="205"/>
        <v>22971.217800000002</v>
      </c>
      <c r="O799" s="462"/>
      <c r="P799" s="213"/>
      <c r="Q799" s="35"/>
      <c r="R799" s="35"/>
      <c r="S799" s="35"/>
    </row>
    <row r="800" spans="1:19" s="34" customFormat="1" ht="13.9" hidden="1" customHeight="1" outlineLevel="2" x14ac:dyDescent="0.2">
      <c r="A800" s="457">
        <f ca="1">IF($H800="UNIDADE CONSTRUTIVA",OFFSET(A800,-1,0)+1,LARGE(A$3:A799,1))</f>
        <v>0</v>
      </c>
      <c r="B800" s="457">
        <f t="shared" ca="1" si="154"/>
        <v>12</v>
      </c>
      <c r="C800" s="457">
        <f t="shared" ca="1" si="155"/>
        <v>4</v>
      </c>
      <c r="D800" s="458">
        <f t="shared" ca="1" si="156"/>
        <v>4</v>
      </c>
      <c r="E800" s="458">
        <f t="shared" ca="1" si="157"/>
        <v>1</v>
      </c>
      <c r="G800" s="206"/>
      <c r="H800" s="207" t="s">
        <v>212</v>
      </c>
      <c r="I800" s="208" t="str">
        <f t="shared" ca="1" si="185"/>
        <v>12.004.004.001</v>
      </c>
      <c r="J800" s="209" t="s">
        <v>426</v>
      </c>
      <c r="K800" s="210" t="s">
        <v>1</v>
      </c>
      <c r="L800" s="455">
        <f>Arquitetura!D584</f>
        <v>46.46</v>
      </c>
      <c r="M800" s="455">
        <v>494.43</v>
      </c>
      <c r="N800" s="285">
        <f t="shared" si="205"/>
        <v>22971.217800000002</v>
      </c>
      <c r="O800" s="462"/>
      <c r="P800" s="213" t="s">
        <v>518</v>
      </c>
      <c r="Q800" s="35"/>
      <c r="R800" s="35"/>
      <c r="S800" s="35"/>
    </row>
    <row r="801" spans="1:19" s="34" customFormat="1" ht="13.9" hidden="1" customHeight="1" outlineLevel="1" x14ac:dyDescent="0.2">
      <c r="A801" s="457">
        <f ca="1">IF($H801="UNIDADE CONSTRUTIVA",OFFSET(A801,-1,0)+1,LARGE(A$3:A800,1))</f>
        <v>0</v>
      </c>
      <c r="B801" s="457">
        <f t="shared" ca="1" si="154"/>
        <v>12</v>
      </c>
      <c r="C801" s="457">
        <f t="shared" ca="1" si="155"/>
        <v>4</v>
      </c>
      <c r="D801" s="458">
        <f t="shared" ca="1" si="156"/>
        <v>5</v>
      </c>
      <c r="E801" s="458">
        <f t="shared" ca="1" si="157"/>
        <v>0</v>
      </c>
      <c r="G801" s="206"/>
      <c r="H801" s="207" t="s">
        <v>211</v>
      </c>
      <c r="I801" s="208" t="str">
        <f t="shared" ca="1" si="185"/>
        <v>12.004.005</v>
      </c>
      <c r="J801" s="209" t="s">
        <v>425</v>
      </c>
      <c r="K801" s="210"/>
      <c r="L801" s="455"/>
      <c r="M801" s="455"/>
      <c r="N801" s="285">
        <f t="shared" ca="1" si="205"/>
        <v>66222.86</v>
      </c>
      <c r="O801" s="462"/>
      <c r="P801" s="213"/>
      <c r="Q801" s="35"/>
      <c r="R801" s="35"/>
      <c r="S801" s="35"/>
    </row>
    <row r="802" spans="1:19" s="34" customFormat="1" ht="13.9" hidden="1" customHeight="1" outlineLevel="2" x14ac:dyDescent="0.2">
      <c r="A802" s="457">
        <f ca="1">IF($H802="UNIDADE CONSTRUTIVA",OFFSET(A802,-1,0)+1,LARGE(A$3:A801,1))</f>
        <v>0</v>
      </c>
      <c r="B802" s="457">
        <f t="shared" ca="1" si="154"/>
        <v>12</v>
      </c>
      <c r="C802" s="457">
        <f t="shared" ca="1" si="155"/>
        <v>4</v>
      </c>
      <c r="D802" s="458">
        <f t="shared" ca="1" si="156"/>
        <v>5</v>
      </c>
      <c r="E802" s="458">
        <f t="shared" ca="1" si="157"/>
        <v>1</v>
      </c>
      <c r="G802" s="206"/>
      <c r="H802" s="207" t="s">
        <v>212</v>
      </c>
      <c r="I802" s="208" t="str">
        <f t="shared" ca="1" si="185"/>
        <v>12.004.005.001</v>
      </c>
      <c r="J802" s="209" t="s">
        <v>422</v>
      </c>
      <c r="K802" s="210" t="s">
        <v>1</v>
      </c>
      <c r="L802" s="455">
        <f>L795</f>
        <v>1335.44</v>
      </c>
      <c r="M802" s="455">
        <v>36</v>
      </c>
      <c r="N802" s="285">
        <f t="shared" si="205"/>
        <v>48075.840000000004</v>
      </c>
      <c r="O802" s="462"/>
      <c r="P802" s="213" t="s">
        <v>518</v>
      </c>
      <c r="Q802" s="35"/>
      <c r="R802" s="35"/>
      <c r="S802" s="35"/>
    </row>
    <row r="803" spans="1:19" s="34" customFormat="1" ht="13.9" hidden="1" customHeight="1" outlineLevel="2" x14ac:dyDescent="0.2">
      <c r="A803" s="457">
        <f ca="1">IF($H803="UNIDADE CONSTRUTIVA",OFFSET(A803,-1,0)+1,LARGE(A$3:A802,1))</f>
        <v>0</v>
      </c>
      <c r="B803" s="457">
        <f t="shared" ca="1" si="154"/>
        <v>12</v>
      </c>
      <c r="C803" s="457">
        <f t="shared" ca="1" si="155"/>
        <v>4</v>
      </c>
      <c r="D803" s="458">
        <f t="shared" ca="1" si="156"/>
        <v>5</v>
      </c>
      <c r="E803" s="458">
        <f t="shared" ca="1" si="157"/>
        <v>2</v>
      </c>
      <c r="G803" s="206"/>
      <c r="H803" s="207" t="s">
        <v>212</v>
      </c>
      <c r="I803" s="208" t="str">
        <f t="shared" ca="1" si="185"/>
        <v>12.004.005.002</v>
      </c>
      <c r="J803" s="209" t="s">
        <v>988</v>
      </c>
      <c r="K803" s="210" t="s">
        <v>1</v>
      </c>
      <c r="L803" s="455">
        <f>L796</f>
        <v>92.6</v>
      </c>
      <c r="M803" s="455">
        <v>25</v>
      </c>
      <c r="N803" s="285">
        <f t="shared" si="205"/>
        <v>2315</v>
      </c>
      <c r="O803" s="462"/>
      <c r="P803" s="213" t="s">
        <v>518</v>
      </c>
      <c r="Q803" s="35"/>
      <c r="R803" s="35"/>
      <c r="S803" s="35"/>
    </row>
    <row r="804" spans="1:19" s="34" customFormat="1" ht="13.9" hidden="1" customHeight="1" outlineLevel="2" x14ac:dyDescent="0.2">
      <c r="A804" s="457">
        <f ca="1">IF($H804="UNIDADE CONSTRUTIVA",OFFSET(A804,-1,0)+1,LARGE(A$3:A803,1))</f>
        <v>0</v>
      </c>
      <c r="B804" s="457">
        <f t="shared" ca="1" si="154"/>
        <v>12</v>
      </c>
      <c r="C804" s="457">
        <f t="shared" ca="1" si="155"/>
        <v>4</v>
      </c>
      <c r="D804" s="458">
        <f t="shared" ca="1" si="156"/>
        <v>5</v>
      </c>
      <c r="E804" s="458">
        <f t="shared" ca="1" si="157"/>
        <v>3</v>
      </c>
      <c r="G804" s="206"/>
      <c r="H804" s="207" t="s">
        <v>212</v>
      </c>
      <c r="I804" s="208" t="str">
        <f t="shared" ca="1" si="185"/>
        <v>12.004.005.003</v>
      </c>
      <c r="J804" s="209" t="s">
        <v>989</v>
      </c>
      <c r="K804" s="210" t="s">
        <v>1</v>
      </c>
      <c r="L804" s="455">
        <f>SUM(L798:L798)</f>
        <v>256.60000000000002</v>
      </c>
      <c r="M804" s="455">
        <v>55</v>
      </c>
      <c r="N804" s="285">
        <f t="shared" si="205"/>
        <v>14113.000000000002</v>
      </c>
      <c r="O804" s="462"/>
      <c r="P804" s="213" t="s">
        <v>518</v>
      </c>
      <c r="Q804" s="35"/>
      <c r="R804" s="35"/>
      <c r="S804" s="35"/>
    </row>
    <row r="805" spans="1:19" s="34" customFormat="1" ht="13.9" hidden="1" customHeight="1" outlineLevel="2" x14ac:dyDescent="0.2">
      <c r="A805" s="457">
        <f ca="1">IF($H805="UNIDADE CONSTRUTIVA",OFFSET(A805,-1,0)+1,LARGE(A$3:A804,1))</f>
        <v>0</v>
      </c>
      <c r="B805" s="457">
        <f t="shared" ca="1" si="154"/>
        <v>12</v>
      </c>
      <c r="C805" s="457">
        <f t="shared" ca="1" si="155"/>
        <v>4</v>
      </c>
      <c r="D805" s="458">
        <f t="shared" ca="1" si="156"/>
        <v>5</v>
      </c>
      <c r="E805" s="458">
        <f t="shared" ca="1" si="157"/>
        <v>4</v>
      </c>
      <c r="G805" s="206"/>
      <c r="H805" s="207" t="s">
        <v>212</v>
      </c>
      <c r="I805" s="208" t="str">
        <f t="shared" ca="1" si="185"/>
        <v>12.004.005.004</v>
      </c>
      <c r="J805" s="209" t="s">
        <v>427</v>
      </c>
      <c r="K805" s="210" t="s">
        <v>1</v>
      </c>
      <c r="L805" s="455">
        <f>L800</f>
        <v>46.46</v>
      </c>
      <c r="M805" s="455">
        <v>37</v>
      </c>
      <c r="N805" s="285">
        <f t="shared" si="205"/>
        <v>1719.02</v>
      </c>
      <c r="O805" s="462"/>
      <c r="P805" s="213" t="s">
        <v>518</v>
      </c>
      <c r="Q805" s="35"/>
      <c r="R805" s="35"/>
      <c r="S805" s="35"/>
    </row>
    <row r="806" spans="1:19" s="34" customFormat="1" ht="13.9" hidden="1" customHeight="1" outlineLevel="1" x14ac:dyDescent="0.2">
      <c r="A806" s="457">
        <f ca="1">IF($H806="UNIDADE CONSTRUTIVA",OFFSET(A806,-1,0)+1,LARGE(A$3:A805,1))</f>
        <v>0</v>
      </c>
      <c r="B806" s="457">
        <f t="shared" ca="1" si="154"/>
        <v>12</v>
      </c>
      <c r="C806" s="457">
        <f t="shared" ca="1" si="155"/>
        <v>5</v>
      </c>
      <c r="D806" s="458">
        <f t="shared" ca="1" si="156"/>
        <v>0</v>
      </c>
      <c r="E806" s="458">
        <f t="shared" ca="1" si="157"/>
        <v>4</v>
      </c>
      <c r="G806" s="206"/>
      <c r="H806" s="207" t="s">
        <v>210</v>
      </c>
      <c r="I806" s="208" t="str">
        <f t="shared" ca="1" si="185"/>
        <v>12.005</v>
      </c>
      <c r="J806" s="209" t="s">
        <v>996</v>
      </c>
      <c r="K806" s="210"/>
      <c r="L806" s="455"/>
      <c r="M806" s="455"/>
      <c r="N806" s="285">
        <f t="shared" ca="1" si="205"/>
        <v>1092663.5265009999</v>
      </c>
      <c r="O806" s="462"/>
      <c r="P806" s="213"/>
      <c r="Q806" s="35"/>
      <c r="R806" s="35"/>
      <c r="S806" s="35"/>
    </row>
    <row r="807" spans="1:19" s="34" customFormat="1" ht="13.9" hidden="1" customHeight="1" outlineLevel="1" x14ac:dyDescent="0.2">
      <c r="A807" s="457">
        <f ca="1">IF($H807="UNIDADE CONSTRUTIVA",OFFSET(A807,-1,0)+1,LARGE(A$3:A806,1))</f>
        <v>0</v>
      </c>
      <c r="B807" s="457">
        <f t="shared" ca="1" si="154"/>
        <v>12</v>
      </c>
      <c r="C807" s="457">
        <f t="shared" ca="1" si="155"/>
        <v>5</v>
      </c>
      <c r="D807" s="458">
        <f t="shared" ca="1" si="156"/>
        <v>1</v>
      </c>
      <c r="E807" s="458">
        <f t="shared" ca="1" si="157"/>
        <v>0</v>
      </c>
      <c r="G807" s="206"/>
      <c r="H807" s="207" t="s">
        <v>211</v>
      </c>
      <c r="I807" s="208" t="str">
        <f t="shared" ca="1" si="185"/>
        <v>12.005.001</v>
      </c>
      <c r="J807" s="209" t="s">
        <v>417</v>
      </c>
      <c r="K807" s="210"/>
      <c r="L807" s="455"/>
      <c r="M807" s="455"/>
      <c r="N807" s="285">
        <f t="shared" ca="1" si="205"/>
        <v>34966.154790000008</v>
      </c>
      <c r="O807" s="462"/>
      <c r="P807" s="213"/>
      <c r="Q807" s="35"/>
      <c r="R807" s="35"/>
      <c r="S807" s="35"/>
    </row>
    <row r="808" spans="1:19" s="34" customFormat="1" ht="13.9" hidden="1" customHeight="1" outlineLevel="2" x14ac:dyDescent="0.2">
      <c r="A808" s="457">
        <f ca="1">IF($H808="UNIDADE CONSTRUTIVA",OFFSET(A808,-1,0)+1,LARGE(A$3:A807,1))</f>
        <v>0</v>
      </c>
      <c r="B808" s="457">
        <f t="shared" ca="1" si="154"/>
        <v>12</v>
      </c>
      <c r="C808" s="457">
        <f t="shared" ca="1" si="155"/>
        <v>5</v>
      </c>
      <c r="D808" s="458">
        <f t="shared" ca="1" si="156"/>
        <v>1</v>
      </c>
      <c r="E808" s="458">
        <f t="shared" ca="1" si="157"/>
        <v>1</v>
      </c>
      <c r="G808" s="206"/>
      <c r="H808" s="207" t="s">
        <v>212</v>
      </c>
      <c r="I808" s="208" t="str">
        <f t="shared" ca="1" si="185"/>
        <v>12.005.001.001</v>
      </c>
      <c r="J808" s="469" t="s">
        <v>986</v>
      </c>
      <c r="K808" s="210" t="s">
        <v>1</v>
      </c>
      <c r="L808" s="455">
        <f>Arquitetura!H398</f>
        <v>42.130000000000017</v>
      </c>
      <c r="M808" s="455">
        <v>8.3789999999999996</v>
      </c>
      <c r="N808" s="285">
        <f>M808*L808</f>
        <v>353.00727000000012</v>
      </c>
      <c r="O808" s="462"/>
      <c r="P808" s="213" t="s">
        <v>518</v>
      </c>
      <c r="Q808" s="35"/>
      <c r="R808" s="35"/>
      <c r="S808" s="35"/>
    </row>
    <row r="809" spans="1:19" s="34" customFormat="1" ht="13.9" hidden="1" customHeight="1" outlineLevel="2" x14ac:dyDescent="0.2">
      <c r="A809" s="457">
        <f ca="1">IF($H809="UNIDADE CONSTRUTIVA",OFFSET(A809,-1,0)+1,LARGE(A$3:A808,1))</f>
        <v>0</v>
      </c>
      <c r="B809" s="457">
        <f t="shared" ca="1" si="154"/>
        <v>12</v>
      </c>
      <c r="C809" s="457">
        <f t="shared" ca="1" si="155"/>
        <v>5</v>
      </c>
      <c r="D809" s="458">
        <f t="shared" ca="1" si="156"/>
        <v>1</v>
      </c>
      <c r="E809" s="458">
        <f t="shared" ca="1" si="157"/>
        <v>2</v>
      </c>
      <c r="G809" s="206"/>
      <c r="H809" s="207" t="s">
        <v>212</v>
      </c>
      <c r="I809" s="208" t="str">
        <f t="shared" ca="1" si="185"/>
        <v>12.005.001.002</v>
      </c>
      <c r="J809" s="469" t="s">
        <v>979</v>
      </c>
      <c r="K809" s="210" t="s">
        <v>1</v>
      </c>
      <c r="L809" s="455">
        <f>Arquitetura!H397</f>
        <v>17169.22</v>
      </c>
      <c r="M809" s="455">
        <v>2.016</v>
      </c>
      <c r="N809" s="285">
        <f t="shared" ref="N809:N824" si="206">IF(H809="Serviço",M809*L809,IF(H809="CÉLULA CONSTRUTIVA",SUMIFS($N$8:$N$1644,$B$8:$B$1644,B809,$H$8:$H$1644,"Serviço"),IF(H809="ETAPA",SUMIFS($N$8:$N$1644,$B$8:$B$1644,B809,$C$8:$C$1644,C809,$H$8:$H$1644,"Serviço"),IF(H809="SUBETAPA",SUMIFS($N$8:$N$1644,$B$8:$B$1644,B809,$C$8:$C$1644,C809,$D$8:$D$1644,D809,$H$8:$H$1644,"Serviço"),0))))</f>
        <v>34613.147520000006</v>
      </c>
      <c r="O809" s="462"/>
      <c r="P809" s="213" t="s">
        <v>518</v>
      </c>
      <c r="Q809" s="35"/>
      <c r="R809" s="35"/>
      <c r="S809" s="35"/>
    </row>
    <row r="810" spans="1:19" s="34" customFormat="1" ht="13.9" hidden="1" customHeight="1" outlineLevel="1" x14ac:dyDescent="0.2">
      <c r="A810" s="457">
        <f ca="1">IF($H810="UNIDADE CONSTRUTIVA",OFFSET(A810,-1,0)+1,LARGE(A$3:A809,1))</f>
        <v>0</v>
      </c>
      <c r="B810" s="457">
        <f t="shared" ca="1" si="154"/>
        <v>12</v>
      </c>
      <c r="C810" s="457">
        <f t="shared" ca="1" si="155"/>
        <v>5</v>
      </c>
      <c r="D810" s="458">
        <f t="shared" ca="1" si="156"/>
        <v>2</v>
      </c>
      <c r="E810" s="458">
        <f t="shared" ca="1" si="157"/>
        <v>0</v>
      </c>
      <c r="G810" s="206"/>
      <c r="H810" s="207" t="s">
        <v>211</v>
      </c>
      <c r="I810" s="208" t="str">
        <f t="shared" ca="1" si="185"/>
        <v>12.005.002</v>
      </c>
      <c r="J810" s="209" t="s">
        <v>418</v>
      </c>
      <c r="K810" s="210"/>
      <c r="L810" s="455"/>
      <c r="M810" s="455"/>
      <c r="N810" s="285">
        <f t="shared" ca="1" si="206"/>
        <v>169320.60599999997</v>
      </c>
      <c r="O810" s="462"/>
      <c r="P810" s="213"/>
      <c r="Q810" s="35"/>
      <c r="R810" s="35"/>
      <c r="S810" s="35"/>
    </row>
    <row r="811" spans="1:19" s="34" customFormat="1" ht="13.9" hidden="1" customHeight="1" outlineLevel="2" x14ac:dyDescent="0.2">
      <c r="A811" s="457">
        <f ca="1">IF($H811="UNIDADE CONSTRUTIVA",OFFSET(A811,-1,0)+1,LARGE(A$3:A810,1))</f>
        <v>0</v>
      </c>
      <c r="B811" s="457">
        <f t="shared" ca="1" si="154"/>
        <v>12</v>
      </c>
      <c r="C811" s="457">
        <f t="shared" ca="1" si="155"/>
        <v>5</v>
      </c>
      <c r="D811" s="458">
        <f t="shared" ca="1" si="156"/>
        <v>2</v>
      </c>
      <c r="E811" s="458">
        <f t="shared" ca="1" si="157"/>
        <v>1</v>
      </c>
      <c r="G811" s="206"/>
      <c r="H811" s="207" t="s">
        <v>212</v>
      </c>
      <c r="I811" s="208" t="str">
        <f t="shared" ca="1" si="185"/>
        <v>12.005.002.001</v>
      </c>
      <c r="J811" s="209" t="s">
        <v>1244</v>
      </c>
      <c r="K811" s="210" t="s">
        <v>1</v>
      </c>
      <c r="L811" s="455">
        <f>Arquitetura!H458</f>
        <v>17211.349999999999</v>
      </c>
      <c r="M811" s="455">
        <v>9.5399999999999991</v>
      </c>
      <c r="N811" s="285">
        <f t="shared" si="206"/>
        <v>164196.27899999998</v>
      </c>
      <c r="O811" s="462"/>
      <c r="P811" s="213" t="s">
        <v>518</v>
      </c>
      <c r="Q811" s="470"/>
      <c r="R811" s="470"/>
      <c r="S811" s="35"/>
    </row>
    <row r="812" spans="1:19" s="34" customFormat="1" ht="13.9" hidden="1" customHeight="1" outlineLevel="2" x14ac:dyDescent="0.2">
      <c r="A812" s="457">
        <f ca="1">IF($H812="UNIDADE CONSTRUTIVA",OFFSET(A812,-1,0)+1,LARGE(A$3:A811,1))</f>
        <v>0</v>
      </c>
      <c r="B812" s="457">
        <f t="shared" ca="1" si="154"/>
        <v>12</v>
      </c>
      <c r="C812" s="457">
        <f t="shared" ca="1" si="155"/>
        <v>5</v>
      </c>
      <c r="D812" s="458">
        <f t="shared" ca="1" si="156"/>
        <v>2</v>
      </c>
      <c r="E812" s="458">
        <f t="shared" ca="1" si="157"/>
        <v>2</v>
      </c>
      <c r="G812" s="206"/>
      <c r="H812" s="207" t="s">
        <v>212</v>
      </c>
      <c r="I812" s="208" t="str">
        <f t="shared" ca="1" si="185"/>
        <v>12.005.002.002</v>
      </c>
      <c r="J812" s="209" t="s">
        <v>419</v>
      </c>
      <c r="K812" s="210" t="s">
        <v>1</v>
      </c>
      <c r="L812" s="455">
        <f>Arquitetura!H505</f>
        <v>1004.7699999999999</v>
      </c>
      <c r="M812" s="455">
        <v>5.0999999999999996</v>
      </c>
      <c r="N812" s="285">
        <f t="shared" si="206"/>
        <v>5124.3269999999993</v>
      </c>
      <c r="O812" s="462"/>
      <c r="P812" s="213" t="s">
        <v>518</v>
      </c>
      <c r="Q812" s="35"/>
      <c r="R812" s="35"/>
      <c r="S812" s="35"/>
    </row>
    <row r="813" spans="1:19" s="34" customFormat="1" ht="13.9" hidden="1" customHeight="1" outlineLevel="1" x14ac:dyDescent="0.2">
      <c r="A813" s="457">
        <f ca="1">IF($H813="UNIDADE CONSTRUTIVA",OFFSET(A813,-1,0)+1,LARGE(A$3:A812,1))</f>
        <v>0</v>
      </c>
      <c r="B813" s="457">
        <f ca="1">IF(H813="UNIDADE CONSTRUTIVA",0,IF(H813="CÉLULA CONSTRUTIVA",OFFSET(B813,-1,0)+1,OFFSET(B813,-1,0)))</f>
        <v>12</v>
      </c>
      <c r="C813" s="457">
        <f ca="1">IF(H813="CÉLULA CONSTRUTIVA",0,IF(H813="ETAPA",OFFSET(C813,-1,0)+1,OFFSET(C813,-1,0)))</f>
        <v>5</v>
      </c>
      <c r="D813" s="458">
        <f ca="1">IF(H813="ETAPA",0,IF(H813="SUBETAPA",OFFSET(D813,-1,0)+1,OFFSET(D813,-1,0)))</f>
        <v>3</v>
      </c>
      <c r="E813" s="458">
        <f ca="1">IF(H813="Subetapa",0,IF(H813="serviço",OFFSET(E813,-1,0)+1,OFFSET(E813,-1,0)))</f>
        <v>0</v>
      </c>
      <c r="G813" s="206"/>
      <c r="H813" s="207" t="s">
        <v>211</v>
      </c>
      <c r="I813" s="208" t="str">
        <f ca="1">IF(H813="Unidade Construtiva",TEXT(A813,"00"),IF(H813="Célula Construtiva",TEXT(B813,"00"),IF(H813="Etapa",CONCATENATE(TEXT(B813,"00"),".",TEXT(C813,"000")),IF(H813="Subetapa",CONCATENATE(TEXT(B813,"00"),".",TEXT(C813,"000"),".",TEXT(D813,"000")),IF(H813="Serviço",CONCATENATE(TEXT(B813,"00"),".",TEXT(C813,"000"),".",TEXT(D813,"000"),".",TEXT(E813,"000")),"")))))</f>
        <v>12.005.003</v>
      </c>
      <c r="J813" s="209" t="s">
        <v>423</v>
      </c>
      <c r="K813" s="210"/>
      <c r="L813" s="455"/>
      <c r="M813" s="455"/>
      <c r="N813" s="285">
        <f t="shared" ca="1" si="206"/>
        <v>103029.60401099999</v>
      </c>
      <c r="O813" s="462"/>
      <c r="P813" s="213"/>
      <c r="Q813" s="35"/>
      <c r="R813" s="35"/>
      <c r="S813" s="35"/>
    </row>
    <row r="814" spans="1:19" s="34" customFormat="1" ht="13.9" hidden="1" customHeight="1" outlineLevel="2" x14ac:dyDescent="0.2">
      <c r="A814" s="457">
        <f ca="1">IF($H814="UNIDADE CONSTRUTIVA",OFFSET(A814,-1,0)+1,LARGE(A$3:A813,1))</f>
        <v>0</v>
      </c>
      <c r="B814" s="457">
        <f ca="1">IF(H814="UNIDADE CONSTRUTIVA",0,IF(H814="CÉLULA CONSTRUTIVA",OFFSET(B814,-1,0)+1,OFFSET(B814,-1,0)))</f>
        <v>12</v>
      </c>
      <c r="C814" s="457">
        <f ca="1">IF(H814="CÉLULA CONSTRUTIVA",0,IF(H814="ETAPA",OFFSET(C814,-1,0)+1,OFFSET(C814,-1,0)))</f>
        <v>5</v>
      </c>
      <c r="D814" s="458">
        <f ca="1">IF(H814="ETAPA",0,IF(H814="SUBETAPA",OFFSET(D814,-1,0)+1,OFFSET(D814,-1,0)))</f>
        <v>3</v>
      </c>
      <c r="E814" s="458">
        <f ca="1">IF(H814="Subetapa",0,IF(H814="serviço",OFFSET(E814,-1,0)+1,OFFSET(E814,-1,0)))</f>
        <v>1</v>
      </c>
      <c r="G814" s="1000"/>
      <c r="H814" s="1001" t="s">
        <v>212</v>
      </c>
      <c r="I814" s="1002" t="str">
        <f ca="1">IF(H814="Unidade Construtiva",TEXT(A814,"00"),IF(H814="Célula Construtiva",TEXT(B814,"00"),IF(H814="Etapa",CONCATENATE(TEXT(B814,"00"),".",TEXT(C814,"000")),IF(H814="Subetapa",CONCATENATE(TEXT(B814,"00"),".",TEXT(C814,"000"),".",TEXT(D814,"000")),IF(H814="Serviço",CONCATENATE(TEXT(B814,"00"),".",TEXT(C814,"000"),".",TEXT(D814,"000"),".",TEXT(E814,"000")),"")))))</f>
        <v>12.005.003.001</v>
      </c>
      <c r="J814" s="1003" t="s">
        <v>991</v>
      </c>
      <c r="K814" s="1004" t="s">
        <v>1</v>
      </c>
      <c r="L814" s="1009">
        <f>SUM(Arquitetura!D544:D568)</f>
        <v>883.29</v>
      </c>
      <c r="M814" s="1009">
        <v>90.945899999999995</v>
      </c>
      <c r="N814" s="1006">
        <f t="shared" si="206"/>
        <v>80331.604010999989</v>
      </c>
      <c r="O814" s="1010" t="s">
        <v>5060</v>
      </c>
      <c r="P814" s="213" t="s">
        <v>518</v>
      </c>
      <c r="Q814" s="35"/>
      <c r="R814" s="35"/>
      <c r="S814" s="35"/>
    </row>
    <row r="815" spans="1:19" s="34" customFormat="1" ht="13.9" hidden="1" customHeight="1" outlineLevel="2" x14ac:dyDescent="0.2">
      <c r="A815" s="457">
        <f ca="1">IF($H815="UNIDADE CONSTRUTIVA",OFFSET(A815,-1,0)+1,LARGE(A$3:A814,1))</f>
        <v>0</v>
      </c>
      <c r="B815" s="457">
        <f ca="1">IF(H815="UNIDADE CONSTRUTIVA",0,IF(H815="CÉLULA CONSTRUTIVA",OFFSET(B815,-1,0)+1,OFFSET(B815,-1,0)))</f>
        <v>12</v>
      </c>
      <c r="C815" s="457">
        <f ca="1">IF(H815="CÉLULA CONSTRUTIVA",0,IF(H815="ETAPA",OFFSET(C815,-1,0)+1,OFFSET(C815,-1,0)))</f>
        <v>5</v>
      </c>
      <c r="D815" s="458">
        <f ca="1">IF(H815="ETAPA",0,IF(H815="SUBETAPA",OFFSET(D815,-1,0)+1,OFFSET(D815,-1,0)))</f>
        <v>3</v>
      </c>
      <c r="E815" s="458">
        <f ca="1">IF(H815="Subetapa",0,IF(H815="serviço",OFFSET(E815,-1,0)+1,OFFSET(E815,-1,0)))</f>
        <v>2</v>
      </c>
      <c r="G815" s="1000"/>
      <c r="H815" s="1001" t="s">
        <v>212</v>
      </c>
      <c r="I815" s="1002" t="str">
        <f ca="1">IF(H815="Unidade Construtiva",TEXT(A815,"00"),IF(H815="Célula Construtiva",TEXT(B815,"00"),IF(H815="Etapa",CONCATENATE(TEXT(B815,"00"),".",TEXT(C815,"000")),IF(H815="Subetapa",CONCATENATE(TEXT(B815,"00"),".",TEXT(C815,"000"),".",TEXT(D815,"000")),IF(H815="Serviço",CONCATENATE(TEXT(B815,"00"),".",TEXT(C815,"000"),".",TEXT(D815,"000"),".",TEXT(E815,"000")),"")))))</f>
        <v>12.005.003.002</v>
      </c>
      <c r="J815" s="1003" t="s">
        <v>5107</v>
      </c>
      <c r="K815" s="1004" t="s">
        <v>2</v>
      </c>
      <c r="L815" s="1009">
        <f>12*13</f>
        <v>156</v>
      </c>
      <c r="M815" s="1009">
        <v>145.5</v>
      </c>
      <c r="N815" s="1006">
        <f t="shared" ref="N815" si="207">IF(H815="Serviço",M815*L815,IF(H815="CÉLULA CONSTRUTIVA",SUMIFS($N$8:$N$1644,$B$8:$B$1644,B815,$H$8:$H$1644,"Serviço"),IF(H815="ETAPA",SUMIFS($N$8:$N$1644,$B$8:$B$1644,B815,$C$8:$C$1644,C815,$H$8:$H$1644,"Serviço"),IF(H815="SUBETAPA",SUMIFS($N$8:$N$1644,$B$8:$B$1644,B815,$C$8:$C$1644,C815,$D$8:$D$1644,D815,$H$8:$H$1644,"Serviço"),0))))</f>
        <v>22698</v>
      </c>
      <c r="O815" s="1010" t="s">
        <v>5108</v>
      </c>
      <c r="P815" s="213" t="s">
        <v>518</v>
      </c>
      <c r="Q815" s="35"/>
      <c r="R815" s="35"/>
      <c r="S815" s="35"/>
    </row>
    <row r="816" spans="1:19" s="34" customFormat="1" ht="13.9" hidden="1" customHeight="1" outlineLevel="1" x14ac:dyDescent="0.2">
      <c r="A816" s="457">
        <f ca="1">IF($H816="UNIDADE CONSTRUTIVA",OFFSET(A816,-1,0)+1,LARGE(A$3:A812,1))</f>
        <v>0</v>
      </c>
      <c r="B816" s="457">
        <f t="shared" ca="1" si="154"/>
        <v>12</v>
      </c>
      <c r="C816" s="457">
        <f t="shared" ca="1" si="155"/>
        <v>5</v>
      </c>
      <c r="D816" s="458">
        <f t="shared" ca="1" si="156"/>
        <v>4</v>
      </c>
      <c r="E816" s="458">
        <f t="shared" ca="1" si="157"/>
        <v>0</v>
      </c>
      <c r="G816" s="206"/>
      <c r="H816" s="207" t="s">
        <v>211</v>
      </c>
      <c r="I816" s="208" t="str">
        <f t="shared" ca="1" si="185"/>
        <v>12.005.004</v>
      </c>
      <c r="J816" s="209" t="s">
        <v>424</v>
      </c>
      <c r="K816" s="210"/>
      <c r="L816" s="455"/>
      <c r="M816" s="455"/>
      <c r="N816" s="285">
        <f t="shared" ca="1" si="206"/>
        <v>85630.331699999981</v>
      </c>
      <c r="O816" s="462"/>
      <c r="P816" s="213"/>
      <c r="Q816" s="35"/>
      <c r="R816" s="35"/>
      <c r="S816" s="35"/>
    </row>
    <row r="817" spans="1:19" s="34" customFormat="1" ht="13.9" hidden="1" customHeight="1" outlineLevel="2" x14ac:dyDescent="0.2">
      <c r="A817" s="457">
        <f ca="1">IF($H817="UNIDADE CONSTRUTIVA",OFFSET(A817,-1,0)+1,LARGE(A$3:A816,1))</f>
        <v>0</v>
      </c>
      <c r="B817" s="457">
        <f t="shared" ca="1" si="154"/>
        <v>12</v>
      </c>
      <c r="C817" s="457">
        <f t="shared" ca="1" si="155"/>
        <v>5</v>
      </c>
      <c r="D817" s="458">
        <f t="shared" ca="1" si="156"/>
        <v>4</v>
      </c>
      <c r="E817" s="458">
        <f t="shared" ca="1" si="157"/>
        <v>1</v>
      </c>
      <c r="G817" s="206"/>
      <c r="H817" s="207" t="s">
        <v>212</v>
      </c>
      <c r="I817" s="208" t="str">
        <f t="shared" ca="1" si="185"/>
        <v>12.005.004.001</v>
      </c>
      <c r="J817" s="209" t="s">
        <v>426</v>
      </c>
      <c r="K817" s="210" t="s">
        <v>1</v>
      </c>
      <c r="L817" s="455">
        <f>Arquitetura!H586</f>
        <v>173.18999999999997</v>
      </c>
      <c r="M817" s="455">
        <v>494.43</v>
      </c>
      <c r="N817" s="285">
        <f t="shared" si="206"/>
        <v>85630.331699999981</v>
      </c>
      <c r="O817" s="462"/>
      <c r="P817" s="213" t="s">
        <v>518</v>
      </c>
      <c r="Q817" s="35"/>
      <c r="R817" s="35"/>
      <c r="S817" s="35"/>
    </row>
    <row r="818" spans="1:19" s="34" customFormat="1" ht="13.9" hidden="1" customHeight="1" outlineLevel="1" x14ac:dyDescent="0.2">
      <c r="A818" s="457">
        <f ca="1">IF($H818="UNIDADE CONSTRUTIVA",OFFSET(A818,-1,0)+1,LARGE(A$3:A817,1))</f>
        <v>0</v>
      </c>
      <c r="B818" s="457">
        <f t="shared" ca="1" si="154"/>
        <v>12</v>
      </c>
      <c r="C818" s="457">
        <f t="shared" ca="1" si="155"/>
        <v>5</v>
      </c>
      <c r="D818" s="458">
        <f t="shared" ca="1" si="156"/>
        <v>5</v>
      </c>
      <c r="E818" s="458">
        <f t="shared" ca="1" si="157"/>
        <v>0</v>
      </c>
      <c r="G818" s="206"/>
      <c r="H818" s="207" t="s">
        <v>211</v>
      </c>
      <c r="I818" s="208" t="str">
        <f t="shared" ca="1" si="185"/>
        <v>12.005.005</v>
      </c>
      <c r="J818" s="209" t="s">
        <v>425</v>
      </c>
      <c r="K818" s="210"/>
      <c r="L818" s="455"/>
      <c r="M818" s="455"/>
      <c r="N818" s="285">
        <f t="shared" ca="1" si="206"/>
        <v>699716.83</v>
      </c>
      <c r="O818" s="462"/>
      <c r="P818" s="213"/>
      <c r="Q818" s="35"/>
      <c r="R818" s="35"/>
      <c r="S818" s="35"/>
    </row>
    <row r="819" spans="1:19" s="34" customFormat="1" ht="13.9" hidden="1" customHeight="1" outlineLevel="2" x14ac:dyDescent="0.2">
      <c r="A819" s="457">
        <f ca="1">IF($H819="UNIDADE CONSTRUTIVA",OFFSET(A819,-1,0)+1,LARGE(A$3:A818,1))</f>
        <v>0</v>
      </c>
      <c r="B819" s="457">
        <f t="shared" ca="1" si="154"/>
        <v>12</v>
      </c>
      <c r="C819" s="457">
        <f t="shared" ca="1" si="155"/>
        <v>5</v>
      </c>
      <c r="D819" s="458">
        <f t="shared" ca="1" si="156"/>
        <v>5</v>
      </c>
      <c r="E819" s="458">
        <f t="shared" ca="1" si="157"/>
        <v>1</v>
      </c>
      <c r="G819" s="206"/>
      <c r="H819" s="207" t="s">
        <v>212</v>
      </c>
      <c r="I819" s="208" t="str">
        <f t="shared" ca="1" si="185"/>
        <v>12.005.005.001</v>
      </c>
      <c r="J819" s="209" t="s">
        <v>422</v>
      </c>
      <c r="K819" s="210" t="s">
        <v>1</v>
      </c>
      <c r="L819" s="455">
        <f>L811</f>
        <v>17211.349999999999</v>
      </c>
      <c r="M819" s="455">
        <v>36</v>
      </c>
      <c r="N819" s="285">
        <f t="shared" si="206"/>
        <v>619608.6</v>
      </c>
      <c r="O819" s="462"/>
      <c r="P819" s="213" t="s">
        <v>518</v>
      </c>
      <c r="Q819" s="35"/>
      <c r="R819" s="35"/>
      <c r="S819" s="35"/>
    </row>
    <row r="820" spans="1:19" s="34" customFormat="1" ht="13.9" hidden="1" customHeight="1" outlineLevel="2" x14ac:dyDescent="0.2">
      <c r="A820" s="457">
        <f ca="1">IF($H820="UNIDADE CONSTRUTIVA",OFFSET(A820,-1,0)+1,LARGE(A$3:A819,1))</f>
        <v>0</v>
      </c>
      <c r="B820" s="457">
        <f t="shared" ca="1" si="154"/>
        <v>12</v>
      </c>
      <c r="C820" s="457">
        <f t="shared" ca="1" si="155"/>
        <v>5</v>
      </c>
      <c r="D820" s="458">
        <f t="shared" ca="1" si="156"/>
        <v>5</v>
      </c>
      <c r="E820" s="458">
        <f t="shared" ca="1" si="157"/>
        <v>2</v>
      </c>
      <c r="G820" s="206"/>
      <c r="H820" s="207" t="s">
        <v>212</v>
      </c>
      <c r="I820" s="208" t="str">
        <f t="shared" ca="1" si="185"/>
        <v>12.005.005.002</v>
      </c>
      <c r="J820" s="209" t="s">
        <v>988</v>
      </c>
      <c r="K820" s="210" t="s">
        <v>1</v>
      </c>
      <c r="L820" s="455">
        <f>L812</f>
        <v>1004.7699999999999</v>
      </c>
      <c r="M820" s="455">
        <v>25</v>
      </c>
      <c r="N820" s="285">
        <f t="shared" si="206"/>
        <v>25119.249999999996</v>
      </c>
      <c r="O820" s="462"/>
      <c r="P820" s="213" t="s">
        <v>518</v>
      </c>
      <c r="Q820" s="35"/>
      <c r="R820" s="35"/>
      <c r="S820" s="35"/>
    </row>
    <row r="821" spans="1:19" s="34" customFormat="1" ht="13.9" hidden="1" customHeight="1" outlineLevel="2" x14ac:dyDescent="0.2">
      <c r="A821" s="457">
        <f ca="1">IF($H821="UNIDADE CONSTRUTIVA",OFFSET(A821,-1,0)+1,LARGE(A$3:A820,1))</f>
        <v>0</v>
      </c>
      <c r="B821" s="457">
        <f ca="1">IF(H821="UNIDADE CONSTRUTIVA",0,IF(H821="CÉLULA CONSTRUTIVA",OFFSET(B821,-1,0)+1,OFFSET(B821,-1,0)))</f>
        <v>12</v>
      </c>
      <c r="C821" s="457">
        <f ca="1">IF(H821="CÉLULA CONSTRUTIVA",0,IF(H821="ETAPA",OFFSET(C821,-1,0)+1,OFFSET(C821,-1,0)))</f>
        <v>5</v>
      </c>
      <c r="D821" s="458">
        <f ca="1">IF(H821="ETAPA",0,IF(H821="SUBETAPA",OFFSET(D821,-1,0)+1,OFFSET(D821,-1,0)))</f>
        <v>5</v>
      </c>
      <c r="E821" s="458">
        <f ca="1">IF(H821="Subetapa",0,IF(H821="serviço",OFFSET(E821,-1,0)+1,OFFSET(E821,-1,0)))</f>
        <v>3</v>
      </c>
      <c r="G821" s="1000"/>
      <c r="H821" s="1001" t="s">
        <v>212</v>
      </c>
      <c r="I821" s="1002" t="str">
        <f ca="1">IF(H821="Unidade Construtiva",TEXT(A821,"00"),IF(H821="Célula Construtiva",TEXT(B821,"00"),IF(H821="Etapa",CONCATENATE(TEXT(B821,"00"),".",TEXT(C821,"000")),IF(H821="Subetapa",CONCATENATE(TEXT(B821,"00"),".",TEXT(C821,"000"),".",TEXT(D821,"000")),IF(H821="Serviço",CONCATENATE(TEXT(B821,"00"),".",TEXT(C821,"000"),".",TEXT(D821,"000"),".",TEXT(E821,"000")),"")))))</f>
        <v>12.005.005.003</v>
      </c>
      <c r="J821" s="1003" t="s">
        <v>989</v>
      </c>
      <c r="K821" s="1004" t="s">
        <v>1</v>
      </c>
      <c r="L821" s="1009">
        <f>L814</f>
        <v>883.29</v>
      </c>
      <c r="M821" s="1009">
        <v>55</v>
      </c>
      <c r="N821" s="1006">
        <f t="shared" si="206"/>
        <v>48580.95</v>
      </c>
      <c r="O821" s="1010"/>
      <c r="P821" s="213" t="s">
        <v>518</v>
      </c>
      <c r="Q821" s="35"/>
      <c r="R821" s="35"/>
      <c r="S821" s="35"/>
    </row>
    <row r="822" spans="1:19" s="34" customFormat="1" ht="13.9" hidden="1" customHeight="1" outlineLevel="2" x14ac:dyDescent="0.2">
      <c r="A822" s="457">
        <f ca="1">IF($H822="UNIDADE CONSTRUTIVA",OFFSET(A822,-1,0)+1,LARGE(A$3:A820,1))</f>
        <v>0</v>
      </c>
      <c r="B822" s="457">
        <f t="shared" ca="1" si="154"/>
        <v>12</v>
      </c>
      <c r="C822" s="457">
        <f t="shared" ca="1" si="155"/>
        <v>5</v>
      </c>
      <c r="D822" s="458">
        <f t="shared" ca="1" si="156"/>
        <v>5</v>
      </c>
      <c r="E822" s="458">
        <f t="shared" ca="1" si="157"/>
        <v>4</v>
      </c>
      <c r="G822" s="206"/>
      <c r="H822" s="207" t="s">
        <v>212</v>
      </c>
      <c r="I822" s="208" t="str">
        <f t="shared" ca="1" si="185"/>
        <v>12.005.005.004</v>
      </c>
      <c r="J822" s="209" t="s">
        <v>427</v>
      </c>
      <c r="K822" s="210" t="s">
        <v>1</v>
      </c>
      <c r="L822" s="455">
        <f>L817</f>
        <v>173.18999999999997</v>
      </c>
      <c r="M822" s="455">
        <v>37</v>
      </c>
      <c r="N822" s="285">
        <f t="shared" si="206"/>
        <v>6408.0299999999988</v>
      </c>
      <c r="O822" s="462"/>
      <c r="P822" s="213" t="s">
        <v>518</v>
      </c>
      <c r="Q822" s="35"/>
      <c r="R822" s="35"/>
      <c r="S822" s="35"/>
    </row>
    <row r="823" spans="1:19" s="34" customFormat="1" ht="13.9" hidden="1" customHeight="1" outlineLevel="1" x14ac:dyDescent="0.2">
      <c r="A823" s="457">
        <f ca="1">IF($H823="UNIDADE CONSTRUTIVA",OFFSET(A823,-1,0)+1,LARGE(A$3:A822,1))</f>
        <v>0</v>
      </c>
      <c r="B823" s="457">
        <f t="shared" ca="1" si="154"/>
        <v>12</v>
      </c>
      <c r="C823" s="457">
        <f t="shared" ca="1" si="155"/>
        <v>6</v>
      </c>
      <c r="D823" s="458">
        <f t="shared" ca="1" si="156"/>
        <v>0</v>
      </c>
      <c r="E823" s="458">
        <f t="shared" ca="1" si="157"/>
        <v>4</v>
      </c>
      <c r="G823" s="206"/>
      <c r="H823" s="207" t="s">
        <v>210</v>
      </c>
      <c r="I823" s="208" t="str">
        <f t="shared" ca="1" si="185"/>
        <v>12.006</v>
      </c>
      <c r="J823" s="209" t="s">
        <v>997</v>
      </c>
      <c r="K823" s="210"/>
      <c r="L823" s="455"/>
      <c r="M823" s="455"/>
      <c r="N823" s="285">
        <f t="shared" ca="1" si="206"/>
        <v>89172.255778000006</v>
      </c>
      <c r="O823" s="462"/>
      <c r="P823" s="213"/>
      <c r="Q823" s="35"/>
      <c r="R823" s="35"/>
      <c r="S823" s="35"/>
    </row>
    <row r="824" spans="1:19" s="34" customFormat="1" ht="13.9" hidden="1" customHeight="1" outlineLevel="1" x14ac:dyDescent="0.2">
      <c r="A824" s="457">
        <f ca="1">IF($H824="UNIDADE CONSTRUTIVA",OFFSET(A824,-1,0)+1,LARGE(A$3:A823,1))</f>
        <v>0</v>
      </c>
      <c r="B824" s="457">
        <f t="shared" ca="1" si="154"/>
        <v>12</v>
      </c>
      <c r="C824" s="457">
        <f t="shared" ca="1" si="155"/>
        <v>6</v>
      </c>
      <c r="D824" s="458">
        <f t="shared" ca="1" si="156"/>
        <v>1</v>
      </c>
      <c r="E824" s="458">
        <f t="shared" ca="1" si="157"/>
        <v>0</v>
      </c>
      <c r="G824" s="206"/>
      <c r="H824" s="207" t="s">
        <v>211</v>
      </c>
      <c r="I824" s="208" t="str">
        <f t="shared" ca="1" si="185"/>
        <v>12.006.001</v>
      </c>
      <c r="J824" s="209" t="s">
        <v>417</v>
      </c>
      <c r="K824" s="210"/>
      <c r="L824" s="455"/>
      <c r="M824" s="455"/>
      <c r="N824" s="285">
        <f t="shared" ca="1" si="206"/>
        <v>2749.3174799999997</v>
      </c>
      <c r="O824" s="462"/>
      <c r="P824" s="213"/>
      <c r="Q824" s="35"/>
      <c r="R824" s="35"/>
      <c r="S824" s="35"/>
    </row>
    <row r="825" spans="1:19" s="34" customFormat="1" ht="13.9" hidden="1" customHeight="1" outlineLevel="2" x14ac:dyDescent="0.2">
      <c r="A825" s="457">
        <f ca="1">IF($H825="UNIDADE CONSTRUTIVA",OFFSET(A825,-1,0)+1,LARGE(A$3:A824,1))</f>
        <v>0</v>
      </c>
      <c r="B825" s="457">
        <f t="shared" ca="1" si="154"/>
        <v>12</v>
      </c>
      <c r="C825" s="457">
        <f t="shared" ca="1" si="155"/>
        <v>6</v>
      </c>
      <c r="D825" s="458">
        <f t="shared" ca="1" si="156"/>
        <v>1</v>
      </c>
      <c r="E825" s="458">
        <f t="shared" ca="1" si="157"/>
        <v>1</v>
      </c>
      <c r="G825" s="206"/>
      <c r="H825" s="207" t="s">
        <v>212</v>
      </c>
      <c r="I825" s="208" t="str">
        <f t="shared" ca="1" si="185"/>
        <v>12.006.001.001</v>
      </c>
      <c r="J825" s="469" t="s">
        <v>986</v>
      </c>
      <c r="K825" s="210" t="s">
        <v>1</v>
      </c>
      <c r="L825" s="455">
        <f>Arquitetura!D437</f>
        <v>2.68</v>
      </c>
      <c r="M825" s="455">
        <v>8.3789999999999996</v>
      </c>
      <c r="N825" s="285">
        <f>M825*L825</f>
        <v>22.455719999999999</v>
      </c>
      <c r="O825" s="462"/>
      <c r="P825" s="213" t="s">
        <v>518</v>
      </c>
      <c r="Q825" s="35"/>
      <c r="R825" s="35"/>
      <c r="S825" s="35"/>
    </row>
    <row r="826" spans="1:19" s="34" customFormat="1" ht="13.9" hidden="1" customHeight="1" outlineLevel="2" x14ac:dyDescent="0.2">
      <c r="A826" s="457">
        <f ca="1">IF($H826="UNIDADE CONSTRUTIVA",OFFSET(A826,-1,0)+1,LARGE(A$3:A825,1))</f>
        <v>0</v>
      </c>
      <c r="B826" s="457">
        <f t="shared" ca="1" si="154"/>
        <v>12</v>
      </c>
      <c r="C826" s="457">
        <f t="shared" ca="1" si="155"/>
        <v>6</v>
      </c>
      <c r="D826" s="458">
        <f t="shared" ca="1" si="156"/>
        <v>1</v>
      </c>
      <c r="E826" s="458">
        <f t="shared" ca="1" si="157"/>
        <v>2</v>
      </c>
      <c r="G826" s="206"/>
      <c r="H826" s="207" t="s">
        <v>212</v>
      </c>
      <c r="I826" s="208" t="str">
        <f t="shared" ca="1" si="185"/>
        <v>12.006.001.002</v>
      </c>
      <c r="J826" s="469" t="s">
        <v>979</v>
      </c>
      <c r="K826" s="210" t="s">
        <v>1</v>
      </c>
      <c r="L826" s="455">
        <f>Arquitetura!D436</f>
        <v>1352.61</v>
      </c>
      <c r="M826" s="455">
        <v>2.016</v>
      </c>
      <c r="N826" s="285">
        <f t="shared" ref="N826:N864" si="208">IF(H826="Serviço",M826*L826,IF(H826="CÉLULA CONSTRUTIVA",SUMIFS($N$8:$N$1644,$B$8:$B$1644,B826,$H$8:$H$1644,"Serviço"),IF(H826="ETAPA",SUMIFS($N$8:$N$1644,$B$8:$B$1644,B826,$C$8:$C$1644,C826,$H$8:$H$1644,"Serviço"),IF(H826="SUBETAPA",SUMIFS($N$8:$N$1644,$B$8:$B$1644,B826,$C$8:$C$1644,C826,$D$8:$D$1644,D826,$H$8:$H$1644,"Serviço"),0))))</f>
        <v>2726.8617599999998</v>
      </c>
      <c r="O826" s="462"/>
      <c r="P826" s="213" t="s">
        <v>518</v>
      </c>
      <c r="Q826" s="35"/>
      <c r="R826" s="35"/>
      <c r="S826" s="35"/>
    </row>
    <row r="827" spans="1:19" s="34" customFormat="1" ht="13.9" hidden="1" customHeight="1" outlineLevel="1" x14ac:dyDescent="0.2">
      <c r="A827" s="457">
        <f ca="1">IF($H827="UNIDADE CONSTRUTIVA",OFFSET(A827,-1,0)+1,LARGE(A$3:A826,1))</f>
        <v>0</v>
      </c>
      <c r="B827" s="457">
        <f t="shared" ca="1" si="154"/>
        <v>12</v>
      </c>
      <c r="C827" s="457">
        <f t="shared" ca="1" si="155"/>
        <v>6</v>
      </c>
      <c r="D827" s="458">
        <f t="shared" ca="1" si="156"/>
        <v>2</v>
      </c>
      <c r="E827" s="458">
        <f t="shared" ca="1" si="157"/>
        <v>0</v>
      </c>
      <c r="G827" s="206"/>
      <c r="H827" s="207" t="s">
        <v>211</v>
      </c>
      <c r="I827" s="208" t="str">
        <f t="shared" ca="1" si="185"/>
        <v>12.006.002</v>
      </c>
      <c r="J827" s="209" t="s">
        <v>418</v>
      </c>
      <c r="K827" s="210"/>
      <c r="L827" s="455"/>
      <c r="M827" s="455"/>
      <c r="N827" s="285">
        <f t="shared" ca="1" si="208"/>
        <v>13326.501599999998</v>
      </c>
      <c r="O827" s="462"/>
      <c r="P827" s="213"/>
      <c r="Q827" s="35"/>
      <c r="R827" s="35"/>
      <c r="S827" s="35"/>
    </row>
    <row r="828" spans="1:19" s="34" customFormat="1" ht="13.9" hidden="1" customHeight="1" outlineLevel="2" x14ac:dyDescent="0.2">
      <c r="A828" s="457">
        <f ca="1">IF($H828="UNIDADE CONSTRUTIVA",OFFSET(A828,-1,0)+1,LARGE(A$3:A827,1))</f>
        <v>0</v>
      </c>
      <c r="B828" s="457">
        <f t="shared" ca="1" si="154"/>
        <v>12</v>
      </c>
      <c r="C828" s="457">
        <f t="shared" ca="1" si="155"/>
        <v>6</v>
      </c>
      <c r="D828" s="458">
        <f t="shared" ca="1" si="156"/>
        <v>2</v>
      </c>
      <c r="E828" s="458">
        <f t="shared" ca="1" si="157"/>
        <v>1</v>
      </c>
      <c r="G828" s="206"/>
      <c r="H828" s="207" t="s">
        <v>212</v>
      </c>
      <c r="I828" s="208" t="str">
        <f t="shared" ca="1" si="185"/>
        <v>12.006.002.001</v>
      </c>
      <c r="J828" s="209" t="s">
        <v>1244</v>
      </c>
      <c r="K828" s="210" t="s">
        <v>1</v>
      </c>
      <c r="L828" s="455">
        <f>Arquitetura!D484</f>
        <v>1355.29</v>
      </c>
      <c r="M828" s="455">
        <v>9.5399999999999991</v>
      </c>
      <c r="N828" s="285">
        <f t="shared" si="208"/>
        <v>12929.466599999998</v>
      </c>
      <c r="O828" s="462"/>
      <c r="P828" s="213" t="s">
        <v>518</v>
      </c>
      <c r="Q828" s="470"/>
      <c r="R828" s="470"/>
      <c r="S828" s="35"/>
    </row>
    <row r="829" spans="1:19" s="34" customFormat="1" ht="13.9" hidden="1" customHeight="1" outlineLevel="2" x14ac:dyDescent="0.2">
      <c r="A829" s="457">
        <f ca="1">IF($H829="UNIDADE CONSTRUTIVA",OFFSET(A829,-1,0)+1,LARGE(A$3:A828,1))</f>
        <v>0</v>
      </c>
      <c r="B829" s="457">
        <f t="shared" ca="1" si="154"/>
        <v>12</v>
      </c>
      <c r="C829" s="457">
        <f t="shared" ca="1" si="155"/>
        <v>6</v>
      </c>
      <c r="D829" s="458">
        <f t="shared" ca="1" si="156"/>
        <v>2</v>
      </c>
      <c r="E829" s="458">
        <f t="shared" ca="1" si="157"/>
        <v>2</v>
      </c>
      <c r="G829" s="206"/>
      <c r="H829" s="207" t="s">
        <v>212</v>
      </c>
      <c r="I829" s="208" t="str">
        <f t="shared" ca="1" si="185"/>
        <v>12.006.002.002</v>
      </c>
      <c r="J829" s="209" t="s">
        <v>419</v>
      </c>
      <c r="K829" s="210" t="s">
        <v>1</v>
      </c>
      <c r="L829" s="455">
        <f>Arquitetura!D531</f>
        <v>77.849999999999994</v>
      </c>
      <c r="M829" s="455">
        <v>5.0999999999999996</v>
      </c>
      <c r="N829" s="285">
        <f t="shared" si="208"/>
        <v>397.03499999999997</v>
      </c>
      <c r="O829" s="462"/>
      <c r="P829" s="213" t="s">
        <v>518</v>
      </c>
      <c r="Q829" s="35"/>
      <c r="R829" s="35"/>
      <c r="S829" s="35"/>
    </row>
    <row r="830" spans="1:19" s="34" customFormat="1" ht="13.9" hidden="1" customHeight="1" outlineLevel="1" x14ac:dyDescent="0.2">
      <c r="A830" s="457">
        <f ca="1">IF($H830="UNIDADE CONSTRUTIVA",OFFSET(A830,-1,0)+1,LARGE(A$3:A829,1))</f>
        <v>0</v>
      </c>
      <c r="B830" s="457">
        <f t="shared" ca="1" si="154"/>
        <v>12</v>
      </c>
      <c r="C830" s="457">
        <f t="shared" ca="1" si="155"/>
        <v>6</v>
      </c>
      <c r="D830" s="458">
        <f t="shared" ca="1" si="156"/>
        <v>3</v>
      </c>
      <c r="E830" s="458">
        <f t="shared" ca="1" si="157"/>
        <v>0</v>
      </c>
      <c r="G830" s="206"/>
      <c r="H830" s="207" t="s">
        <v>211</v>
      </c>
      <c r="I830" s="208" t="str">
        <f t="shared" ca="1" si="185"/>
        <v>12.006.003</v>
      </c>
      <c r="J830" s="209" t="s">
        <v>423</v>
      </c>
      <c r="K830" s="210"/>
      <c r="L830" s="455"/>
      <c r="M830" s="455"/>
      <c r="N830" s="285">
        <f t="shared" ca="1" si="208"/>
        <v>10333.084998</v>
      </c>
      <c r="O830" s="462"/>
      <c r="P830" s="213"/>
      <c r="Q830" s="35"/>
      <c r="R830" s="35"/>
      <c r="S830" s="35"/>
    </row>
    <row r="831" spans="1:19" s="34" customFormat="1" ht="13.9" hidden="1" customHeight="1" outlineLevel="2" x14ac:dyDescent="0.2">
      <c r="A831" s="457">
        <f ca="1">IF($H831="UNIDADE CONSTRUTIVA",OFFSET(A831,-1,0)+1,LARGE(A$3:A830,1))</f>
        <v>0</v>
      </c>
      <c r="B831" s="457">
        <f t="shared" ca="1" si="154"/>
        <v>12</v>
      </c>
      <c r="C831" s="457">
        <f t="shared" ca="1" si="155"/>
        <v>6</v>
      </c>
      <c r="D831" s="458">
        <f t="shared" ca="1" si="156"/>
        <v>3</v>
      </c>
      <c r="E831" s="458">
        <f t="shared" ca="1" si="157"/>
        <v>1</v>
      </c>
      <c r="G831" s="1000"/>
      <c r="H831" s="1001" t="s">
        <v>212</v>
      </c>
      <c r="I831" s="1002" t="str">
        <f t="shared" ca="1" si="185"/>
        <v>12.006.003.001</v>
      </c>
      <c r="J831" s="1003" t="s">
        <v>991</v>
      </c>
      <c r="K831" s="1004" t="s">
        <v>1</v>
      </c>
      <c r="L831" s="1009">
        <f>Arquitetura!D570</f>
        <v>91.22</v>
      </c>
      <c r="M831" s="1009">
        <v>90.945899999999995</v>
      </c>
      <c r="N831" s="1006">
        <f t="shared" si="208"/>
        <v>8296.0849980000003</v>
      </c>
      <c r="O831" s="1010" t="s">
        <v>5060</v>
      </c>
      <c r="P831" s="213" t="s">
        <v>518</v>
      </c>
      <c r="Q831" s="35"/>
      <c r="R831" s="35"/>
      <c r="S831" s="35"/>
    </row>
    <row r="832" spans="1:19" s="34" customFormat="1" ht="13.9" hidden="1" customHeight="1" outlineLevel="2" x14ac:dyDescent="0.2">
      <c r="A832" s="457">
        <f ca="1">IF($H832="UNIDADE CONSTRUTIVA",OFFSET(A832,-1,0)+1,LARGE(A$3:A831,1))</f>
        <v>0</v>
      </c>
      <c r="B832" s="457">
        <f ca="1">IF(H832="UNIDADE CONSTRUTIVA",0,IF(H832="CÉLULA CONSTRUTIVA",OFFSET(B832,-1,0)+1,OFFSET(B832,-1,0)))</f>
        <v>12</v>
      </c>
      <c r="C832" s="457">
        <f ca="1">IF(H832="CÉLULA CONSTRUTIVA",0,IF(H832="ETAPA",OFFSET(C832,-1,0)+1,OFFSET(C832,-1,0)))</f>
        <v>6</v>
      </c>
      <c r="D832" s="458">
        <f ca="1">IF(H832="ETAPA",0,IF(H832="SUBETAPA",OFFSET(D832,-1,0)+1,OFFSET(D832,-1,0)))</f>
        <v>3</v>
      </c>
      <c r="E832" s="458">
        <f ca="1">IF(H832="Subetapa",0,IF(H832="serviço",OFFSET(E832,-1,0)+1,OFFSET(E832,-1,0)))</f>
        <v>2</v>
      </c>
      <c r="G832" s="1000"/>
      <c r="H832" s="1001" t="s">
        <v>212</v>
      </c>
      <c r="I832" s="1002" t="str">
        <f ca="1">IF(H832="Unidade Construtiva",TEXT(A832,"00"),IF(H832="Célula Construtiva",TEXT(B832,"00"),IF(H832="Etapa",CONCATENATE(TEXT(B832,"00"),".",TEXT(C832,"000")),IF(H832="Subetapa",CONCATENATE(TEXT(B832,"00"),".",TEXT(C832,"000"),".",TEXT(D832,"000")),IF(H832="Serviço",CONCATENATE(TEXT(B832,"00"),".",TEXT(C832,"000"),".",TEXT(D832,"000"),".",TEXT(E832,"000")),"")))))</f>
        <v>12.006.003.002</v>
      </c>
      <c r="J832" s="1003" t="s">
        <v>5107</v>
      </c>
      <c r="K832" s="1004" t="s">
        <v>2</v>
      </c>
      <c r="L832" s="1009">
        <f>14</f>
        <v>14</v>
      </c>
      <c r="M832" s="1009">
        <v>145.5</v>
      </c>
      <c r="N832" s="1006">
        <f t="shared" si="208"/>
        <v>2037</v>
      </c>
      <c r="O832" s="1010" t="s">
        <v>5108</v>
      </c>
      <c r="P832" s="213" t="s">
        <v>518</v>
      </c>
      <c r="Q832" s="35"/>
      <c r="R832" s="35"/>
      <c r="S832" s="35"/>
    </row>
    <row r="833" spans="1:19" s="34" customFormat="1" ht="13.9" hidden="1" customHeight="1" outlineLevel="1" x14ac:dyDescent="0.2">
      <c r="A833" s="457">
        <f ca="1">IF($H833="UNIDADE CONSTRUTIVA",OFFSET(A833,-1,0)+1,LARGE(A$3:A829,1))</f>
        <v>0</v>
      </c>
      <c r="B833" s="457">
        <f t="shared" ca="1" si="154"/>
        <v>12</v>
      </c>
      <c r="C833" s="457">
        <f t="shared" ca="1" si="155"/>
        <v>6</v>
      </c>
      <c r="D833" s="458">
        <f t="shared" ca="1" si="156"/>
        <v>4</v>
      </c>
      <c r="E833" s="458">
        <f t="shared" ca="1" si="157"/>
        <v>0</v>
      </c>
      <c r="G833" s="206"/>
      <c r="H833" s="207" t="s">
        <v>211</v>
      </c>
      <c r="I833" s="208" t="str">
        <f t="shared" ca="1" si="185"/>
        <v>12.006.004</v>
      </c>
      <c r="J833" s="209" t="s">
        <v>424</v>
      </c>
      <c r="K833" s="210"/>
      <c r="L833" s="455"/>
      <c r="M833" s="455"/>
      <c r="N833" s="285">
        <f t="shared" ca="1" si="208"/>
        <v>6521.5316999999995</v>
      </c>
      <c r="O833" s="462"/>
      <c r="P833" s="213"/>
      <c r="Q833" s="35"/>
      <c r="R833" s="35"/>
      <c r="S833" s="35"/>
    </row>
    <row r="834" spans="1:19" s="34" customFormat="1" ht="13.9" hidden="1" customHeight="1" outlineLevel="2" x14ac:dyDescent="0.2">
      <c r="A834" s="457">
        <f ca="1">IF($H834="UNIDADE CONSTRUTIVA",OFFSET(A834,-1,0)+1,LARGE(A$3:A833,1))</f>
        <v>0</v>
      </c>
      <c r="B834" s="457">
        <f t="shared" ca="1" si="154"/>
        <v>12</v>
      </c>
      <c r="C834" s="457">
        <f t="shared" ca="1" si="155"/>
        <v>6</v>
      </c>
      <c r="D834" s="458">
        <f t="shared" ca="1" si="156"/>
        <v>4</v>
      </c>
      <c r="E834" s="458">
        <f t="shared" ca="1" si="157"/>
        <v>1</v>
      </c>
      <c r="G834" s="206"/>
      <c r="H834" s="207" t="s">
        <v>212</v>
      </c>
      <c r="I834" s="208" t="str">
        <f t="shared" ca="1" si="185"/>
        <v>12.006.004.001</v>
      </c>
      <c r="J834" s="209" t="s">
        <v>426</v>
      </c>
      <c r="K834" s="210" t="s">
        <v>1</v>
      </c>
      <c r="L834" s="455">
        <f>Arquitetura!D612</f>
        <v>13.19</v>
      </c>
      <c r="M834" s="455">
        <v>494.43</v>
      </c>
      <c r="N834" s="285">
        <f t="shared" si="208"/>
        <v>6521.5316999999995</v>
      </c>
      <c r="O834" s="462"/>
      <c r="P834" s="213" t="s">
        <v>518</v>
      </c>
      <c r="Q834" s="35"/>
      <c r="R834" s="35"/>
      <c r="S834" s="35"/>
    </row>
    <row r="835" spans="1:19" s="34" customFormat="1" ht="13.9" hidden="1" customHeight="1" outlineLevel="1" x14ac:dyDescent="0.2">
      <c r="A835" s="457">
        <f ca="1">IF($H835="UNIDADE CONSTRUTIVA",OFFSET(A835,-1,0)+1,LARGE(A$3:A834,1))</f>
        <v>0</v>
      </c>
      <c r="B835" s="457">
        <f t="shared" ca="1" si="154"/>
        <v>12</v>
      </c>
      <c r="C835" s="457">
        <f t="shared" ca="1" si="155"/>
        <v>6</v>
      </c>
      <c r="D835" s="458">
        <f t="shared" ca="1" si="156"/>
        <v>5</v>
      </c>
      <c r="E835" s="458">
        <f t="shared" ca="1" si="157"/>
        <v>0</v>
      </c>
      <c r="G835" s="206"/>
      <c r="H835" s="207" t="s">
        <v>211</v>
      </c>
      <c r="I835" s="208" t="str">
        <f t="shared" ca="1" si="185"/>
        <v>12.006.005</v>
      </c>
      <c r="J835" s="209" t="s">
        <v>425</v>
      </c>
      <c r="K835" s="210"/>
      <c r="L835" s="455"/>
      <c r="M835" s="455"/>
      <c r="N835" s="285">
        <f t="shared" ca="1" si="208"/>
        <v>56241.82</v>
      </c>
      <c r="O835" s="462"/>
      <c r="P835" s="213"/>
      <c r="Q835" s="35"/>
      <c r="R835" s="35"/>
      <c r="S835" s="35"/>
    </row>
    <row r="836" spans="1:19" s="34" customFormat="1" ht="13.9" hidden="1" customHeight="1" outlineLevel="2" x14ac:dyDescent="0.2">
      <c r="A836" s="457">
        <f ca="1">IF($H836="UNIDADE CONSTRUTIVA",OFFSET(A836,-1,0)+1,LARGE(A$3:A835,1))</f>
        <v>0</v>
      </c>
      <c r="B836" s="457">
        <f t="shared" ca="1" si="154"/>
        <v>12</v>
      </c>
      <c r="C836" s="457">
        <f t="shared" ca="1" si="155"/>
        <v>6</v>
      </c>
      <c r="D836" s="458">
        <f t="shared" ca="1" si="156"/>
        <v>5</v>
      </c>
      <c r="E836" s="458">
        <f t="shared" ca="1" si="157"/>
        <v>1</v>
      </c>
      <c r="G836" s="206"/>
      <c r="H836" s="207" t="s">
        <v>212</v>
      </c>
      <c r="I836" s="208" t="str">
        <f t="shared" ca="1" si="185"/>
        <v>12.006.005.001</v>
      </c>
      <c r="J836" s="209" t="s">
        <v>422</v>
      </c>
      <c r="K836" s="210" t="s">
        <v>1</v>
      </c>
      <c r="L836" s="455">
        <f>L828</f>
        <v>1355.29</v>
      </c>
      <c r="M836" s="455">
        <v>36</v>
      </c>
      <c r="N836" s="285">
        <f t="shared" si="208"/>
        <v>48790.44</v>
      </c>
      <c r="O836" s="462"/>
      <c r="P836" s="213" t="s">
        <v>518</v>
      </c>
      <c r="Q836" s="35"/>
      <c r="R836" s="35"/>
      <c r="S836" s="35"/>
    </row>
    <row r="837" spans="1:19" s="34" customFormat="1" ht="13.9" hidden="1" customHeight="1" outlineLevel="2" x14ac:dyDescent="0.2">
      <c r="A837" s="457">
        <f ca="1">IF($H837="UNIDADE CONSTRUTIVA",OFFSET(A837,-1,0)+1,LARGE(A$3:A836,1))</f>
        <v>0</v>
      </c>
      <c r="B837" s="457">
        <f t="shared" ca="1" si="154"/>
        <v>12</v>
      </c>
      <c r="C837" s="457">
        <f t="shared" ca="1" si="155"/>
        <v>6</v>
      </c>
      <c r="D837" s="458">
        <f t="shared" ca="1" si="156"/>
        <v>5</v>
      </c>
      <c r="E837" s="458">
        <f t="shared" ca="1" si="157"/>
        <v>2</v>
      </c>
      <c r="G837" s="206"/>
      <c r="H837" s="207" t="s">
        <v>212</v>
      </c>
      <c r="I837" s="208" t="str">
        <f t="shared" ca="1" si="185"/>
        <v>12.006.005.002</v>
      </c>
      <c r="J837" s="209" t="s">
        <v>988</v>
      </c>
      <c r="K837" s="210" t="s">
        <v>1</v>
      </c>
      <c r="L837" s="455">
        <f>L829</f>
        <v>77.849999999999994</v>
      </c>
      <c r="M837" s="455">
        <v>25</v>
      </c>
      <c r="N837" s="285">
        <f t="shared" si="208"/>
        <v>1946.2499999999998</v>
      </c>
      <c r="O837" s="462"/>
      <c r="P837" s="213" t="s">
        <v>518</v>
      </c>
      <c r="Q837" s="35"/>
      <c r="R837" s="35"/>
      <c r="S837" s="35"/>
    </row>
    <row r="838" spans="1:19" s="34" customFormat="1" ht="13.9" hidden="1" customHeight="1" outlineLevel="2" x14ac:dyDescent="0.2">
      <c r="A838" s="457">
        <f ca="1">IF($H838="UNIDADE CONSTRUTIVA",OFFSET(A838,-1,0)+1,LARGE(A$3:A837,1))</f>
        <v>0</v>
      </c>
      <c r="B838" s="457">
        <f t="shared" ca="1" si="154"/>
        <v>12</v>
      </c>
      <c r="C838" s="457">
        <f t="shared" ca="1" si="155"/>
        <v>6</v>
      </c>
      <c r="D838" s="458">
        <f t="shared" ca="1" si="156"/>
        <v>5</v>
      </c>
      <c r="E838" s="458">
        <f t="shared" ca="1" si="157"/>
        <v>3</v>
      </c>
      <c r="G838" s="1000"/>
      <c r="H838" s="1001" t="s">
        <v>212</v>
      </c>
      <c r="I838" s="1002" t="str">
        <f t="shared" ca="1" si="185"/>
        <v>12.006.005.003</v>
      </c>
      <c r="J838" s="1003" t="s">
        <v>989</v>
      </c>
      <c r="K838" s="1004" t="s">
        <v>1</v>
      </c>
      <c r="L838" s="1009">
        <f>L831</f>
        <v>91.22</v>
      </c>
      <c r="M838" s="1009">
        <v>55</v>
      </c>
      <c r="N838" s="1006">
        <f t="shared" si="208"/>
        <v>5017.1000000000004</v>
      </c>
      <c r="O838" s="1010"/>
      <c r="P838" s="213" t="s">
        <v>518</v>
      </c>
      <c r="Q838" s="35"/>
      <c r="R838" s="35"/>
      <c r="S838" s="35"/>
    </row>
    <row r="839" spans="1:19" s="34" customFormat="1" ht="13.9" hidden="1" customHeight="1" outlineLevel="2" x14ac:dyDescent="0.2">
      <c r="A839" s="457">
        <f ca="1">IF($H839="UNIDADE CONSTRUTIVA",OFFSET(A839,-1,0)+1,LARGE(A$3:A837,1))</f>
        <v>0</v>
      </c>
      <c r="B839" s="457">
        <f t="shared" ca="1" si="154"/>
        <v>12</v>
      </c>
      <c r="C839" s="457">
        <f t="shared" ca="1" si="155"/>
        <v>6</v>
      </c>
      <c r="D839" s="458">
        <f t="shared" ca="1" si="156"/>
        <v>5</v>
      </c>
      <c r="E839" s="458">
        <f t="shared" ca="1" si="157"/>
        <v>4</v>
      </c>
      <c r="G839" s="206"/>
      <c r="H839" s="207" t="s">
        <v>212</v>
      </c>
      <c r="I839" s="208" t="str">
        <f t="shared" ca="1" si="185"/>
        <v>12.006.005.004</v>
      </c>
      <c r="J839" s="209" t="s">
        <v>427</v>
      </c>
      <c r="K839" s="210" t="s">
        <v>1</v>
      </c>
      <c r="L839" s="455">
        <f>L834</f>
        <v>13.19</v>
      </c>
      <c r="M839" s="455">
        <v>37</v>
      </c>
      <c r="N839" s="285">
        <f t="shared" si="208"/>
        <v>488.03</v>
      </c>
      <c r="O839" s="462"/>
      <c r="P839" s="213" t="s">
        <v>518</v>
      </c>
      <c r="Q839" s="35"/>
      <c r="R839" s="35"/>
      <c r="S839" s="35"/>
    </row>
    <row r="840" spans="1:19" s="34" customFormat="1" ht="13.9" hidden="1" customHeight="1" outlineLevel="1" x14ac:dyDescent="0.2">
      <c r="A840" s="457">
        <f ca="1">IF($H840="UNIDADE CONSTRUTIVA",OFFSET(A840,-1,0)+1,LARGE(A$3:A839,1))</f>
        <v>0</v>
      </c>
      <c r="B840" s="457">
        <f t="shared" ref="B840:B855" ca="1" si="209">IF(H840="UNIDADE CONSTRUTIVA",0,IF(H840="CÉLULA CONSTRUTIVA",OFFSET(B840,-1,0)+1,OFFSET(B840,-1,0)))</f>
        <v>12</v>
      </c>
      <c r="C840" s="457">
        <f t="shared" ref="C840:C855" ca="1" si="210">IF(H840="CÉLULA CONSTRUTIVA",0,IF(H840="ETAPA",OFFSET(C840,-1,0)+1,OFFSET(C840,-1,0)))</f>
        <v>7</v>
      </c>
      <c r="D840" s="458">
        <f t="shared" ref="D840:D855" ca="1" si="211">IF(H840="ETAPA",0,IF(H840="SUBETAPA",OFFSET(D840,-1,0)+1,OFFSET(D840,-1,0)))</f>
        <v>0</v>
      </c>
      <c r="E840" s="458">
        <f t="shared" ref="E840:E855" ca="1" si="212">IF(H840="Subetapa",0,IF(H840="serviço",OFFSET(E840,-1,0)+1,OFFSET(E840,-1,0)))</f>
        <v>4</v>
      </c>
      <c r="G840" s="206"/>
      <c r="H840" s="207" t="s">
        <v>210</v>
      </c>
      <c r="I840" s="208" t="str">
        <f t="shared" ref="I840:I855" ca="1" si="213">IF(H840="Unidade Construtiva",TEXT(A840,"00"),IF(H840="Célula Construtiva",TEXT(B840,"00"),IF(H840="Etapa",CONCATENATE(TEXT(B840,"00"),".",TEXT(C840,"000")),IF(H840="Subetapa",CONCATENATE(TEXT(B840,"00"),".",TEXT(C840,"000"),".",TEXT(D840,"000")),IF(H840="Serviço",CONCATENATE(TEXT(B840,"00"),".",TEXT(C840,"000"),".",TEXT(D840,"000"),".",TEXT(E840,"000")),"")))))</f>
        <v>12.007</v>
      </c>
      <c r="J840" s="209" t="s">
        <v>998</v>
      </c>
      <c r="K840" s="210"/>
      <c r="L840" s="455"/>
      <c r="M840" s="455"/>
      <c r="N840" s="285">
        <f t="shared" ca="1" si="208"/>
        <v>65418.298859999995</v>
      </c>
      <c r="O840" s="462"/>
      <c r="P840" s="213"/>
      <c r="Q840" s="35"/>
      <c r="R840" s="35"/>
      <c r="S840" s="35"/>
    </row>
    <row r="841" spans="1:19" s="34" customFormat="1" ht="13.9" hidden="1" customHeight="1" outlineLevel="1" x14ac:dyDescent="0.2">
      <c r="A841" s="457">
        <f ca="1">IF($H841="UNIDADE CONSTRUTIVA",OFFSET(A841,-1,0)+1,LARGE(A$3:A840,1))</f>
        <v>0</v>
      </c>
      <c r="B841" s="457">
        <f t="shared" ca="1" si="209"/>
        <v>12</v>
      </c>
      <c r="C841" s="457">
        <f t="shared" ca="1" si="210"/>
        <v>7</v>
      </c>
      <c r="D841" s="458">
        <f t="shared" ca="1" si="211"/>
        <v>1</v>
      </c>
      <c r="E841" s="458">
        <f t="shared" ca="1" si="212"/>
        <v>0</v>
      </c>
      <c r="G841" s="206"/>
      <c r="H841" s="207" t="s">
        <v>211</v>
      </c>
      <c r="I841" s="208" t="str">
        <f t="shared" ca="1" si="213"/>
        <v>12.007.001</v>
      </c>
      <c r="J841" s="209" t="s">
        <v>417</v>
      </c>
      <c r="K841" s="210"/>
      <c r="L841" s="455"/>
      <c r="M841" s="455"/>
      <c r="N841" s="285">
        <f t="shared" ca="1" si="208"/>
        <v>1747.3679999999999</v>
      </c>
      <c r="O841" s="462"/>
      <c r="P841" s="213"/>
      <c r="Q841" s="35"/>
      <c r="R841" s="35"/>
      <c r="S841" s="35"/>
    </row>
    <row r="842" spans="1:19" s="34" customFormat="1" ht="13.9" hidden="1" customHeight="1" outlineLevel="2" x14ac:dyDescent="0.2">
      <c r="A842" s="457">
        <f ca="1">IF($H842="UNIDADE CONSTRUTIVA",OFFSET(A842,-1,0)+1,LARGE(A$3:A841,1))</f>
        <v>0</v>
      </c>
      <c r="B842" s="457">
        <f t="shared" ca="1" si="209"/>
        <v>12</v>
      </c>
      <c r="C842" s="457">
        <f t="shared" ca="1" si="210"/>
        <v>7</v>
      </c>
      <c r="D842" s="458">
        <f t="shared" ca="1" si="211"/>
        <v>1</v>
      </c>
      <c r="E842" s="458">
        <f t="shared" ca="1" si="212"/>
        <v>1</v>
      </c>
      <c r="G842" s="206"/>
      <c r="H842" s="207" t="s">
        <v>212</v>
      </c>
      <c r="I842" s="208" t="str">
        <f t="shared" ca="1" si="213"/>
        <v>12.007.001.001</v>
      </c>
      <c r="J842" s="469" t="s">
        <v>979</v>
      </c>
      <c r="K842" s="210" t="s">
        <v>1</v>
      </c>
      <c r="L842" s="455">
        <f>Arquitetura!D439</f>
        <v>866.75</v>
      </c>
      <c r="M842" s="455">
        <v>2.016</v>
      </c>
      <c r="N842" s="285">
        <f t="shared" si="208"/>
        <v>1747.3679999999999</v>
      </c>
      <c r="O842" s="462"/>
      <c r="P842" s="213" t="s">
        <v>518</v>
      </c>
      <c r="Q842" s="35"/>
      <c r="R842" s="35"/>
      <c r="S842" s="35"/>
    </row>
    <row r="843" spans="1:19" s="34" customFormat="1" ht="13.9" hidden="1" customHeight="1" outlineLevel="1" x14ac:dyDescent="0.2">
      <c r="A843" s="457">
        <f ca="1">IF($H843="UNIDADE CONSTRUTIVA",OFFSET(A843,-1,0)+1,LARGE(A$3:A842,1))</f>
        <v>0</v>
      </c>
      <c r="B843" s="457">
        <f t="shared" ca="1" si="209"/>
        <v>12</v>
      </c>
      <c r="C843" s="457">
        <f t="shared" ca="1" si="210"/>
        <v>7</v>
      </c>
      <c r="D843" s="458">
        <f t="shared" ca="1" si="211"/>
        <v>2</v>
      </c>
      <c r="E843" s="458">
        <f t="shared" ca="1" si="212"/>
        <v>0</v>
      </c>
      <c r="G843" s="206"/>
      <c r="H843" s="207" t="s">
        <v>211</v>
      </c>
      <c r="I843" s="208" t="str">
        <f t="shared" ca="1" si="213"/>
        <v>12.007.002</v>
      </c>
      <c r="J843" s="209" t="s">
        <v>418</v>
      </c>
      <c r="K843" s="210"/>
      <c r="L843" s="455"/>
      <c r="M843" s="455"/>
      <c r="N843" s="285">
        <f t="shared" ca="1" si="208"/>
        <v>8668.8389999999999</v>
      </c>
      <c r="O843" s="462"/>
      <c r="P843" s="213"/>
      <c r="Q843" s="35"/>
      <c r="R843" s="35"/>
      <c r="S843" s="35"/>
    </row>
    <row r="844" spans="1:19" s="34" customFormat="1" ht="13.9" hidden="1" customHeight="1" outlineLevel="2" x14ac:dyDescent="0.2">
      <c r="A844" s="457">
        <f ca="1">IF($H844="UNIDADE CONSTRUTIVA",OFFSET(A844,-1,0)+1,LARGE(A$3:A843,1))</f>
        <v>0</v>
      </c>
      <c r="B844" s="457">
        <f t="shared" ca="1" si="209"/>
        <v>12</v>
      </c>
      <c r="C844" s="457">
        <f t="shared" ca="1" si="210"/>
        <v>7</v>
      </c>
      <c r="D844" s="458">
        <f t="shared" ca="1" si="211"/>
        <v>2</v>
      </c>
      <c r="E844" s="458">
        <f t="shared" ca="1" si="212"/>
        <v>1</v>
      </c>
      <c r="G844" s="206"/>
      <c r="H844" s="207" t="s">
        <v>212</v>
      </c>
      <c r="I844" s="208" t="str">
        <f t="shared" ca="1" si="213"/>
        <v>12.007.002.001</v>
      </c>
      <c r="J844" s="209" t="s">
        <v>1244</v>
      </c>
      <c r="K844" s="210" t="s">
        <v>1</v>
      </c>
      <c r="L844" s="455">
        <f>Arquitetura!D486</f>
        <v>866.75</v>
      </c>
      <c r="M844" s="455">
        <v>9.5399999999999991</v>
      </c>
      <c r="N844" s="285">
        <f t="shared" si="208"/>
        <v>8268.7950000000001</v>
      </c>
      <c r="O844" s="462"/>
      <c r="P844" s="213" t="s">
        <v>518</v>
      </c>
      <c r="Q844" s="470"/>
      <c r="R844" s="470"/>
      <c r="S844" s="35"/>
    </row>
    <row r="845" spans="1:19" s="34" customFormat="1" ht="13.9" hidden="1" customHeight="1" outlineLevel="2" x14ac:dyDescent="0.2">
      <c r="A845" s="457">
        <f ca="1">IF($H845="UNIDADE CONSTRUTIVA",OFFSET(A845,-1,0)+1,LARGE(A$3:A844,1))</f>
        <v>0</v>
      </c>
      <c r="B845" s="457">
        <f t="shared" ca="1" si="209"/>
        <v>12</v>
      </c>
      <c r="C845" s="457">
        <f t="shared" ca="1" si="210"/>
        <v>7</v>
      </c>
      <c r="D845" s="458">
        <f t="shared" ca="1" si="211"/>
        <v>2</v>
      </c>
      <c r="E845" s="458">
        <f t="shared" ca="1" si="212"/>
        <v>2</v>
      </c>
      <c r="G845" s="206"/>
      <c r="H845" s="207" t="s">
        <v>212</v>
      </c>
      <c r="I845" s="208" t="str">
        <f t="shared" ca="1" si="213"/>
        <v>12.007.002.002</v>
      </c>
      <c r="J845" s="209" t="s">
        <v>419</v>
      </c>
      <c r="K845" s="210" t="s">
        <v>1</v>
      </c>
      <c r="L845" s="455">
        <f>Arquitetura!D533</f>
        <v>78.44</v>
      </c>
      <c r="M845" s="455">
        <v>5.0999999999999996</v>
      </c>
      <c r="N845" s="285">
        <f t="shared" si="208"/>
        <v>400.04399999999998</v>
      </c>
      <c r="O845" s="462" t="s">
        <v>990</v>
      </c>
      <c r="P845" s="213" t="s">
        <v>518</v>
      </c>
      <c r="Q845" s="35"/>
      <c r="R845" s="35"/>
      <c r="S845" s="35"/>
    </row>
    <row r="846" spans="1:19" s="34" customFormat="1" ht="13.9" hidden="1" customHeight="1" outlineLevel="1" x14ac:dyDescent="0.2">
      <c r="A846" s="457">
        <f ca="1">IF($H846="UNIDADE CONSTRUTIVA",OFFSET(A846,-1,0)+1,LARGE(A$3:A845,1))</f>
        <v>0</v>
      </c>
      <c r="B846" s="457">
        <f t="shared" ca="1" si="209"/>
        <v>12</v>
      </c>
      <c r="C846" s="457">
        <f t="shared" ca="1" si="210"/>
        <v>7</v>
      </c>
      <c r="D846" s="458">
        <f t="shared" ca="1" si="211"/>
        <v>3</v>
      </c>
      <c r="E846" s="458">
        <f t="shared" ca="1" si="212"/>
        <v>0</v>
      </c>
      <c r="G846" s="206"/>
      <c r="H846" s="207" t="s">
        <v>211</v>
      </c>
      <c r="I846" s="208" t="str">
        <f t="shared" ca="1" si="213"/>
        <v>12.007.003</v>
      </c>
      <c r="J846" s="209" t="s">
        <v>423</v>
      </c>
      <c r="K846" s="210"/>
      <c r="L846" s="455"/>
      <c r="M846" s="455"/>
      <c r="N846" s="285">
        <f t="shared" ca="1" si="208"/>
        <v>8439.7257600000012</v>
      </c>
      <c r="O846" s="462"/>
      <c r="P846" s="213"/>
      <c r="Q846" s="35"/>
      <c r="R846" s="35"/>
      <c r="S846" s="35"/>
    </row>
    <row r="847" spans="1:19" s="34" customFormat="1" ht="13.9" hidden="1" customHeight="1" outlineLevel="2" x14ac:dyDescent="0.2">
      <c r="A847" s="457">
        <f ca="1">IF($H847="UNIDADE CONSTRUTIVA",OFFSET(A847,-1,0)+1,LARGE(A$3:A846,1))</f>
        <v>0</v>
      </c>
      <c r="B847" s="457">
        <f t="shared" ca="1" si="209"/>
        <v>12</v>
      </c>
      <c r="C847" s="457">
        <f t="shared" ca="1" si="210"/>
        <v>7</v>
      </c>
      <c r="D847" s="458">
        <f t="shared" ca="1" si="211"/>
        <v>3</v>
      </c>
      <c r="E847" s="458">
        <f t="shared" ca="1" si="212"/>
        <v>1</v>
      </c>
      <c r="G847" s="1000"/>
      <c r="H847" s="1001" t="s">
        <v>212</v>
      </c>
      <c r="I847" s="1002" t="str">
        <f t="shared" ca="1" si="213"/>
        <v>12.007.003.001</v>
      </c>
      <c r="J847" s="1003" t="s">
        <v>991</v>
      </c>
      <c r="K847" s="1004" t="s">
        <v>1</v>
      </c>
      <c r="L847" s="1009">
        <f>Arquitetura!D573+Arquitetura!D572</f>
        <v>86.4</v>
      </c>
      <c r="M847" s="1009">
        <v>90.945899999999995</v>
      </c>
      <c r="N847" s="1006">
        <f t="shared" si="208"/>
        <v>7857.7257600000003</v>
      </c>
      <c r="O847" s="1010" t="s">
        <v>5060</v>
      </c>
      <c r="P847" s="213" t="s">
        <v>518</v>
      </c>
      <c r="Q847" s="35"/>
      <c r="R847" s="35"/>
      <c r="S847" s="35"/>
    </row>
    <row r="848" spans="1:19" s="34" customFormat="1" ht="13.9" hidden="1" customHeight="1" outlineLevel="2" x14ac:dyDescent="0.2">
      <c r="A848" s="457">
        <f ca="1">IF($H848="UNIDADE CONSTRUTIVA",OFFSET(A848,-1,0)+1,LARGE(A$3:A847,1))</f>
        <v>0</v>
      </c>
      <c r="B848" s="457">
        <f ca="1">IF(H848="UNIDADE CONSTRUTIVA",0,IF(H848="CÉLULA CONSTRUTIVA",OFFSET(B848,-1,0)+1,OFFSET(B848,-1,0)))</f>
        <v>12</v>
      </c>
      <c r="C848" s="457">
        <f ca="1">IF(H848="CÉLULA CONSTRUTIVA",0,IF(H848="ETAPA",OFFSET(C848,-1,0)+1,OFFSET(C848,-1,0)))</f>
        <v>7</v>
      </c>
      <c r="D848" s="458">
        <f ca="1">IF(H848="ETAPA",0,IF(H848="SUBETAPA",OFFSET(D848,-1,0)+1,OFFSET(D848,-1,0)))</f>
        <v>3</v>
      </c>
      <c r="E848" s="458">
        <f ca="1">IF(H848="Subetapa",0,IF(H848="serviço",OFFSET(E848,-1,0)+1,OFFSET(E848,-1,0)))</f>
        <v>2</v>
      </c>
      <c r="G848" s="1000"/>
      <c r="H848" s="1001" t="s">
        <v>212</v>
      </c>
      <c r="I848" s="1002" t="str">
        <f ca="1">IF(H848="Unidade Construtiva",TEXT(A848,"00"),IF(H848="Célula Construtiva",TEXT(B848,"00"),IF(H848="Etapa",CONCATENATE(TEXT(B848,"00"),".",TEXT(C848,"000")),IF(H848="Subetapa",CONCATENATE(TEXT(B848,"00"),".",TEXT(C848,"000"),".",TEXT(D848,"000")),IF(H848="Serviço",CONCATENATE(TEXT(B848,"00"),".",TEXT(C848,"000"),".",TEXT(D848,"000"),".",TEXT(E848,"000")),"")))))</f>
        <v>12.007.003.002</v>
      </c>
      <c r="J848" s="1003" t="s">
        <v>5107</v>
      </c>
      <c r="K848" s="1004" t="s">
        <v>2</v>
      </c>
      <c r="L848" s="1009">
        <v>4</v>
      </c>
      <c r="M848" s="1009">
        <v>145.5</v>
      </c>
      <c r="N848" s="1006">
        <f t="shared" ref="N848" si="214">IF(H848="Serviço",M848*L848,IF(H848="CÉLULA CONSTRUTIVA",SUMIFS($N$8:$N$1644,$B$8:$B$1644,B848,$H$8:$H$1644,"Serviço"),IF(H848="ETAPA",SUMIFS($N$8:$N$1644,$B$8:$B$1644,B848,$C$8:$C$1644,C848,$H$8:$H$1644,"Serviço"),IF(H848="SUBETAPA",SUMIFS($N$8:$N$1644,$B$8:$B$1644,B848,$C$8:$C$1644,C848,$D$8:$D$1644,D848,$H$8:$H$1644,"Serviço"),0))))</f>
        <v>582</v>
      </c>
      <c r="O848" s="1010" t="s">
        <v>5108</v>
      </c>
      <c r="P848" s="213" t="s">
        <v>518</v>
      </c>
      <c r="Q848" s="35"/>
      <c r="R848" s="35"/>
      <c r="S848" s="35"/>
    </row>
    <row r="849" spans="1:19" s="34" customFormat="1" ht="13.9" hidden="1" customHeight="1" outlineLevel="1" x14ac:dyDescent="0.2">
      <c r="A849" s="457">
        <f ca="1">IF($H849="UNIDADE CONSTRUTIVA",OFFSET(A849,-1,0)+1,LARGE(A$3:A847,1))</f>
        <v>0</v>
      </c>
      <c r="B849" s="457">
        <f t="shared" ca="1" si="209"/>
        <v>12</v>
      </c>
      <c r="C849" s="457">
        <f t="shared" ca="1" si="210"/>
        <v>7</v>
      </c>
      <c r="D849" s="458">
        <f t="shared" ca="1" si="211"/>
        <v>4</v>
      </c>
      <c r="E849" s="458">
        <f t="shared" ca="1" si="212"/>
        <v>0</v>
      </c>
      <c r="G849" s="206"/>
      <c r="H849" s="207" t="s">
        <v>211</v>
      </c>
      <c r="I849" s="208" t="str">
        <f t="shared" ca="1" si="213"/>
        <v>12.007.004</v>
      </c>
      <c r="J849" s="209" t="s">
        <v>424</v>
      </c>
      <c r="K849" s="210"/>
      <c r="L849" s="455"/>
      <c r="M849" s="455"/>
      <c r="N849" s="285">
        <f t="shared" ca="1" si="208"/>
        <v>8044.3760999999995</v>
      </c>
      <c r="O849" s="462"/>
      <c r="P849" s="213"/>
      <c r="Q849" s="35"/>
      <c r="R849" s="35"/>
      <c r="S849" s="35"/>
    </row>
    <row r="850" spans="1:19" s="34" customFormat="1" ht="13.9" hidden="1" customHeight="1" outlineLevel="2" x14ac:dyDescent="0.2">
      <c r="A850" s="457">
        <f ca="1">IF($H850="UNIDADE CONSTRUTIVA",OFFSET(A850,-1,0)+1,LARGE(A$3:A849,1))</f>
        <v>0</v>
      </c>
      <c r="B850" s="457">
        <f t="shared" ca="1" si="209"/>
        <v>12</v>
      </c>
      <c r="C850" s="457">
        <f t="shared" ca="1" si="210"/>
        <v>7</v>
      </c>
      <c r="D850" s="458">
        <f t="shared" ca="1" si="211"/>
        <v>4</v>
      </c>
      <c r="E850" s="458">
        <f t="shared" ca="1" si="212"/>
        <v>1</v>
      </c>
      <c r="G850" s="206"/>
      <c r="H850" s="207" t="s">
        <v>212</v>
      </c>
      <c r="I850" s="208" t="str">
        <f t="shared" ca="1" si="213"/>
        <v>12.007.004.001</v>
      </c>
      <c r="J850" s="209" t="s">
        <v>426</v>
      </c>
      <c r="K850" s="210" t="s">
        <v>1</v>
      </c>
      <c r="L850" s="455">
        <f>Arquitetura!D614</f>
        <v>16.27</v>
      </c>
      <c r="M850" s="455">
        <v>494.43</v>
      </c>
      <c r="N850" s="285">
        <f t="shared" si="208"/>
        <v>8044.3760999999995</v>
      </c>
      <c r="O850" s="462"/>
      <c r="P850" s="213" t="s">
        <v>518</v>
      </c>
      <c r="Q850" s="35"/>
      <c r="R850" s="35"/>
      <c r="S850" s="35"/>
    </row>
    <row r="851" spans="1:19" s="34" customFormat="1" ht="13.9" hidden="1" customHeight="1" outlineLevel="1" x14ac:dyDescent="0.2">
      <c r="A851" s="457">
        <f ca="1">IF($H851="UNIDADE CONSTRUTIVA",OFFSET(A851,-1,0)+1,LARGE(A$3:A850,1))</f>
        <v>0</v>
      </c>
      <c r="B851" s="457">
        <f t="shared" ca="1" si="209"/>
        <v>12</v>
      </c>
      <c r="C851" s="457">
        <f t="shared" ca="1" si="210"/>
        <v>7</v>
      </c>
      <c r="D851" s="458">
        <f t="shared" ca="1" si="211"/>
        <v>5</v>
      </c>
      <c r="E851" s="458">
        <f t="shared" ca="1" si="212"/>
        <v>0</v>
      </c>
      <c r="G851" s="206"/>
      <c r="H851" s="207" t="s">
        <v>211</v>
      </c>
      <c r="I851" s="208" t="str">
        <f t="shared" ca="1" si="213"/>
        <v>12.007.005</v>
      </c>
      <c r="J851" s="209" t="s">
        <v>425</v>
      </c>
      <c r="K851" s="210"/>
      <c r="L851" s="455"/>
      <c r="M851" s="455"/>
      <c r="N851" s="285">
        <f t="shared" ca="1" si="208"/>
        <v>38517.99</v>
      </c>
      <c r="O851" s="462"/>
      <c r="P851" s="213"/>
      <c r="Q851" s="35"/>
      <c r="R851" s="35"/>
      <c r="S851" s="35"/>
    </row>
    <row r="852" spans="1:19" s="34" customFormat="1" ht="13.9" hidden="1" customHeight="1" outlineLevel="2" x14ac:dyDescent="0.2">
      <c r="A852" s="457">
        <f ca="1">IF($H852="UNIDADE CONSTRUTIVA",OFFSET(A852,-1,0)+1,LARGE(A$3:A851,1))</f>
        <v>0</v>
      </c>
      <c r="B852" s="457">
        <f t="shared" ca="1" si="209"/>
        <v>12</v>
      </c>
      <c r="C852" s="457">
        <f t="shared" ca="1" si="210"/>
        <v>7</v>
      </c>
      <c r="D852" s="458">
        <f t="shared" ca="1" si="211"/>
        <v>5</v>
      </c>
      <c r="E852" s="458">
        <f t="shared" ca="1" si="212"/>
        <v>1</v>
      </c>
      <c r="G852" s="206"/>
      <c r="H852" s="207" t="s">
        <v>212</v>
      </c>
      <c r="I852" s="208" t="str">
        <f t="shared" ca="1" si="213"/>
        <v>12.007.005.001</v>
      </c>
      <c r="J852" s="209" t="s">
        <v>422</v>
      </c>
      <c r="K852" s="210" t="s">
        <v>1</v>
      </c>
      <c r="L852" s="455">
        <f>L844</f>
        <v>866.75</v>
      </c>
      <c r="M852" s="455">
        <v>36</v>
      </c>
      <c r="N852" s="285">
        <f t="shared" si="208"/>
        <v>31203</v>
      </c>
      <c r="O852" s="462"/>
      <c r="P852" s="213" t="s">
        <v>518</v>
      </c>
      <c r="Q852" s="35"/>
      <c r="R852" s="35"/>
      <c r="S852" s="35"/>
    </row>
    <row r="853" spans="1:19" s="34" customFormat="1" ht="13.9" hidden="1" customHeight="1" outlineLevel="2" x14ac:dyDescent="0.2">
      <c r="A853" s="457">
        <f ca="1">IF($H853="UNIDADE CONSTRUTIVA",OFFSET(A853,-1,0)+1,LARGE(A$3:A852,1))</f>
        <v>0</v>
      </c>
      <c r="B853" s="457">
        <f t="shared" ca="1" si="209"/>
        <v>12</v>
      </c>
      <c r="C853" s="457">
        <f t="shared" ca="1" si="210"/>
        <v>7</v>
      </c>
      <c r="D853" s="458">
        <f t="shared" ca="1" si="211"/>
        <v>5</v>
      </c>
      <c r="E853" s="458">
        <f t="shared" ca="1" si="212"/>
        <v>2</v>
      </c>
      <c r="G853" s="206"/>
      <c r="H853" s="207" t="s">
        <v>212</v>
      </c>
      <c r="I853" s="208" t="str">
        <f t="shared" ca="1" si="213"/>
        <v>12.007.005.002</v>
      </c>
      <c r="J853" s="209" t="s">
        <v>988</v>
      </c>
      <c r="K853" s="210" t="s">
        <v>1</v>
      </c>
      <c r="L853" s="455">
        <f>L845</f>
        <v>78.44</v>
      </c>
      <c r="M853" s="455">
        <v>25</v>
      </c>
      <c r="N853" s="285">
        <f t="shared" si="208"/>
        <v>1961</v>
      </c>
      <c r="O853" s="462" t="s">
        <v>990</v>
      </c>
      <c r="P853" s="213" t="s">
        <v>518</v>
      </c>
      <c r="Q853" s="35"/>
      <c r="R853" s="35"/>
      <c r="S853" s="35"/>
    </row>
    <row r="854" spans="1:19" s="34" customFormat="1" ht="13.9" hidden="1" customHeight="1" outlineLevel="2" x14ac:dyDescent="0.2">
      <c r="A854" s="457">
        <f ca="1">IF($H854="UNIDADE CONSTRUTIVA",OFFSET(A854,-1,0)+1,LARGE(A$3:A853,1))</f>
        <v>0</v>
      </c>
      <c r="B854" s="457">
        <f t="shared" ca="1" si="209"/>
        <v>12</v>
      </c>
      <c r="C854" s="457">
        <f t="shared" ca="1" si="210"/>
        <v>7</v>
      </c>
      <c r="D854" s="458">
        <f t="shared" ca="1" si="211"/>
        <v>5</v>
      </c>
      <c r="E854" s="458">
        <f t="shared" ca="1" si="212"/>
        <v>3</v>
      </c>
      <c r="G854" s="1000"/>
      <c r="H854" s="1001" t="s">
        <v>212</v>
      </c>
      <c r="I854" s="1002" t="str">
        <f t="shared" ca="1" si="213"/>
        <v>12.007.005.003</v>
      </c>
      <c r="J854" s="1003" t="s">
        <v>989</v>
      </c>
      <c r="K854" s="1004" t="s">
        <v>1</v>
      </c>
      <c r="L854" s="1009">
        <f>SUM(L847:L847)</f>
        <v>86.4</v>
      </c>
      <c r="M854" s="1009">
        <v>55</v>
      </c>
      <c r="N854" s="1006">
        <f t="shared" si="208"/>
        <v>4752</v>
      </c>
      <c r="O854" s="1010"/>
      <c r="P854" s="213" t="s">
        <v>518</v>
      </c>
      <c r="Q854" s="35"/>
      <c r="R854" s="35"/>
      <c r="S854" s="35"/>
    </row>
    <row r="855" spans="1:19" s="34" customFormat="1" ht="13.9" hidden="1" customHeight="1" outlineLevel="2" x14ac:dyDescent="0.2">
      <c r="A855" s="457">
        <f ca="1">IF($H855="UNIDADE CONSTRUTIVA",OFFSET(A855,-1,0)+1,LARGE(A$3:A854,1))</f>
        <v>0</v>
      </c>
      <c r="B855" s="457">
        <f t="shared" ca="1" si="209"/>
        <v>12</v>
      </c>
      <c r="C855" s="457">
        <f t="shared" ca="1" si="210"/>
        <v>7</v>
      </c>
      <c r="D855" s="458">
        <f t="shared" ca="1" si="211"/>
        <v>5</v>
      </c>
      <c r="E855" s="458">
        <f t="shared" ca="1" si="212"/>
        <v>4</v>
      </c>
      <c r="G855" s="206"/>
      <c r="H855" s="207" t="s">
        <v>212</v>
      </c>
      <c r="I855" s="208" t="str">
        <f t="shared" ca="1" si="213"/>
        <v>12.007.005.004</v>
      </c>
      <c r="J855" s="209" t="s">
        <v>427</v>
      </c>
      <c r="K855" s="210" t="s">
        <v>1</v>
      </c>
      <c r="L855" s="455">
        <f>L850</f>
        <v>16.27</v>
      </c>
      <c r="M855" s="455">
        <v>37</v>
      </c>
      <c r="N855" s="285">
        <f t="shared" si="208"/>
        <v>601.99</v>
      </c>
      <c r="O855" s="462"/>
      <c r="P855" s="213" t="s">
        <v>518</v>
      </c>
      <c r="Q855" s="35"/>
      <c r="R855" s="35"/>
      <c r="S855" s="35"/>
    </row>
    <row r="856" spans="1:19" s="34" customFormat="1" ht="13.9" hidden="1" customHeight="1" outlineLevel="1" x14ac:dyDescent="0.2">
      <c r="A856" s="457">
        <f ca="1">IF($H856="UNIDADE CONSTRUTIVA",OFFSET(A856,-1,0)+1,LARGE(A$3:A855,1))</f>
        <v>0</v>
      </c>
      <c r="B856" s="457">
        <f t="shared" ca="1" si="154"/>
        <v>12</v>
      </c>
      <c r="C856" s="457">
        <f t="shared" ca="1" si="155"/>
        <v>8</v>
      </c>
      <c r="D856" s="458">
        <f t="shared" ca="1" si="156"/>
        <v>0</v>
      </c>
      <c r="E856" s="458">
        <f t="shared" ca="1" si="157"/>
        <v>4</v>
      </c>
      <c r="G856" s="206"/>
      <c r="H856" s="207" t="s">
        <v>210</v>
      </c>
      <c r="I856" s="208" t="str">
        <f t="shared" ca="1" si="185"/>
        <v>12.008</v>
      </c>
      <c r="J856" s="209" t="s">
        <v>992</v>
      </c>
      <c r="K856" s="210"/>
      <c r="L856" s="455"/>
      <c r="M856" s="455"/>
      <c r="N856" s="285">
        <f t="shared" ca="1" si="208"/>
        <v>19999.59144</v>
      </c>
      <c r="O856" s="462"/>
      <c r="P856" s="213"/>
      <c r="Q856" s="35"/>
      <c r="R856" s="35"/>
      <c r="S856" s="35"/>
    </row>
    <row r="857" spans="1:19" s="34" customFormat="1" ht="13.9" hidden="1" customHeight="1" outlineLevel="1" x14ac:dyDescent="0.2">
      <c r="A857" s="457">
        <f ca="1">IF($H857="UNIDADE CONSTRUTIVA",OFFSET(A857,-1,0)+1,LARGE(A$3:A856,1))</f>
        <v>0</v>
      </c>
      <c r="B857" s="457">
        <f t="shared" ca="1" si="154"/>
        <v>12</v>
      </c>
      <c r="C857" s="457">
        <f t="shared" ca="1" si="155"/>
        <v>8</v>
      </c>
      <c r="D857" s="458">
        <f t="shared" ca="1" si="156"/>
        <v>1</v>
      </c>
      <c r="E857" s="458">
        <f t="shared" ca="1" si="157"/>
        <v>0</v>
      </c>
      <c r="G857" s="206"/>
      <c r="H857" s="207" t="s">
        <v>211</v>
      </c>
      <c r="I857" s="208" t="str">
        <f t="shared" ca="1" si="185"/>
        <v>12.008.001</v>
      </c>
      <c r="J857" s="209" t="s">
        <v>417</v>
      </c>
      <c r="K857" s="210"/>
      <c r="L857" s="455"/>
      <c r="M857" s="455"/>
      <c r="N857" s="285">
        <f t="shared" ca="1" si="208"/>
        <v>787.22784000000001</v>
      </c>
      <c r="O857" s="462"/>
      <c r="P857" s="213"/>
      <c r="Q857" s="35"/>
      <c r="R857" s="35"/>
      <c r="S857" s="35"/>
    </row>
    <row r="858" spans="1:19" s="34" customFormat="1" ht="13.9" hidden="1" customHeight="1" outlineLevel="2" x14ac:dyDescent="0.2">
      <c r="A858" s="457">
        <f ca="1">IF($H858="UNIDADE CONSTRUTIVA",OFFSET(A858,-1,0)+1,LARGE(A$3:A857,1))</f>
        <v>0</v>
      </c>
      <c r="B858" s="457">
        <f t="shared" ca="1" si="154"/>
        <v>12</v>
      </c>
      <c r="C858" s="457">
        <f t="shared" ca="1" si="155"/>
        <v>8</v>
      </c>
      <c r="D858" s="458">
        <f t="shared" ca="1" si="156"/>
        <v>1</v>
      </c>
      <c r="E858" s="458">
        <f t="shared" ca="1" si="157"/>
        <v>1</v>
      </c>
      <c r="G858" s="206"/>
      <c r="H858" s="207" t="s">
        <v>212</v>
      </c>
      <c r="I858" s="208" t="str">
        <f t="shared" ca="1" si="185"/>
        <v>12.008.001.001</v>
      </c>
      <c r="J858" s="469" t="s">
        <v>979</v>
      </c>
      <c r="K858" s="210" t="s">
        <v>1</v>
      </c>
      <c r="L858" s="455">
        <f>Arquitetura!D441+Arquitetura!D443</f>
        <v>390.49</v>
      </c>
      <c r="M858" s="455">
        <v>2.016</v>
      </c>
      <c r="N858" s="285">
        <f t="shared" si="208"/>
        <v>787.22784000000001</v>
      </c>
      <c r="O858" s="462"/>
      <c r="P858" s="213" t="s">
        <v>518</v>
      </c>
      <c r="Q858" s="35"/>
      <c r="R858" s="35"/>
      <c r="S858" s="35"/>
    </row>
    <row r="859" spans="1:19" s="34" customFormat="1" ht="13.9" hidden="1" customHeight="1" outlineLevel="1" x14ac:dyDescent="0.2">
      <c r="A859" s="457">
        <f ca="1">IF($H859="UNIDADE CONSTRUTIVA",OFFSET(A859,-1,0)+1,LARGE(A$3:A858,1))</f>
        <v>0</v>
      </c>
      <c r="B859" s="457">
        <f t="shared" ca="1" si="154"/>
        <v>12</v>
      </c>
      <c r="C859" s="457">
        <f t="shared" ca="1" si="155"/>
        <v>8</v>
      </c>
      <c r="D859" s="458">
        <f t="shared" ca="1" si="156"/>
        <v>2</v>
      </c>
      <c r="E859" s="458">
        <f t="shared" ca="1" si="157"/>
        <v>0</v>
      </c>
      <c r="G859" s="206"/>
      <c r="H859" s="207" t="s">
        <v>211</v>
      </c>
      <c r="I859" s="208" t="str">
        <f t="shared" ca="1" si="185"/>
        <v>12.008.002</v>
      </c>
      <c r="J859" s="209" t="s">
        <v>418</v>
      </c>
      <c r="K859" s="210"/>
      <c r="L859" s="455"/>
      <c r="M859" s="455"/>
      <c r="N859" s="285">
        <f t="shared" ca="1" si="208"/>
        <v>3967.4735999999998</v>
      </c>
      <c r="O859" s="462"/>
      <c r="P859" s="213"/>
      <c r="Q859" s="35"/>
      <c r="R859" s="35"/>
      <c r="S859" s="35"/>
    </row>
    <row r="860" spans="1:19" s="34" customFormat="1" ht="13.9" hidden="1" customHeight="1" outlineLevel="2" x14ac:dyDescent="0.2">
      <c r="A860" s="457">
        <f ca="1">IF($H860="UNIDADE CONSTRUTIVA",OFFSET(A860,-1,0)+1,LARGE(A$3:A859,1))</f>
        <v>0</v>
      </c>
      <c r="B860" s="457">
        <f t="shared" ca="1" si="154"/>
        <v>12</v>
      </c>
      <c r="C860" s="457">
        <f t="shared" ca="1" si="155"/>
        <v>8</v>
      </c>
      <c r="D860" s="458">
        <f t="shared" ca="1" si="156"/>
        <v>2</v>
      </c>
      <c r="E860" s="458">
        <f t="shared" ca="1" si="157"/>
        <v>1</v>
      </c>
      <c r="G860" s="206"/>
      <c r="H860" s="207" t="s">
        <v>212</v>
      </c>
      <c r="I860" s="208" t="str">
        <f t="shared" ca="1" si="185"/>
        <v>12.008.002.001</v>
      </c>
      <c r="J860" s="209" t="s">
        <v>1244</v>
      </c>
      <c r="K860" s="210" t="s">
        <v>1</v>
      </c>
      <c r="L860" s="455">
        <f>Arquitetura!D488+Arquitetura!D490</f>
        <v>390.49</v>
      </c>
      <c r="M860" s="455">
        <v>9.5399999999999991</v>
      </c>
      <c r="N860" s="285">
        <f t="shared" si="208"/>
        <v>3725.2745999999997</v>
      </c>
      <c r="O860" s="462"/>
      <c r="P860" s="213" t="s">
        <v>518</v>
      </c>
      <c r="Q860" s="470"/>
      <c r="R860" s="470"/>
      <c r="S860" s="35"/>
    </row>
    <row r="861" spans="1:19" s="34" customFormat="1" ht="13.9" hidden="1" customHeight="1" outlineLevel="2" x14ac:dyDescent="0.2">
      <c r="A861" s="457">
        <f ca="1">IF($H861="UNIDADE CONSTRUTIVA",OFFSET(A861,-1,0)+1,LARGE(A$3:A860,1))</f>
        <v>0</v>
      </c>
      <c r="B861" s="457">
        <f t="shared" ca="1" si="154"/>
        <v>12</v>
      </c>
      <c r="C861" s="457">
        <f t="shared" ca="1" si="155"/>
        <v>8</v>
      </c>
      <c r="D861" s="458">
        <f t="shared" ca="1" si="156"/>
        <v>2</v>
      </c>
      <c r="E861" s="458">
        <f t="shared" ca="1" si="157"/>
        <v>2</v>
      </c>
      <c r="G861" s="206"/>
      <c r="H861" s="207" t="s">
        <v>212</v>
      </c>
      <c r="I861" s="208" t="str">
        <f t="shared" ca="1" si="185"/>
        <v>12.008.002.002</v>
      </c>
      <c r="J861" s="209" t="s">
        <v>419</v>
      </c>
      <c r="K861" s="210" t="s">
        <v>1</v>
      </c>
      <c r="L861" s="455">
        <f>Arquitetura!D535+Arquitetura!D537</f>
        <v>47.49</v>
      </c>
      <c r="M861" s="455">
        <v>5.0999999999999996</v>
      </c>
      <c r="N861" s="285">
        <f t="shared" si="208"/>
        <v>242.19899999999998</v>
      </c>
      <c r="O861" s="462" t="s">
        <v>990</v>
      </c>
      <c r="P861" s="213" t="s">
        <v>518</v>
      </c>
      <c r="Q861" s="35"/>
      <c r="R861" s="35"/>
      <c r="S861" s="35"/>
    </row>
    <row r="862" spans="1:19" s="34" customFormat="1" ht="13.9" hidden="1" customHeight="1" outlineLevel="1" x14ac:dyDescent="0.2">
      <c r="A862" s="457">
        <f ca="1">IF($H862="UNIDADE CONSTRUTIVA",OFFSET(A862,-1,0)+1,LARGE(A$3:A861,1))</f>
        <v>0</v>
      </c>
      <c r="B862" s="457">
        <f t="shared" ca="1" si="154"/>
        <v>12</v>
      </c>
      <c r="C862" s="457">
        <f t="shared" ca="1" si="155"/>
        <v>8</v>
      </c>
      <c r="D862" s="458">
        <f t="shared" ca="1" si="156"/>
        <v>3</v>
      </c>
      <c r="E862" s="458">
        <f t="shared" ca="1" si="157"/>
        <v>0</v>
      </c>
      <c r="G862" s="206"/>
      <c r="H862" s="207" t="s">
        <v>211</v>
      </c>
      <c r="I862" s="208" t="str">
        <f t="shared" ca="1" si="185"/>
        <v>12.008.003</v>
      </c>
      <c r="J862" s="209" t="s">
        <v>425</v>
      </c>
      <c r="K862" s="210"/>
      <c r="L862" s="455"/>
      <c r="M862" s="455"/>
      <c r="N862" s="285">
        <f t="shared" ca="1" si="208"/>
        <v>15244.89</v>
      </c>
      <c r="O862" s="462"/>
      <c r="P862" s="213"/>
      <c r="Q862" s="35"/>
      <c r="R862" s="35"/>
      <c r="S862" s="35"/>
    </row>
    <row r="863" spans="1:19" s="34" customFormat="1" ht="13.9" hidden="1" customHeight="1" outlineLevel="2" x14ac:dyDescent="0.2">
      <c r="A863" s="457">
        <f ca="1">IF($H863="UNIDADE CONSTRUTIVA",OFFSET(A863,-1,0)+1,LARGE(A$3:A862,1))</f>
        <v>0</v>
      </c>
      <c r="B863" s="457">
        <f t="shared" ca="1" si="154"/>
        <v>12</v>
      </c>
      <c r="C863" s="457">
        <f t="shared" ca="1" si="155"/>
        <v>8</v>
      </c>
      <c r="D863" s="458">
        <f t="shared" ca="1" si="156"/>
        <v>3</v>
      </c>
      <c r="E863" s="458">
        <f t="shared" ca="1" si="157"/>
        <v>1</v>
      </c>
      <c r="G863" s="206"/>
      <c r="H863" s="207" t="s">
        <v>212</v>
      </c>
      <c r="I863" s="208" t="str">
        <f t="shared" ca="1" si="185"/>
        <v>12.008.003.001</v>
      </c>
      <c r="J863" s="209" t="s">
        <v>422</v>
      </c>
      <c r="K863" s="210" t="s">
        <v>1</v>
      </c>
      <c r="L863" s="455">
        <f>L860</f>
        <v>390.49</v>
      </c>
      <c r="M863" s="455">
        <v>36</v>
      </c>
      <c r="N863" s="285">
        <f t="shared" si="208"/>
        <v>14057.64</v>
      </c>
      <c r="O863" s="462"/>
      <c r="P863" s="213" t="s">
        <v>518</v>
      </c>
      <c r="Q863" s="35"/>
      <c r="R863" s="35"/>
      <c r="S863" s="35"/>
    </row>
    <row r="864" spans="1:19" s="34" customFormat="1" ht="13.9" hidden="1" customHeight="1" outlineLevel="2" x14ac:dyDescent="0.2">
      <c r="A864" s="457">
        <f ca="1">IF($H864="UNIDADE CONSTRUTIVA",OFFSET(A864,-1,0)+1,LARGE(A$3:A863,1))</f>
        <v>0</v>
      </c>
      <c r="B864" s="457">
        <f t="shared" ca="1" si="154"/>
        <v>12</v>
      </c>
      <c r="C864" s="457">
        <f t="shared" ca="1" si="155"/>
        <v>8</v>
      </c>
      <c r="D864" s="458">
        <f t="shared" ca="1" si="156"/>
        <v>3</v>
      </c>
      <c r="E864" s="458">
        <f t="shared" ca="1" si="157"/>
        <v>2</v>
      </c>
      <c r="G864" s="206"/>
      <c r="H864" s="207" t="s">
        <v>212</v>
      </c>
      <c r="I864" s="208" t="str">
        <f t="shared" ca="1" si="185"/>
        <v>12.008.003.002</v>
      </c>
      <c r="J864" s="209" t="s">
        <v>988</v>
      </c>
      <c r="K864" s="210" t="s">
        <v>1</v>
      </c>
      <c r="L864" s="455">
        <f>L861</f>
        <v>47.49</v>
      </c>
      <c r="M864" s="455">
        <v>25</v>
      </c>
      <c r="N864" s="285">
        <f t="shared" si="208"/>
        <v>1187.25</v>
      </c>
      <c r="O864" s="462" t="s">
        <v>990</v>
      </c>
      <c r="P864" s="213" t="s">
        <v>518</v>
      </c>
      <c r="Q864" s="35"/>
      <c r="R864" s="35"/>
      <c r="S864" s="35"/>
    </row>
    <row r="865" spans="1:19" s="34" customFormat="1" ht="13.9" customHeight="1" collapsed="1" x14ac:dyDescent="0.2">
      <c r="A865" s="457">
        <f ca="1">IF($H865="UNIDADE CONSTRUTIVA",OFFSET(A865,-1,0)+1,LARGE(A$3:A864,1))</f>
        <v>0</v>
      </c>
      <c r="B865" s="457">
        <f t="shared" ref="B865:B1053" ca="1" si="215">IF(H865="UNIDADE CONSTRUTIVA",0,IF(H865="CÉLULA CONSTRUTIVA",OFFSET(B865,-1,0)+1,OFFSET(B865,-1,0)))</f>
        <v>13</v>
      </c>
      <c r="C865" s="457">
        <f t="shared" ref="C865:C1053" ca="1" si="216">IF(H865="CÉLULA CONSTRUTIVA",0,IF(H865="ETAPA",OFFSET(C865,-1,0)+1,OFFSET(C865,-1,0)))</f>
        <v>0</v>
      </c>
      <c r="D865" s="458">
        <f t="shared" ref="D865:D1053" ca="1" si="217">IF(H865="ETAPA",0,IF(H865="SUBETAPA",OFFSET(D865,-1,0)+1,OFFSET(D865,-1,0)))</f>
        <v>3</v>
      </c>
      <c r="E865" s="458">
        <f t="shared" ref="E865:E1053" ca="1" si="218">IF(H865="Subetapa",0,IF(H865="serviço",OFFSET(E865,-1,0)+1,OFFSET(E865,-1,0)))</f>
        <v>2</v>
      </c>
      <c r="G865" s="206"/>
      <c r="H865" s="207" t="s">
        <v>209</v>
      </c>
      <c r="I865" s="208" t="str">
        <f t="shared" ca="1" si="185"/>
        <v>13</v>
      </c>
      <c r="J865" s="209" t="s">
        <v>554</v>
      </c>
      <c r="K865" s="210"/>
      <c r="L865" s="455"/>
      <c r="M865" s="455"/>
      <c r="N865" s="285">
        <f ca="1">IF(H865="Serviço",M865*L865,IF(H865="CÉLULA CONSTRUTIVA",SUMIFS($N$8:$N$1393,$B$8:$B$1393,B865,$H$8:$H$1393,"Serviço"),IF(H865="ETAPA",SUMIFS($N$8:$N$1393,$B$8:$B$1393,B865,$C$8:$C$1393,C865,$H$8:$H$1393,"Serviço"),IF(H865="SUBETAPA",SUMIFS($N$8:$N$1393,$B$8:$B$1393,B865,$C$8:$C$1393,C865,$D$8:$D$1393,D865,$H$8:$H$1393,"Serviço"),0))))</f>
        <v>680621.57199999993</v>
      </c>
      <c r="O865" s="462"/>
      <c r="P865" s="213"/>
      <c r="Q865" s="463"/>
      <c r="R865" s="463"/>
      <c r="S865" s="35"/>
    </row>
    <row r="866" spans="1:19" s="34" customFormat="1" ht="13.9" hidden="1" customHeight="1" outlineLevel="1" x14ac:dyDescent="0.2">
      <c r="A866" s="457">
        <f ca="1">IF($H866="UNIDADE CONSTRUTIVA",OFFSET(A866,-1,0)+1,LARGE(A$3:A865,1))</f>
        <v>0</v>
      </c>
      <c r="B866" s="457">
        <f t="shared" ca="1" si="215"/>
        <v>13</v>
      </c>
      <c r="C866" s="457">
        <f t="shared" ca="1" si="216"/>
        <v>1</v>
      </c>
      <c r="D866" s="458">
        <f t="shared" ca="1" si="217"/>
        <v>0</v>
      </c>
      <c r="E866" s="458">
        <f t="shared" ca="1" si="218"/>
        <v>2</v>
      </c>
      <c r="G866" s="206"/>
      <c r="H866" s="207" t="s">
        <v>210</v>
      </c>
      <c r="I866" s="208" t="str">
        <f t="shared" ca="1" si="185"/>
        <v>13.001</v>
      </c>
      <c r="J866" s="209" t="s">
        <v>1001</v>
      </c>
      <c r="K866" s="210"/>
      <c r="L866" s="455"/>
      <c r="M866" s="455"/>
      <c r="N866" s="285">
        <f t="shared" ref="N866:N911" ca="1" si="219">IF(H866="Serviço",M866*L866,IF(H866="CÉLULA CONSTRUTIVA",SUMIFS($N$8:$N$1598,$B$8:$B$1598,B866,$H$8:$H$1598,"Serviço"),IF(H866="ETAPA",SUMIFS($N$8:$N$1598,$B$8:$B$1598,B866,$C$8:$C$1598,C866,$H$8:$H$1598,"Serviço"),IF(H866="SUBETAPA",SUMIFS($N$8:$N$1598,$B$8:$B$1598,B866,$C$8:$C$1598,C866,$D$8:$D$1598,D866,$H$8:$H$1598,"Serviço"),0))))</f>
        <v>23263.386999999999</v>
      </c>
      <c r="O866" s="462"/>
      <c r="P866" s="213"/>
      <c r="Q866" s="35"/>
      <c r="R866" s="35"/>
      <c r="S866" s="35"/>
    </row>
    <row r="867" spans="1:19" s="34" customFormat="1" ht="13.9" hidden="1" customHeight="1" outlineLevel="1" x14ac:dyDescent="0.2">
      <c r="A867" s="457">
        <f ca="1">IF($H867="UNIDADE CONSTRUTIVA",OFFSET(A867,-1,0)+1,LARGE(A$3:A866,1))</f>
        <v>0</v>
      </c>
      <c r="B867" s="457">
        <f t="shared" ca="1" si="215"/>
        <v>13</v>
      </c>
      <c r="C867" s="457">
        <f t="shared" ca="1" si="216"/>
        <v>1</v>
      </c>
      <c r="D867" s="458">
        <f t="shared" ca="1" si="217"/>
        <v>1</v>
      </c>
      <c r="E867" s="458">
        <f t="shared" ca="1" si="218"/>
        <v>0</v>
      </c>
      <c r="G867" s="206"/>
      <c r="H867" s="207" t="s">
        <v>211</v>
      </c>
      <c r="I867" s="208" t="str">
        <f t="shared" ca="1" si="185"/>
        <v>13.001.001</v>
      </c>
      <c r="J867" s="209" t="s">
        <v>555</v>
      </c>
      <c r="K867" s="210"/>
      <c r="L867" s="455"/>
      <c r="M867" s="455"/>
      <c r="N867" s="285">
        <f t="shared" ca="1" si="219"/>
        <v>3941.6369999999997</v>
      </c>
      <c r="O867" s="462"/>
      <c r="P867" s="213"/>
      <c r="Q867" s="35"/>
      <c r="R867" s="35"/>
      <c r="S867" s="35"/>
    </row>
    <row r="868" spans="1:19" s="34" customFormat="1" ht="13.9" hidden="1" customHeight="1" outlineLevel="2" x14ac:dyDescent="0.2">
      <c r="A868" s="457">
        <f ca="1">IF($H868="UNIDADE CONSTRUTIVA",OFFSET(A868,-1,0)+1,LARGE(A$3:A867,1))</f>
        <v>0</v>
      </c>
      <c r="B868" s="457">
        <f t="shared" ca="1" si="215"/>
        <v>13</v>
      </c>
      <c r="C868" s="457">
        <f t="shared" ca="1" si="216"/>
        <v>1</v>
      </c>
      <c r="D868" s="458">
        <f t="shared" ca="1" si="217"/>
        <v>1</v>
      </c>
      <c r="E868" s="458">
        <f t="shared" ca="1" si="218"/>
        <v>1</v>
      </c>
      <c r="G868" s="206"/>
      <c r="H868" s="207" t="s">
        <v>212</v>
      </c>
      <c r="I868" s="208" t="str">
        <f t="shared" ca="1" si="185"/>
        <v>13.001.001.001</v>
      </c>
      <c r="J868" s="209" t="s">
        <v>999</v>
      </c>
      <c r="K868" s="210" t="s">
        <v>1</v>
      </c>
      <c r="L868" s="455">
        <f>Arquitetura!D650</f>
        <v>772.87</v>
      </c>
      <c r="M868" s="455">
        <v>5.0999999999999996</v>
      </c>
      <c r="N868" s="285">
        <f t="shared" si="219"/>
        <v>3941.6369999999997</v>
      </c>
      <c r="O868" s="462"/>
      <c r="P868" s="213" t="s">
        <v>518</v>
      </c>
      <c r="Q868" s="35"/>
      <c r="R868" s="35"/>
      <c r="S868" s="35"/>
    </row>
    <row r="869" spans="1:19" s="34" customFormat="1" ht="13.9" hidden="1" customHeight="1" outlineLevel="1" x14ac:dyDescent="0.2">
      <c r="A869" s="457">
        <f ca="1">IF($H869="UNIDADE CONSTRUTIVA",OFFSET(A869,-1,0)+1,LARGE(A$3:A868,1))</f>
        <v>0</v>
      </c>
      <c r="B869" s="457">
        <f t="shared" ca="1" si="215"/>
        <v>13</v>
      </c>
      <c r="C869" s="457">
        <f t="shared" ca="1" si="216"/>
        <v>1</v>
      </c>
      <c r="D869" s="458">
        <f t="shared" ca="1" si="217"/>
        <v>2</v>
      </c>
      <c r="E869" s="458">
        <f t="shared" ca="1" si="218"/>
        <v>0</v>
      </c>
      <c r="G869" s="206"/>
      <c r="H869" s="207" t="s">
        <v>211</v>
      </c>
      <c r="I869" s="208" t="str">
        <f t="shared" ca="1" si="185"/>
        <v>13.001.002</v>
      </c>
      <c r="J869" s="209" t="s">
        <v>429</v>
      </c>
      <c r="K869" s="210"/>
      <c r="L869" s="455"/>
      <c r="M869" s="455"/>
      <c r="N869" s="285">
        <f t="shared" ca="1" si="219"/>
        <v>19321.75</v>
      </c>
      <c r="O869" s="462"/>
      <c r="P869" s="213"/>
      <c r="Q869" s="35"/>
      <c r="R869" s="35"/>
      <c r="S869" s="35"/>
    </row>
    <row r="870" spans="1:19" s="34" customFormat="1" ht="13.9" hidden="1" customHeight="1" outlineLevel="2" x14ac:dyDescent="0.2">
      <c r="A870" s="457">
        <f ca="1">IF($H870="UNIDADE CONSTRUTIVA",OFFSET(A870,-1,0)+1,LARGE(A$3:A869,1))</f>
        <v>0</v>
      </c>
      <c r="B870" s="457">
        <f t="shared" ca="1" si="215"/>
        <v>13</v>
      </c>
      <c r="C870" s="457">
        <f t="shared" ca="1" si="216"/>
        <v>1</v>
      </c>
      <c r="D870" s="458">
        <f t="shared" ca="1" si="217"/>
        <v>2</v>
      </c>
      <c r="E870" s="458">
        <f t="shared" ca="1" si="218"/>
        <v>1</v>
      </c>
      <c r="G870" s="206"/>
      <c r="H870" s="207" t="s">
        <v>212</v>
      </c>
      <c r="I870" s="208" t="str">
        <f t="shared" ca="1" si="185"/>
        <v>13.001.002.001</v>
      </c>
      <c r="J870" s="209" t="s">
        <v>557</v>
      </c>
      <c r="K870" s="210" t="s">
        <v>1</v>
      </c>
      <c r="L870" s="455">
        <f>L868</f>
        <v>772.87</v>
      </c>
      <c r="M870" s="455">
        <v>25</v>
      </c>
      <c r="N870" s="285">
        <f t="shared" si="219"/>
        <v>19321.75</v>
      </c>
      <c r="O870" s="462"/>
      <c r="P870" s="213" t="s">
        <v>518</v>
      </c>
      <c r="Q870" s="35"/>
      <c r="R870" s="35"/>
      <c r="S870" s="35"/>
    </row>
    <row r="871" spans="1:19" s="34" customFormat="1" ht="13.9" hidden="1" customHeight="1" outlineLevel="1" x14ac:dyDescent="0.2">
      <c r="A871" s="457">
        <f ca="1">IF($H871="UNIDADE CONSTRUTIVA",OFFSET(A871,-1,0)+1,LARGE(A$3:A870,1))</f>
        <v>0</v>
      </c>
      <c r="B871" s="457">
        <f t="shared" ca="1" si="215"/>
        <v>13</v>
      </c>
      <c r="C871" s="457">
        <f t="shared" ca="1" si="216"/>
        <v>2</v>
      </c>
      <c r="D871" s="458">
        <f t="shared" ca="1" si="217"/>
        <v>0</v>
      </c>
      <c r="E871" s="458">
        <f t="shared" ca="1" si="218"/>
        <v>1</v>
      </c>
      <c r="G871" s="206"/>
      <c r="H871" s="207" t="s">
        <v>210</v>
      </c>
      <c r="I871" s="208" t="str">
        <f t="shared" ca="1" si="185"/>
        <v>13.002</v>
      </c>
      <c r="J871" s="209" t="s">
        <v>1004</v>
      </c>
      <c r="K871" s="210"/>
      <c r="L871" s="455"/>
      <c r="M871" s="455"/>
      <c r="N871" s="285">
        <f t="shared" ca="1" si="219"/>
        <v>69586.384000000005</v>
      </c>
      <c r="O871" s="462"/>
      <c r="P871" s="213"/>
      <c r="Q871" s="35"/>
      <c r="R871" s="35"/>
      <c r="S871" s="35"/>
    </row>
    <row r="872" spans="1:19" s="34" customFormat="1" ht="13.9" hidden="1" customHeight="1" outlineLevel="1" x14ac:dyDescent="0.2">
      <c r="A872" s="457">
        <f ca="1">IF($H872="UNIDADE CONSTRUTIVA",OFFSET(A872,-1,0)+1,LARGE(A$3:A871,1))</f>
        <v>0</v>
      </c>
      <c r="B872" s="457">
        <f t="shared" ca="1" si="215"/>
        <v>13</v>
      </c>
      <c r="C872" s="457">
        <f t="shared" ca="1" si="216"/>
        <v>2</v>
      </c>
      <c r="D872" s="458">
        <f t="shared" ca="1" si="217"/>
        <v>1</v>
      </c>
      <c r="E872" s="458">
        <f t="shared" ca="1" si="218"/>
        <v>0</v>
      </c>
      <c r="G872" s="206"/>
      <c r="H872" s="207" t="s">
        <v>211</v>
      </c>
      <c r="I872" s="208" t="str">
        <f t="shared" ca="1" si="185"/>
        <v>13.002.001</v>
      </c>
      <c r="J872" s="209" t="s">
        <v>555</v>
      </c>
      <c r="K872" s="210"/>
      <c r="L872" s="455"/>
      <c r="M872" s="455"/>
      <c r="N872" s="285">
        <f t="shared" ca="1" si="219"/>
        <v>11790.384</v>
      </c>
      <c r="O872" s="462"/>
      <c r="P872" s="213"/>
      <c r="Q872" s="35"/>
      <c r="R872" s="35"/>
      <c r="S872" s="35"/>
    </row>
    <row r="873" spans="1:19" s="34" customFormat="1" ht="13.9" hidden="1" customHeight="1" outlineLevel="2" x14ac:dyDescent="0.2">
      <c r="A873" s="457">
        <f ca="1">IF($H873="UNIDADE CONSTRUTIVA",OFFSET(A873,-1,0)+1,LARGE(A$3:A872,1))</f>
        <v>0</v>
      </c>
      <c r="B873" s="457">
        <f t="shared" ca="1" si="215"/>
        <v>13</v>
      </c>
      <c r="C873" s="457">
        <f t="shared" ca="1" si="216"/>
        <v>2</v>
      </c>
      <c r="D873" s="458">
        <f t="shared" ca="1" si="217"/>
        <v>1</v>
      </c>
      <c r="E873" s="458">
        <f t="shared" ca="1" si="218"/>
        <v>1</v>
      </c>
      <c r="G873" s="206"/>
      <c r="H873" s="207" t="s">
        <v>212</v>
      </c>
      <c r="I873" s="208" t="str">
        <f t="shared" ca="1" si="185"/>
        <v>13.002.001.001</v>
      </c>
      <c r="J873" s="209" t="s">
        <v>999</v>
      </c>
      <c r="K873" s="210" t="s">
        <v>1</v>
      </c>
      <c r="L873" s="455">
        <f>Arquitetura!D652+Arquitetura!D654+Arquitetura!D656</f>
        <v>2311.84</v>
      </c>
      <c r="M873" s="455">
        <v>5.0999999999999996</v>
      </c>
      <c r="N873" s="285">
        <f t="shared" si="219"/>
        <v>11790.384</v>
      </c>
      <c r="O873" s="462"/>
      <c r="P873" s="213" t="s">
        <v>518</v>
      </c>
      <c r="Q873" s="35"/>
      <c r="R873" s="35"/>
      <c r="S873" s="35"/>
    </row>
    <row r="874" spans="1:19" s="34" customFormat="1" ht="13.9" hidden="1" customHeight="1" outlineLevel="1" x14ac:dyDescent="0.2">
      <c r="A874" s="457">
        <f ca="1">IF($H874="UNIDADE CONSTRUTIVA",OFFSET(A874,-1,0)+1,LARGE(A$3:A873,1))</f>
        <v>0</v>
      </c>
      <c r="B874" s="457">
        <f t="shared" ca="1" si="215"/>
        <v>13</v>
      </c>
      <c r="C874" s="457">
        <f t="shared" ca="1" si="216"/>
        <v>2</v>
      </c>
      <c r="D874" s="458">
        <f t="shared" ca="1" si="217"/>
        <v>2</v>
      </c>
      <c r="E874" s="458">
        <f t="shared" ca="1" si="218"/>
        <v>0</v>
      </c>
      <c r="G874" s="206"/>
      <c r="H874" s="207" t="s">
        <v>211</v>
      </c>
      <c r="I874" s="208" t="str">
        <f t="shared" ca="1" si="185"/>
        <v>13.002.002</v>
      </c>
      <c r="J874" s="209" t="s">
        <v>429</v>
      </c>
      <c r="K874" s="210"/>
      <c r="L874" s="455"/>
      <c r="M874" s="455"/>
      <c r="N874" s="285">
        <f t="shared" ca="1" si="219"/>
        <v>57796</v>
      </c>
      <c r="O874" s="462"/>
      <c r="P874" s="213"/>
      <c r="Q874" s="35"/>
      <c r="R874" s="35"/>
      <c r="S874" s="35"/>
    </row>
    <row r="875" spans="1:19" s="34" customFormat="1" ht="13.9" hidden="1" customHeight="1" outlineLevel="2" x14ac:dyDescent="0.2">
      <c r="A875" s="457">
        <f ca="1">IF($H875="UNIDADE CONSTRUTIVA",OFFSET(A875,-1,0)+1,LARGE(A$3:A874,1))</f>
        <v>0</v>
      </c>
      <c r="B875" s="457">
        <f t="shared" ca="1" si="215"/>
        <v>13</v>
      </c>
      <c r="C875" s="457">
        <f t="shared" ca="1" si="216"/>
        <v>2</v>
      </c>
      <c r="D875" s="458">
        <f t="shared" ca="1" si="217"/>
        <v>2</v>
      </c>
      <c r="E875" s="458">
        <f t="shared" ca="1" si="218"/>
        <v>1</v>
      </c>
      <c r="G875" s="206"/>
      <c r="H875" s="207" t="s">
        <v>212</v>
      </c>
      <c r="I875" s="208" t="str">
        <f t="shared" ca="1" si="185"/>
        <v>13.002.002.001</v>
      </c>
      <c r="J875" s="209" t="s">
        <v>557</v>
      </c>
      <c r="K875" s="210" t="s">
        <v>1</v>
      </c>
      <c r="L875" s="455">
        <f>L873</f>
        <v>2311.84</v>
      </c>
      <c r="M875" s="455">
        <v>25</v>
      </c>
      <c r="N875" s="285">
        <f t="shared" si="219"/>
        <v>57796</v>
      </c>
      <c r="O875" s="462"/>
      <c r="P875" s="213" t="s">
        <v>518</v>
      </c>
      <c r="Q875" s="35"/>
      <c r="R875" s="35"/>
      <c r="S875" s="35"/>
    </row>
    <row r="876" spans="1:19" s="34" customFormat="1" ht="13.9" hidden="1" customHeight="1" outlineLevel="1" x14ac:dyDescent="0.2">
      <c r="A876" s="457">
        <f ca="1">IF($H876="UNIDADE CONSTRUTIVA",OFFSET(A876,-1,0)+1,LARGE(A$3:A875,1))</f>
        <v>0</v>
      </c>
      <c r="B876" s="457">
        <f t="shared" ca="1" si="215"/>
        <v>13</v>
      </c>
      <c r="C876" s="457">
        <f t="shared" ca="1" si="216"/>
        <v>3</v>
      </c>
      <c r="D876" s="458">
        <f t="shared" ca="1" si="217"/>
        <v>0</v>
      </c>
      <c r="E876" s="458">
        <f t="shared" ca="1" si="218"/>
        <v>1</v>
      </c>
      <c r="G876" s="206"/>
      <c r="H876" s="207" t="s">
        <v>210</v>
      </c>
      <c r="I876" s="208" t="str">
        <f t="shared" ca="1" si="185"/>
        <v>13.003</v>
      </c>
      <c r="J876" s="209" t="s">
        <v>1005</v>
      </c>
      <c r="K876" s="210"/>
      <c r="L876" s="455"/>
      <c r="M876" s="455"/>
      <c r="N876" s="285">
        <f t="shared" ca="1" si="219"/>
        <v>23304.323</v>
      </c>
      <c r="O876" s="462"/>
      <c r="P876" s="213"/>
      <c r="Q876" s="35"/>
      <c r="R876" s="35"/>
      <c r="S876" s="35"/>
    </row>
    <row r="877" spans="1:19" s="34" customFormat="1" ht="13.9" hidden="1" customHeight="1" outlineLevel="1" x14ac:dyDescent="0.2">
      <c r="A877" s="457">
        <f ca="1">IF($H877="UNIDADE CONSTRUTIVA",OFFSET(A877,-1,0)+1,LARGE(A$3:A876,1))</f>
        <v>0</v>
      </c>
      <c r="B877" s="457">
        <f t="shared" ca="1" si="215"/>
        <v>13</v>
      </c>
      <c r="C877" s="457">
        <f t="shared" ca="1" si="216"/>
        <v>3</v>
      </c>
      <c r="D877" s="458">
        <f t="shared" ca="1" si="217"/>
        <v>1</v>
      </c>
      <c r="E877" s="458">
        <f t="shared" ca="1" si="218"/>
        <v>0</v>
      </c>
      <c r="G877" s="206"/>
      <c r="H877" s="207" t="s">
        <v>211</v>
      </c>
      <c r="I877" s="208" t="str">
        <f t="shared" ca="1" si="185"/>
        <v>13.003.001</v>
      </c>
      <c r="J877" s="209" t="s">
        <v>555</v>
      </c>
      <c r="K877" s="210"/>
      <c r="L877" s="455"/>
      <c r="M877" s="455"/>
      <c r="N877" s="285">
        <f t="shared" ca="1" si="219"/>
        <v>3948.5729999999999</v>
      </c>
      <c r="O877" s="462"/>
      <c r="P877" s="213"/>
      <c r="Q877" s="35"/>
      <c r="R877" s="35"/>
      <c r="S877" s="35"/>
    </row>
    <row r="878" spans="1:19" s="34" customFormat="1" ht="13.9" hidden="1" customHeight="1" outlineLevel="2" x14ac:dyDescent="0.2">
      <c r="A878" s="457">
        <f ca="1">IF($H878="UNIDADE CONSTRUTIVA",OFFSET(A878,-1,0)+1,LARGE(A$3:A877,1))</f>
        <v>0</v>
      </c>
      <c r="B878" s="457">
        <f t="shared" ca="1" si="215"/>
        <v>13</v>
      </c>
      <c r="C878" s="457">
        <f t="shared" ca="1" si="216"/>
        <v>3</v>
      </c>
      <c r="D878" s="458">
        <f t="shared" ca="1" si="217"/>
        <v>1</v>
      </c>
      <c r="E878" s="458">
        <f t="shared" ca="1" si="218"/>
        <v>1</v>
      </c>
      <c r="G878" s="206"/>
      <c r="H878" s="207" t="s">
        <v>212</v>
      </c>
      <c r="I878" s="208" t="str">
        <f t="shared" ca="1" si="185"/>
        <v>13.003.001.001</v>
      </c>
      <c r="J878" s="209" t="s">
        <v>999</v>
      </c>
      <c r="K878" s="210" t="s">
        <v>1</v>
      </c>
      <c r="L878" s="455">
        <f>Arquitetura!D658</f>
        <v>774.23</v>
      </c>
      <c r="M878" s="455">
        <v>5.0999999999999996</v>
      </c>
      <c r="N878" s="285">
        <f t="shared" si="219"/>
        <v>3948.5729999999999</v>
      </c>
      <c r="O878" s="462"/>
      <c r="P878" s="213" t="s">
        <v>518</v>
      </c>
      <c r="Q878" s="35"/>
      <c r="R878" s="35"/>
      <c r="S878" s="35"/>
    </row>
    <row r="879" spans="1:19" s="34" customFormat="1" ht="13.9" hidden="1" customHeight="1" outlineLevel="1" x14ac:dyDescent="0.2">
      <c r="A879" s="457">
        <f ca="1">IF($H879="UNIDADE CONSTRUTIVA",OFFSET(A879,-1,0)+1,LARGE(A$3:A878,1))</f>
        <v>0</v>
      </c>
      <c r="B879" s="457">
        <f t="shared" ca="1" si="215"/>
        <v>13</v>
      </c>
      <c r="C879" s="457">
        <f t="shared" ca="1" si="216"/>
        <v>3</v>
      </c>
      <c r="D879" s="458">
        <f t="shared" ca="1" si="217"/>
        <v>2</v>
      </c>
      <c r="E879" s="458">
        <f t="shared" ca="1" si="218"/>
        <v>0</v>
      </c>
      <c r="G879" s="206"/>
      <c r="H879" s="207" t="s">
        <v>211</v>
      </c>
      <c r="I879" s="208" t="str">
        <f t="shared" ca="1" si="185"/>
        <v>13.003.002</v>
      </c>
      <c r="J879" s="209" t="s">
        <v>429</v>
      </c>
      <c r="K879" s="210"/>
      <c r="L879" s="455"/>
      <c r="M879" s="455"/>
      <c r="N879" s="285">
        <f t="shared" ca="1" si="219"/>
        <v>19355.75</v>
      </c>
      <c r="O879" s="462"/>
      <c r="P879" s="213"/>
      <c r="Q879" s="35"/>
      <c r="R879" s="35"/>
      <c r="S879" s="35"/>
    </row>
    <row r="880" spans="1:19" s="34" customFormat="1" ht="13.9" hidden="1" customHeight="1" outlineLevel="2" x14ac:dyDescent="0.2">
      <c r="A880" s="457">
        <f ca="1">IF($H880="UNIDADE CONSTRUTIVA",OFFSET(A880,-1,0)+1,LARGE(A$3:A879,1))</f>
        <v>0</v>
      </c>
      <c r="B880" s="457">
        <f t="shared" ca="1" si="215"/>
        <v>13</v>
      </c>
      <c r="C880" s="457">
        <f t="shared" ca="1" si="216"/>
        <v>3</v>
      </c>
      <c r="D880" s="458">
        <f t="shared" ca="1" si="217"/>
        <v>2</v>
      </c>
      <c r="E880" s="458">
        <f t="shared" ca="1" si="218"/>
        <v>1</v>
      </c>
      <c r="G880" s="206"/>
      <c r="H880" s="207" t="s">
        <v>212</v>
      </c>
      <c r="I880" s="208" t="str">
        <f t="shared" ca="1" si="185"/>
        <v>13.003.002.001</v>
      </c>
      <c r="J880" s="209" t="s">
        <v>557</v>
      </c>
      <c r="K880" s="210" t="s">
        <v>1</v>
      </c>
      <c r="L880" s="455">
        <f>L878</f>
        <v>774.23</v>
      </c>
      <c r="M880" s="455">
        <v>25</v>
      </c>
      <c r="N880" s="285">
        <f t="shared" si="219"/>
        <v>19355.75</v>
      </c>
      <c r="O880" s="462"/>
      <c r="P880" s="213" t="s">
        <v>518</v>
      </c>
      <c r="Q880" s="35"/>
      <c r="R880" s="35"/>
      <c r="S880" s="35"/>
    </row>
    <row r="881" spans="1:19" s="34" customFormat="1" ht="13.9" hidden="1" customHeight="1" outlineLevel="1" x14ac:dyDescent="0.2">
      <c r="A881" s="457">
        <f ca="1">IF($H881="UNIDADE CONSTRUTIVA",OFFSET(A881,-1,0)+1,LARGE(A$3:A880,1))</f>
        <v>0</v>
      </c>
      <c r="B881" s="457">
        <f t="shared" ca="1" si="215"/>
        <v>13</v>
      </c>
      <c r="C881" s="457">
        <f t="shared" ca="1" si="216"/>
        <v>4</v>
      </c>
      <c r="D881" s="458">
        <f t="shared" ca="1" si="217"/>
        <v>0</v>
      </c>
      <c r="E881" s="458">
        <f t="shared" ca="1" si="218"/>
        <v>1</v>
      </c>
      <c r="G881" s="206"/>
      <c r="H881" s="207" t="s">
        <v>210</v>
      </c>
      <c r="I881" s="208" t="str">
        <f t="shared" ca="1" si="185"/>
        <v>13.004</v>
      </c>
      <c r="J881" s="209" t="s">
        <v>1006</v>
      </c>
      <c r="K881" s="210"/>
      <c r="L881" s="455"/>
      <c r="M881" s="455"/>
      <c r="N881" s="285">
        <f t="shared" ca="1" si="219"/>
        <v>35431.917999999998</v>
      </c>
      <c r="O881" s="462"/>
      <c r="P881" s="213"/>
      <c r="Q881" s="35"/>
      <c r="R881" s="35"/>
      <c r="S881" s="35"/>
    </row>
    <row r="882" spans="1:19" s="34" customFormat="1" ht="13.9" hidden="1" customHeight="1" outlineLevel="1" x14ac:dyDescent="0.2">
      <c r="A882" s="457">
        <f ca="1">IF($H882="UNIDADE CONSTRUTIVA",OFFSET(A882,-1,0)+1,LARGE(A$3:A881,1))</f>
        <v>0</v>
      </c>
      <c r="B882" s="457">
        <f ca="1">IF(H882="UNIDADE CONSTRUTIVA",0,IF(H882="CÉLULA CONSTRUTIVA",OFFSET(B882,-1,0)+1,OFFSET(B882,-1,0)))</f>
        <v>13</v>
      </c>
      <c r="C882" s="457">
        <f ca="1">IF(H882="CÉLULA CONSTRUTIVA",0,IF(H882="ETAPA",OFFSET(C882,-1,0)+1,OFFSET(C882,-1,0)))</f>
        <v>4</v>
      </c>
      <c r="D882" s="458">
        <f ca="1">IF(H882="ETAPA",0,IF(H882="SUBETAPA",OFFSET(D882,-1,0)+1,OFFSET(D882,-1,0)))</f>
        <v>1</v>
      </c>
      <c r="E882" s="458">
        <f ca="1">IF(H882="Subetapa",0,IF(H882="serviço",OFFSET(E882,-1,0)+1,OFFSET(E882,-1,0)))</f>
        <v>0</v>
      </c>
      <c r="G882" s="206"/>
      <c r="H882" s="207" t="s">
        <v>211</v>
      </c>
      <c r="I882" s="208" t="str">
        <f ca="1">IF(H882="Unidade Construtiva",TEXT(A882,"00"),IF(H882="Célula Construtiva",TEXT(B882,"00"),IF(H882="Etapa",CONCATENATE(TEXT(B882,"00"),".",TEXT(C882,"000")),IF(H882="Subetapa",CONCATENATE(TEXT(B882,"00"),".",TEXT(C882,"000"),".",TEXT(D882,"000")),IF(H882="Serviço",CONCATENATE(TEXT(B882,"00"),".",TEXT(C882,"000"),".",TEXT(D882,"000"),".",TEXT(E882,"000")),"")))))</f>
        <v>13.004.001</v>
      </c>
      <c r="J882" s="209" t="s">
        <v>4183</v>
      </c>
      <c r="K882" s="210"/>
      <c r="L882" s="455"/>
      <c r="M882" s="455"/>
      <c r="N882" s="285">
        <f t="shared" ca="1" si="219"/>
        <v>3331.2</v>
      </c>
      <c r="O882" s="462"/>
      <c r="P882" s="213"/>
      <c r="Q882" s="35"/>
      <c r="R882" s="35"/>
      <c r="S882" s="35"/>
    </row>
    <row r="883" spans="1:19" s="34" customFormat="1" ht="13.9" hidden="1" customHeight="1" outlineLevel="2" x14ac:dyDescent="0.2">
      <c r="A883" s="457">
        <f ca="1">IF($H883="UNIDADE CONSTRUTIVA",OFFSET(A883,-1,0)+1,LARGE(A$3:A882,1))</f>
        <v>0</v>
      </c>
      <c r="B883" s="457">
        <f ca="1">IF(H883="UNIDADE CONSTRUTIVA",0,IF(H883="CÉLULA CONSTRUTIVA",OFFSET(B883,-1,0)+1,OFFSET(B883,-1,0)))</f>
        <v>13</v>
      </c>
      <c r="C883" s="457">
        <f ca="1">IF(H883="CÉLULA CONSTRUTIVA",0,IF(H883="ETAPA",OFFSET(C883,-1,0)+1,OFFSET(C883,-1,0)))</f>
        <v>4</v>
      </c>
      <c r="D883" s="458">
        <f ca="1">IF(H883="ETAPA",0,IF(H883="SUBETAPA",OFFSET(D883,-1,0)+1,OFFSET(D883,-1,0)))</f>
        <v>1</v>
      </c>
      <c r="E883" s="458">
        <f ca="1">IF(H883="Subetapa",0,IF(H883="serviço",OFFSET(E883,-1,0)+1,OFFSET(E883,-1,0)))</f>
        <v>1</v>
      </c>
      <c r="G883" s="206"/>
      <c r="H883" s="207" t="s">
        <v>212</v>
      </c>
      <c r="I883" s="208" t="str">
        <f ca="1">IF(H883="Unidade Construtiva",TEXT(A883,"00"),IF(H883="Célula Construtiva",TEXT(B883,"00"),IF(H883="Etapa",CONCATENATE(TEXT(B883,"00"),".",TEXT(C883,"000")),IF(H883="Subetapa",CONCATENATE(TEXT(B883,"00"),".",TEXT(C883,"000"),".",TEXT(D883,"000")),IF(H883="Serviço",CONCATENATE(TEXT(B883,"00"),".",TEXT(C883,"000"),".",TEXT(D883,"000"),".",TEXT(E883,"000")),"")))))</f>
        <v>13.004.001.001</v>
      </c>
      <c r="J883" s="209" t="s">
        <v>4184</v>
      </c>
      <c r="K883" s="210" t="s">
        <v>1</v>
      </c>
      <c r="L883" s="455">
        <f>Arquitetura!D695</f>
        <v>52.05</v>
      </c>
      <c r="M883" s="455">
        <v>64</v>
      </c>
      <c r="N883" s="285">
        <f t="shared" si="219"/>
        <v>3331.2</v>
      </c>
      <c r="O883" s="462" t="s">
        <v>4185</v>
      </c>
      <c r="P883" s="213" t="s">
        <v>518</v>
      </c>
      <c r="Q883" s="35"/>
      <c r="R883" s="35"/>
      <c r="S883" s="35"/>
    </row>
    <row r="884" spans="1:19" s="34" customFormat="1" ht="13.9" hidden="1" customHeight="1" outlineLevel="1" x14ac:dyDescent="0.2">
      <c r="A884" s="457">
        <f ca="1">IF($H884="UNIDADE CONSTRUTIVA",OFFSET(A884,-1,0)+1,LARGE(A$3:A883,1))</f>
        <v>0</v>
      </c>
      <c r="B884" s="457">
        <f t="shared" ca="1" si="215"/>
        <v>13</v>
      </c>
      <c r="C884" s="457">
        <f t="shared" ca="1" si="216"/>
        <v>4</v>
      </c>
      <c r="D884" s="458">
        <f t="shared" ca="1" si="217"/>
        <v>2</v>
      </c>
      <c r="E884" s="458">
        <f t="shared" ca="1" si="218"/>
        <v>0</v>
      </c>
      <c r="G884" s="206"/>
      <c r="H884" s="207" t="s">
        <v>211</v>
      </c>
      <c r="I884" s="208" t="str">
        <f t="shared" ca="1" si="185"/>
        <v>13.004.002</v>
      </c>
      <c r="J884" s="209" t="s">
        <v>428</v>
      </c>
      <c r="K884" s="210"/>
      <c r="L884" s="455"/>
      <c r="M884" s="455"/>
      <c r="N884" s="285">
        <f t="shared" ca="1" si="219"/>
        <v>31026.75</v>
      </c>
      <c r="O884" s="462"/>
      <c r="P884" s="213"/>
      <c r="Q884" s="35"/>
      <c r="R884" s="35"/>
      <c r="S884" s="35"/>
    </row>
    <row r="885" spans="1:19" s="34" customFormat="1" ht="13.9" hidden="1" customHeight="1" outlineLevel="2" x14ac:dyDescent="0.2">
      <c r="A885" s="457">
        <f ca="1">IF($H885="UNIDADE CONSTRUTIVA",OFFSET(A885,-1,0)+1,LARGE(A$3:A884,1))</f>
        <v>0</v>
      </c>
      <c r="B885" s="457">
        <f t="shared" ca="1" si="215"/>
        <v>13</v>
      </c>
      <c r="C885" s="457">
        <f t="shared" ca="1" si="216"/>
        <v>4</v>
      </c>
      <c r="D885" s="458">
        <f t="shared" ca="1" si="217"/>
        <v>2</v>
      </c>
      <c r="E885" s="458">
        <f t="shared" ca="1" si="218"/>
        <v>1</v>
      </c>
      <c r="G885" s="206"/>
      <c r="H885" s="207" t="s">
        <v>212</v>
      </c>
      <c r="I885" s="208" t="str">
        <f t="shared" ca="1" si="185"/>
        <v>13.004.002.001</v>
      </c>
      <c r="J885" s="209" t="s">
        <v>556</v>
      </c>
      <c r="K885" s="210" t="s">
        <v>1</v>
      </c>
      <c r="L885" s="455">
        <f>Arquitetura!D617</f>
        <v>413.69</v>
      </c>
      <c r="M885" s="455">
        <v>75</v>
      </c>
      <c r="N885" s="285">
        <f t="shared" si="219"/>
        <v>31026.75</v>
      </c>
      <c r="O885" s="462"/>
      <c r="P885" s="213" t="s">
        <v>518</v>
      </c>
      <c r="Q885" s="35"/>
      <c r="R885" s="35"/>
      <c r="S885" s="35"/>
    </row>
    <row r="886" spans="1:19" s="34" customFormat="1" ht="13.9" hidden="1" customHeight="1" outlineLevel="1" x14ac:dyDescent="0.2">
      <c r="A886" s="457">
        <f ca="1">IF($H886="UNIDADE CONSTRUTIVA",OFFSET(A886,-1,0)+1,LARGE(A$3:A885,1))</f>
        <v>0</v>
      </c>
      <c r="B886" s="457">
        <f ca="1">IF(H886="UNIDADE CONSTRUTIVA",0,IF(H886="CÉLULA CONSTRUTIVA",OFFSET(B886,-1,0)+1,OFFSET(B886,-1,0)))</f>
        <v>13</v>
      </c>
      <c r="C886" s="457">
        <f ca="1">IF(H886="CÉLULA CONSTRUTIVA",0,IF(H886="ETAPA",OFFSET(C886,-1,0)+1,OFFSET(C886,-1,0)))</f>
        <v>4</v>
      </c>
      <c r="D886" s="458">
        <f ca="1">IF(H886="ETAPA",0,IF(H886="SUBETAPA",OFFSET(D886,-1,0)+1,OFFSET(D886,-1,0)))</f>
        <v>3</v>
      </c>
      <c r="E886" s="458">
        <f ca="1">IF(H886="Subetapa",0,IF(H886="serviço",OFFSET(E886,-1,0)+1,OFFSET(E886,-1,0)))</f>
        <v>0</v>
      </c>
      <c r="G886" s="206"/>
      <c r="H886" s="207" t="s">
        <v>211</v>
      </c>
      <c r="I886" s="208" t="str">
        <f ca="1">IF(H886="Unidade Construtiva",TEXT(A886,"00"),IF(H886="Célula Construtiva",TEXT(B886,"00"),IF(H886="Etapa",CONCATENATE(TEXT(B886,"00"),".",TEXT(C886,"000")),IF(H886="Subetapa",CONCATENATE(TEXT(B886,"00"),".",TEXT(C886,"000"),".",TEXT(D886,"000")),IF(H886="Serviço",CONCATENATE(TEXT(B886,"00"),".",TEXT(C886,"000"),".",TEXT(D886,"000"),".",TEXT(E886,"000")),"")))))</f>
        <v>13.004.003</v>
      </c>
      <c r="J886" s="209" t="s">
        <v>555</v>
      </c>
      <c r="K886" s="210"/>
      <c r="L886" s="455"/>
      <c r="M886" s="455"/>
      <c r="N886" s="285">
        <f t="shared" ca="1" si="219"/>
        <v>181.96799999999999</v>
      </c>
      <c r="O886" s="462"/>
      <c r="P886" s="213"/>
      <c r="Q886" s="35"/>
      <c r="R886" s="35"/>
      <c r="S886" s="35"/>
    </row>
    <row r="887" spans="1:19" s="34" customFormat="1" ht="13.9" hidden="1" customHeight="1" outlineLevel="2" x14ac:dyDescent="0.2">
      <c r="A887" s="457">
        <f ca="1">IF($H887="UNIDADE CONSTRUTIVA",OFFSET(A887,-1,0)+1,LARGE(A$3:A886,1))</f>
        <v>0</v>
      </c>
      <c r="B887" s="457">
        <f ca="1">IF(H887="UNIDADE CONSTRUTIVA",0,IF(H887="CÉLULA CONSTRUTIVA",OFFSET(B887,-1,0)+1,OFFSET(B887,-1,0)))</f>
        <v>13</v>
      </c>
      <c r="C887" s="457">
        <f ca="1">IF(H887="CÉLULA CONSTRUTIVA",0,IF(H887="ETAPA",OFFSET(C887,-1,0)+1,OFFSET(C887,-1,0)))</f>
        <v>4</v>
      </c>
      <c r="D887" s="458">
        <f ca="1">IF(H887="ETAPA",0,IF(H887="SUBETAPA",OFFSET(D887,-1,0)+1,OFFSET(D887,-1,0)))</f>
        <v>3</v>
      </c>
      <c r="E887" s="458">
        <f ca="1">IF(H887="Subetapa",0,IF(H887="serviço",OFFSET(E887,-1,0)+1,OFFSET(E887,-1,0)))</f>
        <v>1</v>
      </c>
      <c r="G887" s="206"/>
      <c r="H887" s="207" t="s">
        <v>212</v>
      </c>
      <c r="I887" s="208" t="str">
        <f ca="1">IF(H887="Unidade Construtiva",TEXT(A887,"00"),IF(H887="Célula Construtiva",TEXT(B887,"00"),IF(H887="Etapa",CONCATENATE(TEXT(B887,"00"),".",TEXT(C887,"000")),IF(H887="Subetapa",CONCATENATE(TEXT(B887,"00"),".",TEXT(C887,"000"),".",TEXT(D887,"000")),IF(H887="Serviço",CONCATENATE(TEXT(B887,"00"),".",TEXT(C887,"000"),".",TEXT(D887,"000"),".",TEXT(E887,"000")),"")))))</f>
        <v>13.004.003.001</v>
      </c>
      <c r="J887" s="209" t="s">
        <v>999</v>
      </c>
      <c r="K887" s="210" t="s">
        <v>1</v>
      </c>
      <c r="L887" s="455">
        <f>Arquitetura!D660</f>
        <v>35.68</v>
      </c>
      <c r="M887" s="455">
        <v>5.0999999999999996</v>
      </c>
      <c r="N887" s="285">
        <f t="shared" si="219"/>
        <v>181.96799999999999</v>
      </c>
      <c r="O887" s="462"/>
      <c r="P887" s="213" t="s">
        <v>518</v>
      </c>
      <c r="Q887" s="35"/>
      <c r="R887" s="35"/>
      <c r="S887" s="35"/>
    </row>
    <row r="888" spans="1:19" s="34" customFormat="1" ht="13.9" hidden="1" customHeight="1" outlineLevel="1" x14ac:dyDescent="0.2">
      <c r="A888" s="457">
        <f ca="1">IF($H888="UNIDADE CONSTRUTIVA",OFFSET(A888,-1,0)+1,LARGE(A$3:A887,1))</f>
        <v>0</v>
      </c>
      <c r="B888" s="457">
        <f ca="1">IF(H888="UNIDADE CONSTRUTIVA",0,IF(H888="CÉLULA CONSTRUTIVA",OFFSET(B888,-1,0)+1,OFFSET(B888,-1,0)))</f>
        <v>13</v>
      </c>
      <c r="C888" s="457">
        <f ca="1">IF(H888="CÉLULA CONSTRUTIVA",0,IF(H888="ETAPA",OFFSET(C888,-1,0)+1,OFFSET(C888,-1,0)))</f>
        <v>4</v>
      </c>
      <c r="D888" s="458">
        <f ca="1">IF(H888="ETAPA",0,IF(H888="SUBETAPA",OFFSET(D888,-1,0)+1,OFFSET(D888,-1,0)))</f>
        <v>4</v>
      </c>
      <c r="E888" s="458">
        <f ca="1">IF(H888="Subetapa",0,IF(H888="serviço",OFFSET(E888,-1,0)+1,OFFSET(E888,-1,0)))</f>
        <v>0</v>
      </c>
      <c r="G888" s="206"/>
      <c r="H888" s="207" t="s">
        <v>211</v>
      </c>
      <c r="I888" s="208" t="str">
        <f ca="1">IF(H888="Unidade Construtiva",TEXT(A888,"00"),IF(H888="Célula Construtiva",TEXT(B888,"00"),IF(H888="Etapa",CONCATENATE(TEXT(B888,"00"),".",TEXT(C888,"000")),IF(H888="Subetapa",CONCATENATE(TEXT(B888,"00"),".",TEXT(C888,"000"),".",TEXT(D888,"000")),IF(H888="Serviço",CONCATENATE(TEXT(B888,"00"),".",TEXT(C888,"000"),".",TEXT(D888,"000"),".",TEXT(E888,"000")),"")))))</f>
        <v>13.004.004</v>
      </c>
      <c r="J888" s="209" t="s">
        <v>429</v>
      </c>
      <c r="K888" s="210"/>
      <c r="L888" s="455"/>
      <c r="M888" s="455"/>
      <c r="N888" s="285">
        <f t="shared" ca="1" si="219"/>
        <v>892</v>
      </c>
      <c r="O888" s="462"/>
      <c r="P888" s="213"/>
      <c r="Q888" s="35"/>
      <c r="R888" s="35"/>
      <c r="S888" s="35"/>
    </row>
    <row r="889" spans="1:19" s="34" customFormat="1" ht="13.9" hidden="1" customHeight="1" outlineLevel="2" x14ac:dyDescent="0.2">
      <c r="A889" s="457">
        <f ca="1">IF($H889="UNIDADE CONSTRUTIVA",OFFSET(A889,-1,0)+1,LARGE(A$3:A888,1))</f>
        <v>0</v>
      </c>
      <c r="B889" s="457">
        <f ca="1">IF(H889="UNIDADE CONSTRUTIVA",0,IF(H889="CÉLULA CONSTRUTIVA",OFFSET(B889,-1,0)+1,OFFSET(B889,-1,0)))</f>
        <v>13</v>
      </c>
      <c r="C889" s="457">
        <f ca="1">IF(H889="CÉLULA CONSTRUTIVA",0,IF(H889="ETAPA",OFFSET(C889,-1,0)+1,OFFSET(C889,-1,0)))</f>
        <v>4</v>
      </c>
      <c r="D889" s="458">
        <f ca="1">IF(H889="ETAPA",0,IF(H889="SUBETAPA",OFFSET(D889,-1,0)+1,OFFSET(D889,-1,0)))</f>
        <v>4</v>
      </c>
      <c r="E889" s="458">
        <f ca="1">IF(H889="Subetapa",0,IF(H889="serviço",OFFSET(E889,-1,0)+1,OFFSET(E889,-1,0)))</f>
        <v>1</v>
      </c>
      <c r="G889" s="206"/>
      <c r="H889" s="207" t="s">
        <v>212</v>
      </c>
      <c r="I889" s="208" t="str">
        <f ca="1">IF(H889="Unidade Construtiva",TEXT(A889,"00"),IF(H889="Célula Construtiva",TEXT(B889,"00"),IF(H889="Etapa",CONCATENATE(TEXT(B889,"00"),".",TEXT(C889,"000")),IF(H889="Subetapa",CONCATENATE(TEXT(B889,"00"),".",TEXT(C889,"000"),".",TEXT(D889,"000")),IF(H889="Serviço",CONCATENATE(TEXT(B889,"00"),".",TEXT(C889,"000"),".",TEXT(D889,"000"),".",TEXT(E889,"000")),"")))))</f>
        <v>13.004.004.001</v>
      </c>
      <c r="J889" s="209" t="s">
        <v>557</v>
      </c>
      <c r="K889" s="210" t="s">
        <v>1</v>
      </c>
      <c r="L889" s="455">
        <f>L887</f>
        <v>35.68</v>
      </c>
      <c r="M889" s="455">
        <v>25</v>
      </c>
      <c r="N889" s="285">
        <f t="shared" si="219"/>
        <v>892</v>
      </c>
      <c r="O889" s="462"/>
      <c r="P889" s="213" t="s">
        <v>518</v>
      </c>
      <c r="Q889" s="35"/>
      <c r="R889" s="35"/>
      <c r="S889" s="35"/>
    </row>
    <row r="890" spans="1:19" s="34" customFormat="1" ht="13.9" hidden="1" customHeight="1" outlineLevel="1" x14ac:dyDescent="0.2">
      <c r="A890" s="457">
        <f ca="1">IF($H890="UNIDADE CONSTRUTIVA",OFFSET(A890,-1,0)+1,LARGE(A$3:A889,1))</f>
        <v>0</v>
      </c>
      <c r="B890" s="457">
        <f t="shared" ca="1" si="215"/>
        <v>13</v>
      </c>
      <c r="C890" s="457">
        <f t="shared" ca="1" si="216"/>
        <v>5</v>
      </c>
      <c r="D890" s="458">
        <f t="shared" ca="1" si="217"/>
        <v>0</v>
      </c>
      <c r="E890" s="458">
        <f t="shared" ca="1" si="218"/>
        <v>1</v>
      </c>
      <c r="G890" s="206"/>
      <c r="H890" s="207" t="s">
        <v>210</v>
      </c>
      <c r="I890" s="208" t="str">
        <f t="shared" ca="1" si="185"/>
        <v>13.005</v>
      </c>
      <c r="J890" s="209" t="s">
        <v>1007</v>
      </c>
      <c r="K890" s="210"/>
      <c r="L890" s="455"/>
      <c r="M890" s="455"/>
      <c r="N890" s="285">
        <f t="shared" ca="1" si="219"/>
        <v>460153.96799999999</v>
      </c>
      <c r="O890" s="462"/>
      <c r="P890" s="213"/>
      <c r="Q890" s="35"/>
      <c r="R890" s="35"/>
      <c r="S890" s="35"/>
    </row>
    <row r="891" spans="1:19" s="34" customFormat="1" ht="13.9" hidden="1" customHeight="1" outlineLevel="1" x14ac:dyDescent="0.2">
      <c r="A891" s="457">
        <f ca="1">IF($H891="UNIDADE CONSTRUTIVA",OFFSET(A891,-1,0)+1,LARGE(A$3:A890,1))</f>
        <v>0</v>
      </c>
      <c r="B891" s="457">
        <f t="shared" ca="1" si="215"/>
        <v>13</v>
      </c>
      <c r="C891" s="457">
        <f t="shared" ca="1" si="216"/>
        <v>5</v>
      </c>
      <c r="D891" s="458">
        <f t="shared" ca="1" si="217"/>
        <v>1</v>
      </c>
      <c r="E891" s="458">
        <f t="shared" ca="1" si="218"/>
        <v>0</v>
      </c>
      <c r="G891" s="206"/>
      <c r="H891" s="207" t="s">
        <v>211</v>
      </c>
      <c r="I891" s="208" t="str">
        <f t="shared" ca="1" si="185"/>
        <v>13.005.001</v>
      </c>
      <c r="J891" s="209" t="s">
        <v>428</v>
      </c>
      <c r="K891" s="210"/>
      <c r="L891" s="455"/>
      <c r="M891" s="455"/>
      <c r="N891" s="285">
        <f t="shared" ca="1" si="219"/>
        <v>443578.5</v>
      </c>
      <c r="O891" s="462"/>
      <c r="P891" s="213"/>
      <c r="Q891" s="35"/>
      <c r="R891" s="35"/>
      <c r="S891" s="35"/>
    </row>
    <row r="892" spans="1:19" s="34" customFormat="1" ht="13.9" hidden="1" customHeight="1" outlineLevel="2" x14ac:dyDescent="0.2">
      <c r="A892" s="457">
        <f ca="1">IF($H892="UNIDADE CONSTRUTIVA",OFFSET(A892,-1,0)+1,LARGE(A$3:A891,1))</f>
        <v>0</v>
      </c>
      <c r="B892" s="457">
        <f t="shared" ca="1" si="215"/>
        <v>13</v>
      </c>
      <c r="C892" s="457">
        <f t="shared" ca="1" si="216"/>
        <v>5</v>
      </c>
      <c r="D892" s="458">
        <f t="shared" ca="1" si="217"/>
        <v>1</v>
      </c>
      <c r="E892" s="458">
        <f t="shared" ca="1" si="218"/>
        <v>1</v>
      </c>
      <c r="G892" s="206"/>
      <c r="H892" s="207" t="s">
        <v>212</v>
      </c>
      <c r="I892" s="208" t="str">
        <f t="shared" ca="1" si="185"/>
        <v>13.005.001.001</v>
      </c>
      <c r="J892" s="209" t="s">
        <v>556</v>
      </c>
      <c r="K892" s="210" t="s">
        <v>1</v>
      </c>
      <c r="L892" s="455">
        <f>Arquitetura!H619</f>
        <v>5914.38</v>
      </c>
      <c r="M892" s="455">
        <v>75</v>
      </c>
      <c r="N892" s="285">
        <f t="shared" si="219"/>
        <v>443578.5</v>
      </c>
      <c r="O892" s="462"/>
      <c r="P892" s="213" t="s">
        <v>518</v>
      </c>
      <c r="Q892" s="35"/>
      <c r="R892" s="35"/>
      <c r="S892" s="35"/>
    </row>
    <row r="893" spans="1:19" s="34" customFormat="1" ht="13.9" hidden="1" customHeight="1" outlineLevel="1" x14ac:dyDescent="0.2">
      <c r="A893" s="457">
        <f ca="1">IF($H893="UNIDADE CONSTRUTIVA",OFFSET(A893,-1,0)+1,LARGE(A$3:A892,1))</f>
        <v>0</v>
      </c>
      <c r="B893" s="457">
        <f t="shared" ca="1" si="215"/>
        <v>13</v>
      </c>
      <c r="C893" s="457">
        <f t="shared" ca="1" si="216"/>
        <v>5</v>
      </c>
      <c r="D893" s="458">
        <f t="shared" ca="1" si="217"/>
        <v>2</v>
      </c>
      <c r="E893" s="458">
        <f t="shared" ca="1" si="218"/>
        <v>0</v>
      </c>
      <c r="G893" s="206"/>
      <c r="H893" s="207" t="s">
        <v>211</v>
      </c>
      <c r="I893" s="208" t="str">
        <f t="shared" ca="1" si="185"/>
        <v>13.005.002</v>
      </c>
      <c r="J893" s="209" t="s">
        <v>555</v>
      </c>
      <c r="K893" s="210"/>
      <c r="L893" s="455"/>
      <c r="M893" s="455"/>
      <c r="N893" s="285">
        <f t="shared" ca="1" si="219"/>
        <v>2808.4680000000003</v>
      </c>
      <c r="O893" s="462"/>
      <c r="P893" s="213"/>
      <c r="Q893" s="35"/>
      <c r="R893" s="35"/>
      <c r="S893" s="35"/>
    </row>
    <row r="894" spans="1:19" s="34" customFormat="1" ht="13.9" hidden="1" customHeight="1" outlineLevel="2" x14ac:dyDescent="0.2">
      <c r="A894" s="457">
        <f ca="1">IF($H894="UNIDADE CONSTRUTIVA",OFFSET(A894,-1,0)+1,LARGE(A$3:A893,1))</f>
        <v>0</v>
      </c>
      <c r="B894" s="457">
        <f t="shared" ca="1" si="215"/>
        <v>13</v>
      </c>
      <c r="C894" s="457">
        <f t="shared" ca="1" si="216"/>
        <v>5</v>
      </c>
      <c r="D894" s="458">
        <f t="shared" ca="1" si="217"/>
        <v>2</v>
      </c>
      <c r="E894" s="458">
        <f t="shared" ca="1" si="218"/>
        <v>1</v>
      </c>
      <c r="G894" s="206"/>
      <c r="H894" s="207" t="s">
        <v>212</v>
      </c>
      <c r="I894" s="208" t="str">
        <f t="shared" ca="1" si="185"/>
        <v>13.005.002.001</v>
      </c>
      <c r="J894" s="209" t="s">
        <v>999</v>
      </c>
      <c r="K894" s="210" t="s">
        <v>1</v>
      </c>
      <c r="L894" s="455">
        <f>Arquitetura!H662</f>
        <v>550.68000000000006</v>
      </c>
      <c r="M894" s="455">
        <v>5.0999999999999996</v>
      </c>
      <c r="N894" s="285">
        <f t="shared" si="219"/>
        <v>2808.4680000000003</v>
      </c>
      <c r="O894" s="462"/>
      <c r="P894" s="213" t="s">
        <v>518</v>
      </c>
      <c r="Q894" s="35"/>
      <c r="R894" s="35"/>
      <c r="S894" s="35"/>
    </row>
    <row r="895" spans="1:19" s="34" customFormat="1" ht="13.9" hidden="1" customHeight="1" outlineLevel="1" x14ac:dyDescent="0.2">
      <c r="A895" s="457">
        <f ca="1">IF($H895="UNIDADE CONSTRUTIVA",OFFSET(A895,-1,0)+1,LARGE(A$3:A894,1))</f>
        <v>0</v>
      </c>
      <c r="B895" s="457">
        <f t="shared" ca="1" si="215"/>
        <v>13</v>
      </c>
      <c r="C895" s="457">
        <f t="shared" ca="1" si="216"/>
        <v>5</v>
      </c>
      <c r="D895" s="458">
        <f t="shared" ca="1" si="217"/>
        <v>3</v>
      </c>
      <c r="E895" s="458">
        <f t="shared" ca="1" si="218"/>
        <v>0</v>
      </c>
      <c r="G895" s="206"/>
      <c r="H895" s="207" t="s">
        <v>211</v>
      </c>
      <c r="I895" s="208" t="str">
        <f t="shared" ca="1" si="185"/>
        <v>13.005.003</v>
      </c>
      <c r="J895" s="209" t="s">
        <v>429</v>
      </c>
      <c r="K895" s="210"/>
      <c r="L895" s="455"/>
      <c r="M895" s="455"/>
      <c r="N895" s="285">
        <f t="shared" ca="1" si="219"/>
        <v>13767.000000000002</v>
      </c>
      <c r="O895" s="462"/>
      <c r="P895" s="213"/>
      <c r="Q895" s="35"/>
      <c r="R895" s="35"/>
      <c r="S895" s="35"/>
    </row>
    <row r="896" spans="1:19" s="34" customFormat="1" ht="13.9" hidden="1" customHeight="1" outlineLevel="2" x14ac:dyDescent="0.2">
      <c r="A896" s="457">
        <f ca="1">IF($H896="UNIDADE CONSTRUTIVA",OFFSET(A896,-1,0)+1,LARGE(A$3:A895,1))</f>
        <v>0</v>
      </c>
      <c r="B896" s="457">
        <f t="shared" ca="1" si="215"/>
        <v>13</v>
      </c>
      <c r="C896" s="457">
        <f t="shared" ca="1" si="216"/>
        <v>5</v>
      </c>
      <c r="D896" s="458">
        <f t="shared" ca="1" si="217"/>
        <v>3</v>
      </c>
      <c r="E896" s="458">
        <f t="shared" ca="1" si="218"/>
        <v>1</v>
      </c>
      <c r="G896" s="206"/>
      <c r="H896" s="207" t="s">
        <v>212</v>
      </c>
      <c r="I896" s="208" t="str">
        <f t="shared" ca="1" si="185"/>
        <v>13.005.003.001</v>
      </c>
      <c r="J896" s="209" t="s">
        <v>557</v>
      </c>
      <c r="K896" s="210" t="s">
        <v>1</v>
      </c>
      <c r="L896" s="455">
        <f>L894</f>
        <v>550.68000000000006</v>
      </c>
      <c r="M896" s="455">
        <v>25</v>
      </c>
      <c r="N896" s="285">
        <f t="shared" si="219"/>
        <v>13767.000000000002</v>
      </c>
      <c r="O896" s="462"/>
      <c r="P896" s="213" t="s">
        <v>518</v>
      </c>
      <c r="Q896" s="35"/>
      <c r="R896" s="35"/>
      <c r="S896" s="35"/>
    </row>
    <row r="897" spans="1:19" s="34" customFormat="1" ht="13.9" hidden="1" customHeight="1" outlineLevel="1" x14ac:dyDescent="0.2">
      <c r="A897" s="457">
        <f ca="1">IF($H897="UNIDADE CONSTRUTIVA",OFFSET(A897,-1,0)+1,LARGE(A$3:A892,1))</f>
        <v>0</v>
      </c>
      <c r="B897" s="457">
        <f t="shared" ca="1" si="215"/>
        <v>13</v>
      </c>
      <c r="C897" s="457">
        <f t="shared" ca="1" si="216"/>
        <v>6</v>
      </c>
      <c r="D897" s="458">
        <f t="shared" ca="1" si="217"/>
        <v>0</v>
      </c>
      <c r="E897" s="458">
        <f t="shared" ca="1" si="218"/>
        <v>1</v>
      </c>
      <c r="G897" s="206"/>
      <c r="H897" s="207" t="s">
        <v>210</v>
      </c>
      <c r="I897" s="208" t="str">
        <f t="shared" ca="1" si="185"/>
        <v>13.006</v>
      </c>
      <c r="J897" s="209" t="s">
        <v>1008</v>
      </c>
      <c r="K897" s="210"/>
      <c r="L897" s="455"/>
      <c r="M897" s="455"/>
      <c r="N897" s="285">
        <f t="shared" ca="1" si="219"/>
        <v>35536.457999999999</v>
      </c>
      <c r="O897" s="462"/>
      <c r="P897" s="213"/>
      <c r="Q897" s="35"/>
      <c r="R897" s="35"/>
      <c r="S897" s="35"/>
    </row>
    <row r="898" spans="1:19" s="34" customFormat="1" ht="13.9" hidden="1" customHeight="1" outlineLevel="1" x14ac:dyDescent="0.2">
      <c r="A898" s="457">
        <f ca="1">IF($H898="UNIDADE CONSTRUTIVA",OFFSET(A898,-1,0)+1,LARGE(A$3:A897,1))</f>
        <v>0</v>
      </c>
      <c r="B898" s="457">
        <f t="shared" ca="1" si="215"/>
        <v>13</v>
      </c>
      <c r="C898" s="457">
        <f t="shared" ca="1" si="216"/>
        <v>6</v>
      </c>
      <c r="D898" s="458">
        <f t="shared" ca="1" si="217"/>
        <v>1</v>
      </c>
      <c r="E898" s="458">
        <f t="shared" ca="1" si="218"/>
        <v>0</v>
      </c>
      <c r="G898" s="206"/>
      <c r="H898" s="207" t="s">
        <v>211</v>
      </c>
      <c r="I898" s="208" t="str">
        <f t="shared" ca="1" si="185"/>
        <v>13.006.001</v>
      </c>
      <c r="J898" s="209" t="s">
        <v>428</v>
      </c>
      <c r="K898" s="210"/>
      <c r="L898" s="455"/>
      <c r="M898" s="455"/>
      <c r="N898" s="285">
        <f t="shared" ca="1" si="219"/>
        <v>33562.5</v>
      </c>
      <c r="O898" s="462"/>
      <c r="P898" s="213"/>
      <c r="Q898" s="35"/>
      <c r="R898" s="35"/>
      <c r="S898" s="35"/>
    </row>
    <row r="899" spans="1:19" s="34" customFormat="1" ht="13.9" hidden="1" customHeight="1" outlineLevel="2" x14ac:dyDescent="0.2">
      <c r="A899" s="457">
        <f ca="1">IF($H899="UNIDADE CONSTRUTIVA",OFFSET(A899,-1,0)+1,LARGE(A$3:A898,1))</f>
        <v>0</v>
      </c>
      <c r="B899" s="457">
        <f t="shared" ca="1" si="215"/>
        <v>13</v>
      </c>
      <c r="C899" s="457">
        <f t="shared" ca="1" si="216"/>
        <v>6</v>
      </c>
      <c r="D899" s="458">
        <f t="shared" ca="1" si="217"/>
        <v>1</v>
      </c>
      <c r="E899" s="458">
        <f t="shared" ca="1" si="218"/>
        <v>1</v>
      </c>
      <c r="G899" s="206"/>
      <c r="H899" s="207" t="s">
        <v>212</v>
      </c>
      <c r="I899" s="208" t="str">
        <f t="shared" ca="1" si="185"/>
        <v>13.006.001.001</v>
      </c>
      <c r="J899" s="209" t="s">
        <v>556</v>
      </c>
      <c r="K899" s="210" t="s">
        <v>1</v>
      </c>
      <c r="L899" s="455">
        <f>Arquitetura!D645</f>
        <v>447.5</v>
      </c>
      <c r="M899" s="455">
        <v>75</v>
      </c>
      <c r="N899" s="285">
        <f t="shared" si="219"/>
        <v>33562.5</v>
      </c>
      <c r="O899" s="462"/>
      <c r="P899" s="213" t="s">
        <v>518</v>
      </c>
      <c r="Q899" s="35"/>
      <c r="R899" s="35"/>
      <c r="S899" s="35"/>
    </row>
    <row r="900" spans="1:19" s="34" customFormat="1" ht="13.9" hidden="1" customHeight="1" outlineLevel="1" x14ac:dyDescent="0.2">
      <c r="A900" s="457">
        <f ca="1">IF($H900="UNIDADE CONSTRUTIVA",OFFSET(A900,-1,0)+1,LARGE(A$3:A899,1))</f>
        <v>0</v>
      </c>
      <c r="B900" s="457">
        <f t="shared" ref="B900:B906" ca="1" si="220">IF(H900="UNIDADE CONSTRUTIVA",0,IF(H900="CÉLULA CONSTRUTIVA",OFFSET(B900,-1,0)+1,OFFSET(B900,-1,0)))</f>
        <v>13</v>
      </c>
      <c r="C900" s="457">
        <f t="shared" ref="C900:C906" ca="1" si="221">IF(H900="CÉLULA CONSTRUTIVA",0,IF(H900="ETAPA",OFFSET(C900,-1,0)+1,OFFSET(C900,-1,0)))</f>
        <v>6</v>
      </c>
      <c r="D900" s="458">
        <f t="shared" ref="D900:D906" ca="1" si="222">IF(H900="ETAPA",0,IF(H900="SUBETAPA",OFFSET(D900,-1,0)+1,OFFSET(D900,-1,0)))</f>
        <v>2</v>
      </c>
      <c r="E900" s="458">
        <f t="shared" ref="E900:E906" ca="1" si="223">IF(H900="Subetapa",0,IF(H900="serviço",OFFSET(E900,-1,0)+1,OFFSET(E900,-1,0)))</f>
        <v>0</v>
      </c>
      <c r="G900" s="206"/>
      <c r="H900" s="207" t="s">
        <v>211</v>
      </c>
      <c r="I900" s="208" t="str">
        <f t="shared" ref="I900:I906" ca="1" si="224">IF(H900="Unidade Construtiva",TEXT(A900,"00"),IF(H900="Célula Construtiva",TEXT(B900,"00"),IF(H900="Etapa",CONCATENATE(TEXT(B900,"00"),".",TEXT(C900,"000")),IF(H900="Subetapa",CONCATENATE(TEXT(B900,"00"),".",TEXT(C900,"000"),".",TEXT(D900,"000")),IF(H900="Serviço",CONCATENATE(TEXT(B900,"00"),".",TEXT(C900,"000"),".",TEXT(D900,"000"),".",TEXT(E900,"000")),"")))))</f>
        <v>13.006.002</v>
      </c>
      <c r="J900" s="209" t="s">
        <v>555</v>
      </c>
      <c r="K900" s="210"/>
      <c r="L900" s="455"/>
      <c r="M900" s="455"/>
      <c r="N900" s="285">
        <f t="shared" ca="1" si="219"/>
        <v>334.45799999999997</v>
      </c>
      <c r="O900" s="462"/>
      <c r="P900" s="213"/>
      <c r="Q900" s="35"/>
      <c r="R900" s="35"/>
      <c r="S900" s="35"/>
    </row>
    <row r="901" spans="1:19" s="34" customFormat="1" ht="13.9" hidden="1" customHeight="1" outlineLevel="2" x14ac:dyDescent="0.2">
      <c r="A901" s="457">
        <f ca="1">IF($H901="UNIDADE CONSTRUTIVA",OFFSET(A901,-1,0)+1,LARGE(A$3:A900,1))</f>
        <v>0</v>
      </c>
      <c r="B901" s="457">
        <f t="shared" ca="1" si="220"/>
        <v>13</v>
      </c>
      <c r="C901" s="457">
        <f t="shared" ca="1" si="221"/>
        <v>6</v>
      </c>
      <c r="D901" s="458">
        <f t="shared" ca="1" si="222"/>
        <v>2</v>
      </c>
      <c r="E901" s="458">
        <f t="shared" ca="1" si="223"/>
        <v>1</v>
      </c>
      <c r="G901" s="206"/>
      <c r="H901" s="207" t="s">
        <v>212</v>
      </c>
      <c r="I901" s="208" t="str">
        <f t="shared" ca="1" si="224"/>
        <v>13.006.002.001</v>
      </c>
      <c r="J901" s="209" t="s">
        <v>999</v>
      </c>
      <c r="K901" s="210" t="s">
        <v>1</v>
      </c>
      <c r="L901" s="455">
        <f>Arquitetura!D688</f>
        <v>65.58</v>
      </c>
      <c r="M901" s="455">
        <v>5.0999999999999996</v>
      </c>
      <c r="N901" s="285">
        <f t="shared" si="219"/>
        <v>334.45799999999997</v>
      </c>
      <c r="O901" s="462"/>
      <c r="P901" s="213" t="s">
        <v>518</v>
      </c>
      <c r="Q901" s="35"/>
      <c r="R901" s="35"/>
      <c r="S901" s="35"/>
    </row>
    <row r="902" spans="1:19" s="34" customFormat="1" ht="13.9" hidden="1" customHeight="1" outlineLevel="1" x14ac:dyDescent="0.2">
      <c r="A902" s="457">
        <f ca="1">IF($H902="UNIDADE CONSTRUTIVA",OFFSET(A902,-1,0)+1,LARGE(A$3:A901,1))</f>
        <v>0</v>
      </c>
      <c r="B902" s="457">
        <f t="shared" ca="1" si="220"/>
        <v>13</v>
      </c>
      <c r="C902" s="457">
        <f t="shared" ca="1" si="221"/>
        <v>6</v>
      </c>
      <c r="D902" s="458">
        <f t="shared" ca="1" si="222"/>
        <v>3</v>
      </c>
      <c r="E902" s="458">
        <f t="shared" ca="1" si="223"/>
        <v>0</v>
      </c>
      <c r="G902" s="206"/>
      <c r="H902" s="207" t="s">
        <v>211</v>
      </c>
      <c r="I902" s="208" t="str">
        <f t="shared" ca="1" si="224"/>
        <v>13.006.003</v>
      </c>
      <c r="J902" s="209" t="s">
        <v>429</v>
      </c>
      <c r="K902" s="210"/>
      <c r="L902" s="455"/>
      <c r="M902" s="455"/>
      <c r="N902" s="285">
        <f t="shared" ca="1" si="219"/>
        <v>1639.5</v>
      </c>
      <c r="O902" s="462"/>
      <c r="P902" s="213"/>
      <c r="Q902" s="35"/>
      <c r="R902" s="35"/>
      <c r="S902" s="35"/>
    </row>
    <row r="903" spans="1:19" s="34" customFormat="1" ht="13.9" hidden="1" customHeight="1" outlineLevel="2" x14ac:dyDescent="0.2">
      <c r="A903" s="457">
        <f ca="1">IF($H903="UNIDADE CONSTRUTIVA",OFFSET(A903,-1,0)+1,LARGE(A$3:A902,1))</f>
        <v>0</v>
      </c>
      <c r="B903" s="457">
        <f t="shared" ca="1" si="220"/>
        <v>13</v>
      </c>
      <c r="C903" s="457">
        <f t="shared" ca="1" si="221"/>
        <v>6</v>
      </c>
      <c r="D903" s="458">
        <f t="shared" ca="1" si="222"/>
        <v>3</v>
      </c>
      <c r="E903" s="458">
        <f t="shared" ca="1" si="223"/>
        <v>1</v>
      </c>
      <c r="G903" s="206"/>
      <c r="H903" s="207" t="s">
        <v>212</v>
      </c>
      <c r="I903" s="208" t="str">
        <f t="shared" ca="1" si="224"/>
        <v>13.006.003.001</v>
      </c>
      <c r="J903" s="209" t="s">
        <v>557</v>
      </c>
      <c r="K903" s="210" t="s">
        <v>1</v>
      </c>
      <c r="L903" s="455">
        <f>L901</f>
        <v>65.58</v>
      </c>
      <c r="M903" s="455">
        <v>25</v>
      </c>
      <c r="N903" s="285">
        <f t="shared" si="219"/>
        <v>1639.5</v>
      </c>
      <c r="O903" s="462"/>
      <c r="P903" s="213" t="s">
        <v>518</v>
      </c>
      <c r="Q903" s="35"/>
      <c r="R903" s="35"/>
      <c r="S903" s="35"/>
    </row>
    <row r="904" spans="1:19" s="34" customFormat="1" ht="13.9" hidden="1" customHeight="1" outlineLevel="1" x14ac:dyDescent="0.2">
      <c r="A904" s="457">
        <f ca="1">IF($H904="UNIDADE CONSTRUTIVA",OFFSET(A904,-1,0)+1,LARGE(A$3:A899,1))</f>
        <v>0</v>
      </c>
      <c r="B904" s="457">
        <f t="shared" ca="1" si="220"/>
        <v>13</v>
      </c>
      <c r="C904" s="457">
        <f t="shared" ca="1" si="221"/>
        <v>7</v>
      </c>
      <c r="D904" s="458">
        <f t="shared" ca="1" si="222"/>
        <v>0</v>
      </c>
      <c r="E904" s="458">
        <f t="shared" ca="1" si="223"/>
        <v>1</v>
      </c>
      <c r="G904" s="206"/>
      <c r="H904" s="207" t="s">
        <v>210</v>
      </c>
      <c r="I904" s="208" t="str">
        <f t="shared" ca="1" si="224"/>
        <v>13.007</v>
      </c>
      <c r="J904" s="209" t="s">
        <v>1009</v>
      </c>
      <c r="K904" s="210"/>
      <c r="L904" s="455"/>
      <c r="M904" s="455"/>
      <c r="N904" s="285">
        <f t="shared" ca="1" si="219"/>
        <v>30279.75</v>
      </c>
      <c r="O904" s="462"/>
      <c r="P904" s="213"/>
      <c r="Q904" s="35"/>
      <c r="R904" s="35"/>
      <c r="S904" s="35"/>
    </row>
    <row r="905" spans="1:19" s="34" customFormat="1" ht="13.9" hidden="1" customHeight="1" outlineLevel="1" x14ac:dyDescent="0.2">
      <c r="A905" s="457">
        <f ca="1">IF($H905="UNIDADE CONSTRUTIVA",OFFSET(A905,-1,0)+1,LARGE(A$3:A904,1))</f>
        <v>0</v>
      </c>
      <c r="B905" s="457">
        <f t="shared" ca="1" si="220"/>
        <v>13</v>
      </c>
      <c r="C905" s="457">
        <f t="shared" ca="1" si="221"/>
        <v>7</v>
      </c>
      <c r="D905" s="458">
        <f t="shared" ca="1" si="222"/>
        <v>1</v>
      </c>
      <c r="E905" s="458">
        <f t="shared" ca="1" si="223"/>
        <v>0</v>
      </c>
      <c r="G905" s="206"/>
      <c r="H905" s="207" t="s">
        <v>211</v>
      </c>
      <c r="I905" s="208" t="str">
        <f t="shared" ca="1" si="224"/>
        <v>13.007.001</v>
      </c>
      <c r="J905" s="209" t="s">
        <v>428</v>
      </c>
      <c r="K905" s="210"/>
      <c r="L905" s="455"/>
      <c r="M905" s="455"/>
      <c r="N905" s="285">
        <f t="shared" ca="1" si="219"/>
        <v>30279.75</v>
      </c>
      <c r="O905" s="462"/>
      <c r="P905" s="213"/>
      <c r="Q905" s="35"/>
      <c r="R905" s="35"/>
      <c r="S905" s="35"/>
    </row>
    <row r="906" spans="1:19" s="34" customFormat="1" ht="13.9" hidden="1" customHeight="1" outlineLevel="2" x14ac:dyDescent="0.2">
      <c r="A906" s="457">
        <f ca="1">IF($H906="UNIDADE CONSTRUTIVA",OFFSET(A906,-1,0)+1,LARGE(A$3:A905,1))</f>
        <v>0</v>
      </c>
      <c r="B906" s="457">
        <f t="shared" ca="1" si="220"/>
        <v>13</v>
      </c>
      <c r="C906" s="457">
        <f t="shared" ca="1" si="221"/>
        <v>7</v>
      </c>
      <c r="D906" s="458">
        <f t="shared" ca="1" si="222"/>
        <v>1</v>
      </c>
      <c r="E906" s="458">
        <f t="shared" ca="1" si="223"/>
        <v>1</v>
      </c>
      <c r="G906" s="206"/>
      <c r="H906" s="207" t="s">
        <v>212</v>
      </c>
      <c r="I906" s="208" t="str">
        <f t="shared" ca="1" si="224"/>
        <v>13.007.001.001</v>
      </c>
      <c r="J906" s="209" t="s">
        <v>556</v>
      </c>
      <c r="K906" s="210" t="s">
        <v>1</v>
      </c>
      <c r="L906" s="455">
        <f>Arquitetura!D647</f>
        <v>403.73</v>
      </c>
      <c r="M906" s="455">
        <v>75</v>
      </c>
      <c r="N906" s="285">
        <f t="shared" si="219"/>
        <v>30279.75</v>
      </c>
      <c r="O906" s="462"/>
      <c r="P906" s="213" t="s">
        <v>518</v>
      </c>
      <c r="Q906" s="35"/>
      <c r="R906" s="35"/>
      <c r="S906" s="35"/>
    </row>
    <row r="907" spans="1:19" s="34" customFormat="1" ht="13.9" hidden="1" customHeight="1" outlineLevel="1" x14ac:dyDescent="0.2">
      <c r="A907" s="457">
        <f ca="1">IF($H907="UNIDADE CONSTRUTIVA",OFFSET(A907,-1,0)+1,LARGE(A$3:A906,1))</f>
        <v>0</v>
      </c>
      <c r="B907" s="457">
        <f t="shared" ca="1" si="215"/>
        <v>13</v>
      </c>
      <c r="C907" s="457">
        <f t="shared" ca="1" si="216"/>
        <v>8</v>
      </c>
      <c r="D907" s="458">
        <f t="shared" ca="1" si="217"/>
        <v>0</v>
      </c>
      <c r="E907" s="458">
        <f t="shared" ca="1" si="218"/>
        <v>1</v>
      </c>
      <c r="G907" s="206"/>
      <c r="H907" s="207" t="s">
        <v>210</v>
      </c>
      <c r="I907" s="208" t="str">
        <f t="shared" ca="1" si="185"/>
        <v>13.008</v>
      </c>
      <c r="J907" s="209" t="s">
        <v>1003</v>
      </c>
      <c r="K907" s="210"/>
      <c r="L907" s="455"/>
      <c r="M907" s="455"/>
      <c r="N907" s="285">
        <f t="shared" ca="1" si="219"/>
        <v>3065.384</v>
      </c>
      <c r="O907" s="462"/>
      <c r="P907" s="213"/>
      <c r="Q907" s="35"/>
      <c r="R907" s="35"/>
      <c r="S907" s="35"/>
    </row>
    <row r="908" spans="1:19" s="34" customFormat="1" ht="13.9" hidden="1" customHeight="1" outlineLevel="1" x14ac:dyDescent="0.2">
      <c r="A908" s="457">
        <f ca="1">IF($H908="UNIDADE CONSTRUTIVA",OFFSET(A908,-1,0)+1,LARGE(A$3:A907,1))</f>
        <v>0</v>
      </c>
      <c r="B908" s="457">
        <f t="shared" ca="1" si="215"/>
        <v>13</v>
      </c>
      <c r="C908" s="457">
        <f t="shared" ca="1" si="216"/>
        <v>8</v>
      </c>
      <c r="D908" s="458">
        <f t="shared" ca="1" si="217"/>
        <v>1</v>
      </c>
      <c r="E908" s="458">
        <f t="shared" ca="1" si="218"/>
        <v>0</v>
      </c>
      <c r="G908" s="206"/>
      <c r="H908" s="207" t="s">
        <v>211</v>
      </c>
      <c r="I908" s="208" t="str">
        <f t="shared" ca="1" si="185"/>
        <v>13.008.001</v>
      </c>
      <c r="J908" s="209" t="s">
        <v>555</v>
      </c>
      <c r="K908" s="210"/>
      <c r="L908" s="455"/>
      <c r="M908" s="455"/>
      <c r="N908" s="285">
        <f t="shared" ca="1" si="219"/>
        <v>519.38400000000001</v>
      </c>
      <c r="O908" s="462"/>
      <c r="P908" s="213"/>
      <c r="Q908" s="35"/>
      <c r="R908" s="35"/>
      <c r="S908" s="35"/>
    </row>
    <row r="909" spans="1:19" s="34" customFormat="1" ht="13.9" hidden="1" customHeight="1" outlineLevel="2" x14ac:dyDescent="0.2">
      <c r="A909" s="457">
        <f ca="1">IF($H909="UNIDADE CONSTRUTIVA",OFFSET(A909,-1,0)+1,LARGE(A$3:A908,1))</f>
        <v>0</v>
      </c>
      <c r="B909" s="457">
        <f t="shared" ca="1" si="215"/>
        <v>13</v>
      </c>
      <c r="C909" s="457">
        <f t="shared" ca="1" si="216"/>
        <v>8</v>
      </c>
      <c r="D909" s="458">
        <f t="shared" ca="1" si="217"/>
        <v>1</v>
      </c>
      <c r="E909" s="458">
        <f t="shared" ca="1" si="218"/>
        <v>1</v>
      </c>
      <c r="G909" s="206"/>
      <c r="H909" s="207" t="s">
        <v>212</v>
      </c>
      <c r="I909" s="208" t="str">
        <f t="shared" ca="1" si="185"/>
        <v>13.008.001.001</v>
      </c>
      <c r="J909" s="209" t="s">
        <v>1002</v>
      </c>
      <c r="K909" s="210" t="s">
        <v>1</v>
      </c>
      <c r="L909" s="455">
        <f>Arquitetura!D690+Arquitetura!D692</f>
        <v>101.84</v>
      </c>
      <c r="M909" s="455">
        <v>5.0999999999999996</v>
      </c>
      <c r="N909" s="285">
        <f t="shared" si="219"/>
        <v>519.38400000000001</v>
      </c>
      <c r="O909" s="462"/>
      <c r="P909" s="213" t="s">
        <v>518</v>
      </c>
      <c r="Q909" s="35"/>
      <c r="R909" s="35"/>
      <c r="S909" s="35"/>
    </row>
    <row r="910" spans="1:19" s="34" customFormat="1" ht="13.9" hidden="1" customHeight="1" outlineLevel="1" x14ac:dyDescent="0.2">
      <c r="A910" s="457">
        <f ca="1">IF($H910="UNIDADE CONSTRUTIVA",OFFSET(A910,-1,0)+1,LARGE(A$3:A909,1))</f>
        <v>0</v>
      </c>
      <c r="B910" s="457">
        <f t="shared" ca="1" si="215"/>
        <v>13</v>
      </c>
      <c r="C910" s="457">
        <f t="shared" ca="1" si="216"/>
        <v>8</v>
      </c>
      <c r="D910" s="458">
        <f t="shared" ca="1" si="217"/>
        <v>2</v>
      </c>
      <c r="E910" s="458">
        <f t="shared" ca="1" si="218"/>
        <v>0</v>
      </c>
      <c r="G910" s="206"/>
      <c r="H910" s="207" t="s">
        <v>211</v>
      </c>
      <c r="I910" s="208" t="str">
        <f t="shared" ca="1" si="185"/>
        <v>13.008.002</v>
      </c>
      <c r="J910" s="209" t="s">
        <v>429</v>
      </c>
      <c r="K910" s="210"/>
      <c r="L910" s="455"/>
      <c r="M910" s="455"/>
      <c r="N910" s="285">
        <f t="shared" ca="1" si="219"/>
        <v>2546</v>
      </c>
      <c r="O910" s="462"/>
      <c r="P910" s="213"/>
      <c r="Q910" s="35"/>
      <c r="R910" s="35"/>
      <c r="S910" s="35"/>
    </row>
    <row r="911" spans="1:19" s="34" customFormat="1" ht="13.9" hidden="1" customHeight="1" outlineLevel="2" x14ac:dyDescent="0.2">
      <c r="A911" s="457">
        <f ca="1">IF($H911="UNIDADE CONSTRUTIVA",OFFSET(A911,-1,0)+1,LARGE(A$3:A910,1))</f>
        <v>0</v>
      </c>
      <c r="B911" s="457">
        <f t="shared" ca="1" si="215"/>
        <v>13</v>
      </c>
      <c r="C911" s="457">
        <f t="shared" ca="1" si="216"/>
        <v>8</v>
      </c>
      <c r="D911" s="458">
        <f t="shared" ca="1" si="217"/>
        <v>2</v>
      </c>
      <c r="E911" s="458">
        <f t="shared" ca="1" si="218"/>
        <v>1</v>
      </c>
      <c r="G911" s="206"/>
      <c r="H911" s="207" t="s">
        <v>212</v>
      </c>
      <c r="I911" s="208" t="str">
        <f t="shared" ca="1" si="185"/>
        <v>13.008.002.001</v>
      </c>
      <c r="J911" s="209" t="s">
        <v>557</v>
      </c>
      <c r="K911" s="210" t="s">
        <v>1</v>
      </c>
      <c r="L911" s="455">
        <f>L909</f>
        <v>101.84</v>
      </c>
      <c r="M911" s="455">
        <v>25</v>
      </c>
      <c r="N911" s="285">
        <f t="shared" si="219"/>
        <v>2546</v>
      </c>
      <c r="O911" s="462"/>
      <c r="P911" s="213" t="s">
        <v>518</v>
      </c>
      <c r="Q911" s="35"/>
      <c r="R911" s="35"/>
      <c r="S911" s="35"/>
    </row>
    <row r="912" spans="1:19" s="34" customFormat="1" ht="13.9" customHeight="1" collapsed="1" x14ac:dyDescent="0.2">
      <c r="A912" s="457">
        <f ca="1">IF($H912="UNIDADE CONSTRUTIVA",OFFSET(A912,-1,0)+1,LARGE(A$3:A911,1))</f>
        <v>0</v>
      </c>
      <c r="B912" s="457">
        <f t="shared" ca="1" si="215"/>
        <v>14</v>
      </c>
      <c r="C912" s="457">
        <f t="shared" ca="1" si="216"/>
        <v>0</v>
      </c>
      <c r="D912" s="458">
        <f t="shared" ca="1" si="217"/>
        <v>2</v>
      </c>
      <c r="E912" s="458">
        <f t="shared" ca="1" si="218"/>
        <v>1</v>
      </c>
      <c r="G912" s="206"/>
      <c r="H912" s="207" t="s">
        <v>209</v>
      </c>
      <c r="I912" s="208" t="str">
        <f t="shared" ca="1" si="185"/>
        <v>14</v>
      </c>
      <c r="J912" s="209" t="s">
        <v>558</v>
      </c>
      <c r="K912" s="210"/>
      <c r="L912" s="455"/>
      <c r="M912" s="455"/>
      <c r="N912" s="285">
        <f ca="1">IF(H912="Serviço",M912*L912,IF(H912="CÉLULA CONSTRUTIVA",SUMIFS($N$8:$N$1393,$B$8:$B$1393,B912,$H$8:$H$1393,"Serviço"),IF(H912="ETAPA",SUMIFS($N$8:$N$1393,$B$8:$B$1393,B912,$C$8:$C$1393,C912,$H$8:$H$1393,"Serviço"),IF(H912="SUBETAPA",SUMIFS($N$8:$N$1393,$B$8:$B$1393,B912,$C$8:$C$1393,C912,$D$8:$D$1393,D912,$H$8:$H$1393,"Serviço"),0))))</f>
        <v>1992159.7465939999</v>
      </c>
      <c r="O912" s="462"/>
      <c r="P912" s="213"/>
      <c r="Q912" s="463"/>
      <c r="R912" s="463"/>
      <c r="S912" s="35"/>
    </row>
    <row r="913" spans="1:19" s="34" customFormat="1" ht="13.9" hidden="1" customHeight="1" outlineLevel="1" x14ac:dyDescent="0.2">
      <c r="A913" s="457">
        <f ca="1">IF($H913="UNIDADE CONSTRUTIVA",OFFSET(A913,-1,0)+1,LARGE(A$3:A912,1))</f>
        <v>0</v>
      </c>
      <c r="B913" s="457">
        <f t="shared" ca="1" si="215"/>
        <v>14</v>
      </c>
      <c r="C913" s="457">
        <f t="shared" ca="1" si="216"/>
        <v>1</v>
      </c>
      <c r="D913" s="458">
        <f t="shared" ca="1" si="217"/>
        <v>0</v>
      </c>
      <c r="E913" s="458">
        <f t="shared" ca="1" si="218"/>
        <v>1</v>
      </c>
      <c r="G913" s="206"/>
      <c r="H913" s="207" t="s">
        <v>210</v>
      </c>
      <c r="I913" s="208" t="str">
        <f t="shared" ca="1" si="185"/>
        <v>14.001</v>
      </c>
      <c r="J913" s="209" t="s">
        <v>1019</v>
      </c>
      <c r="K913" s="210"/>
      <c r="L913" s="455"/>
      <c r="M913" s="455"/>
      <c r="N913" s="285">
        <f t="shared" ref="N913:N944" ca="1" si="225">IF(H913="Serviço",M913*L913,IF(H913="CÉLULA CONSTRUTIVA",SUMIFS($N$8:$N$1505,$B$8:$B$1505,B913,$H$8:$H$1505,"Serviço"),IF(H913="ETAPA",SUMIFS($N$8:$N$1505,$B$8:$B$1505,B913,$C$8:$C$1505,C913,$H$8:$H$1505,"Serviço"),IF(H913="SUBETAPA",SUMIFS($N$8:$N$1505,$B$8:$B$1505,B913,$C$8:$C$1505,C913,$D$8:$D$1505,D913,$H$8:$H$1505,"Serviço"),0))))</f>
        <v>48006.116781999997</v>
      </c>
      <c r="O913" s="462"/>
      <c r="P913" s="213"/>
      <c r="Q913" s="35"/>
      <c r="R913" s="35"/>
      <c r="S913" s="35"/>
    </row>
    <row r="914" spans="1:19" s="34" customFormat="1" ht="13.9" hidden="1" customHeight="1" outlineLevel="2" x14ac:dyDescent="0.2">
      <c r="A914" s="457">
        <f ca="1">IF($H914="UNIDADE CONSTRUTIVA",OFFSET(A914,-1,0)+1,LARGE(A$3:A913,1))</f>
        <v>0</v>
      </c>
      <c r="B914" s="457">
        <f t="shared" ca="1" si="215"/>
        <v>14</v>
      </c>
      <c r="C914" s="457">
        <f t="shared" ca="1" si="216"/>
        <v>1</v>
      </c>
      <c r="D914" s="458">
        <f t="shared" ca="1" si="217"/>
        <v>1</v>
      </c>
      <c r="E914" s="458">
        <f t="shared" ca="1" si="218"/>
        <v>0</v>
      </c>
      <c r="G914" s="206"/>
      <c r="H914" s="207" t="s">
        <v>211</v>
      </c>
      <c r="I914" s="208" t="str">
        <f t="shared" ca="1" si="185"/>
        <v>14.001.001</v>
      </c>
      <c r="J914" s="209" t="s">
        <v>133</v>
      </c>
      <c r="K914" s="210"/>
      <c r="L914" s="455"/>
      <c r="M914" s="455"/>
      <c r="N914" s="285">
        <f t="shared" ca="1" si="225"/>
        <v>5559.2916750000004</v>
      </c>
      <c r="O914" s="462"/>
      <c r="P914" s="213"/>
      <c r="Q914" s="35"/>
      <c r="R914" s="35"/>
      <c r="S914" s="35"/>
    </row>
    <row r="915" spans="1:19" s="34" customFormat="1" ht="13.9" hidden="1" customHeight="1" outlineLevel="3" x14ac:dyDescent="0.2">
      <c r="A915" s="457">
        <f ca="1">IF($H915="UNIDADE CONSTRUTIVA",OFFSET(A915,-1,0)+1,LARGE(A$3:A914,1))</f>
        <v>0</v>
      </c>
      <c r="B915" s="457">
        <f t="shared" ca="1" si="215"/>
        <v>14</v>
      </c>
      <c r="C915" s="457">
        <f t="shared" ca="1" si="216"/>
        <v>1</v>
      </c>
      <c r="D915" s="458">
        <f t="shared" ca="1" si="217"/>
        <v>1</v>
      </c>
      <c r="E915" s="458">
        <f t="shared" ca="1" si="218"/>
        <v>1</v>
      </c>
      <c r="G915" s="206"/>
      <c r="H915" s="207" t="s">
        <v>212</v>
      </c>
      <c r="I915" s="208" t="str">
        <f t="shared" ca="1" si="185"/>
        <v>14.001.001.001</v>
      </c>
      <c r="J915" s="209" t="s">
        <v>1010</v>
      </c>
      <c r="K915" s="210" t="s">
        <v>1</v>
      </c>
      <c r="L915" s="455">
        <f>Arquitetura!D698</f>
        <v>350.91</v>
      </c>
      <c r="M915" s="455">
        <v>15.842499999999999</v>
      </c>
      <c r="N915" s="285">
        <f t="shared" si="225"/>
        <v>5559.2916750000004</v>
      </c>
      <c r="O915" s="462"/>
      <c r="P915" s="213" t="s">
        <v>518</v>
      </c>
      <c r="Q915" s="35"/>
      <c r="R915" s="35"/>
      <c r="S915" s="35"/>
    </row>
    <row r="916" spans="1:19" s="34" customFormat="1" ht="13.9" hidden="1" customHeight="1" outlineLevel="2" x14ac:dyDescent="0.2">
      <c r="A916" s="457">
        <f ca="1">IF($H916="UNIDADE CONSTRUTIVA",OFFSET(A916,-1,0)+1,LARGE(A$3:A915,1))</f>
        <v>0</v>
      </c>
      <c r="B916" s="457">
        <f t="shared" ca="1" si="215"/>
        <v>14</v>
      </c>
      <c r="C916" s="457">
        <f t="shared" ca="1" si="216"/>
        <v>1</v>
      </c>
      <c r="D916" s="458">
        <f t="shared" ca="1" si="217"/>
        <v>2</v>
      </c>
      <c r="E916" s="458">
        <f t="shared" ca="1" si="218"/>
        <v>0</v>
      </c>
      <c r="G916" s="206"/>
      <c r="H916" s="207" t="s">
        <v>211</v>
      </c>
      <c r="I916" s="208" t="str">
        <f t="shared" ca="1" si="185"/>
        <v>14.001.002</v>
      </c>
      <c r="J916" s="209" t="s">
        <v>421</v>
      </c>
      <c r="K916" s="210"/>
      <c r="L916" s="455"/>
      <c r="M916" s="455"/>
      <c r="N916" s="285">
        <f t="shared" ca="1" si="225"/>
        <v>209.95807500000004</v>
      </c>
      <c r="O916" s="462"/>
      <c r="P916" s="213"/>
      <c r="Q916" s="35"/>
      <c r="R916" s="35"/>
      <c r="S916" s="35"/>
    </row>
    <row r="917" spans="1:19" s="34" customFormat="1" ht="13.9" hidden="1" customHeight="1" outlineLevel="3" x14ac:dyDescent="0.2">
      <c r="A917" s="457">
        <f ca="1">IF($H917="UNIDADE CONSTRUTIVA",OFFSET(A917,-1,0)+1,LARGE(A$3:A916,1))</f>
        <v>0</v>
      </c>
      <c r="B917" s="457">
        <f t="shared" ca="1" si="215"/>
        <v>14</v>
      </c>
      <c r="C917" s="457">
        <f t="shared" ca="1" si="216"/>
        <v>1</v>
      </c>
      <c r="D917" s="458">
        <f t="shared" ca="1" si="217"/>
        <v>2</v>
      </c>
      <c r="E917" s="458">
        <f t="shared" ca="1" si="218"/>
        <v>1</v>
      </c>
      <c r="G917" s="206"/>
      <c r="H917" s="207" t="s">
        <v>212</v>
      </c>
      <c r="I917" s="208" t="str">
        <f t="shared" ca="1" si="185"/>
        <v>14.001.002.001</v>
      </c>
      <c r="J917" s="471" t="s">
        <v>1015</v>
      </c>
      <c r="K917" s="210" t="s">
        <v>1</v>
      </c>
      <c r="L917" s="455">
        <f>Arquitetura!D762</f>
        <v>18.190000000000001</v>
      </c>
      <c r="M917" s="455">
        <v>11.5425</v>
      </c>
      <c r="N917" s="285">
        <f t="shared" si="225"/>
        <v>209.95807500000004</v>
      </c>
      <c r="O917" s="462" t="s">
        <v>4189</v>
      </c>
      <c r="P917" s="213" t="s">
        <v>518</v>
      </c>
      <c r="Q917" s="35"/>
      <c r="R917" s="35"/>
      <c r="S917" s="35"/>
    </row>
    <row r="918" spans="1:19" s="34" customFormat="1" ht="13.9" hidden="1" customHeight="1" outlineLevel="3" x14ac:dyDescent="0.2">
      <c r="A918" s="457">
        <f ca="1">IF($H918="UNIDADE CONSTRUTIVA",OFFSET(A918,-1,0)+1,LARGE(A$3:A917,1))</f>
        <v>0</v>
      </c>
      <c r="B918" s="457">
        <f ca="1">IF(H918="UNIDADE CONSTRUTIVA",0,IF(H918="CÉLULA CONSTRUTIVA",OFFSET(B918,-1,0)+1,OFFSET(B918,-1,0)))</f>
        <v>14</v>
      </c>
      <c r="C918" s="457">
        <f ca="1">IF(H918="CÉLULA CONSTRUTIVA",0,IF(H918="ETAPA",OFFSET(C918,-1,0)+1,OFFSET(C918,-1,0)))</f>
        <v>1</v>
      </c>
      <c r="D918" s="458">
        <f ca="1">IF(H918="ETAPA",0,IF(H918="SUBETAPA",OFFSET(D918,-1,0)+1,OFFSET(D918,-1,0)))</f>
        <v>2</v>
      </c>
      <c r="E918" s="458">
        <f ca="1">IF(H918="Subetapa",0,IF(H918="serviço",OFFSET(E918,-1,0)+1,OFFSET(E918,-1,0)))</f>
        <v>2</v>
      </c>
      <c r="G918" s="206"/>
      <c r="H918" s="207" t="s">
        <v>212</v>
      </c>
      <c r="I918" s="208" t="str">
        <f ca="1">IF(H918="Unidade Construtiva",TEXT(A918,"00"),IF(H918="Célula Construtiva",TEXT(B918,"00"),IF(H918="Etapa",CONCATENATE(TEXT(B918,"00"),".",TEXT(C918,"000")),IF(H918="Subetapa",CONCATENATE(TEXT(B918,"00"),".",TEXT(C918,"000"),".",TEXT(D918,"000")),IF(H918="Serviço",CONCATENATE(TEXT(B918,"00"),".",TEXT(C918,"000"),".",TEXT(D918,"000"),".",TEXT(E918,"000")),"")))))</f>
        <v>14.001.002.002</v>
      </c>
      <c r="J918" s="471" t="s">
        <v>4186</v>
      </c>
      <c r="K918" s="210" t="s">
        <v>1</v>
      </c>
      <c r="L918" s="455">
        <f>Arquitetura!D759+Arquitetura!D760+Arquitetura!D758</f>
        <v>602.34</v>
      </c>
      <c r="M918" s="455"/>
      <c r="N918" s="285">
        <f t="shared" si="225"/>
        <v>0</v>
      </c>
      <c r="O918" s="462" t="s">
        <v>4187</v>
      </c>
      <c r="P918" s="213" t="s">
        <v>518</v>
      </c>
      <c r="Q918" s="35"/>
      <c r="R918" s="35"/>
      <c r="S918" s="35"/>
    </row>
    <row r="919" spans="1:19" s="34" customFormat="1" ht="13.9" hidden="1" customHeight="1" outlineLevel="2" x14ac:dyDescent="0.2">
      <c r="A919" s="457">
        <f ca="1">IF($H919="UNIDADE CONSTRUTIVA",OFFSET(A919,-1,0)+1,LARGE(A$3:A918,1))</f>
        <v>0</v>
      </c>
      <c r="B919" s="457">
        <f t="shared" ca="1" si="215"/>
        <v>14</v>
      </c>
      <c r="C919" s="457">
        <f t="shared" ca="1" si="216"/>
        <v>1</v>
      </c>
      <c r="D919" s="458">
        <f t="shared" ca="1" si="217"/>
        <v>3</v>
      </c>
      <c r="E919" s="458">
        <f t="shared" ca="1" si="218"/>
        <v>0</v>
      </c>
      <c r="G919" s="206"/>
      <c r="H919" s="207" t="s">
        <v>211</v>
      </c>
      <c r="I919" s="208" t="str">
        <f t="shared" ca="1" si="185"/>
        <v>14.001.003</v>
      </c>
      <c r="J919" s="209" t="s">
        <v>559</v>
      </c>
      <c r="K919" s="210"/>
      <c r="L919" s="455"/>
      <c r="M919" s="455"/>
      <c r="N919" s="285">
        <f t="shared" ca="1" si="225"/>
        <v>12859.663350000003</v>
      </c>
      <c r="O919" s="462"/>
      <c r="P919" s="213"/>
      <c r="Q919" s="35"/>
      <c r="R919" s="35"/>
      <c r="S919" s="35"/>
    </row>
    <row r="920" spans="1:19" s="34" customFormat="1" ht="13.9" hidden="1" customHeight="1" outlineLevel="3" x14ac:dyDescent="0.2">
      <c r="A920" s="457">
        <f ca="1">IF($H920="UNIDADE CONSTRUTIVA",OFFSET(A920,-1,0)+1,LARGE(A$3:A919,1))</f>
        <v>0</v>
      </c>
      <c r="B920" s="457">
        <f t="shared" ca="1" si="215"/>
        <v>14</v>
      </c>
      <c r="C920" s="457">
        <f t="shared" ca="1" si="216"/>
        <v>1</v>
      </c>
      <c r="D920" s="458">
        <f t="shared" ca="1" si="217"/>
        <v>3</v>
      </c>
      <c r="E920" s="458">
        <f t="shared" ca="1" si="218"/>
        <v>1</v>
      </c>
      <c r="G920" s="206"/>
      <c r="H920" s="207" t="s">
        <v>212</v>
      </c>
      <c r="I920" s="208" t="str">
        <f t="shared" ca="1" si="185"/>
        <v>14.001.003.001</v>
      </c>
      <c r="J920" s="209" t="s">
        <v>4193</v>
      </c>
      <c r="K920" s="210" t="s">
        <v>1</v>
      </c>
      <c r="L920" s="455">
        <f>Arquitetura!D850+Arquitetura!D851</f>
        <v>24.96</v>
      </c>
      <c r="M920" s="455">
        <v>60.201700000000002</v>
      </c>
      <c r="N920" s="285">
        <f t="shared" si="225"/>
        <v>1502.6344320000001</v>
      </c>
      <c r="O920" s="462"/>
      <c r="P920" s="213" t="s">
        <v>518</v>
      </c>
      <c r="Q920" s="35"/>
      <c r="R920" s="35"/>
      <c r="S920" s="35"/>
    </row>
    <row r="921" spans="1:19" s="34" customFormat="1" ht="13.9" hidden="1" customHeight="1" outlineLevel="3" x14ac:dyDescent="0.2">
      <c r="A921" s="457">
        <f ca="1">IF($H921="UNIDADE CONSTRUTIVA",OFFSET(A921,-1,0)+1,LARGE(A$3:A920,1))</f>
        <v>0</v>
      </c>
      <c r="B921" s="457">
        <f t="shared" ca="1" si="215"/>
        <v>14</v>
      </c>
      <c r="C921" s="457">
        <f t="shared" ca="1" si="216"/>
        <v>1</v>
      </c>
      <c r="D921" s="458">
        <f t="shared" ca="1" si="217"/>
        <v>3</v>
      </c>
      <c r="E921" s="458">
        <f t="shared" ca="1" si="218"/>
        <v>2</v>
      </c>
      <c r="G921" s="206"/>
      <c r="H921" s="207" t="s">
        <v>212</v>
      </c>
      <c r="I921" s="208" t="str">
        <f t="shared" ca="1" si="185"/>
        <v>14.001.003.002</v>
      </c>
      <c r="J921" s="209" t="s">
        <v>4194</v>
      </c>
      <c r="K921" s="210" t="s">
        <v>1</v>
      </c>
      <c r="L921" s="455">
        <f>Arquitetura!D853+Arquitetura!D854</f>
        <v>100.02000000000001</v>
      </c>
      <c r="M921" s="455">
        <v>90.945899999999995</v>
      </c>
      <c r="N921" s="285">
        <f t="shared" si="225"/>
        <v>9096.408918000001</v>
      </c>
      <c r="O921" s="462"/>
      <c r="P921" s="213" t="s">
        <v>518</v>
      </c>
      <c r="Q921" s="35"/>
      <c r="R921" s="35"/>
      <c r="S921" s="35"/>
    </row>
    <row r="922" spans="1:19" s="34" customFormat="1" ht="13.9" hidden="1" customHeight="1" outlineLevel="3" x14ac:dyDescent="0.2">
      <c r="A922" s="457">
        <f ca="1">IF($H922="UNIDADE CONSTRUTIVA",OFFSET(A922,-1,0)+1,LARGE(A$3:A921,1))</f>
        <v>0</v>
      </c>
      <c r="B922" s="457">
        <f t="shared" ref="B922" ca="1" si="226">IF(H922="UNIDADE CONSTRUTIVA",0,IF(H922="CÉLULA CONSTRUTIVA",OFFSET(B922,-1,0)+1,OFFSET(B922,-1,0)))</f>
        <v>14</v>
      </c>
      <c r="C922" s="457">
        <f t="shared" ref="C922" ca="1" si="227">IF(H922="CÉLULA CONSTRUTIVA",0,IF(H922="ETAPA",OFFSET(C922,-1,0)+1,OFFSET(C922,-1,0)))</f>
        <v>1</v>
      </c>
      <c r="D922" s="458">
        <f t="shared" ref="D922" ca="1" si="228">IF(H922="ETAPA",0,IF(H922="SUBETAPA",OFFSET(D922,-1,0)+1,OFFSET(D922,-1,0)))</f>
        <v>3</v>
      </c>
      <c r="E922" s="458">
        <f t="shared" ref="E922" ca="1" si="229">IF(H922="Subetapa",0,IF(H922="serviço",OFFSET(E922,-1,0)+1,OFFSET(E922,-1,0)))</f>
        <v>3</v>
      </c>
      <c r="G922" s="1000"/>
      <c r="H922" s="1001" t="s">
        <v>212</v>
      </c>
      <c r="I922" s="1002" t="str">
        <f t="shared" ref="I922" ca="1" si="230">IF(H922="Unidade Construtiva",TEXT(A922,"00"),IF(H922="Célula Construtiva",TEXT(B922,"00"),IF(H922="Etapa",CONCATENATE(TEXT(B922,"00"),".",TEXT(C922,"000")),IF(H922="Subetapa",CONCATENATE(TEXT(B922,"00"),".",TEXT(C922,"000"),".",TEXT(D922,"000")),IF(H922="Serviço",CONCATENATE(TEXT(B922,"00"),".",TEXT(C922,"000"),".",TEXT(D922,"000"),".",TEXT(E922,"000")),"")))))</f>
        <v>14.001.003.003</v>
      </c>
      <c r="J922" s="1003" t="s">
        <v>5103</v>
      </c>
      <c r="K922" s="1004" t="s">
        <v>1</v>
      </c>
      <c r="L922" s="1009">
        <f>1.2*1.5*2</f>
        <v>3.5999999999999996</v>
      </c>
      <c r="M922" s="1009">
        <v>627.95000000000005</v>
      </c>
      <c r="N922" s="1006">
        <f t="shared" si="225"/>
        <v>2260.62</v>
      </c>
      <c r="O922" s="1010"/>
      <c r="P922" s="213" t="s">
        <v>518</v>
      </c>
      <c r="Q922" s="35"/>
      <c r="R922" s="35"/>
      <c r="S922" s="35"/>
    </row>
    <row r="923" spans="1:19" s="34" customFormat="1" ht="13.9" hidden="1" customHeight="1" outlineLevel="2" x14ac:dyDescent="0.2">
      <c r="A923" s="457">
        <f ca="1">IF($H923="UNIDADE CONSTRUTIVA",OFFSET(A923,-1,0)+1,LARGE(A$3:A921,1))</f>
        <v>0</v>
      </c>
      <c r="B923" s="457">
        <f t="shared" ca="1" si="215"/>
        <v>14</v>
      </c>
      <c r="C923" s="457">
        <f t="shared" ca="1" si="216"/>
        <v>1</v>
      </c>
      <c r="D923" s="458">
        <f t="shared" ca="1" si="217"/>
        <v>4</v>
      </c>
      <c r="E923" s="458">
        <f t="shared" ca="1" si="218"/>
        <v>0</v>
      </c>
      <c r="G923" s="206"/>
      <c r="H923" s="207" t="s">
        <v>211</v>
      </c>
      <c r="I923" s="208" t="str">
        <f t="shared" ca="1" si="185"/>
        <v>14.001.004</v>
      </c>
      <c r="J923" s="209" t="s">
        <v>134</v>
      </c>
      <c r="K923" s="210"/>
      <c r="L923" s="455"/>
      <c r="M923" s="455"/>
      <c r="N923" s="285">
        <f t="shared" ca="1" si="225"/>
        <v>358.54368199999993</v>
      </c>
      <c r="O923" s="462"/>
      <c r="P923" s="213"/>
      <c r="Q923" s="35"/>
      <c r="R923" s="35"/>
      <c r="S923" s="35"/>
    </row>
    <row r="924" spans="1:19" s="34" customFormat="1" ht="13.9" hidden="1" customHeight="1" outlineLevel="3" x14ac:dyDescent="0.2">
      <c r="A924" s="457">
        <f ca="1">IF($H924="UNIDADE CONSTRUTIVA",OFFSET(A924,-1,0)+1,LARGE(A$3:A923,1))</f>
        <v>0</v>
      </c>
      <c r="B924" s="457">
        <f t="shared" ca="1" si="215"/>
        <v>14</v>
      </c>
      <c r="C924" s="457">
        <f t="shared" ca="1" si="216"/>
        <v>1</v>
      </c>
      <c r="D924" s="458">
        <f t="shared" ca="1" si="217"/>
        <v>4</v>
      </c>
      <c r="E924" s="458">
        <f t="shared" ca="1" si="218"/>
        <v>1</v>
      </c>
      <c r="G924" s="206"/>
      <c r="H924" s="207" t="s">
        <v>212</v>
      </c>
      <c r="I924" s="208" t="str">
        <f t="shared" ca="1" si="185"/>
        <v>14.001.004.001</v>
      </c>
      <c r="J924" s="209" t="s">
        <v>4199</v>
      </c>
      <c r="K924" s="210" t="s">
        <v>3</v>
      </c>
      <c r="L924" s="455">
        <f>Arquitetura!D1015</f>
        <v>7.27</v>
      </c>
      <c r="M924" s="455">
        <v>5.8266</v>
      </c>
      <c r="N924" s="285">
        <f t="shared" si="225"/>
        <v>42.359381999999997</v>
      </c>
      <c r="O924" s="462"/>
      <c r="P924" s="213" t="s">
        <v>518</v>
      </c>
      <c r="Q924" s="35"/>
      <c r="R924" s="35"/>
      <c r="S924" s="35"/>
    </row>
    <row r="925" spans="1:19" s="34" customFormat="1" ht="13.9" hidden="1" customHeight="1" outlineLevel="3" x14ac:dyDescent="0.2">
      <c r="A925" s="457">
        <f ca="1">IF($H925="UNIDADE CONSTRUTIVA",OFFSET(A925,-1,0)+1,LARGE(A$3:A924,1))</f>
        <v>0</v>
      </c>
      <c r="B925" s="457">
        <f ca="1">IF(H925="UNIDADE CONSTRUTIVA",0,IF(H925="CÉLULA CONSTRUTIVA",OFFSET(B925,-1,0)+1,OFFSET(B925,-1,0)))</f>
        <v>14</v>
      </c>
      <c r="C925" s="457">
        <f ca="1">IF(H925="CÉLULA CONSTRUTIVA",0,IF(H925="ETAPA",OFFSET(C925,-1,0)+1,OFFSET(C925,-1,0)))</f>
        <v>1</v>
      </c>
      <c r="D925" s="458">
        <f ca="1">IF(H925="ETAPA",0,IF(H925="SUBETAPA",OFFSET(D925,-1,0)+1,OFFSET(D925,-1,0)))</f>
        <v>4</v>
      </c>
      <c r="E925" s="458">
        <f ca="1">IF(H925="Subetapa",0,IF(H925="serviço",OFFSET(E925,-1,0)+1,OFFSET(E925,-1,0)))</f>
        <v>2</v>
      </c>
      <c r="G925" s="206"/>
      <c r="H925" s="207" t="s">
        <v>212</v>
      </c>
      <c r="I925" s="208" t="str">
        <f ca="1">IF(H925="Unidade Construtiva",TEXT(A925,"00"),IF(H925="Célula Construtiva",TEXT(B925,"00"),IF(H925="Etapa",CONCATENATE(TEXT(B925,"00"),".",TEXT(C925,"000")),IF(H925="Subetapa",CONCATENATE(TEXT(B925,"00"),".",TEXT(C925,"000"),".",TEXT(D925,"000")),IF(H925="Serviço",CONCATENATE(TEXT(B925,"00"),".",TEXT(C925,"000"),".",TEXT(D925,"000"),".",TEXT(E925,"000")),"")))))</f>
        <v>14.001.004.002</v>
      </c>
      <c r="J925" s="209" t="s">
        <v>561</v>
      </c>
      <c r="K925" s="210" t="s">
        <v>3</v>
      </c>
      <c r="L925" s="455">
        <f>Arquitetura!D1016</f>
        <v>35.5</v>
      </c>
      <c r="M925" s="455">
        <v>8.9065999999999992</v>
      </c>
      <c r="N925" s="285">
        <f t="shared" si="225"/>
        <v>316.18429999999995</v>
      </c>
      <c r="O925" s="462"/>
      <c r="P925" s="213" t="s">
        <v>518</v>
      </c>
      <c r="Q925" s="35"/>
      <c r="R925" s="35"/>
      <c r="S925" s="35"/>
    </row>
    <row r="926" spans="1:19" s="34" customFormat="1" ht="13.9" hidden="1" customHeight="1" outlineLevel="2" x14ac:dyDescent="0.2">
      <c r="A926" s="457">
        <f ca="1">IF($H926="UNIDADE CONSTRUTIVA",OFFSET(A926,-1,0)+1,LARGE(A$3:A925,1))</f>
        <v>0</v>
      </c>
      <c r="B926" s="457">
        <f t="shared" ca="1" si="215"/>
        <v>14</v>
      </c>
      <c r="C926" s="457">
        <f t="shared" ca="1" si="216"/>
        <v>1</v>
      </c>
      <c r="D926" s="458">
        <f t="shared" ca="1" si="217"/>
        <v>5</v>
      </c>
      <c r="E926" s="458">
        <f t="shared" ca="1" si="218"/>
        <v>0</v>
      </c>
      <c r="G926" s="206"/>
      <c r="H926" s="207" t="s">
        <v>211</v>
      </c>
      <c r="I926" s="208" t="str">
        <f t="shared" ca="1" si="185"/>
        <v>14.001.005</v>
      </c>
      <c r="J926" s="209" t="s">
        <v>434</v>
      </c>
      <c r="K926" s="210"/>
      <c r="L926" s="455"/>
      <c r="M926" s="455"/>
      <c r="N926" s="285">
        <f t="shared" ca="1" si="225"/>
        <v>29018.66</v>
      </c>
      <c r="O926" s="462"/>
      <c r="P926" s="213"/>
      <c r="Q926" s="35"/>
      <c r="R926" s="35"/>
      <c r="S926" s="35"/>
    </row>
    <row r="927" spans="1:19" s="34" customFormat="1" ht="13.9" hidden="1" customHeight="1" outlineLevel="3" x14ac:dyDescent="0.2">
      <c r="A927" s="457">
        <f ca="1">IF($H927="UNIDADE CONSTRUTIVA",OFFSET(A927,-1,0)+1,LARGE(A$3:A926,1))</f>
        <v>0</v>
      </c>
      <c r="B927" s="457">
        <f t="shared" ca="1" si="215"/>
        <v>14</v>
      </c>
      <c r="C927" s="457">
        <f t="shared" ca="1" si="216"/>
        <v>1</v>
      </c>
      <c r="D927" s="458">
        <f t="shared" ca="1" si="217"/>
        <v>5</v>
      </c>
      <c r="E927" s="458">
        <f t="shared" ca="1" si="218"/>
        <v>1</v>
      </c>
      <c r="G927" s="206"/>
      <c r="H927" s="207" t="s">
        <v>212</v>
      </c>
      <c r="I927" s="208" t="str">
        <f t="shared" ca="1" si="185"/>
        <v>14.001.005.001</v>
      </c>
      <c r="J927" s="209" t="s">
        <v>1020</v>
      </c>
      <c r="K927" s="210" t="s">
        <v>1</v>
      </c>
      <c r="L927" s="455">
        <f>SUM(L915:L915)</f>
        <v>350.91</v>
      </c>
      <c r="M927" s="455">
        <v>37</v>
      </c>
      <c r="N927" s="285">
        <f t="shared" si="225"/>
        <v>12983.67</v>
      </c>
      <c r="O927" s="462"/>
      <c r="P927" s="213" t="s">
        <v>518</v>
      </c>
      <c r="Q927" s="35"/>
      <c r="R927" s="35"/>
      <c r="S927" s="35"/>
    </row>
    <row r="928" spans="1:19" s="34" customFormat="1" ht="13.9" hidden="1" customHeight="1" outlineLevel="3" x14ac:dyDescent="0.2">
      <c r="A928" s="457">
        <f ca="1">IF($H928="UNIDADE CONSTRUTIVA",OFFSET(A928,-1,0)+1,LARGE(A$3:A927,1))</f>
        <v>0</v>
      </c>
      <c r="B928" s="457">
        <f t="shared" ca="1" si="215"/>
        <v>14</v>
      </c>
      <c r="C928" s="457">
        <f t="shared" ca="1" si="216"/>
        <v>1</v>
      </c>
      <c r="D928" s="458">
        <f t="shared" ca="1" si="217"/>
        <v>5</v>
      </c>
      <c r="E928" s="458">
        <f t="shared" ca="1" si="218"/>
        <v>2</v>
      </c>
      <c r="G928" s="206"/>
      <c r="H928" s="207" t="s">
        <v>212</v>
      </c>
      <c r="I928" s="208" t="str">
        <f t="shared" ca="1" si="185"/>
        <v>14.001.005.002</v>
      </c>
      <c r="J928" s="209" t="s">
        <v>1021</v>
      </c>
      <c r="K928" s="210" t="s">
        <v>1</v>
      </c>
      <c r="L928" s="455">
        <f>L917</f>
        <v>18.190000000000001</v>
      </c>
      <c r="M928" s="455">
        <v>15</v>
      </c>
      <c r="N928" s="285">
        <f t="shared" si="225"/>
        <v>272.85000000000002</v>
      </c>
      <c r="O928" s="462"/>
      <c r="P928" s="213" t="s">
        <v>518</v>
      </c>
      <c r="Q928" s="35"/>
      <c r="R928" s="35"/>
      <c r="S928" s="35"/>
    </row>
    <row r="929" spans="1:19" s="34" customFormat="1" ht="13.9" hidden="1" customHeight="1" outlineLevel="3" x14ac:dyDescent="0.2">
      <c r="A929" s="457">
        <f ca="1">IF($H929="UNIDADE CONSTRUTIVA",OFFSET(A929,-1,0)+1,LARGE(A$3:A928,1))</f>
        <v>0</v>
      </c>
      <c r="B929" s="457">
        <f ca="1">IF(H929="UNIDADE CONSTRUTIVA",0,IF(H929="CÉLULA CONSTRUTIVA",OFFSET(B929,-1,0)+1,OFFSET(B929,-1,0)))</f>
        <v>14</v>
      </c>
      <c r="C929" s="457">
        <f ca="1">IF(H929="CÉLULA CONSTRUTIVA",0,IF(H929="ETAPA",OFFSET(C929,-1,0)+1,OFFSET(C929,-1,0)))</f>
        <v>1</v>
      </c>
      <c r="D929" s="458">
        <f ca="1">IF(H929="ETAPA",0,IF(H929="SUBETAPA",OFFSET(D929,-1,0)+1,OFFSET(D929,-1,0)))</f>
        <v>5</v>
      </c>
      <c r="E929" s="458">
        <f ca="1">IF(H929="Subetapa",0,IF(H929="serviço",OFFSET(E929,-1,0)+1,OFFSET(E929,-1,0)))</f>
        <v>3</v>
      </c>
      <c r="G929" s="206"/>
      <c r="H929" s="207" t="s">
        <v>212</v>
      </c>
      <c r="I929" s="208" t="str">
        <f ca="1">IF(H929="Unidade Construtiva",TEXT(A929,"00"),IF(H929="Célula Construtiva",TEXT(B929,"00"),IF(H929="Etapa",CONCATENATE(TEXT(B929,"00"),".",TEXT(C929,"000")),IF(H929="Subetapa",CONCATENATE(TEXT(B929,"00"),".",TEXT(C929,"000"),".",TEXT(D929,"000")),IF(H929="Serviço",CONCATENATE(TEXT(B929,"00"),".",TEXT(C929,"000"),".",TEXT(D929,"000"),".",TEXT(E929,"000")),"")))))</f>
        <v>14.001.005.003</v>
      </c>
      <c r="J929" s="209" t="s">
        <v>4202</v>
      </c>
      <c r="K929" s="210" t="s">
        <v>1</v>
      </c>
      <c r="L929" s="455">
        <f>L918</f>
        <v>602.34</v>
      </c>
      <c r="M929" s="455">
        <v>15</v>
      </c>
      <c r="N929" s="285">
        <f t="shared" si="225"/>
        <v>9035.1</v>
      </c>
      <c r="O929" s="462"/>
      <c r="P929" s="213" t="s">
        <v>518</v>
      </c>
      <c r="Q929" s="35"/>
      <c r="R929" s="35"/>
      <c r="S929" s="35"/>
    </row>
    <row r="930" spans="1:19" s="34" customFormat="1" ht="13.9" hidden="1" customHeight="1" outlineLevel="3" x14ac:dyDescent="0.2">
      <c r="A930" s="457">
        <f ca="1">IF($H930="UNIDADE CONSTRUTIVA",OFFSET(A930,-1,0)+1,LARGE(A$3:A929,1))</f>
        <v>0</v>
      </c>
      <c r="B930" s="457">
        <f t="shared" ca="1" si="215"/>
        <v>14</v>
      </c>
      <c r="C930" s="457">
        <f t="shared" ca="1" si="216"/>
        <v>1</v>
      </c>
      <c r="D930" s="458">
        <f t="shared" ca="1" si="217"/>
        <v>5</v>
      </c>
      <c r="E930" s="458">
        <f t="shared" ca="1" si="218"/>
        <v>4</v>
      </c>
      <c r="G930" s="206"/>
      <c r="H930" s="207" t="s">
        <v>212</v>
      </c>
      <c r="I930" s="208" t="str">
        <f t="shared" ca="1" si="185"/>
        <v>14.001.005.004</v>
      </c>
      <c r="J930" s="209" t="s">
        <v>1022</v>
      </c>
      <c r="K930" s="210" t="s">
        <v>1</v>
      </c>
      <c r="L930" s="455">
        <f>SUM(L920:L921)</f>
        <v>124.98000000000002</v>
      </c>
      <c r="M930" s="455">
        <v>45</v>
      </c>
      <c r="N930" s="285">
        <f t="shared" si="225"/>
        <v>5624.1</v>
      </c>
      <c r="O930" s="462"/>
      <c r="P930" s="213" t="s">
        <v>518</v>
      </c>
      <c r="Q930" s="35"/>
      <c r="R930" s="35"/>
      <c r="S930" s="35"/>
    </row>
    <row r="931" spans="1:19" s="34" customFormat="1" ht="13.9" hidden="1" customHeight="1" outlineLevel="3" x14ac:dyDescent="0.2">
      <c r="A931" s="457">
        <f ca="1">IF($H931="UNIDADE CONSTRUTIVA",OFFSET(A931,-1,0)+1,LARGE(A$3:A930,1))</f>
        <v>0</v>
      </c>
      <c r="B931" s="457">
        <f t="shared" ref="B931" ca="1" si="231">IF(H931="UNIDADE CONSTRUTIVA",0,IF(H931="CÉLULA CONSTRUTIVA",OFFSET(B931,-1,0)+1,OFFSET(B931,-1,0)))</f>
        <v>14</v>
      </c>
      <c r="C931" s="457">
        <f t="shared" ref="C931" ca="1" si="232">IF(H931="CÉLULA CONSTRUTIVA",0,IF(H931="ETAPA",OFFSET(C931,-1,0)+1,OFFSET(C931,-1,0)))</f>
        <v>1</v>
      </c>
      <c r="D931" s="458">
        <f t="shared" ref="D931" ca="1" si="233">IF(H931="ETAPA",0,IF(H931="SUBETAPA",OFFSET(D931,-1,0)+1,OFFSET(D931,-1,0)))</f>
        <v>5</v>
      </c>
      <c r="E931" s="458">
        <f t="shared" ref="E931" ca="1" si="234">IF(H931="Subetapa",0,IF(H931="serviço",OFFSET(E931,-1,0)+1,OFFSET(E931,-1,0)))</f>
        <v>5</v>
      </c>
      <c r="G931" s="1000"/>
      <c r="H931" s="1001" t="s">
        <v>212</v>
      </c>
      <c r="I931" s="1002" t="str">
        <f t="shared" ref="I931" ca="1" si="235">IF(H931="Unidade Construtiva",TEXT(A931,"00"),IF(H931="Célula Construtiva",TEXT(B931,"00"),IF(H931="Etapa",CONCATENATE(TEXT(B931,"00"),".",TEXT(C931,"000")),IF(H931="Subetapa",CONCATENATE(TEXT(B931,"00"),".",TEXT(C931,"000"),".",TEXT(D931,"000")),IF(H931="Serviço",CONCATENATE(TEXT(B931,"00"),".",TEXT(C931,"000"),".",TEXT(D931,"000"),".",TEXT(E931,"000")),"")))))</f>
        <v>14.001.005.005</v>
      </c>
      <c r="J931" s="1003" t="s">
        <v>5104</v>
      </c>
      <c r="K931" s="1004" t="s">
        <v>1</v>
      </c>
      <c r="L931" s="1009">
        <f>L922</f>
        <v>3.5999999999999996</v>
      </c>
      <c r="M931" s="1009">
        <v>45</v>
      </c>
      <c r="N931" s="1006">
        <f t="shared" si="225"/>
        <v>161.99999999999997</v>
      </c>
      <c r="O931" s="1010"/>
      <c r="P931" s="213" t="s">
        <v>518</v>
      </c>
      <c r="Q931" s="35"/>
      <c r="R931" s="35"/>
      <c r="S931" s="35"/>
    </row>
    <row r="932" spans="1:19" s="34" customFormat="1" ht="13.9" hidden="1" customHeight="1" outlineLevel="3" x14ac:dyDescent="0.2">
      <c r="A932" s="457">
        <f ca="1">IF($H932="UNIDADE CONSTRUTIVA",OFFSET(A932,-1,0)+1,LARGE(A$3:A930,1))</f>
        <v>0</v>
      </c>
      <c r="B932" s="457">
        <f t="shared" ca="1" si="215"/>
        <v>14</v>
      </c>
      <c r="C932" s="457">
        <f t="shared" ca="1" si="216"/>
        <v>1</v>
      </c>
      <c r="D932" s="458">
        <f t="shared" ca="1" si="217"/>
        <v>5</v>
      </c>
      <c r="E932" s="458">
        <f t="shared" ca="1" si="218"/>
        <v>6</v>
      </c>
      <c r="G932" s="206"/>
      <c r="H932" s="207" t="s">
        <v>212</v>
      </c>
      <c r="I932" s="208" t="str">
        <f t="shared" ca="1" si="185"/>
        <v>14.001.005.006</v>
      </c>
      <c r="J932" s="209" t="s">
        <v>4204</v>
      </c>
      <c r="K932" s="210" t="s">
        <v>3</v>
      </c>
      <c r="L932" s="455">
        <f>L924+L925</f>
        <v>42.769999999999996</v>
      </c>
      <c r="M932" s="455">
        <v>22</v>
      </c>
      <c r="N932" s="285">
        <f t="shared" si="225"/>
        <v>940.93999999999994</v>
      </c>
      <c r="O932" s="462"/>
      <c r="P932" s="213" t="s">
        <v>518</v>
      </c>
      <c r="Q932" s="35"/>
      <c r="R932" s="35"/>
      <c r="S932" s="35"/>
    </row>
    <row r="933" spans="1:19" s="34" customFormat="1" ht="13.9" hidden="1" customHeight="1" outlineLevel="1" x14ac:dyDescent="0.2">
      <c r="A933" s="457">
        <f ca="1">IF($H933="UNIDADE CONSTRUTIVA",OFFSET(A933,-1,0)+1,LARGE(A$3:A932,1))</f>
        <v>0</v>
      </c>
      <c r="B933" s="457">
        <f t="shared" ca="1" si="215"/>
        <v>14</v>
      </c>
      <c r="C933" s="457">
        <f t="shared" ca="1" si="216"/>
        <v>2</v>
      </c>
      <c r="D933" s="458">
        <f t="shared" ca="1" si="217"/>
        <v>0</v>
      </c>
      <c r="E933" s="458">
        <f t="shared" ca="1" si="218"/>
        <v>6</v>
      </c>
      <c r="G933" s="206"/>
      <c r="H933" s="207" t="s">
        <v>210</v>
      </c>
      <c r="I933" s="208" t="str">
        <f t="shared" ca="1" si="185"/>
        <v>14.002</v>
      </c>
      <c r="J933" s="209" t="s">
        <v>1029</v>
      </c>
      <c r="K933" s="210"/>
      <c r="L933" s="455"/>
      <c r="M933" s="455"/>
      <c r="N933" s="285">
        <f t="shared" ca="1" si="225"/>
        <v>52736.307789000006</v>
      </c>
      <c r="O933" s="462"/>
      <c r="P933" s="213"/>
      <c r="Q933" s="35"/>
      <c r="R933" s="35"/>
      <c r="S933" s="35"/>
    </row>
    <row r="934" spans="1:19" s="34" customFormat="1" ht="13.9" hidden="1" customHeight="1" outlineLevel="2" x14ac:dyDescent="0.2">
      <c r="A934" s="457">
        <f ca="1">IF($H934="UNIDADE CONSTRUTIVA",OFFSET(A934,-1,0)+1,LARGE(A$3:A933,1))</f>
        <v>0</v>
      </c>
      <c r="B934" s="457">
        <f t="shared" ca="1" si="215"/>
        <v>14</v>
      </c>
      <c r="C934" s="457">
        <f t="shared" ca="1" si="216"/>
        <v>2</v>
      </c>
      <c r="D934" s="458">
        <f t="shared" ca="1" si="217"/>
        <v>1</v>
      </c>
      <c r="E934" s="458">
        <f t="shared" ca="1" si="218"/>
        <v>0</v>
      </c>
      <c r="G934" s="206"/>
      <c r="H934" s="207" t="s">
        <v>211</v>
      </c>
      <c r="I934" s="208" t="str">
        <f t="shared" ca="1" si="185"/>
        <v>14.002.001</v>
      </c>
      <c r="J934" s="209" t="s">
        <v>133</v>
      </c>
      <c r="K934" s="210"/>
      <c r="L934" s="455"/>
      <c r="M934" s="455"/>
      <c r="N934" s="285">
        <f t="shared" ca="1" si="225"/>
        <v>3613.8326749999997</v>
      </c>
      <c r="O934" s="462"/>
      <c r="P934" s="213"/>
      <c r="Q934" s="35"/>
      <c r="R934" s="35"/>
      <c r="S934" s="35"/>
    </row>
    <row r="935" spans="1:19" s="34" customFormat="1" ht="13.9" hidden="1" customHeight="1" outlineLevel="3" x14ac:dyDescent="0.2">
      <c r="A935" s="457">
        <f ca="1">IF($H935="UNIDADE CONSTRUTIVA",OFFSET(A935,-1,0)+1,LARGE(A$3:A934,1))</f>
        <v>0</v>
      </c>
      <c r="B935" s="457">
        <f t="shared" ca="1" si="215"/>
        <v>14</v>
      </c>
      <c r="C935" s="457">
        <f t="shared" ca="1" si="216"/>
        <v>2</v>
      </c>
      <c r="D935" s="458">
        <f t="shared" ca="1" si="217"/>
        <v>1</v>
      </c>
      <c r="E935" s="458">
        <f t="shared" ca="1" si="218"/>
        <v>1</v>
      </c>
      <c r="G935" s="206"/>
      <c r="H935" s="207" t="s">
        <v>212</v>
      </c>
      <c r="I935" s="208" t="str">
        <f t="shared" ca="1" si="185"/>
        <v>14.002.001.001</v>
      </c>
      <c r="J935" s="209" t="s">
        <v>1010</v>
      </c>
      <c r="K935" s="210" t="s">
        <v>1</v>
      </c>
      <c r="L935" s="455">
        <f>Arquitetura!H700</f>
        <v>228.10999999999999</v>
      </c>
      <c r="M935" s="455">
        <v>15.842499999999999</v>
      </c>
      <c r="N935" s="285">
        <f t="shared" si="225"/>
        <v>3613.8326749999997</v>
      </c>
      <c r="O935" s="462"/>
      <c r="P935" s="213" t="s">
        <v>518</v>
      </c>
      <c r="Q935" s="35"/>
      <c r="R935" s="35"/>
      <c r="S935" s="35"/>
    </row>
    <row r="936" spans="1:19" s="34" customFormat="1" ht="13.9" hidden="1" customHeight="1" outlineLevel="2" x14ac:dyDescent="0.2">
      <c r="A936" s="457">
        <f ca="1">IF($H936="UNIDADE CONSTRUTIVA",OFFSET(A936,-1,0)+1,LARGE(A$3:A935,1))</f>
        <v>0</v>
      </c>
      <c r="B936" s="457">
        <f t="shared" ca="1" si="215"/>
        <v>14</v>
      </c>
      <c r="C936" s="457">
        <f t="shared" ca="1" si="216"/>
        <v>2</v>
      </c>
      <c r="D936" s="458">
        <f t="shared" ca="1" si="217"/>
        <v>2</v>
      </c>
      <c r="E936" s="458">
        <f t="shared" ca="1" si="218"/>
        <v>0</v>
      </c>
      <c r="G936" s="206"/>
      <c r="H936" s="207" t="s">
        <v>211</v>
      </c>
      <c r="I936" s="208" t="str">
        <f t="shared" ca="1" si="185"/>
        <v>14.002.002</v>
      </c>
      <c r="J936" s="209" t="s">
        <v>421</v>
      </c>
      <c r="K936" s="210"/>
      <c r="L936" s="455"/>
      <c r="M936" s="455"/>
      <c r="N936" s="285">
        <f t="shared" ca="1" si="225"/>
        <v>496.21207500000003</v>
      </c>
      <c r="O936" s="462"/>
      <c r="P936" s="213"/>
      <c r="Q936" s="35"/>
      <c r="R936" s="35"/>
      <c r="S936" s="35"/>
    </row>
    <row r="937" spans="1:19" s="34" customFormat="1" ht="13.9" hidden="1" customHeight="1" outlineLevel="3" x14ac:dyDescent="0.2">
      <c r="A937" s="457">
        <f ca="1">IF($H937="UNIDADE CONSTRUTIVA",OFFSET(A937,-1,0)+1,LARGE(A$3:A936,1))</f>
        <v>0</v>
      </c>
      <c r="B937" s="457">
        <f t="shared" ca="1" si="215"/>
        <v>14</v>
      </c>
      <c r="C937" s="457">
        <f t="shared" ca="1" si="216"/>
        <v>2</v>
      </c>
      <c r="D937" s="458">
        <f t="shared" ca="1" si="217"/>
        <v>2</v>
      </c>
      <c r="E937" s="458">
        <f t="shared" ca="1" si="218"/>
        <v>1</v>
      </c>
      <c r="G937" s="206"/>
      <c r="H937" s="207" t="s">
        <v>212</v>
      </c>
      <c r="I937" s="208" t="str">
        <f t="shared" ca="1" si="185"/>
        <v>14.002.002.001</v>
      </c>
      <c r="J937" s="471" t="s">
        <v>1015</v>
      </c>
      <c r="K937" s="210" t="s">
        <v>1</v>
      </c>
      <c r="L937" s="455">
        <f>Arquitetura!H767</f>
        <v>42.99</v>
      </c>
      <c r="M937" s="455">
        <v>11.5425</v>
      </c>
      <c r="N937" s="285">
        <f t="shared" si="225"/>
        <v>496.21207500000003</v>
      </c>
      <c r="O937" s="462" t="s">
        <v>4189</v>
      </c>
      <c r="P937" s="213" t="s">
        <v>518</v>
      </c>
      <c r="Q937" s="35"/>
      <c r="R937" s="35"/>
      <c r="S937" s="35"/>
    </row>
    <row r="938" spans="1:19" s="34" customFormat="1" ht="13.9" hidden="1" customHeight="1" outlineLevel="3" x14ac:dyDescent="0.2">
      <c r="A938" s="457">
        <f ca="1">IF($H938="UNIDADE CONSTRUTIVA",OFFSET(A938,-1,0)+1,LARGE(A$3:A937,1))</f>
        <v>0</v>
      </c>
      <c r="B938" s="457">
        <f t="shared" ca="1" si="215"/>
        <v>14</v>
      </c>
      <c r="C938" s="457">
        <f t="shared" ca="1" si="216"/>
        <v>2</v>
      </c>
      <c r="D938" s="458">
        <f t="shared" ca="1" si="217"/>
        <v>2</v>
      </c>
      <c r="E938" s="458">
        <f t="shared" ca="1" si="218"/>
        <v>2</v>
      </c>
      <c r="G938" s="206"/>
      <c r="H938" s="207" t="s">
        <v>212</v>
      </c>
      <c r="I938" s="208" t="str">
        <f t="shared" ca="1" si="185"/>
        <v>14.002.002.002</v>
      </c>
      <c r="J938" s="471" t="s">
        <v>4186</v>
      </c>
      <c r="K938" s="210" t="s">
        <v>1</v>
      </c>
      <c r="L938" s="455">
        <f>Arquitetura!H765+Arquitetura!H766+Arquitetura!H764</f>
        <v>2261.4700000000003</v>
      </c>
      <c r="M938" s="455"/>
      <c r="N938" s="285">
        <f t="shared" si="225"/>
        <v>0</v>
      </c>
      <c r="O938" s="462" t="s">
        <v>4187</v>
      </c>
      <c r="P938" s="213" t="s">
        <v>518</v>
      </c>
      <c r="Q938" s="35"/>
      <c r="R938" s="35"/>
      <c r="S938" s="35"/>
    </row>
    <row r="939" spans="1:19" s="34" customFormat="1" ht="13.9" hidden="1" customHeight="1" outlineLevel="2" x14ac:dyDescent="0.2">
      <c r="A939" s="457">
        <f ca="1">IF($H939="UNIDADE CONSTRUTIVA",OFFSET(A939,-1,0)+1,LARGE(A$3:A938,1))</f>
        <v>0</v>
      </c>
      <c r="B939" s="457">
        <f t="shared" ref="B939:B944" ca="1" si="236">IF(H939="UNIDADE CONSTRUTIVA",0,IF(H939="CÉLULA CONSTRUTIVA",OFFSET(B939,-1,0)+1,OFFSET(B939,-1,0)))</f>
        <v>14</v>
      </c>
      <c r="C939" s="457">
        <f t="shared" ref="C939:C944" ca="1" si="237">IF(H939="CÉLULA CONSTRUTIVA",0,IF(H939="ETAPA",OFFSET(C939,-1,0)+1,OFFSET(C939,-1,0)))</f>
        <v>2</v>
      </c>
      <c r="D939" s="458">
        <f t="shared" ref="D939:D944" ca="1" si="238">IF(H939="ETAPA",0,IF(H939="SUBETAPA",OFFSET(D939,-1,0)+1,OFFSET(D939,-1,0)))</f>
        <v>3</v>
      </c>
      <c r="E939" s="458">
        <f t="shared" ref="E939:E944" ca="1" si="239">IF(H939="Subetapa",0,IF(H939="serviço",OFFSET(E939,-1,0)+1,OFFSET(E939,-1,0)))</f>
        <v>0</v>
      </c>
      <c r="G939" s="206"/>
      <c r="H939" s="207" t="s">
        <v>211</v>
      </c>
      <c r="I939" s="208" t="str">
        <f t="shared" ref="I939:I944" ca="1" si="240">IF(H939="Unidade Construtiva",TEXT(A939,"00"),IF(H939="Célula Construtiva",TEXT(B939,"00"),IF(H939="Etapa",CONCATENATE(TEXT(B939,"00"),".",TEXT(C939,"000")),IF(H939="Subetapa",CONCATENATE(TEXT(B939,"00"),".",TEXT(C939,"000"),".",TEXT(D939,"000")),IF(H939="Serviço",CONCATENATE(TEXT(B939,"00"),".",TEXT(C939,"000"),".",TEXT(D939,"000"),".",TEXT(E939,"000")),"")))))</f>
        <v>14.002.003</v>
      </c>
      <c r="J939" s="209" t="s">
        <v>559</v>
      </c>
      <c r="K939" s="210"/>
      <c r="L939" s="455"/>
      <c r="M939" s="455"/>
      <c r="N939" s="285">
        <f t="shared" ca="1" si="225"/>
        <v>1743.4329029999997</v>
      </c>
      <c r="O939" s="462"/>
      <c r="P939" s="213"/>
      <c r="Q939" s="35"/>
      <c r="R939" s="35"/>
      <c r="S939" s="35"/>
    </row>
    <row r="940" spans="1:19" s="34" customFormat="1" ht="13.9" hidden="1" customHeight="1" outlineLevel="3" x14ac:dyDescent="0.2">
      <c r="A940" s="457">
        <f ca="1">IF($H940="UNIDADE CONSTRUTIVA",OFFSET(A940,-1,0)+1,LARGE(A$3:A939,1))</f>
        <v>0</v>
      </c>
      <c r="B940" s="457">
        <f t="shared" ca="1" si="236"/>
        <v>14</v>
      </c>
      <c r="C940" s="457">
        <f t="shared" ca="1" si="237"/>
        <v>2</v>
      </c>
      <c r="D940" s="458">
        <f t="shared" ca="1" si="238"/>
        <v>3</v>
      </c>
      <c r="E940" s="458">
        <f t="shared" ca="1" si="239"/>
        <v>1</v>
      </c>
      <c r="G940" s="206"/>
      <c r="H940" s="207" t="s">
        <v>212</v>
      </c>
      <c r="I940" s="208" t="str">
        <f t="shared" ca="1" si="240"/>
        <v>14.002.003.001</v>
      </c>
      <c r="J940" s="209" t="s">
        <v>4195</v>
      </c>
      <c r="K940" s="210" t="s">
        <v>1</v>
      </c>
      <c r="L940" s="455">
        <f>Arquitetura!H857</f>
        <v>19.169999999999998</v>
      </c>
      <c r="M940" s="455">
        <v>90.945899999999995</v>
      </c>
      <c r="N940" s="285">
        <f t="shared" si="225"/>
        <v>1743.4329029999997</v>
      </c>
      <c r="O940" s="462"/>
      <c r="P940" s="213" t="s">
        <v>518</v>
      </c>
      <c r="Q940" s="35"/>
      <c r="R940" s="35"/>
      <c r="S940" s="35"/>
    </row>
    <row r="941" spans="1:19" s="34" customFormat="1" ht="13.9" hidden="1" customHeight="1" outlineLevel="2" x14ac:dyDescent="0.2">
      <c r="A941" s="457">
        <f ca="1">IF($H941="UNIDADE CONSTRUTIVA",OFFSET(A941,-1,0)+1,LARGE(A$3:A940,1))</f>
        <v>0</v>
      </c>
      <c r="B941" s="457">
        <f t="shared" ca="1" si="236"/>
        <v>14</v>
      </c>
      <c r="C941" s="457">
        <f t="shared" ca="1" si="237"/>
        <v>2</v>
      </c>
      <c r="D941" s="458">
        <f t="shared" ca="1" si="238"/>
        <v>4</v>
      </c>
      <c r="E941" s="458">
        <f t="shared" ca="1" si="239"/>
        <v>0</v>
      </c>
      <c r="G941" s="206"/>
      <c r="H941" s="207" t="s">
        <v>211</v>
      </c>
      <c r="I941" s="208" t="str">
        <f t="shared" ca="1" si="240"/>
        <v>14.002.004</v>
      </c>
      <c r="J941" s="209" t="s">
        <v>134</v>
      </c>
      <c r="K941" s="210"/>
      <c r="L941" s="455"/>
      <c r="M941" s="455"/>
      <c r="N941" s="285">
        <f t="shared" ca="1" si="225"/>
        <v>168.869136</v>
      </c>
      <c r="O941" s="462"/>
      <c r="P941" s="213"/>
      <c r="Q941" s="35"/>
      <c r="R941" s="35"/>
      <c r="S941" s="35"/>
    </row>
    <row r="942" spans="1:19" s="34" customFormat="1" ht="13.9" hidden="1" customHeight="1" outlineLevel="3" x14ac:dyDescent="0.2">
      <c r="A942" s="457">
        <f ca="1">IF($H942="UNIDADE CONSTRUTIVA",OFFSET(A942,-1,0)+1,LARGE(A$3:A941,1))</f>
        <v>0</v>
      </c>
      <c r="B942" s="457">
        <f t="shared" ca="1" si="236"/>
        <v>14</v>
      </c>
      <c r="C942" s="457">
        <f t="shared" ca="1" si="237"/>
        <v>2</v>
      </c>
      <c r="D942" s="458">
        <f t="shared" ca="1" si="238"/>
        <v>4</v>
      </c>
      <c r="E942" s="458">
        <f t="shared" ca="1" si="239"/>
        <v>1</v>
      </c>
      <c r="G942" s="206"/>
      <c r="H942" s="207" t="s">
        <v>212</v>
      </c>
      <c r="I942" s="208" t="str">
        <f t="shared" ca="1" si="240"/>
        <v>14.002.004.001</v>
      </c>
      <c r="J942" s="209" t="s">
        <v>561</v>
      </c>
      <c r="K942" s="210" t="s">
        <v>3</v>
      </c>
      <c r="L942" s="455">
        <f>Arquitetura!H1020</f>
        <v>18.96</v>
      </c>
      <c r="M942" s="455">
        <v>8.9065999999999992</v>
      </c>
      <c r="N942" s="285">
        <f t="shared" si="225"/>
        <v>168.869136</v>
      </c>
      <c r="O942" s="462"/>
      <c r="P942" s="213" t="s">
        <v>518</v>
      </c>
      <c r="Q942" s="35"/>
      <c r="R942" s="35"/>
      <c r="S942" s="35"/>
    </row>
    <row r="943" spans="1:19" s="34" customFormat="1" ht="13.9" hidden="1" customHeight="1" outlineLevel="2" x14ac:dyDescent="0.2">
      <c r="A943" s="457">
        <f ca="1">IF($H943="UNIDADE CONSTRUTIVA",OFFSET(A943,-1,0)+1,LARGE(A$3:A942,1))</f>
        <v>0</v>
      </c>
      <c r="B943" s="457">
        <f t="shared" ca="1" si="236"/>
        <v>14</v>
      </c>
      <c r="C943" s="457">
        <f t="shared" ca="1" si="237"/>
        <v>2</v>
      </c>
      <c r="D943" s="458">
        <f t="shared" ca="1" si="238"/>
        <v>5</v>
      </c>
      <c r="E943" s="458">
        <f t="shared" ca="1" si="239"/>
        <v>0</v>
      </c>
      <c r="G943" s="206"/>
      <c r="H943" s="207" t="s">
        <v>211</v>
      </c>
      <c r="I943" s="208" t="str">
        <f t="shared" ca="1" si="240"/>
        <v>14.002.005</v>
      </c>
      <c r="J943" s="209" t="s">
        <v>4200</v>
      </c>
      <c r="K943" s="210"/>
      <c r="L943" s="455"/>
      <c r="M943" s="455"/>
      <c r="N943" s="285">
        <f t="shared" ca="1" si="225"/>
        <v>2323.8209999999999</v>
      </c>
      <c r="O943" s="462"/>
      <c r="P943" s="213"/>
      <c r="Q943" s="35"/>
      <c r="R943" s="35"/>
      <c r="S943" s="35"/>
    </row>
    <row r="944" spans="1:19" s="34" customFormat="1" ht="13.9" hidden="1" customHeight="1" outlineLevel="3" x14ac:dyDescent="0.2">
      <c r="A944" s="457">
        <f ca="1">IF($H944="UNIDADE CONSTRUTIVA",OFFSET(A944,-1,0)+1,LARGE(A$3:A943,1))</f>
        <v>0</v>
      </c>
      <c r="B944" s="457">
        <f t="shared" ca="1" si="236"/>
        <v>14</v>
      </c>
      <c r="C944" s="457">
        <f t="shared" ca="1" si="237"/>
        <v>2</v>
      </c>
      <c r="D944" s="458">
        <f t="shared" ca="1" si="238"/>
        <v>5</v>
      </c>
      <c r="E944" s="458">
        <f t="shared" ca="1" si="239"/>
        <v>1</v>
      </c>
      <c r="G944" s="206"/>
      <c r="H944" s="207" t="s">
        <v>212</v>
      </c>
      <c r="I944" s="208" t="str">
        <f t="shared" ca="1" si="240"/>
        <v>14.002.005.001</v>
      </c>
      <c r="J944" s="209" t="s">
        <v>4201</v>
      </c>
      <c r="K944" s="210" t="s">
        <v>1</v>
      </c>
      <c r="L944" s="455">
        <f>Arquitetura!D1075</f>
        <v>4.7</v>
      </c>
      <c r="M944" s="455">
        <v>494.43</v>
      </c>
      <c r="N944" s="285">
        <f t="shared" si="225"/>
        <v>2323.8209999999999</v>
      </c>
      <c r="O944" s="462"/>
      <c r="P944" s="213" t="s">
        <v>518</v>
      </c>
      <c r="Q944" s="35"/>
      <c r="R944" s="35"/>
      <c r="S944" s="35"/>
    </row>
    <row r="945" spans="1:19" s="34" customFormat="1" ht="13.9" hidden="1" customHeight="1" outlineLevel="2" x14ac:dyDescent="0.2">
      <c r="A945" s="457">
        <f ca="1">IF($H945="UNIDADE CONSTRUTIVA",OFFSET(A945,-1,0)+1,LARGE(A$3:A944,1))</f>
        <v>0</v>
      </c>
      <c r="B945" s="457">
        <f t="shared" ca="1" si="215"/>
        <v>14</v>
      </c>
      <c r="C945" s="457">
        <f t="shared" ca="1" si="216"/>
        <v>2</v>
      </c>
      <c r="D945" s="458">
        <f t="shared" ca="1" si="217"/>
        <v>6</v>
      </c>
      <c r="E945" s="458">
        <f t="shared" ca="1" si="218"/>
        <v>0</v>
      </c>
      <c r="G945" s="206"/>
      <c r="H945" s="207" t="s">
        <v>211</v>
      </c>
      <c r="I945" s="208" t="str">
        <f t="shared" ca="1" si="185"/>
        <v>14.002.006</v>
      </c>
      <c r="J945" s="209" t="s">
        <v>434</v>
      </c>
      <c r="K945" s="210"/>
      <c r="L945" s="455"/>
      <c r="M945" s="455"/>
      <c r="N945" s="285">
        <f t="shared" ref="N945:N976" ca="1" si="241">IF(H945="Serviço",M945*L945,IF(H945="CÉLULA CONSTRUTIVA",SUMIFS($N$8:$N$1505,$B$8:$B$1505,B945,$H$8:$H$1505,"Serviço"),IF(H945="ETAPA",SUMIFS($N$8:$N$1505,$B$8:$B$1505,B945,$C$8:$C$1505,C945,$H$8:$H$1505,"Serviço"),IF(H945="SUBETAPA",SUMIFS($N$8:$N$1505,$B$8:$B$1505,B945,$C$8:$C$1505,C945,$D$8:$D$1505,D945,$H$8:$H$1505,"Serviço"),0))))</f>
        <v>44390.140000000007</v>
      </c>
      <c r="O945" s="462"/>
      <c r="P945" s="213"/>
      <c r="Q945" s="35"/>
      <c r="R945" s="35"/>
      <c r="S945" s="35"/>
    </row>
    <row r="946" spans="1:19" s="34" customFormat="1" ht="13.9" hidden="1" customHeight="1" outlineLevel="3" x14ac:dyDescent="0.2">
      <c r="A946" s="457">
        <f ca="1">IF($H946="UNIDADE CONSTRUTIVA",OFFSET(A946,-1,0)+1,LARGE(A$3:A945,1))</f>
        <v>0</v>
      </c>
      <c r="B946" s="457">
        <f t="shared" ca="1" si="215"/>
        <v>14</v>
      </c>
      <c r="C946" s="457">
        <f t="shared" ca="1" si="216"/>
        <v>2</v>
      </c>
      <c r="D946" s="458">
        <f t="shared" ca="1" si="217"/>
        <v>6</v>
      </c>
      <c r="E946" s="458">
        <f t="shared" ca="1" si="218"/>
        <v>1</v>
      </c>
      <c r="G946" s="206"/>
      <c r="H946" s="207" t="s">
        <v>212</v>
      </c>
      <c r="I946" s="208" t="str">
        <f t="shared" ca="1" si="185"/>
        <v>14.002.006.001</v>
      </c>
      <c r="J946" s="209" t="s">
        <v>1020</v>
      </c>
      <c r="K946" s="210" t="s">
        <v>1</v>
      </c>
      <c r="L946" s="455">
        <f>L935</f>
        <v>228.10999999999999</v>
      </c>
      <c r="M946" s="455">
        <v>37</v>
      </c>
      <c r="N946" s="285">
        <f t="shared" si="241"/>
        <v>8440.07</v>
      </c>
      <c r="O946" s="462"/>
      <c r="P946" s="213" t="s">
        <v>518</v>
      </c>
      <c r="Q946" s="35"/>
      <c r="R946" s="35"/>
      <c r="S946" s="35"/>
    </row>
    <row r="947" spans="1:19" s="34" customFormat="1" ht="13.9" hidden="1" customHeight="1" outlineLevel="3" x14ac:dyDescent="0.2">
      <c r="A947" s="457">
        <f ca="1">IF($H947="UNIDADE CONSTRUTIVA",OFFSET(A947,-1,0)+1,LARGE(A$3:A946,1))</f>
        <v>0</v>
      </c>
      <c r="B947" s="457">
        <f t="shared" ca="1" si="215"/>
        <v>14</v>
      </c>
      <c r="C947" s="457">
        <f t="shared" ca="1" si="216"/>
        <v>2</v>
      </c>
      <c r="D947" s="458">
        <f t="shared" ca="1" si="217"/>
        <v>6</v>
      </c>
      <c r="E947" s="458">
        <f t="shared" ca="1" si="218"/>
        <v>2</v>
      </c>
      <c r="G947" s="206"/>
      <c r="H947" s="207" t="s">
        <v>212</v>
      </c>
      <c r="I947" s="208" t="str">
        <f t="shared" ca="1" si="185"/>
        <v>14.002.006.002</v>
      </c>
      <c r="J947" s="209" t="s">
        <v>1021</v>
      </c>
      <c r="K947" s="210" t="s">
        <v>1</v>
      </c>
      <c r="L947" s="455">
        <f>L937</f>
        <v>42.99</v>
      </c>
      <c r="M947" s="455">
        <v>15</v>
      </c>
      <c r="N947" s="285">
        <f t="shared" si="241"/>
        <v>644.85</v>
      </c>
      <c r="O947" s="462"/>
      <c r="P947" s="213" t="s">
        <v>518</v>
      </c>
      <c r="Q947" s="35"/>
      <c r="R947" s="35"/>
      <c r="S947" s="35"/>
    </row>
    <row r="948" spans="1:19" s="34" customFormat="1" ht="13.9" hidden="1" customHeight="1" outlineLevel="3" x14ac:dyDescent="0.2">
      <c r="A948" s="457">
        <f ca="1">IF($H948="UNIDADE CONSTRUTIVA",OFFSET(A948,-1,0)+1,LARGE(A$3:A947,1))</f>
        <v>0</v>
      </c>
      <c r="B948" s="457">
        <f t="shared" ca="1" si="215"/>
        <v>14</v>
      </c>
      <c r="C948" s="457">
        <f t="shared" ca="1" si="216"/>
        <v>2</v>
      </c>
      <c r="D948" s="458">
        <f t="shared" ca="1" si="217"/>
        <v>6</v>
      </c>
      <c r="E948" s="458">
        <f t="shared" ca="1" si="218"/>
        <v>3</v>
      </c>
      <c r="G948" s="206"/>
      <c r="H948" s="207" t="s">
        <v>212</v>
      </c>
      <c r="I948" s="208" t="str">
        <f t="shared" ca="1" si="185"/>
        <v>14.002.006.003</v>
      </c>
      <c r="J948" s="209" t="s">
        <v>4202</v>
      </c>
      <c r="K948" s="210" t="s">
        <v>1</v>
      </c>
      <c r="L948" s="455">
        <f>L938</f>
        <v>2261.4700000000003</v>
      </c>
      <c r="M948" s="455">
        <v>15</v>
      </c>
      <c r="N948" s="285">
        <f t="shared" si="241"/>
        <v>33922.050000000003</v>
      </c>
      <c r="O948" s="462"/>
      <c r="P948" s="213" t="s">
        <v>518</v>
      </c>
      <c r="Q948" s="35"/>
      <c r="R948" s="35"/>
      <c r="S948" s="35"/>
    </row>
    <row r="949" spans="1:19" s="34" customFormat="1" ht="13.9" hidden="1" customHeight="1" outlineLevel="3" x14ac:dyDescent="0.2">
      <c r="A949" s="457">
        <f ca="1">IF($H949="UNIDADE CONSTRUTIVA",OFFSET(A949,-1,0)+1,LARGE(A$3:A948,1))</f>
        <v>0</v>
      </c>
      <c r="B949" s="457">
        <f ca="1">IF(H949="UNIDADE CONSTRUTIVA",0,IF(H949="CÉLULA CONSTRUTIVA",OFFSET(B949,-1,0)+1,OFFSET(B949,-1,0)))</f>
        <v>14</v>
      </c>
      <c r="C949" s="457">
        <f ca="1">IF(H949="CÉLULA CONSTRUTIVA",0,IF(H949="ETAPA",OFFSET(C949,-1,0)+1,OFFSET(C949,-1,0)))</f>
        <v>2</v>
      </c>
      <c r="D949" s="458">
        <f ca="1">IF(H949="ETAPA",0,IF(H949="SUBETAPA",OFFSET(D949,-1,0)+1,OFFSET(D949,-1,0)))</f>
        <v>6</v>
      </c>
      <c r="E949" s="458">
        <f ca="1">IF(H949="Subetapa",0,IF(H949="serviço",OFFSET(E949,-1,0)+1,OFFSET(E949,-1,0)))</f>
        <v>4</v>
      </c>
      <c r="G949" s="206"/>
      <c r="H949" s="207" t="s">
        <v>212</v>
      </c>
      <c r="I949" s="208" t="str">
        <f ca="1">IF(H949="Unidade Construtiva",TEXT(A949,"00"),IF(H949="Célula Construtiva",TEXT(B949,"00"),IF(H949="Etapa",CONCATENATE(TEXT(B949,"00"),".",TEXT(C949,"000")),IF(H949="Subetapa",CONCATENATE(TEXT(B949,"00"),".",TEXT(C949,"000"),".",TEXT(D949,"000")),IF(H949="Serviço",CONCATENATE(TEXT(B949,"00"),".",TEXT(C949,"000"),".",TEXT(D949,"000"),".",TEXT(E949,"000")),"")))))</f>
        <v>14.002.006.004</v>
      </c>
      <c r="J949" s="209" t="s">
        <v>1022</v>
      </c>
      <c r="K949" s="210" t="s">
        <v>1</v>
      </c>
      <c r="L949" s="455">
        <f>L940</f>
        <v>19.169999999999998</v>
      </c>
      <c r="M949" s="455">
        <v>45</v>
      </c>
      <c r="N949" s="285">
        <f t="shared" si="241"/>
        <v>862.64999999999986</v>
      </c>
      <c r="O949" s="462"/>
      <c r="P949" s="213" t="s">
        <v>518</v>
      </c>
      <c r="Q949" s="35"/>
      <c r="R949" s="35"/>
      <c r="S949" s="35"/>
    </row>
    <row r="950" spans="1:19" s="34" customFormat="1" ht="13.9" hidden="1" customHeight="1" outlineLevel="3" x14ac:dyDescent="0.2">
      <c r="A950" s="457">
        <f ca="1">IF($H950="UNIDADE CONSTRUTIVA",OFFSET(A950,-1,0)+1,LARGE(A$3:A949,1))</f>
        <v>0</v>
      </c>
      <c r="B950" s="457">
        <f ca="1">IF(H950="UNIDADE CONSTRUTIVA",0,IF(H950="CÉLULA CONSTRUTIVA",OFFSET(B950,-1,0)+1,OFFSET(B950,-1,0)))</f>
        <v>14</v>
      </c>
      <c r="C950" s="457">
        <f ca="1">IF(H950="CÉLULA CONSTRUTIVA",0,IF(H950="ETAPA",OFFSET(C950,-1,0)+1,OFFSET(C950,-1,0)))</f>
        <v>2</v>
      </c>
      <c r="D950" s="458">
        <f ca="1">IF(H950="ETAPA",0,IF(H950="SUBETAPA",OFFSET(D950,-1,0)+1,OFFSET(D950,-1,0)))</f>
        <v>6</v>
      </c>
      <c r="E950" s="458">
        <f ca="1">IF(H950="Subetapa",0,IF(H950="serviço",OFFSET(E950,-1,0)+1,OFFSET(E950,-1,0)))</f>
        <v>5</v>
      </c>
      <c r="G950" s="206"/>
      <c r="H950" s="207" t="s">
        <v>212</v>
      </c>
      <c r="I950" s="208" t="str">
        <f ca="1">IF(H950="Unidade Construtiva",TEXT(A950,"00"),IF(H950="Célula Construtiva",TEXT(B950,"00"),IF(H950="Etapa",CONCATENATE(TEXT(B950,"00"),".",TEXT(C950,"000")),IF(H950="Subetapa",CONCATENATE(TEXT(B950,"00"),".",TEXT(C950,"000"),".",TEXT(D950,"000")),IF(H950="Serviço",CONCATENATE(TEXT(B950,"00"),".",TEXT(C950,"000"),".",TEXT(D950,"000"),".",TEXT(E950,"000")),"")))))</f>
        <v>14.002.006.005</v>
      </c>
      <c r="J950" s="209" t="s">
        <v>4204</v>
      </c>
      <c r="K950" s="210" t="s">
        <v>3</v>
      </c>
      <c r="L950" s="455">
        <f>L942</f>
        <v>18.96</v>
      </c>
      <c r="M950" s="455">
        <v>22</v>
      </c>
      <c r="N950" s="285">
        <f t="shared" si="241"/>
        <v>417.12</v>
      </c>
      <c r="O950" s="462"/>
      <c r="P950" s="213" t="s">
        <v>518</v>
      </c>
      <c r="Q950" s="35"/>
      <c r="R950" s="35"/>
      <c r="S950" s="35"/>
    </row>
    <row r="951" spans="1:19" s="34" customFormat="1" ht="13.9" hidden="1" customHeight="1" outlineLevel="3" x14ac:dyDescent="0.2">
      <c r="A951" s="457">
        <f ca="1">IF($H951="UNIDADE CONSTRUTIVA",OFFSET(A951,-1,0)+1,LARGE(A$3:A950,1))</f>
        <v>0</v>
      </c>
      <c r="B951" s="457">
        <f ca="1">IF(H951="UNIDADE CONSTRUTIVA",0,IF(H951="CÉLULA CONSTRUTIVA",OFFSET(B951,-1,0)+1,OFFSET(B951,-1,0)))</f>
        <v>14</v>
      </c>
      <c r="C951" s="457">
        <f ca="1">IF(H951="CÉLULA CONSTRUTIVA",0,IF(H951="ETAPA",OFFSET(C951,-1,0)+1,OFFSET(C951,-1,0)))</f>
        <v>2</v>
      </c>
      <c r="D951" s="458">
        <f ca="1">IF(H951="ETAPA",0,IF(H951="SUBETAPA",OFFSET(D951,-1,0)+1,OFFSET(D951,-1,0)))</f>
        <v>6</v>
      </c>
      <c r="E951" s="458">
        <f ca="1">IF(H951="Subetapa",0,IF(H951="serviço",OFFSET(E951,-1,0)+1,OFFSET(E951,-1,0)))</f>
        <v>6</v>
      </c>
      <c r="G951" s="206"/>
      <c r="H951" s="207" t="s">
        <v>212</v>
      </c>
      <c r="I951" s="208" t="str">
        <f ca="1">IF(H951="Unidade Construtiva",TEXT(A951,"00"),IF(H951="Célula Construtiva",TEXT(B951,"00"),IF(H951="Etapa",CONCATENATE(TEXT(B951,"00"),".",TEXT(C951,"000")),IF(H951="Subetapa",CONCATENATE(TEXT(B951,"00"),".",TEXT(C951,"000"),".",TEXT(D951,"000")),IF(H951="Serviço",CONCATENATE(TEXT(B951,"00"),".",TEXT(C951,"000"),".",TEXT(D951,"000"),".",TEXT(E951,"000")),"")))))</f>
        <v>14.002.006.006</v>
      </c>
      <c r="J951" s="209" t="s">
        <v>4205</v>
      </c>
      <c r="K951" s="210" t="s">
        <v>1</v>
      </c>
      <c r="L951" s="455">
        <f>L944</f>
        <v>4.7</v>
      </c>
      <c r="M951" s="455">
        <v>22</v>
      </c>
      <c r="N951" s="285">
        <f t="shared" si="241"/>
        <v>103.4</v>
      </c>
      <c r="O951" s="462"/>
      <c r="P951" s="213" t="s">
        <v>518</v>
      </c>
      <c r="Q951" s="35"/>
      <c r="R951" s="35"/>
      <c r="S951" s="35"/>
    </row>
    <row r="952" spans="1:19" s="34" customFormat="1" ht="13.9" hidden="1" customHeight="1" outlineLevel="1" x14ac:dyDescent="0.2">
      <c r="A952" s="457">
        <f ca="1">IF($H952="UNIDADE CONSTRUTIVA",OFFSET(A952,-1,0)+1,LARGE(A$3:A951,1))</f>
        <v>0</v>
      </c>
      <c r="B952" s="457">
        <f t="shared" ca="1" si="215"/>
        <v>14</v>
      </c>
      <c r="C952" s="457">
        <f t="shared" ca="1" si="216"/>
        <v>3</v>
      </c>
      <c r="D952" s="458">
        <f t="shared" ca="1" si="217"/>
        <v>0</v>
      </c>
      <c r="E952" s="458">
        <f t="shared" ca="1" si="218"/>
        <v>6</v>
      </c>
      <c r="G952" s="206"/>
      <c r="H952" s="207" t="s">
        <v>210</v>
      </c>
      <c r="I952" s="208" t="str">
        <f t="shared" ca="1" si="185"/>
        <v>14.003</v>
      </c>
      <c r="J952" s="209" t="s">
        <v>1030</v>
      </c>
      <c r="K952" s="210"/>
      <c r="L952" s="455"/>
      <c r="M952" s="455"/>
      <c r="N952" s="285">
        <f t="shared" ca="1" si="241"/>
        <v>16062.405092000001</v>
      </c>
      <c r="O952" s="462"/>
      <c r="P952" s="213"/>
      <c r="Q952" s="35"/>
      <c r="R952" s="35"/>
      <c r="S952" s="35"/>
    </row>
    <row r="953" spans="1:19" s="34" customFormat="1" ht="13.9" hidden="1" customHeight="1" outlineLevel="2" x14ac:dyDescent="0.2">
      <c r="A953" s="457">
        <f ca="1">IF($H953="UNIDADE CONSTRUTIVA",OFFSET(A953,-1,0)+1,LARGE(A$3:A952,1))</f>
        <v>0</v>
      </c>
      <c r="B953" s="457">
        <f t="shared" ca="1" si="215"/>
        <v>14</v>
      </c>
      <c r="C953" s="457">
        <f t="shared" ca="1" si="216"/>
        <v>3</v>
      </c>
      <c r="D953" s="458">
        <f t="shared" ca="1" si="217"/>
        <v>1</v>
      </c>
      <c r="E953" s="458">
        <f t="shared" ca="1" si="218"/>
        <v>0</v>
      </c>
      <c r="G953" s="206"/>
      <c r="H953" s="207" t="s">
        <v>211</v>
      </c>
      <c r="I953" s="208" t="str">
        <f t="shared" ca="1" si="185"/>
        <v>14.003.001</v>
      </c>
      <c r="J953" s="742" t="s">
        <v>133</v>
      </c>
      <c r="K953" s="210"/>
      <c r="L953" s="455"/>
      <c r="M953" s="455"/>
      <c r="N953" s="285">
        <f t="shared" ca="1" si="241"/>
        <v>1322.3734749999999</v>
      </c>
      <c r="O953" s="462"/>
      <c r="P953" s="213"/>
      <c r="Q953" s="35"/>
      <c r="R953" s="35"/>
      <c r="S953" s="35"/>
    </row>
    <row r="954" spans="1:19" s="34" customFormat="1" ht="13.9" hidden="1" customHeight="1" outlineLevel="3" x14ac:dyDescent="0.2">
      <c r="A954" s="457">
        <f ca="1">IF($H954="UNIDADE CONSTRUTIVA",OFFSET(A954,-1,0)+1,LARGE(A$3:A953,1))</f>
        <v>0</v>
      </c>
      <c r="B954" s="457">
        <f t="shared" ca="1" si="215"/>
        <v>14</v>
      </c>
      <c r="C954" s="457">
        <f t="shared" ca="1" si="216"/>
        <v>3</v>
      </c>
      <c r="D954" s="458">
        <f t="shared" ca="1" si="217"/>
        <v>1</v>
      </c>
      <c r="E954" s="458">
        <f t="shared" ca="1" si="218"/>
        <v>1</v>
      </c>
      <c r="G954" s="206"/>
      <c r="H954" s="207" t="s">
        <v>212</v>
      </c>
      <c r="I954" s="208" t="str">
        <f t="shared" ca="1" si="185"/>
        <v>14.003.001.001</v>
      </c>
      <c r="J954" s="209" t="s">
        <v>1010</v>
      </c>
      <c r="K954" s="210" t="s">
        <v>1</v>
      </c>
      <c r="L954" s="455">
        <f>Arquitetura!D706</f>
        <v>83.47</v>
      </c>
      <c r="M954" s="455">
        <v>15.842499999999999</v>
      </c>
      <c r="N954" s="285">
        <f t="shared" si="241"/>
        <v>1322.3734749999999</v>
      </c>
      <c r="O954" s="462"/>
      <c r="P954" s="213" t="s">
        <v>518</v>
      </c>
      <c r="Q954" s="35"/>
      <c r="R954" s="35"/>
      <c r="S954" s="35"/>
    </row>
    <row r="955" spans="1:19" s="34" customFormat="1" ht="13.9" hidden="1" customHeight="1" outlineLevel="2" x14ac:dyDescent="0.2">
      <c r="A955" s="457">
        <f ca="1">IF($H955="UNIDADE CONSTRUTIVA",OFFSET(A955,-1,0)+1,LARGE(A$3:A954,1))</f>
        <v>0</v>
      </c>
      <c r="B955" s="457">
        <f t="shared" ca="1" si="215"/>
        <v>14</v>
      </c>
      <c r="C955" s="457">
        <f t="shared" ca="1" si="216"/>
        <v>3</v>
      </c>
      <c r="D955" s="458">
        <f t="shared" ca="1" si="217"/>
        <v>2</v>
      </c>
      <c r="E955" s="458">
        <f t="shared" ca="1" si="218"/>
        <v>0</v>
      </c>
      <c r="G955" s="206"/>
      <c r="H955" s="207" t="s">
        <v>211</v>
      </c>
      <c r="I955" s="208" t="str">
        <f t="shared" ca="1" si="185"/>
        <v>14.003.002</v>
      </c>
      <c r="J955" s="209" t="s">
        <v>421</v>
      </c>
      <c r="K955" s="210"/>
      <c r="L955" s="455"/>
      <c r="M955" s="455"/>
      <c r="N955" s="285">
        <f t="shared" ca="1" si="241"/>
        <v>165.51945000000001</v>
      </c>
      <c r="O955" s="462"/>
      <c r="P955" s="213"/>
      <c r="Q955" s="35"/>
      <c r="R955" s="35"/>
      <c r="S955" s="35"/>
    </row>
    <row r="956" spans="1:19" s="34" customFormat="1" ht="13.9" hidden="1" customHeight="1" outlineLevel="3" x14ac:dyDescent="0.2">
      <c r="A956" s="457">
        <f ca="1">IF($H956="UNIDADE CONSTRUTIVA",OFFSET(A956,-1,0)+1,LARGE(A$3:A955,1))</f>
        <v>0</v>
      </c>
      <c r="B956" s="457">
        <f t="shared" ca="1" si="215"/>
        <v>14</v>
      </c>
      <c r="C956" s="457">
        <f t="shared" ca="1" si="216"/>
        <v>3</v>
      </c>
      <c r="D956" s="458">
        <f t="shared" ca="1" si="217"/>
        <v>2</v>
      </c>
      <c r="E956" s="458">
        <f t="shared" ca="1" si="218"/>
        <v>1</v>
      </c>
      <c r="G956" s="206"/>
      <c r="H956" s="207" t="s">
        <v>212</v>
      </c>
      <c r="I956" s="208" t="str">
        <f t="shared" ca="1" si="185"/>
        <v>14.003.002.001</v>
      </c>
      <c r="J956" s="471" t="s">
        <v>1015</v>
      </c>
      <c r="K956" s="210" t="s">
        <v>1</v>
      </c>
      <c r="L956" s="455">
        <f>Arquitetura!D782</f>
        <v>14.34</v>
      </c>
      <c r="M956" s="455">
        <v>11.5425</v>
      </c>
      <c r="N956" s="285">
        <f t="shared" si="241"/>
        <v>165.51945000000001</v>
      </c>
      <c r="O956" s="462"/>
      <c r="P956" s="213" t="s">
        <v>518</v>
      </c>
      <c r="Q956" s="35"/>
      <c r="R956" s="35"/>
      <c r="S956" s="35"/>
    </row>
    <row r="957" spans="1:19" s="34" customFormat="1" ht="13.9" hidden="1" customHeight="1" outlineLevel="3" x14ac:dyDescent="0.2">
      <c r="A957" s="457">
        <f ca="1">IF($H957="UNIDADE CONSTRUTIVA",OFFSET(A957,-1,0)+1,LARGE(A$3:A956,1))</f>
        <v>0</v>
      </c>
      <c r="B957" s="457">
        <f ca="1">IF(H957="UNIDADE CONSTRUTIVA",0,IF(H957="CÉLULA CONSTRUTIVA",OFFSET(B957,-1,0)+1,OFFSET(B957,-1,0)))</f>
        <v>14</v>
      </c>
      <c r="C957" s="457">
        <f ca="1">IF(H957="CÉLULA CONSTRUTIVA",0,IF(H957="ETAPA",OFFSET(C957,-1,0)+1,OFFSET(C957,-1,0)))</f>
        <v>3</v>
      </c>
      <c r="D957" s="458">
        <f ca="1">IF(H957="ETAPA",0,IF(H957="SUBETAPA",OFFSET(D957,-1,0)+1,OFFSET(D957,-1,0)))</f>
        <v>2</v>
      </c>
      <c r="E957" s="458">
        <f ca="1">IF(H957="Subetapa",0,IF(H957="serviço",OFFSET(E957,-1,0)+1,OFFSET(E957,-1,0)))</f>
        <v>2</v>
      </c>
      <c r="G957" s="206"/>
      <c r="H957" s="207" t="s">
        <v>212</v>
      </c>
      <c r="I957" s="208" t="str">
        <f ca="1">IF(H957="Unidade Construtiva",TEXT(A957,"00"),IF(H957="Célula Construtiva",TEXT(B957,"00"),IF(H957="Etapa",CONCATENATE(TEXT(B957,"00"),".",TEXT(C957,"000")),IF(H957="Subetapa",CONCATENATE(TEXT(B957,"00"),".",TEXT(C957,"000"),".",TEXT(D957,"000")),IF(H957="Serviço",CONCATENATE(TEXT(B957,"00"),".",TEXT(C957,"000"),".",TEXT(D957,"000"),".",TEXT(E957,"000")),"")))))</f>
        <v>14.003.002.002</v>
      </c>
      <c r="J957" s="471" t="s">
        <v>4186</v>
      </c>
      <c r="K957" s="210" t="s">
        <v>1</v>
      </c>
      <c r="L957" s="455">
        <f>Arquitetura!D780+Arquitetura!D781+Arquitetura!D779</f>
        <v>680.5200000000001</v>
      </c>
      <c r="M957" s="455"/>
      <c r="N957" s="285">
        <f t="shared" si="241"/>
        <v>0</v>
      </c>
      <c r="O957" s="462" t="s">
        <v>4187</v>
      </c>
      <c r="P957" s="213" t="s">
        <v>518</v>
      </c>
      <c r="Q957" s="35"/>
      <c r="R957" s="35"/>
      <c r="S957" s="35"/>
    </row>
    <row r="958" spans="1:19" s="34" customFormat="1" ht="13.9" hidden="1" customHeight="1" outlineLevel="2" x14ac:dyDescent="0.2">
      <c r="A958" s="457">
        <f ca="1">IF($H958="UNIDADE CONSTRUTIVA",OFFSET(A958,-1,0)+1,LARGE(A$3:A957,1))</f>
        <v>0</v>
      </c>
      <c r="B958" s="457">
        <f ca="1">IF(H958="UNIDADE CONSTRUTIVA",0,IF(H958="CÉLULA CONSTRUTIVA",OFFSET(B958,-1,0)+1,OFFSET(B958,-1,0)))</f>
        <v>14</v>
      </c>
      <c r="C958" s="457">
        <f ca="1">IF(H958="CÉLULA CONSTRUTIVA",0,IF(H958="ETAPA",OFFSET(C958,-1,0)+1,OFFSET(C958,-1,0)))</f>
        <v>3</v>
      </c>
      <c r="D958" s="458">
        <f ca="1">IF(H958="ETAPA",0,IF(H958="SUBETAPA",OFFSET(D958,-1,0)+1,OFFSET(D958,-1,0)))</f>
        <v>3</v>
      </c>
      <c r="E958" s="458">
        <f ca="1">IF(H958="Subetapa",0,IF(H958="serviço",OFFSET(E958,-1,0)+1,OFFSET(E958,-1,0)))</f>
        <v>0</v>
      </c>
      <c r="G958" s="206"/>
      <c r="H958" s="207" t="s">
        <v>211</v>
      </c>
      <c r="I958" s="208" t="str">
        <f ca="1">IF(H958="Unidade Construtiva",TEXT(A958,"00"),IF(H958="Célula Construtiva",TEXT(B958,"00"),IF(H958="Etapa",CONCATENATE(TEXT(B958,"00"),".",TEXT(C958,"000")),IF(H958="Subetapa",CONCATENATE(TEXT(B958,"00"),".",TEXT(C958,"000"),".",TEXT(D958,"000")),IF(H958="Serviço",CONCATENATE(TEXT(B958,"00"),".",TEXT(C958,"000"),".",TEXT(D958,"000"),".",TEXT(E958,"000")),"")))))</f>
        <v>14.003.003</v>
      </c>
      <c r="J958" s="209" t="s">
        <v>559</v>
      </c>
      <c r="K958" s="210"/>
      <c r="L958" s="455"/>
      <c r="M958" s="455"/>
      <c r="N958" s="285">
        <f t="shared" ca="1" si="241"/>
        <v>577.50646499999993</v>
      </c>
      <c r="O958" s="462"/>
      <c r="P958" s="213"/>
      <c r="Q958" s="35"/>
      <c r="R958" s="35"/>
      <c r="S958" s="35"/>
    </row>
    <row r="959" spans="1:19" s="34" customFormat="1" ht="13.9" hidden="1" customHeight="1" outlineLevel="3" x14ac:dyDescent="0.2">
      <c r="A959" s="457">
        <f ca="1">IF($H959="UNIDADE CONSTRUTIVA",OFFSET(A959,-1,0)+1,LARGE(A$3:A958,1))</f>
        <v>0</v>
      </c>
      <c r="B959" s="457">
        <f ca="1">IF(H959="UNIDADE CONSTRUTIVA",0,IF(H959="CÉLULA CONSTRUTIVA",OFFSET(B959,-1,0)+1,OFFSET(B959,-1,0)))</f>
        <v>14</v>
      </c>
      <c r="C959" s="457">
        <f ca="1">IF(H959="CÉLULA CONSTRUTIVA",0,IF(H959="ETAPA",OFFSET(C959,-1,0)+1,OFFSET(C959,-1,0)))</f>
        <v>3</v>
      </c>
      <c r="D959" s="458">
        <f ca="1">IF(H959="ETAPA",0,IF(H959="SUBETAPA",OFFSET(D959,-1,0)+1,OFFSET(D959,-1,0)))</f>
        <v>3</v>
      </c>
      <c r="E959" s="458">
        <f ca="1">IF(H959="Subetapa",0,IF(H959="serviço",OFFSET(E959,-1,0)+1,OFFSET(E959,-1,0)))</f>
        <v>1</v>
      </c>
      <c r="G959" s="206"/>
      <c r="H959" s="207" t="s">
        <v>212</v>
      </c>
      <c r="I959" s="208" t="str">
        <f ca="1">IF(H959="Unidade Construtiva",TEXT(A959,"00"),IF(H959="Célula Construtiva",TEXT(B959,"00"),IF(H959="Etapa",CONCATENATE(TEXT(B959,"00"),".",TEXT(C959,"000")),IF(H959="Subetapa",CONCATENATE(TEXT(B959,"00"),".",TEXT(C959,"000"),".",TEXT(D959,"000")),IF(H959="Serviço",CONCATENATE(TEXT(B959,"00"),".",TEXT(C959,"000"),".",TEXT(D959,"000"),".",TEXT(E959,"000")),"")))))</f>
        <v>14.003.003.001</v>
      </c>
      <c r="J959" s="209" t="s">
        <v>4195</v>
      </c>
      <c r="K959" s="210" t="s">
        <v>1</v>
      </c>
      <c r="L959" s="455">
        <f>Arquitetura!D866</f>
        <v>6.35</v>
      </c>
      <c r="M959" s="455">
        <v>90.945899999999995</v>
      </c>
      <c r="N959" s="285">
        <f t="shared" si="241"/>
        <v>577.50646499999993</v>
      </c>
      <c r="O959" s="462"/>
      <c r="P959" s="213" t="s">
        <v>518</v>
      </c>
      <c r="Q959" s="35"/>
      <c r="R959" s="35"/>
      <c r="S959" s="35"/>
    </row>
    <row r="960" spans="1:19" s="34" customFormat="1" ht="13.9" hidden="1" customHeight="1" outlineLevel="2" x14ac:dyDescent="0.2">
      <c r="A960" s="457">
        <f ca="1">IF($H960="UNIDADE CONSTRUTIVA",OFFSET(A960,-1,0)+1,LARGE(A$3:A959,1))</f>
        <v>0</v>
      </c>
      <c r="B960" s="457">
        <f ca="1">IF(H960="UNIDADE CONSTRUTIVA",0,IF(H960="CÉLULA CONSTRUTIVA",OFFSET(B960,-1,0)+1,OFFSET(B960,-1,0)))</f>
        <v>14</v>
      </c>
      <c r="C960" s="457">
        <f ca="1">IF(H960="CÉLULA CONSTRUTIVA",0,IF(H960="ETAPA",OFFSET(C960,-1,0)+1,OFFSET(C960,-1,0)))</f>
        <v>3</v>
      </c>
      <c r="D960" s="458">
        <f ca="1">IF(H960="ETAPA",0,IF(H960="SUBETAPA",OFFSET(D960,-1,0)+1,OFFSET(D960,-1,0)))</f>
        <v>4</v>
      </c>
      <c r="E960" s="458">
        <f ca="1">IF(H960="Subetapa",0,IF(H960="serviço",OFFSET(E960,-1,0)+1,OFFSET(E960,-1,0)))</f>
        <v>0</v>
      </c>
      <c r="G960" s="206"/>
      <c r="H960" s="207" t="s">
        <v>211</v>
      </c>
      <c r="I960" s="208" t="str">
        <f ca="1">IF(H960="Unidade Construtiva",TEXT(A960,"00"),IF(H960="Célula Construtiva",TEXT(B960,"00"),IF(H960="Etapa",CONCATENATE(TEXT(B960,"00"),".",TEXT(C960,"000")),IF(H960="Subetapa",CONCATENATE(TEXT(B960,"00"),".",TEXT(C960,"000"),".",TEXT(D960,"000")),IF(H960="Serviço",CONCATENATE(TEXT(B960,"00"),".",TEXT(C960,"000"),".",TEXT(D960,"000"),".",TEXT(E960,"000")),"")))))</f>
        <v>14.003.004</v>
      </c>
      <c r="J960" s="209" t="s">
        <v>134</v>
      </c>
      <c r="K960" s="210"/>
      <c r="L960" s="455"/>
      <c r="M960" s="455"/>
      <c r="N960" s="285">
        <f t="shared" ca="1" si="241"/>
        <v>57.62570199999999</v>
      </c>
      <c r="O960" s="462"/>
      <c r="P960" s="213"/>
      <c r="Q960" s="35"/>
      <c r="R960" s="35"/>
      <c r="S960" s="35"/>
    </row>
    <row r="961" spans="1:19" s="34" customFormat="1" ht="13.9" hidden="1" customHeight="1" outlineLevel="3" x14ac:dyDescent="0.2">
      <c r="A961" s="457">
        <f ca="1">IF($H961="UNIDADE CONSTRUTIVA",OFFSET(A961,-1,0)+1,LARGE(A$3:A960,1))</f>
        <v>0</v>
      </c>
      <c r="B961" s="457">
        <f ca="1">IF(H961="UNIDADE CONSTRUTIVA",0,IF(H961="CÉLULA CONSTRUTIVA",OFFSET(B961,-1,0)+1,OFFSET(B961,-1,0)))</f>
        <v>14</v>
      </c>
      <c r="C961" s="457">
        <f ca="1">IF(H961="CÉLULA CONSTRUTIVA",0,IF(H961="ETAPA",OFFSET(C961,-1,0)+1,OFFSET(C961,-1,0)))</f>
        <v>3</v>
      </c>
      <c r="D961" s="458">
        <f ca="1">IF(H961="ETAPA",0,IF(H961="SUBETAPA",OFFSET(D961,-1,0)+1,OFFSET(D961,-1,0)))</f>
        <v>4</v>
      </c>
      <c r="E961" s="458">
        <f ca="1">IF(H961="Subetapa",0,IF(H961="serviço",OFFSET(E961,-1,0)+1,OFFSET(E961,-1,0)))</f>
        <v>1</v>
      </c>
      <c r="G961" s="206"/>
      <c r="H961" s="207" t="s">
        <v>212</v>
      </c>
      <c r="I961" s="208" t="str">
        <f ca="1">IF(H961="Unidade Construtiva",TEXT(A961,"00"),IF(H961="Célula Construtiva",TEXT(B961,"00"),IF(H961="Etapa",CONCATENATE(TEXT(B961,"00"),".",TEXT(C961,"000")),IF(H961="Subetapa",CONCATENATE(TEXT(B961,"00"),".",TEXT(C961,"000"),".",TEXT(D961,"000")),IF(H961="Serviço",CONCATENATE(TEXT(B961,"00"),".",TEXT(C961,"000"),".",TEXT(D961,"000"),".",TEXT(E961,"000")),"")))))</f>
        <v>14.003.004.001</v>
      </c>
      <c r="J961" s="209" t="s">
        <v>561</v>
      </c>
      <c r="K961" s="210" t="s">
        <v>3</v>
      </c>
      <c r="L961" s="455">
        <f>Arquitetura!D1024</f>
        <v>6.47</v>
      </c>
      <c r="M961" s="455">
        <v>8.9065999999999992</v>
      </c>
      <c r="N961" s="285">
        <f t="shared" si="241"/>
        <v>57.62570199999999</v>
      </c>
      <c r="O961" s="462"/>
      <c r="P961" s="213" t="s">
        <v>518</v>
      </c>
      <c r="Q961" s="35"/>
      <c r="R961" s="35"/>
      <c r="S961" s="35"/>
    </row>
    <row r="962" spans="1:19" s="34" customFormat="1" ht="13.9" hidden="1" customHeight="1" outlineLevel="2" x14ac:dyDescent="0.2">
      <c r="A962" s="457">
        <f ca="1">IF($H962="UNIDADE CONSTRUTIVA",OFFSET(A962,-1,0)+1,LARGE(A$3:A961,1))</f>
        <v>0</v>
      </c>
      <c r="B962" s="457">
        <f t="shared" ca="1" si="215"/>
        <v>14</v>
      </c>
      <c r="C962" s="457">
        <f t="shared" ca="1" si="216"/>
        <v>3</v>
      </c>
      <c r="D962" s="458">
        <f t="shared" ca="1" si="217"/>
        <v>5</v>
      </c>
      <c r="E962" s="458">
        <f t="shared" ca="1" si="218"/>
        <v>0</v>
      </c>
      <c r="G962" s="206"/>
      <c r="H962" s="207" t="s">
        <v>211</v>
      </c>
      <c r="I962" s="208" t="str">
        <f t="shared" ca="1" si="185"/>
        <v>14.003.005</v>
      </c>
      <c r="J962" s="209" t="s">
        <v>434</v>
      </c>
      <c r="K962" s="210"/>
      <c r="L962" s="455"/>
      <c r="M962" s="455"/>
      <c r="N962" s="285">
        <f t="shared" ca="1" si="241"/>
        <v>13939.380000000001</v>
      </c>
      <c r="O962" s="462"/>
      <c r="P962" s="213"/>
      <c r="Q962" s="35"/>
      <c r="R962" s="35"/>
      <c r="S962" s="35"/>
    </row>
    <row r="963" spans="1:19" s="34" customFormat="1" ht="13.9" hidden="1" customHeight="1" outlineLevel="3" x14ac:dyDescent="0.2">
      <c r="A963" s="457">
        <f ca="1">IF($H963="UNIDADE CONSTRUTIVA",OFFSET(A963,-1,0)+1,LARGE(A$3:A962,1))</f>
        <v>0</v>
      </c>
      <c r="B963" s="457">
        <f t="shared" ca="1" si="215"/>
        <v>14</v>
      </c>
      <c r="C963" s="457">
        <f t="shared" ca="1" si="216"/>
        <v>3</v>
      </c>
      <c r="D963" s="458">
        <f t="shared" ca="1" si="217"/>
        <v>5</v>
      </c>
      <c r="E963" s="458">
        <f t="shared" ca="1" si="218"/>
        <v>1</v>
      </c>
      <c r="G963" s="206"/>
      <c r="H963" s="207" t="s">
        <v>212</v>
      </c>
      <c r="I963" s="208" t="str">
        <f t="shared" ca="1" si="185"/>
        <v>14.003.005.001</v>
      </c>
      <c r="J963" s="209" t="s">
        <v>1023</v>
      </c>
      <c r="K963" s="210" t="s">
        <v>1</v>
      </c>
      <c r="L963" s="455">
        <f>L954</f>
        <v>83.47</v>
      </c>
      <c r="M963" s="455">
        <v>37</v>
      </c>
      <c r="N963" s="285">
        <f t="shared" si="241"/>
        <v>3088.39</v>
      </c>
      <c r="O963" s="462"/>
      <c r="P963" s="213" t="s">
        <v>518</v>
      </c>
      <c r="Q963" s="35"/>
      <c r="R963" s="35"/>
      <c r="S963" s="35"/>
    </row>
    <row r="964" spans="1:19" s="34" customFormat="1" ht="13.9" hidden="1" customHeight="1" outlineLevel="3" x14ac:dyDescent="0.2">
      <c r="A964" s="457">
        <f ca="1">IF($H964="UNIDADE CONSTRUTIVA",OFFSET(A964,-1,0)+1,LARGE(A$3:A963,1))</f>
        <v>0</v>
      </c>
      <c r="B964" s="457">
        <f t="shared" ca="1" si="215"/>
        <v>14</v>
      </c>
      <c r="C964" s="457">
        <f t="shared" ca="1" si="216"/>
        <v>3</v>
      </c>
      <c r="D964" s="458">
        <f t="shared" ca="1" si="217"/>
        <v>5</v>
      </c>
      <c r="E964" s="458">
        <f t="shared" ca="1" si="218"/>
        <v>2</v>
      </c>
      <c r="G964" s="206"/>
      <c r="H964" s="207" t="s">
        <v>212</v>
      </c>
      <c r="I964" s="208" t="str">
        <f t="shared" ca="1" si="185"/>
        <v>14.003.005.002</v>
      </c>
      <c r="J964" s="209" t="s">
        <v>1021</v>
      </c>
      <c r="K964" s="210" t="s">
        <v>1</v>
      </c>
      <c r="L964" s="455">
        <f>L956</f>
        <v>14.34</v>
      </c>
      <c r="M964" s="455">
        <v>15</v>
      </c>
      <c r="N964" s="285">
        <f t="shared" si="241"/>
        <v>215.1</v>
      </c>
      <c r="O964" s="462"/>
      <c r="P964" s="213" t="s">
        <v>518</v>
      </c>
      <c r="Q964" s="35"/>
      <c r="R964" s="35"/>
      <c r="S964" s="35"/>
    </row>
    <row r="965" spans="1:19" s="34" customFormat="1" ht="13.9" hidden="1" customHeight="1" outlineLevel="3" x14ac:dyDescent="0.2">
      <c r="A965" s="457">
        <f ca="1">IF($H965="UNIDADE CONSTRUTIVA",OFFSET(A965,-1,0)+1,LARGE(A$3:A964,1))</f>
        <v>0</v>
      </c>
      <c r="B965" s="457">
        <f ca="1">IF(H965="UNIDADE CONSTRUTIVA",0,IF(H965="CÉLULA CONSTRUTIVA",OFFSET(B965,-1,0)+1,OFFSET(B965,-1,0)))</f>
        <v>14</v>
      </c>
      <c r="C965" s="457">
        <f ca="1">IF(H965="CÉLULA CONSTRUTIVA",0,IF(H965="ETAPA",OFFSET(C965,-1,0)+1,OFFSET(C965,-1,0)))</f>
        <v>3</v>
      </c>
      <c r="D965" s="458">
        <f ca="1">IF(H965="ETAPA",0,IF(H965="SUBETAPA",OFFSET(D965,-1,0)+1,OFFSET(D965,-1,0)))</f>
        <v>5</v>
      </c>
      <c r="E965" s="458">
        <f ca="1">IF(H965="Subetapa",0,IF(H965="serviço",OFFSET(E965,-1,0)+1,OFFSET(E965,-1,0)))</f>
        <v>3</v>
      </c>
      <c r="G965" s="206"/>
      <c r="H965" s="207" t="s">
        <v>212</v>
      </c>
      <c r="I965" s="208" t="str">
        <f ca="1">IF(H965="Unidade Construtiva",TEXT(A965,"00"),IF(H965="Célula Construtiva",TEXT(B965,"00"),IF(H965="Etapa",CONCATENATE(TEXT(B965,"00"),".",TEXT(C965,"000")),IF(H965="Subetapa",CONCATENATE(TEXT(B965,"00"),".",TEXT(C965,"000"),".",TEXT(D965,"000")),IF(H965="Serviço",CONCATENATE(TEXT(B965,"00"),".",TEXT(C965,"000"),".",TEXT(D965,"000"),".",TEXT(E965,"000")),"")))))</f>
        <v>14.003.005.003</v>
      </c>
      <c r="J965" s="209" t="s">
        <v>4202</v>
      </c>
      <c r="K965" s="210" t="s">
        <v>1</v>
      </c>
      <c r="L965" s="455">
        <f>L957</f>
        <v>680.5200000000001</v>
      </c>
      <c r="M965" s="455">
        <v>15</v>
      </c>
      <c r="N965" s="285">
        <f t="shared" si="241"/>
        <v>10207.800000000001</v>
      </c>
      <c r="O965" s="462"/>
      <c r="P965" s="213" t="s">
        <v>518</v>
      </c>
      <c r="Q965" s="35"/>
      <c r="R965" s="35"/>
      <c r="S965" s="35"/>
    </row>
    <row r="966" spans="1:19" s="34" customFormat="1" ht="13.9" hidden="1" customHeight="1" outlineLevel="3" x14ac:dyDescent="0.2">
      <c r="A966" s="457">
        <f ca="1">IF($H966="UNIDADE CONSTRUTIVA",OFFSET(A966,-1,0)+1,LARGE(A$3:A965,1))</f>
        <v>0</v>
      </c>
      <c r="B966" s="457">
        <f ca="1">IF(H966="UNIDADE CONSTRUTIVA",0,IF(H966="CÉLULA CONSTRUTIVA",OFFSET(B966,-1,0)+1,OFFSET(B966,-1,0)))</f>
        <v>14</v>
      </c>
      <c r="C966" s="457">
        <f ca="1">IF(H966="CÉLULA CONSTRUTIVA",0,IF(H966="ETAPA",OFFSET(C966,-1,0)+1,OFFSET(C966,-1,0)))</f>
        <v>3</v>
      </c>
      <c r="D966" s="458">
        <f ca="1">IF(H966="ETAPA",0,IF(H966="SUBETAPA",OFFSET(D966,-1,0)+1,OFFSET(D966,-1,0)))</f>
        <v>5</v>
      </c>
      <c r="E966" s="458">
        <f ca="1">IF(H966="Subetapa",0,IF(H966="serviço",OFFSET(E966,-1,0)+1,OFFSET(E966,-1,0)))</f>
        <v>4</v>
      </c>
      <c r="G966" s="206"/>
      <c r="H966" s="207" t="s">
        <v>212</v>
      </c>
      <c r="I966" s="208" t="str">
        <f ca="1">IF(H966="Unidade Construtiva",TEXT(A966,"00"),IF(H966="Célula Construtiva",TEXT(B966,"00"),IF(H966="Etapa",CONCATENATE(TEXT(B966,"00"),".",TEXT(C966,"000")),IF(H966="Subetapa",CONCATENATE(TEXT(B966,"00"),".",TEXT(C966,"000"),".",TEXT(D966,"000")),IF(H966="Serviço",CONCATENATE(TEXT(B966,"00"),".",TEXT(C966,"000"),".",TEXT(D966,"000"),".",TEXT(E966,"000")),"")))))</f>
        <v>14.003.005.004</v>
      </c>
      <c r="J966" s="209" t="s">
        <v>1022</v>
      </c>
      <c r="K966" s="210" t="s">
        <v>1</v>
      </c>
      <c r="L966" s="455">
        <f>L959</f>
        <v>6.35</v>
      </c>
      <c r="M966" s="455">
        <v>45</v>
      </c>
      <c r="N966" s="285">
        <f t="shared" si="241"/>
        <v>285.75</v>
      </c>
      <c r="O966" s="462"/>
      <c r="P966" s="213" t="s">
        <v>518</v>
      </c>
      <c r="Q966" s="35"/>
      <c r="R966" s="35"/>
      <c r="S966" s="35"/>
    </row>
    <row r="967" spans="1:19" s="34" customFormat="1" ht="13.9" hidden="1" customHeight="1" outlineLevel="3" x14ac:dyDescent="0.2">
      <c r="A967" s="457">
        <f ca="1">IF($H967="UNIDADE CONSTRUTIVA",OFFSET(A967,-1,0)+1,LARGE(A$3:A966,1))</f>
        <v>0</v>
      </c>
      <c r="B967" s="457">
        <f ca="1">IF(H967="UNIDADE CONSTRUTIVA",0,IF(H967="CÉLULA CONSTRUTIVA",OFFSET(B967,-1,0)+1,OFFSET(B967,-1,0)))</f>
        <v>14</v>
      </c>
      <c r="C967" s="457">
        <f ca="1">IF(H967="CÉLULA CONSTRUTIVA",0,IF(H967="ETAPA",OFFSET(C967,-1,0)+1,OFFSET(C967,-1,0)))</f>
        <v>3</v>
      </c>
      <c r="D967" s="458">
        <f ca="1">IF(H967="ETAPA",0,IF(H967="SUBETAPA",OFFSET(D967,-1,0)+1,OFFSET(D967,-1,0)))</f>
        <v>5</v>
      </c>
      <c r="E967" s="458">
        <f ca="1">IF(H967="Subetapa",0,IF(H967="serviço",OFFSET(E967,-1,0)+1,OFFSET(E967,-1,0)))</f>
        <v>5</v>
      </c>
      <c r="G967" s="206"/>
      <c r="H967" s="207" t="s">
        <v>212</v>
      </c>
      <c r="I967" s="208" t="str">
        <f ca="1">IF(H967="Unidade Construtiva",TEXT(A967,"00"),IF(H967="Célula Construtiva",TEXT(B967,"00"),IF(H967="Etapa",CONCATENATE(TEXT(B967,"00"),".",TEXT(C967,"000")),IF(H967="Subetapa",CONCATENATE(TEXT(B967,"00"),".",TEXT(C967,"000"),".",TEXT(D967,"000")),IF(H967="Serviço",CONCATENATE(TEXT(B967,"00"),".",TEXT(C967,"000"),".",TEXT(D967,"000"),".",TEXT(E967,"000")),"")))))</f>
        <v>14.003.005.005</v>
      </c>
      <c r="J967" s="209" t="s">
        <v>4204</v>
      </c>
      <c r="K967" s="210" t="s">
        <v>3</v>
      </c>
      <c r="L967" s="455">
        <f>L961</f>
        <v>6.47</v>
      </c>
      <c r="M967" s="455">
        <v>22</v>
      </c>
      <c r="N967" s="285">
        <f t="shared" si="241"/>
        <v>142.34</v>
      </c>
      <c r="O967" s="462"/>
      <c r="P967" s="213" t="s">
        <v>518</v>
      </c>
      <c r="Q967" s="35"/>
      <c r="R967" s="35"/>
      <c r="S967" s="35"/>
    </row>
    <row r="968" spans="1:19" s="34" customFormat="1" ht="13.9" hidden="1" customHeight="1" outlineLevel="1" x14ac:dyDescent="0.2">
      <c r="A968" s="457">
        <f ca="1">IF($H968="UNIDADE CONSTRUTIVA",OFFSET(A968,-1,0)+1,LARGE(A$3:A967,1))</f>
        <v>0</v>
      </c>
      <c r="B968" s="457">
        <f t="shared" ca="1" si="215"/>
        <v>14</v>
      </c>
      <c r="C968" s="457">
        <f t="shared" ca="1" si="216"/>
        <v>4</v>
      </c>
      <c r="D968" s="458">
        <f t="shared" ca="1" si="217"/>
        <v>0</v>
      </c>
      <c r="E968" s="458">
        <f t="shared" ca="1" si="218"/>
        <v>5</v>
      </c>
      <c r="G968" s="206"/>
      <c r="H968" s="207" t="s">
        <v>210</v>
      </c>
      <c r="I968" s="208" t="str">
        <f t="shared" ca="1" si="185"/>
        <v>14.004</v>
      </c>
      <c r="J968" s="209" t="s">
        <v>1031</v>
      </c>
      <c r="K968" s="210"/>
      <c r="L968" s="455"/>
      <c r="M968" s="455"/>
      <c r="N968" s="285">
        <f t="shared" ca="1" si="241"/>
        <v>174270.02522400001</v>
      </c>
      <c r="O968" s="462"/>
      <c r="P968" s="213"/>
      <c r="Q968" s="35"/>
      <c r="R968" s="35"/>
      <c r="S968" s="35"/>
    </row>
    <row r="969" spans="1:19" s="34" customFormat="1" ht="13.9" hidden="1" customHeight="1" outlineLevel="2" x14ac:dyDescent="0.2">
      <c r="A969" s="457">
        <f ca="1">IF($H969="UNIDADE CONSTRUTIVA",OFFSET(A969,-1,0)+1,LARGE(A$3:A968,1))</f>
        <v>0</v>
      </c>
      <c r="B969" s="457">
        <f t="shared" ca="1" si="215"/>
        <v>14</v>
      </c>
      <c r="C969" s="457">
        <f t="shared" ca="1" si="216"/>
        <v>4</v>
      </c>
      <c r="D969" s="458">
        <f t="shared" ca="1" si="217"/>
        <v>1</v>
      </c>
      <c r="E969" s="458">
        <f t="shared" ca="1" si="218"/>
        <v>0</v>
      </c>
      <c r="G969" s="206"/>
      <c r="H969" s="207" t="s">
        <v>211</v>
      </c>
      <c r="I969" s="208" t="str">
        <f t="shared" ca="1" si="185"/>
        <v>14.004.001</v>
      </c>
      <c r="J969" s="209" t="s">
        <v>133</v>
      </c>
      <c r="K969" s="210"/>
      <c r="L969" s="455"/>
      <c r="M969" s="455"/>
      <c r="N969" s="285">
        <f t="shared" ca="1" si="241"/>
        <v>26989.799202999999</v>
      </c>
      <c r="O969" s="462"/>
      <c r="P969" s="213"/>
      <c r="Q969" s="35"/>
      <c r="R969" s="35"/>
      <c r="S969" s="35"/>
    </row>
    <row r="970" spans="1:19" s="34" customFormat="1" ht="13.9" hidden="1" customHeight="1" outlineLevel="3" x14ac:dyDescent="0.2">
      <c r="A970" s="457">
        <f ca="1">IF($H970="UNIDADE CONSTRUTIVA",OFFSET(A970,-1,0)+1,LARGE(A$3:A969,1))</f>
        <v>0</v>
      </c>
      <c r="B970" s="457">
        <f ca="1">IF(H970="UNIDADE CONSTRUTIVA",0,IF(H970="CÉLULA CONSTRUTIVA",OFFSET(B970,-1,0)+1,OFFSET(B970,-1,0)))</f>
        <v>14</v>
      </c>
      <c r="C970" s="457">
        <f ca="1">IF(H970="CÉLULA CONSTRUTIVA",0,IF(H970="ETAPA",OFFSET(C970,-1,0)+1,OFFSET(C970,-1,0)))</f>
        <v>4</v>
      </c>
      <c r="D970" s="458">
        <f ca="1">IF(H970="ETAPA",0,IF(H970="SUBETAPA",OFFSET(D970,-1,0)+1,OFFSET(D970,-1,0)))</f>
        <v>1</v>
      </c>
      <c r="E970" s="458">
        <f ca="1">IF(H970="Subetapa",0,IF(H970="serviço",OFFSET(E970,-1,0)+1,OFFSET(E970,-1,0)))</f>
        <v>1</v>
      </c>
      <c r="G970" s="206"/>
      <c r="H970" s="207" t="s">
        <v>212</v>
      </c>
      <c r="I970" s="208" t="str">
        <f ca="1">IF(H970="Unidade Construtiva",TEXT(A970,"00"),IF(H970="Célula Construtiva",TEXT(B970,"00"),IF(H970="Etapa",CONCATENATE(TEXT(B970,"00"),".",TEXT(C970,"000")),IF(H970="Subetapa",CONCATENATE(TEXT(B970,"00"),".",TEXT(C970,"000"),".",TEXT(D970,"000")),IF(H970="Serviço",CONCATENATE(TEXT(B970,"00"),".",TEXT(C970,"000"),".",TEXT(D970,"000"),".",TEXT(E970,"000")),"")))))</f>
        <v>14.004.001.001</v>
      </c>
      <c r="J970" s="209" t="s">
        <v>1010</v>
      </c>
      <c r="K970" s="210" t="s">
        <v>1</v>
      </c>
      <c r="L970" s="455">
        <f>Arquitetura!D708</f>
        <v>73.05</v>
      </c>
      <c r="M970" s="455">
        <v>15.842499999999999</v>
      </c>
      <c r="N970" s="285">
        <f t="shared" si="241"/>
        <v>1157.294625</v>
      </c>
      <c r="O970" s="462"/>
      <c r="P970" s="213" t="s">
        <v>518</v>
      </c>
      <c r="Q970" s="35"/>
      <c r="R970" s="35"/>
      <c r="S970" s="35"/>
    </row>
    <row r="971" spans="1:19" s="34" customFormat="1" ht="13.9" hidden="1" customHeight="1" outlineLevel="3" x14ac:dyDescent="0.2">
      <c r="A971" s="457">
        <f ca="1">IF($H971="UNIDADE CONSTRUTIVA",OFFSET(A971,-1,0)+1,LARGE(A$3:A970,1))</f>
        <v>0</v>
      </c>
      <c r="B971" s="457">
        <f t="shared" ca="1" si="215"/>
        <v>14</v>
      </c>
      <c r="C971" s="457">
        <f t="shared" ca="1" si="216"/>
        <v>4</v>
      </c>
      <c r="D971" s="458">
        <f t="shared" ca="1" si="217"/>
        <v>1</v>
      </c>
      <c r="E971" s="458">
        <f t="shared" ca="1" si="218"/>
        <v>2</v>
      </c>
      <c r="G971" s="206"/>
      <c r="H971" s="207" t="s">
        <v>212</v>
      </c>
      <c r="I971" s="208" t="str">
        <f t="shared" ca="1" si="185"/>
        <v>14.004.001.002</v>
      </c>
      <c r="J971" s="209" t="s">
        <v>420</v>
      </c>
      <c r="K971" s="210" t="s">
        <v>1</v>
      </c>
      <c r="L971" s="455">
        <f>Arquitetura!D709</f>
        <v>839.62</v>
      </c>
      <c r="M971" s="455">
        <v>30.7669</v>
      </c>
      <c r="N971" s="285">
        <f t="shared" si="241"/>
        <v>25832.504578</v>
      </c>
      <c r="O971" s="462"/>
      <c r="P971" s="213" t="s">
        <v>518</v>
      </c>
      <c r="Q971" s="35"/>
      <c r="R971" s="35"/>
      <c r="S971" s="35"/>
    </row>
    <row r="972" spans="1:19" s="34" customFormat="1" ht="13.9" hidden="1" customHeight="1" outlineLevel="2" x14ac:dyDescent="0.2">
      <c r="A972" s="457">
        <f ca="1">IF($H972="UNIDADE CONSTRUTIVA",OFFSET(A972,-1,0)+1,LARGE(A$3:A971,1))</f>
        <v>0</v>
      </c>
      <c r="B972" s="457">
        <f ca="1">IF(H972="UNIDADE CONSTRUTIVA",0,IF(H972="CÉLULA CONSTRUTIVA",OFFSET(B972,-1,0)+1,OFFSET(B972,-1,0)))</f>
        <v>14</v>
      </c>
      <c r="C972" s="457">
        <f ca="1">IF(H972="CÉLULA CONSTRUTIVA",0,IF(H972="ETAPA",OFFSET(C972,-1,0)+1,OFFSET(C972,-1,0)))</f>
        <v>4</v>
      </c>
      <c r="D972" s="458">
        <f ca="1">IF(H972="ETAPA",0,IF(H972="SUBETAPA",OFFSET(D972,-1,0)+1,OFFSET(D972,-1,0)))</f>
        <v>2</v>
      </c>
      <c r="E972" s="458">
        <f ca="1">IF(H972="Subetapa",0,IF(H972="serviço",OFFSET(E972,-1,0)+1,OFFSET(E972,-1,0)))</f>
        <v>0</v>
      </c>
      <c r="G972" s="206"/>
      <c r="H972" s="207" t="s">
        <v>211</v>
      </c>
      <c r="I972" s="208" t="str">
        <f ca="1">IF(H972="Unidade Construtiva",TEXT(A972,"00"),IF(H972="Célula Construtiva",TEXT(B972,"00"),IF(H972="Etapa",CONCATENATE(TEXT(B972,"00"),".",TEXT(C972,"000")),IF(H972="Subetapa",CONCATENATE(TEXT(B972,"00"),".",TEXT(C972,"000"),".",TEXT(D972,"000")),IF(H972="Serviço",CONCATENATE(TEXT(B972,"00"),".",TEXT(C972,"000"),".",TEXT(D972,"000"),".",TEXT(E972,"000")),"")))))</f>
        <v>14.004.002</v>
      </c>
      <c r="J972" s="209" t="s">
        <v>421</v>
      </c>
      <c r="K972" s="210"/>
      <c r="L972" s="455"/>
      <c r="M972" s="455"/>
      <c r="N972" s="285">
        <f t="shared" ca="1" si="241"/>
        <v>0</v>
      </c>
      <c r="O972" s="462"/>
      <c r="P972" s="213"/>
      <c r="Q972" s="35"/>
      <c r="R972" s="35"/>
      <c r="S972" s="35"/>
    </row>
    <row r="973" spans="1:19" s="34" customFormat="1" ht="13.9" hidden="1" customHeight="1" outlineLevel="3" x14ac:dyDescent="0.2">
      <c r="A973" s="457">
        <f ca="1">IF($H973="UNIDADE CONSTRUTIVA",OFFSET(A973,-1,0)+1,LARGE(A$3:A972,1))</f>
        <v>0</v>
      </c>
      <c r="B973" s="457">
        <f ca="1">IF(H973="UNIDADE CONSTRUTIVA",0,IF(H973="CÉLULA CONSTRUTIVA",OFFSET(B973,-1,0)+1,OFFSET(B973,-1,0)))</f>
        <v>14</v>
      </c>
      <c r="C973" s="457">
        <f ca="1">IF(H973="CÉLULA CONSTRUTIVA",0,IF(H973="ETAPA",OFFSET(C973,-1,0)+1,OFFSET(C973,-1,0)))</f>
        <v>4</v>
      </c>
      <c r="D973" s="458">
        <f ca="1">IF(H973="ETAPA",0,IF(H973="SUBETAPA",OFFSET(D973,-1,0)+1,OFFSET(D973,-1,0)))</f>
        <v>2</v>
      </c>
      <c r="E973" s="458">
        <f ca="1">IF(H973="Subetapa",0,IF(H973="serviço",OFFSET(E973,-1,0)+1,OFFSET(E973,-1,0)))</f>
        <v>1</v>
      </c>
      <c r="G973" s="206"/>
      <c r="H973" s="207" t="s">
        <v>212</v>
      </c>
      <c r="I973" s="208" t="str">
        <f ca="1">IF(H973="Unidade Construtiva",TEXT(A973,"00"),IF(H973="Célula Construtiva",TEXT(B973,"00"),IF(H973="Etapa",CONCATENATE(TEXT(B973,"00"),".",TEXT(C973,"000")),IF(H973="Subetapa",CONCATENATE(TEXT(B973,"00"),".",TEXT(C973,"000"),".",TEXT(D973,"000")),IF(H973="Serviço",CONCATENATE(TEXT(B973,"00"),".",TEXT(C973,"000"),".",TEXT(D973,"000"),".",TEXT(E973,"000")),"")))))</f>
        <v>14.004.002.001</v>
      </c>
      <c r="J973" s="471" t="s">
        <v>4186</v>
      </c>
      <c r="K973" s="210" t="s">
        <v>1</v>
      </c>
      <c r="L973" s="455">
        <f>Arquitetura!D785+Arquitetura!D784</f>
        <v>11.11</v>
      </c>
      <c r="M973" s="455"/>
      <c r="N973" s="285">
        <f t="shared" si="241"/>
        <v>0</v>
      </c>
      <c r="O973" s="462" t="s">
        <v>4190</v>
      </c>
      <c r="P973" s="213" t="s">
        <v>518</v>
      </c>
      <c r="Q973" s="35"/>
      <c r="R973" s="35"/>
      <c r="S973" s="35"/>
    </row>
    <row r="974" spans="1:19" s="34" customFormat="1" ht="13.9" hidden="1" customHeight="1" outlineLevel="2" x14ac:dyDescent="0.2">
      <c r="A974" s="457">
        <f ca="1">IF($H974="UNIDADE CONSTRUTIVA",OFFSET(A974,-1,0)+1,LARGE(A$3:A973,1))</f>
        <v>0</v>
      </c>
      <c r="B974" s="457">
        <f t="shared" ca="1" si="215"/>
        <v>14</v>
      </c>
      <c r="C974" s="457">
        <f t="shared" ca="1" si="216"/>
        <v>4</v>
      </c>
      <c r="D974" s="458">
        <f t="shared" ca="1" si="217"/>
        <v>3</v>
      </c>
      <c r="E974" s="458">
        <f t="shared" ca="1" si="218"/>
        <v>0</v>
      </c>
      <c r="G974" s="206"/>
      <c r="H974" s="207" t="s">
        <v>211</v>
      </c>
      <c r="I974" s="208" t="str">
        <f t="shared" ca="1" si="185"/>
        <v>14.004.003</v>
      </c>
      <c r="J974" s="209" t="s">
        <v>559</v>
      </c>
      <c r="K974" s="210"/>
      <c r="L974" s="455"/>
      <c r="M974" s="455"/>
      <c r="N974" s="285">
        <f t="shared" ca="1" si="241"/>
        <v>64582.901139000009</v>
      </c>
      <c r="O974" s="462"/>
      <c r="P974" s="213"/>
      <c r="Q974" s="35"/>
      <c r="R974" s="35"/>
      <c r="S974" s="35"/>
    </row>
    <row r="975" spans="1:19" s="34" customFormat="1" ht="13.9" hidden="1" customHeight="1" outlineLevel="3" x14ac:dyDescent="0.2">
      <c r="A975" s="457">
        <f ca="1">IF($H975="UNIDADE CONSTRUTIVA",OFFSET(A975,-1,0)+1,LARGE(A$3:A974,1))</f>
        <v>0</v>
      </c>
      <c r="B975" s="457">
        <f t="shared" ca="1" si="215"/>
        <v>14</v>
      </c>
      <c r="C975" s="457">
        <f t="shared" ca="1" si="216"/>
        <v>4</v>
      </c>
      <c r="D975" s="458">
        <f t="shared" ca="1" si="217"/>
        <v>3</v>
      </c>
      <c r="E975" s="458">
        <f t="shared" ca="1" si="218"/>
        <v>1</v>
      </c>
      <c r="G975" s="206"/>
      <c r="H975" s="207" t="s">
        <v>212</v>
      </c>
      <c r="I975" s="208" t="str">
        <f t="shared" ca="1" si="185"/>
        <v>14.004.003.001</v>
      </c>
      <c r="J975" s="209" t="s">
        <v>4195</v>
      </c>
      <c r="K975" s="210" t="s">
        <v>1</v>
      </c>
      <c r="L975" s="455">
        <f>SUM(Arquitetura!D869:D872)</f>
        <v>538.67000000000007</v>
      </c>
      <c r="M975" s="455">
        <v>91.0017</v>
      </c>
      <c r="N975" s="285">
        <f t="shared" si="241"/>
        <v>49019.885739000005</v>
      </c>
      <c r="O975" s="462"/>
      <c r="P975" s="213" t="s">
        <v>518</v>
      </c>
      <c r="Q975" s="35"/>
      <c r="R975" s="35"/>
      <c r="S975" s="35"/>
    </row>
    <row r="976" spans="1:19" s="34" customFormat="1" ht="13.9" hidden="1" customHeight="1" outlineLevel="3" x14ac:dyDescent="0.2">
      <c r="A976" s="457">
        <f ca="1">IF($H976="UNIDADE CONSTRUTIVA",OFFSET(A976,-1,0)+1,LARGE(A$3:A975,1))</f>
        <v>0</v>
      </c>
      <c r="B976" s="457">
        <f ca="1">IF(H976="UNIDADE CONSTRUTIVA",0,IF(H976="CÉLULA CONSTRUTIVA",OFFSET(B976,-1,0)+1,OFFSET(B976,-1,0)))</f>
        <v>14</v>
      </c>
      <c r="C976" s="457">
        <f ca="1">IF(H976="CÉLULA CONSTRUTIVA",0,IF(H976="ETAPA",OFFSET(C976,-1,0)+1,OFFSET(C976,-1,0)))</f>
        <v>4</v>
      </c>
      <c r="D976" s="458">
        <f ca="1">IF(H976="ETAPA",0,IF(H976="SUBETAPA",OFFSET(D976,-1,0)+1,OFFSET(D976,-1,0)))</f>
        <v>3</v>
      </c>
      <c r="E976" s="458">
        <f ca="1">IF(H976="Subetapa",0,IF(H976="serviço",OFFSET(E976,-1,0)+1,OFFSET(E976,-1,0)))</f>
        <v>2</v>
      </c>
      <c r="G976" s="206"/>
      <c r="H976" s="207" t="s">
        <v>212</v>
      </c>
      <c r="I976" s="208" t="str">
        <f t="shared" ca="1" si="185"/>
        <v>14.004.003.002</v>
      </c>
      <c r="J976" s="471" t="s">
        <v>1025</v>
      </c>
      <c r="K976" s="210" t="s">
        <v>1</v>
      </c>
      <c r="L976" s="455">
        <f>Arquitetura!D873+Arquitetura!D981</f>
        <v>67.8</v>
      </c>
      <c r="M976" s="455">
        <v>229.54300000000001</v>
      </c>
      <c r="N976" s="285">
        <f t="shared" si="241"/>
        <v>15563.0154</v>
      </c>
      <c r="O976" s="462"/>
      <c r="P976" s="213" t="s">
        <v>518</v>
      </c>
      <c r="Q976" s="35"/>
      <c r="R976" s="35"/>
      <c r="S976" s="35"/>
    </row>
    <row r="977" spans="1:19" s="34" customFormat="1" ht="13.9" hidden="1" customHeight="1" outlineLevel="2" x14ac:dyDescent="0.2">
      <c r="A977" s="457">
        <f ca="1">IF($H977="UNIDADE CONSTRUTIVA",OFFSET(A977,-1,0)+1,LARGE(A$3:A976,1))</f>
        <v>0</v>
      </c>
      <c r="B977" s="457">
        <f ca="1">IF(H977="UNIDADE CONSTRUTIVA",0,IF(H977="CÉLULA CONSTRUTIVA",OFFSET(B977,-1,0)+1,OFFSET(B977,-1,0)))</f>
        <v>14</v>
      </c>
      <c r="C977" s="457">
        <f ca="1">IF(H977="CÉLULA CONSTRUTIVA",0,IF(H977="ETAPA",OFFSET(C977,-1,0)+1,OFFSET(C977,-1,0)))</f>
        <v>4</v>
      </c>
      <c r="D977" s="458">
        <f ca="1">IF(H977="ETAPA",0,IF(H977="SUBETAPA",OFFSET(D977,-1,0)+1,OFFSET(D977,-1,0)))</f>
        <v>4</v>
      </c>
      <c r="E977" s="458">
        <f ca="1">IF(H977="Subetapa",0,IF(H977="serviço",OFFSET(E977,-1,0)+1,OFFSET(E977,-1,0)))</f>
        <v>0</v>
      </c>
      <c r="G977" s="206"/>
      <c r="H977" s="207" t="s">
        <v>211</v>
      </c>
      <c r="I977" s="208" t="str">
        <f ca="1">IF(H977="Unidade Construtiva",TEXT(A977,"00"),IF(H977="Célula Construtiva",TEXT(B977,"00"),IF(H977="Etapa",CONCATENATE(TEXT(B977,"00"),".",TEXT(C977,"000")),IF(H977="Subetapa",CONCATENATE(TEXT(B977,"00"),".",TEXT(C977,"000"),".",TEXT(D977,"000")),IF(H977="Serviço",CONCATENATE(TEXT(B977,"00"),".",TEXT(C977,"000"),".",TEXT(D977,"000"),".",TEXT(E977,"000")),"")))))</f>
        <v>14.004.004</v>
      </c>
      <c r="J977" s="209" t="s">
        <v>262</v>
      </c>
      <c r="K977" s="210"/>
      <c r="L977" s="455"/>
      <c r="M977" s="455"/>
      <c r="N977" s="285">
        <f t="shared" ref="N977:N1008" ca="1" si="242">IF(H977="Serviço",M977*L977,IF(H977="CÉLULA CONSTRUTIVA",SUMIFS($N$8:$N$1505,$B$8:$B$1505,B977,$H$8:$H$1505,"Serviço"),IF(H977="ETAPA",SUMIFS($N$8:$N$1505,$B$8:$B$1505,B977,$C$8:$C$1505,C977,$H$8:$H$1505,"Serviço"),IF(H977="SUBETAPA",SUMIFS($N$8:$N$1505,$B$8:$B$1505,B977,$C$8:$C$1505,C977,$D$8:$D$1505,D977,$H$8:$H$1505,"Serviço"),0))))</f>
        <v>3152.9745499999999</v>
      </c>
      <c r="O977" s="462"/>
      <c r="P977" s="213"/>
      <c r="Q977" s="35"/>
      <c r="R977" s="35"/>
      <c r="S977" s="35"/>
    </row>
    <row r="978" spans="1:19" s="34" customFormat="1" ht="13.9" hidden="1" customHeight="1" outlineLevel="3" x14ac:dyDescent="0.2">
      <c r="A978" s="457">
        <f ca="1">IF($H978="UNIDADE CONSTRUTIVA",OFFSET(A978,-1,0)+1,LARGE(A$3:A977,1))</f>
        <v>0</v>
      </c>
      <c r="B978" s="457">
        <f ca="1">IF(H978="UNIDADE CONSTRUTIVA",0,IF(H978="CÉLULA CONSTRUTIVA",OFFSET(B978,-1,0)+1,OFFSET(B978,-1,0)))</f>
        <v>14</v>
      </c>
      <c r="C978" s="457">
        <f ca="1">IF(H978="CÉLULA CONSTRUTIVA",0,IF(H978="ETAPA",OFFSET(C978,-1,0)+1,OFFSET(C978,-1,0)))</f>
        <v>4</v>
      </c>
      <c r="D978" s="458">
        <f ca="1">IF(H978="ETAPA",0,IF(H978="SUBETAPA",OFFSET(D978,-1,0)+1,OFFSET(D978,-1,0)))</f>
        <v>4</v>
      </c>
      <c r="E978" s="458">
        <f ca="1">IF(H978="Subetapa",0,IF(H978="serviço",OFFSET(E978,-1,0)+1,OFFSET(E978,-1,0)))</f>
        <v>1</v>
      </c>
      <c r="G978" s="206"/>
      <c r="H978" s="207" t="s">
        <v>212</v>
      </c>
      <c r="I978" s="208" t="str">
        <f ca="1">IF(H978="Unidade Construtiva",TEXT(A978,"00"),IF(H978="Célula Construtiva",TEXT(B978,"00"),IF(H978="Etapa",CONCATENATE(TEXT(B978,"00"),".",TEXT(C978,"000")),IF(H978="Subetapa",CONCATENATE(TEXT(B978,"00"),".",TEXT(C978,"000"),".",TEXT(D978,"000")),IF(H978="Serviço",CONCATENATE(TEXT(B978,"00"),".",TEXT(C978,"000"),".",TEXT(D978,"000"),".",TEXT(E978,"000")),"")))))</f>
        <v>14.004.004.001</v>
      </c>
      <c r="J978" s="209" t="s">
        <v>4197</v>
      </c>
      <c r="K978" s="210" t="s">
        <v>1</v>
      </c>
      <c r="L978" s="455">
        <f>Arquitetura!D980</f>
        <v>30.91</v>
      </c>
      <c r="M978" s="455">
        <v>102.005</v>
      </c>
      <c r="N978" s="285">
        <f t="shared" si="242"/>
        <v>3152.9745499999999</v>
      </c>
      <c r="O978" s="462" t="s">
        <v>4980</v>
      </c>
      <c r="P978" s="213" t="s">
        <v>518</v>
      </c>
      <c r="Q978" s="35"/>
      <c r="R978" s="35"/>
      <c r="S978" s="35"/>
    </row>
    <row r="979" spans="1:19" s="34" customFormat="1" ht="13.9" hidden="1" customHeight="1" outlineLevel="2" x14ac:dyDescent="0.2">
      <c r="A979" s="457">
        <f ca="1">IF($H979="UNIDADE CONSTRUTIVA",OFFSET(A979,-1,0)+1,LARGE(A$3:A978,1))</f>
        <v>0</v>
      </c>
      <c r="B979" s="457">
        <f t="shared" ca="1" si="215"/>
        <v>14</v>
      </c>
      <c r="C979" s="457">
        <f t="shared" ca="1" si="216"/>
        <v>4</v>
      </c>
      <c r="D979" s="458">
        <f t="shared" ca="1" si="217"/>
        <v>5</v>
      </c>
      <c r="E979" s="458">
        <f t="shared" ca="1" si="218"/>
        <v>0</v>
      </c>
      <c r="G979" s="206"/>
      <c r="H979" s="207" t="s">
        <v>211</v>
      </c>
      <c r="I979" s="208" t="str">
        <f t="shared" ca="1" si="185"/>
        <v>14.004.005</v>
      </c>
      <c r="J979" s="209" t="s">
        <v>134</v>
      </c>
      <c r="K979" s="210"/>
      <c r="L979" s="455"/>
      <c r="M979" s="455"/>
      <c r="N979" s="285">
        <f t="shared" ca="1" si="242"/>
        <v>8892.5203320000001</v>
      </c>
      <c r="O979" s="462"/>
      <c r="P979" s="213"/>
      <c r="Q979" s="35"/>
      <c r="R979" s="35"/>
      <c r="S979" s="35"/>
    </row>
    <row r="980" spans="1:19" s="34" customFormat="1" ht="13.9" hidden="1" customHeight="1" outlineLevel="3" x14ac:dyDescent="0.2">
      <c r="A980" s="457">
        <f ca="1">IF($H980="UNIDADE CONSTRUTIVA",OFFSET(A980,-1,0)+1,LARGE(A$3:A979,1))</f>
        <v>0</v>
      </c>
      <c r="B980" s="457">
        <f t="shared" ca="1" si="215"/>
        <v>14</v>
      </c>
      <c r="C980" s="457">
        <f t="shared" ca="1" si="216"/>
        <v>4</v>
      </c>
      <c r="D980" s="458">
        <f t="shared" ca="1" si="217"/>
        <v>5</v>
      </c>
      <c r="E980" s="458">
        <f t="shared" ca="1" si="218"/>
        <v>1</v>
      </c>
      <c r="G980" s="206"/>
      <c r="H980" s="207" t="s">
        <v>212</v>
      </c>
      <c r="I980" s="208" t="str">
        <f t="shared" ca="1" si="185"/>
        <v>14.004.005.001</v>
      </c>
      <c r="J980" s="209" t="s">
        <v>560</v>
      </c>
      <c r="K980" s="210" t="s">
        <v>3</v>
      </c>
      <c r="L980" s="455">
        <f>Arquitetura!D1026</f>
        <v>203.35</v>
      </c>
      <c r="M980" s="455">
        <v>33.872199999999999</v>
      </c>
      <c r="N980" s="285">
        <f t="shared" si="242"/>
        <v>6887.9118699999999</v>
      </c>
      <c r="O980" s="462"/>
      <c r="P980" s="213" t="s">
        <v>518</v>
      </c>
      <c r="Q980" s="35"/>
      <c r="R980" s="35"/>
      <c r="S980" s="35"/>
    </row>
    <row r="981" spans="1:19" s="34" customFormat="1" ht="13.9" hidden="1" customHeight="1" outlineLevel="3" x14ac:dyDescent="0.2">
      <c r="A981" s="457">
        <f ca="1">IF($H981="UNIDADE CONSTRUTIVA",OFFSET(A981,-1,0)+1,LARGE(A$3:A980,1))</f>
        <v>0</v>
      </c>
      <c r="B981" s="457">
        <f t="shared" ca="1" si="215"/>
        <v>14</v>
      </c>
      <c r="C981" s="457">
        <f t="shared" ca="1" si="216"/>
        <v>4</v>
      </c>
      <c r="D981" s="458">
        <f t="shared" ca="1" si="217"/>
        <v>5</v>
      </c>
      <c r="E981" s="458">
        <f t="shared" ca="1" si="218"/>
        <v>2</v>
      </c>
      <c r="G981" s="206"/>
      <c r="H981" s="207" t="s">
        <v>212</v>
      </c>
      <c r="I981" s="208" t="str">
        <f t="shared" ca="1" si="185"/>
        <v>14.004.005.002</v>
      </c>
      <c r="J981" s="209" t="s">
        <v>561</v>
      </c>
      <c r="K981" s="210" t="s">
        <v>3</v>
      </c>
      <c r="L981" s="455">
        <f>Arquitetura!D1027</f>
        <v>225.07</v>
      </c>
      <c r="M981" s="455">
        <v>8.9065999999999992</v>
      </c>
      <c r="N981" s="285">
        <f t="shared" si="242"/>
        <v>2004.6084619999997</v>
      </c>
      <c r="O981" s="462"/>
      <c r="P981" s="213" t="s">
        <v>518</v>
      </c>
      <c r="Q981" s="35"/>
      <c r="R981" s="35"/>
      <c r="S981" s="35"/>
    </row>
    <row r="982" spans="1:19" s="34" customFormat="1" ht="13.9" hidden="1" customHeight="1" outlineLevel="2" x14ac:dyDescent="0.2">
      <c r="A982" s="457">
        <f ca="1">IF($H982="UNIDADE CONSTRUTIVA",OFFSET(A982,-1,0)+1,LARGE(A$3:A981,1))</f>
        <v>0</v>
      </c>
      <c r="B982" s="457">
        <f t="shared" ca="1" si="215"/>
        <v>14</v>
      </c>
      <c r="C982" s="457">
        <f t="shared" ca="1" si="216"/>
        <v>4</v>
      </c>
      <c r="D982" s="458">
        <f t="shared" ca="1" si="217"/>
        <v>6</v>
      </c>
      <c r="E982" s="458">
        <f t="shared" ca="1" si="218"/>
        <v>0</v>
      </c>
      <c r="G982" s="206"/>
      <c r="H982" s="207" t="s">
        <v>211</v>
      </c>
      <c r="I982" s="208" t="str">
        <f t="shared" ca="1" si="185"/>
        <v>14.004.006</v>
      </c>
      <c r="J982" s="209" t="s">
        <v>434</v>
      </c>
      <c r="K982" s="210"/>
      <c r="L982" s="455"/>
      <c r="M982" s="455"/>
      <c r="N982" s="285">
        <f t="shared" ca="1" si="242"/>
        <v>70651.83</v>
      </c>
      <c r="O982" s="462"/>
      <c r="P982" s="213"/>
      <c r="Q982" s="35"/>
      <c r="R982" s="35"/>
      <c r="S982" s="35"/>
    </row>
    <row r="983" spans="1:19" s="34" customFormat="1" ht="13.9" hidden="1" customHeight="1" outlineLevel="3" x14ac:dyDescent="0.2">
      <c r="A983" s="457">
        <f ca="1">IF($H983="UNIDADE CONSTRUTIVA",OFFSET(A983,-1,0)+1,LARGE(A$3:A982,1))</f>
        <v>0</v>
      </c>
      <c r="B983" s="457">
        <f t="shared" ca="1" si="215"/>
        <v>14</v>
      </c>
      <c r="C983" s="457">
        <f t="shared" ca="1" si="216"/>
        <v>4</v>
      </c>
      <c r="D983" s="458">
        <f t="shared" ca="1" si="217"/>
        <v>6</v>
      </c>
      <c r="E983" s="458">
        <f t="shared" ca="1" si="218"/>
        <v>1</v>
      </c>
      <c r="G983" s="206"/>
      <c r="H983" s="207" t="s">
        <v>212</v>
      </c>
      <c r="I983" s="208" t="str">
        <f t="shared" ca="1" si="185"/>
        <v>14.004.006.001</v>
      </c>
      <c r="J983" s="209" t="s">
        <v>1020</v>
      </c>
      <c r="K983" s="210" t="s">
        <v>1</v>
      </c>
      <c r="L983" s="455">
        <f>SUM(L970:L971)</f>
        <v>912.67</v>
      </c>
      <c r="M983" s="455">
        <v>37</v>
      </c>
      <c r="N983" s="285">
        <f t="shared" si="242"/>
        <v>33768.79</v>
      </c>
      <c r="O983" s="462"/>
      <c r="P983" s="213" t="s">
        <v>518</v>
      </c>
      <c r="Q983" s="35"/>
      <c r="R983" s="35"/>
      <c r="S983" s="35"/>
    </row>
    <row r="984" spans="1:19" s="34" customFormat="1" ht="13.9" hidden="1" customHeight="1" outlineLevel="3" x14ac:dyDescent="0.2">
      <c r="A984" s="457">
        <f ca="1">IF($H984="UNIDADE CONSTRUTIVA",OFFSET(A984,-1,0)+1,LARGE(A$3:A983,1))</f>
        <v>0</v>
      </c>
      <c r="B984" s="457">
        <f t="shared" ca="1" si="215"/>
        <v>14</v>
      </c>
      <c r="C984" s="457">
        <f t="shared" ca="1" si="216"/>
        <v>4</v>
      </c>
      <c r="D984" s="458">
        <f t="shared" ca="1" si="217"/>
        <v>6</v>
      </c>
      <c r="E984" s="458">
        <f t="shared" ca="1" si="218"/>
        <v>2</v>
      </c>
      <c r="G984" s="206"/>
      <c r="H984" s="207" t="s">
        <v>212</v>
      </c>
      <c r="I984" s="208" t="str">
        <f t="shared" ca="1" si="185"/>
        <v>14.004.006.002</v>
      </c>
      <c r="J984" s="209" t="s">
        <v>4202</v>
      </c>
      <c r="K984" s="210" t="s">
        <v>1</v>
      </c>
      <c r="L984" s="455">
        <f>L973</f>
        <v>11.11</v>
      </c>
      <c r="M984" s="455">
        <v>15</v>
      </c>
      <c r="N984" s="285">
        <f t="shared" si="242"/>
        <v>166.64999999999998</v>
      </c>
      <c r="O984" s="462"/>
      <c r="P984" s="213" t="s">
        <v>518</v>
      </c>
      <c r="Q984" s="35"/>
      <c r="R984" s="35"/>
      <c r="S984" s="35"/>
    </row>
    <row r="985" spans="1:19" s="34" customFormat="1" ht="13.9" hidden="1" customHeight="1" outlineLevel="3" x14ac:dyDescent="0.2">
      <c r="A985" s="457">
        <f ca="1">IF($H985="UNIDADE CONSTRUTIVA",OFFSET(A985,-1,0)+1,LARGE(A$3:A984,1))</f>
        <v>0</v>
      </c>
      <c r="B985" s="457">
        <f t="shared" ca="1" si="215"/>
        <v>14</v>
      </c>
      <c r="C985" s="457">
        <f t="shared" ca="1" si="216"/>
        <v>4</v>
      </c>
      <c r="D985" s="458">
        <f t="shared" ca="1" si="217"/>
        <v>6</v>
      </c>
      <c r="E985" s="458">
        <f t="shared" ca="1" si="218"/>
        <v>3</v>
      </c>
      <c r="G985" s="206"/>
      <c r="H985" s="207" t="s">
        <v>212</v>
      </c>
      <c r="I985" s="208" t="str">
        <f t="shared" ca="1" si="185"/>
        <v>14.004.006.003</v>
      </c>
      <c r="J985" s="209" t="s">
        <v>1024</v>
      </c>
      <c r="K985" s="210" t="s">
        <v>1</v>
      </c>
      <c r="L985" s="455">
        <f>SUM(L975:L976)</f>
        <v>606.47</v>
      </c>
      <c r="M985" s="455">
        <v>45</v>
      </c>
      <c r="N985" s="285">
        <f t="shared" si="242"/>
        <v>27291.15</v>
      </c>
      <c r="O985" s="462"/>
      <c r="P985" s="213" t="s">
        <v>518</v>
      </c>
      <c r="Q985" s="35"/>
      <c r="R985" s="35"/>
      <c r="S985" s="35"/>
    </row>
    <row r="986" spans="1:19" s="34" customFormat="1" ht="13.9" hidden="1" customHeight="1" outlineLevel="3" x14ac:dyDescent="0.2">
      <c r="A986" s="457">
        <f ca="1">IF($H986="UNIDADE CONSTRUTIVA",OFFSET(A986,-1,0)+1,LARGE(A$3:A985,1))</f>
        <v>0</v>
      </c>
      <c r="B986" s="457">
        <f t="shared" ca="1" si="215"/>
        <v>14</v>
      </c>
      <c r="C986" s="457">
        <f t="shared" ca="1" si="216"/>
        <v>4</v>
      </c>
      <c r="D986" s="458">
        <f t="shared" ca="1" si="217"/>
        <v>6</v>
      </c>
      <c r="E986" s="458">
        <f t="shared" ca="1" si="218"/>
        <v>4</v>
      </c>
      <c r="G986" s="206"/>
      <c r="H986" s="207" t="s">
        <v>212</v>
      </c>
      <c r="I986" s="208" t="str">
        <f t="shared" ca="1" si="185"/>
        <v>14.004.006.004</v>
      </c>
      <c r="J986" s="209" t="s">
        <v>433</v>
      </c>
      <c r="K986" s="210" t="s">
        <v>3</v>
      </c>
      <c r="L986" s="455">
        <f>L980</f>
        <v>203.35</v>
      </c>
      <c r="M986" s="455">
        <v>22</v>
      </c>
      <c r="N986" s="285">
        <f t="shared" si="242"/>
        <v>4473.7</v>
      </c>
      <c r="O986" s="462"/>
      <c r="P986" s="213" t="s">
        <v>518</v>
      </c>
      <c r="Q986" s="35"/>
      <c r="R986" s="35"/>
      <c r="S986" s="35"/>
    </row>
    <row r="987" spans="1:19" s="34" customFormat="1" ht="13.9" hidden="1" customHeight="1" outlineLevel="3" x14ac:dyDescent="0.2">
      <c r="A987" s="457">
        <f ca="1">IF($H987="UNIDADE CONSTRUTIVA",OFFSET(A987,-1,0)+1,LARGE(A$3:A986,1))</f>
        <v>0</v>
      </c>
      <c r="B987" s="457">
        <f t="shared" ca="1" si="215"/>
        <v>14</v>
      </c>
      <c r="C987" s="457">
        <f t="shared" ca="1" si="216"/>
        <v>4</v>
      </c>
      <c r="D987" s="458">
        <f t="shared" ca="1" si="217"/>
        <v>6</v>
      </c>
      <c r="E987" s="458">
        <f t="shared" ca="1" si="218"/>
        <v>5</v>
      </c>
      <c r="G987" s="206"/>
      <c r="H987" s="207" t="s">
        <v>212</v>
      </c>
      <c r="I987" s="208" t="str">
        <f t="shared" ca="1" si="185"/>
        <v>14.004.006.005</v>
      </c>
      <c r="J987" s="209" t="s">
        <v>562</v>
      </c>
      <c r="K987" s="210" t="s">
        <v>3</v>
      </c>
      <c r="L987" s="455">
        <f>L981</f>
        <v>225.07</v>
      </c>
      <c r="M987" s="455">
        <v>22</v>
      </c>
      <c r="N987" s="285">
        <f t="shared" si="242"/>
        <v>4951.54</v>
      </c>
      <c r="O987" s="462"/>
      <c r="P987" s="213" t="s">
        <v>518</v>
      </c>
      <c r="Q987" s="35"/>
      <c r="R987" s="35"/>
      <c r="S987" s="35"/>
    </row>
    <row r="988" spans="1:19" s="34" customFormat="1" ht="13.9" hidden="1" customHeight="1" outlineLevel="1" x14ac:dyDescent="0.2">
      <c r="A988" s="457">
        <f ca="1">IF($H988="UNIDADE CONSTRUTIVA",OFFSET(A988,-1,0)+1,LARGE(A$3:A987,1))</f>
        <v>0</v>
      </c>
      <c r="B988" s="457">
        <f t="shared" ca="1" si="215"/>
        <v>14</v>
      </c>
      <c r="C988" s="457">
        <f t="shared" ca="1" si="216"/>
        <v>5</v>
      </c>
      <c r="D988" s="458">
        <f t="shared" ca="1" si="217"/>
        <v>0</v>
      </c>
      <c r="E988" s="458">
        <f t="shared" ca="1" si="218"/>
        <v>5</v>
      </c>
      <c r="G988" s="206"/>
      <c r="H988" s="207" t="s">
        <v>210</v>
      </c>
      <c r="I988" s="208" t="str">
        <f t="shared" ca="1" si="185"/>
        <v>14.005</v>
      </c>
      <c r="J988" s="209" t="s">
        <v>1032</v>
      </c>
      <c r="K988" s="210"/>
      <c r="L988" s="455"/>
      <c r="M988" s="455"/>
      <c r="N988" s="285">
        <f t="shared" ca="1" si="242"/>
        <v>1479561.4060509999</v>
      </c>
      <c r="O988" s="462"/>
      <c r="P988" s="213"/>
      <c r="Q988" s="35"/>
      <c r="R988" s="35"/>
      <c r="S988" s="35"/>
    </row>
    <row r="989" spans="1:19" s="34" customFormat="1" ht="13.9" hidden="1" customHeight="1" outlineLevel="2" x14ac:dyDescent="0.2">
      <c r="A989" s="457">
        <f ca="1">IF($H989="UNIDADE CONSTRUTIVA",OFFSET(A989,-1,0)+1,LARGE(A$3:A988,1))</f>
        <v>0</v>
      </c>
      <c r="B989" s="457">
        <f t="shared" ca="1" si="215"/>
        <v>14</v>
      </c>
      <c r="C989" s="457">
        <f t="shared" ca="1" si="216"/>
        <v>5</v>
      </c>
      <c r="D989" s="458">
        <f t="shared" ca="1" si="217"/>
        <v>1</v>
      </c>
      <c r="E989" s="458">
        <f t="shared" ca="1" si="218"/>
        <v>0</v>
      </c>
      <c r="G989" s="206"/>
      <c r="H989" s="207" t="s">
        <v>211</v>
      </c>
      <c r="I989" s="208" t="str">
        <f t="shared" ca="1" si="185"/>
        <v>14.005.001</v>
      </c>
      <c r="J989" s="209" t="s">
        <v>133</v>
      </c>
      <c r="K989" s="210"/>
      <c r="L989" s="455"/>
      <c r="M989" s="455"/>
      <c r="N989" s="285">
        <f t="shared" ca="1" si="242"/>
        <v>189486.974621</v>
      </c>
      <c r="O989" s="462"/>
      <c r="P989" s="213"/>
      <c r="Q989" s="35"/>
      <c r="R989" s="35"/>
      <c r="S989" s="35"/>
    </row>
    <row r="990" spans="1:19" s="34" customFormat="1" ht="13.9" hidden="1" customHeight="1" outlineLevel="3" x14ac:dyDescent="0.2">
      <c r="A990" s="457">
        <f ca="1">IF($H990="UNIDADE CONSTRUTIVA",OFFSET(A990,-1,0)+1,LARGE(A$3:A989,1))</f>
        <v>0</v>
      </c>
      <c r="B990" s="457">
        <f t="shared" ca="1" si="215"/>
        <v>14</v>
      </c>
      <c r="C990" s="457">
        <f t="shared" ca="1" si="216"/>
        <v>5</v>
      </c>
      <c r="D990" s="458">
        <f t="shared" ca="1" si="217"/>
        <v>1</v>
      </c>
      <c r="E990" s="458">
        <f t="shared" ca="1" si="218"/>
        <v>1</v>
      </c>
      <c r="G990" s="206"/>
      <c r="H990" s="207" t="s">
        <v>212</v>
      </c>
      <c r="I990" s="208" t="str">
        <f t="shared" ca="1" si="185"/>
        <v>14.005.001.001</v>
      </c>
      <c r="J990" s="209" t="s">
        <v>1010</v>
      </c>
      <c r="K990" s="210" t="s">
        <v>1</v>
      </c>
      <c r="L990" s="455">
        <f>Arquitetura!H711</f>
        <v>759.25000000000023</v>
      </c>
      <c r="M990" s="455">
        <v>15.842499999999999</v>
      </c>
      <c r="N990" s="285">
        <f t="shared" si="242"/>
        <v>12028.418125000004</v>
      </c>
      <c r="O990" s="462"/>
      <c r="P990" s="213" t="s">
        <v>518</v>
      </c>
      <c r="Q990" s="35"/>
      <c r="R990" s="35"/>
      <c r="S990" s="35"/>
    </row>
    <row r="991" spans="1:19" s="34" customFormat="1" ht="13.9" hidden="1" customHeight="1" outlineLevel="3" x14ac:dyDescent="0.2">
      <c r="A991" s="457">
        <f ca="1">IF($H991="UNIDADE CONSTRUTIVA",OFFSET(A991,-1,0)+1,LARGE(A$3:A990,1))</f>
        <v>0</v>
      </c>
      <c r="B991" s="457">
        <f t="shared" ca="1" si="215"/>
        <v>14</v>
      </c>
      <c r="C991" s="457">
        <f t="shared" ca="1" si="216"/>
        <v>5</v>
      </c>
      <c r="D991" s="458">
        <f t="shared" ca="1" si="217"/>
        <v>1</v>
      </c>
      <c r="E991" s="458">
        <f t="shared" ca="1" si="218"/>
        <v>2</v>
      </c>
      <c r="G991" s="206"/>
      <c r="H991" s="207" t="s">
        <v>212</v>
      </c>
      <c r="I991" s="208" t="str">
        <f t="shared" ca="1" si="185"/>
        <v>14.005.001.002</v>
      </c>
      <c r="J991" s="209" t="s">
        <v>420</v>
      </c>
      <c r="K991" s="210" t="s">
        <v>1</v>
      </c>
      <c r="L991" s="455">
        <f>Arquitetura!H712</f>
        <v>5767.84</v>
      </c>
      <c r="M991" s="455">
        <v>30.7669</v>
      </c>
      <c r="N991" s="285">
        <f t="shared" si="242"/>
        <v>177458.556496</v>
      </c>
      <c r="O991" s="462"/>
      <c r="P991" s="213" t="s">
        <v>518</v>
      </c>
      <c r="Q991" s="35"/>
      <c r="R991" s="35"/>
      <c r="S991" s="35"/>
    </row>
    <row r="992" spans="1:19" s="34" customFormat="1" ht="13.9" hidden="1" customHeight="1" outlineLevel="2" x14ac:dyDescent="0.2">
      <c r="A992" s="457">
        <f ca="1">IF($H992="UNIDADE CONSTRUTIVA",OFFSET(A992,-1,0)+1,LARGE(A$3:A991,1))</f>
        <v>0</v>
      </c>
      <c r="B992" s="457">
        <f t="shared" ca="1" si="215"/>
        <v>14</v>
      </c>
      <c r="C992" s="457">
        <f t="shared" ca="1" si="216"/>
        <v>5</v>
      </c>
      <c r="D992" s="458">
        <f t="shared" ca="1" si="217"/>
        <v>2</v>
      </c>
      <c r="E992" s="458">
        <f t="shared" ca="1" si="218"/>
        <v>0</v>
      </c>
      <c r="G992" s="206"/>
      <c r="H992" s="207" t="s">
        <v>211</v>
      </c>
      <c r="I992" s="208" t="str">
        <f t="shared" ca="1" si="185"/>
        <v>14.005.002</v>
      </c>
      <c r="J992" s="209" t="s">
        <v>421</v>
      </c>
      <c r="K992" s="210"/>
      <c r="L992" s="455"/>
      <c r="M992" s="455"/>
      <c r="N992" s="285">
        <f t="shared" ca="1" si="242"/>
        <v>0</v>
      </c>
      <c r="O992" s="462"/>
      <c r="P992" s="213"/>
      <c r="Q992" s="35"/>
      <c r="R992" s="35"/>
      <c r="S992" s="35"/>
    </row>
    <row r="993" spans="1:19" s="34" customFormat="1" ht="13.9" hidden="1" customHeight="1" outlineLevel="3" x14ac:dyDescent="0.2">
      <c r="A993" s="457">
        <f ca="1">IF($H993="UNIDADE CONSTRUTIVA",OFFSET(A993,-1,0)+1,LARGE(A$3:A992,1))</f>
        <v>0</v>
      </c>
      <c r="B993" s="457">
        <f t="shared" ca="1" si="215"/>
        <v>14</v>
      </c>
      <c r="C993" s="457">
        <f t="shared" ca="1" si="216"/>
        <v>5</v>
      </c>
      <c r="D993" s="458">
        <f t="shared" ca="1" si="217"/>
        <v>2</v>
      </c>
      <c r="E993" s="458">
        <f t="shared" ca="1" si="218"/>
        <v>1</v>
      </c>
      <c r="G993" s="206"/>
      <c r="H993" s="207" t="s">
        <v>212</v>
      </c>
      <c r="I993" s="208" t="str">
        <f t="shared" ca="1" si="185"/>
        <v>14.005.002.001</v>
      </c>
      <c r="J993" s="471" t="s">
        <v>4186</v>
      </c>
      <c r="K993" s="210" t="s">
        <v>1</v>
      </c>
      <c r="L993" s="455">
        <f>Arquitetura!H787+Arquitetura!H788+Arquitetura!H789</f>
        <v>160.5</v>
      </c>
      <c r="M993" s="455"/>
      <c r="N993" s="285">
        <f t="shared" si="242"/>
        <v>0</v>
      </c>
      <c r="O993" s="462" t="s">
        <v>4191</v>
      </c>
      <c r="P993" s="213" t="s">
        <v>518</v>
      </c>
      <c r="Q993" s="35"/>
      <c r="R993" s="35"/>
      <c r="S993" s="35"/>
    </row>
    <row r="994" spans="1:19" s="34" customFormat="1" ht="13.9" hidden="1" customHeight="1" outlineLevel="2" x14ac:dyDescent="0.2">
      <c r="A994" s="457">
        <f ca="1">IF($H994="UNIDADE CONSTRUTIVA",OFFSET(A994,-1,0)+1,LARGE(A$3:A993,1))</f>
        <v>0</v>
      </c>
      <c r="B994" s="457">
        <f t="shared" ca="1" si="215"/>
        <v>14</v>
      </c>
      <c r="C994" s="457">
        <f t="shared" ca="1" si="216"/>
        <v>5</v>
      </c>
      <c r="D994" s="458">
        <f t="shared" ca="1" si="217"/>
        <v>3</v>
      </c>
      <c r="E994" s="458">
        <f t="shared" ca="1" si="218"/>
        <v>0</v>
      </c>
      <c r="G994" s="206"/>
      <c r="H994" s="207" t="s">
        <v>211</v>
      </c>
      <c r="I994" s="208" t="str">
        <f t="shared" ca="1" si="185"/>
        <v>14.005.003</v>
      </c>
      <c r="J994" s="209" t="s">
        <v>559</v>
      </c>
      <c r="K994" s="210"/>
      <c r="L994" s="455"/>
      <c r="M994" s="455"/>
      <c r="N994" s="285">
        <f t="shared" ca="1" si="242"/>
        <v>359133.27192000003</v>
      </c>
      <c r="O994" s="462"/>
      <c r="P994" s="213"/>
      <c r="Q994" s="35"/>
      <c r="R994" s="35"/>
      <c r="S994" s="35"/>
    </row>
    <row r="995" spans="1:19" s="34" customFormat="1" ht="13.9" hidden="1" customHeight="1" outlineLevel="3" x14ac:dyDescent="0.2">
      <c r="A995" s="457">
        <f ca="1">IF($H995="UNIDADE CONSTRUTIVA",OFFSET(A995,-1,0)+1,LARGE(A$3:A994,1))</f>
        <v>0</v>
      </c>
      <c r="B995" s="457">
        <f t="shared" ca="1" si="215"/>
        <v>14</v>
      </c>
      <c r="C995" s="457">
        <f t="shared" ca="1" si="216"/>
        <v>5</v>
      </c>
      <c r="D995" s="458">
        <f t="shared" ca="1" si="217"/>
        <v>3</v>
      </c>
      <c r="E995" s="458">
        <f t="shared" ca="1" si="218"/>
        <v>1</v>
      </c>
      <c r="G995" s="206"/>
      <c r="H995" s="207" t="s">
        <v>212</v>
      </c>
      <c r="I995" s="208" t="str">
        <f t="shared" ca="1" si="185"/>
        <v>14.005.003.001</v>
      </c>
      <c r="J995" s="209" t="s">
        <v>4195</v>
      </c>
      <c r="K995" s="210" t="s">
        <v>1</v>
      </c>
      <c r="L995" s="455">
        <f>Arquitetura!H880</f>
        <v>423.0200000000001</v>
      </c>
      <c r="M995" s="455">
        <v>91.0017</v>
      </c>
      <c r="N995" s="285">
        <f t="shared" si="242"/>
        <v>38495.539134000006</v>
      </c>
      <c r="O995" s="462"/>
      <c r="P995" s="213" t="s">
        <v>518</v>
      </c>
      <c r="Q995" s="35"/>
      <c r="R995" s="35"/>
      <c r="S995" s="35"/>
    </row>
    <row r="996" spans="1:19" s="34" customFormat="1" ht="13.9" hidden="1" customHeight="1" outlineLevel="3" x14ac:dyDescent="0.2">
      <c r="A996" s="457">
        <f ca="1">IF($H996="UNIDADE CONSTRUTIVA",OFFSET(A996,-1,0)+1,LARGE(A$3:A995,1))</f>
        <v>0</v>
      </c>
      <c r="B996" s="457">
        <f t="shared" ca="1" si="215"/>
        <v>14</v>
      </c>
      <c r="C996" s="457">
        <f t="shared" ca="1" si="216"/>
        <v>5</v>
      </c>
      <c r="D996" s="458">
        <f t="shared" ca="1" si="217"/>
        <v>3</v>
      </c>
      <c r="E996" s="458">
        <f t="shared" ca="1" si="218"/>
        <v>2</v>
      </c>
      <c r="G996" s="206"/>
      <c r="H996" s="207" t="s">
        <v>212</v>
      </c>
      <c r="I996" s="208" t="str">
        <f t="shared" ca="1" si="185"/>
        <v>14.005.003.002</v>
      </c>
      <c r="J996" s="209" t="s">
        <v>4196</v>
      </c>
      <c r="K996" s="210" t="s">
        <v>1</v>
      </c>
      <c r="L996" s="455">
        <f>SUM(Arquitetura!H876:H879)</f>
        <v>3506.79</v>
      </c>
      <c r="M996" s="455">
        <v>91.433400000000006</v>
      </c>
      <c r="N996" s="285">
        <f t="shared" si="242"/>
        <v>320637.73278600001</v>
      </c>
      <c r="O996" s="462"/>
      <c r="P996" s="213" t="s">
        <v>518</v>
      </c>
      <c r="Q996" s="35"/>
      <c r="R996" s="35"/>
      <c r="S996" s="35"/>
    </row>
    <row r="997" spans="1:19" s="34" customFormat="1" ht="13.9" hidden="1" customHeight="1" outlineLevel="2" x14ac:dyDescent="0.2">
      <c r="A997" s="457">
        <f ca="1">IF($H997="UNIDADE CONSTRUTIVA",OFFSET(A997,-1,0)+1,LARGE(A$3:A996,1))</f>
        <v>0</v>
      </c>
      <c r="B997" s="457">
        <f t="shared" ca="1" si="215"/>
        <v>14</v>
      </c>
      <c r="C997" s="457">
        <f t="shared" ca="1" si="216"/>
        <v>5</v>
      </c>
      <c r="D997" s="458">
        <f t="shared" ca="1" si="217"/>
        <v>4</v>
      </c>
      <c r="E997" s="458">
        <f t="shared" ca="1" si="218"/>
        <v>0</v>
      </c>
      <c r="G997" s="206"/>
      <c r="H997" s="207" t="s">
        <v>211</v>
      </c>
      <c r="I997" s="208" t="str">
        <f t="shared" ca="1" si="185"/>
        <v>14.005.004</v>
      </c>
      <c r="J997" s="209" t="s">
        <v>262</v>
      </c>
      <c r="K997" s="210"/>
      <c r="L997" s="455"/>
      <c r="M997" s="455"/>
      <c r="N997" s="285">
        <f t="shared" ca="1" si="242"/>
        <v>147411.98679999998</v>
      </c>
      <c r="O997" s="462"/>
      <c r="P997" s="213"/>
      <c r="Q997" s="35"/>
      <c r="R997" s="35"/>
      <c r="S997" s="35"/>
    </row>
    <row r="998" spans="1:19" s="34" customFormat="1" ht="13.9" hidden="1" customHeight="1" outlineLevel="3" x14ac:dyDescent="0.2">
      <c r="A998" s="457">
        <f ca="1">IF($H998="UNIDADE CONSTRUTIVA",OFFSET(A998,-1,0)+1,LARGE(A$3:A997,1))</f>
        <v>0</v>
      </c>
      <c r="B998" s="457">
        <f t="shared" ca="1" si="215"/>
        <v>14</v>
      </c>
      <c r="C998" s="457">
        <f t="shared" ca="1" si="216"/>
        <v>5</v>
      </c>
      <c r="D998" s="458">
        <f t="shared" ca="1" si="217"/>
        <v>4</v>
      </c>
      <c r="E998" s="458">
        <f t="shared" ca="1" si="218"/>
        <v>1</v>
      </c>
      <c r="G998" s="206"/>
      <c r="H998" s="207" t="s">
        <v>212</v>
      </c>
      <c r="I998" s="208" t="str">
        <f t="shared" ca="1" si="185"/>
        <v>14.005.004.001</v>
      </c>
      <c r="J998" s="209" t="s">
        <v>4198</v>
      </c>
      <c r="K998" s="210" t="s">
        <v>1</v>
      </c>
      <c r="L998" s="455">
        <f>SUM(Arquitetura!D984:D1008)</f>
        <v>1839.8899999999999</v>
      </c>
      <c r="M998" s="455">
        <v>80.12</v>
      </c>
      <c r="N998" s="285">
        <f t="shared" si="242"/>
        <v>147411.98679999998</v>
      </c>
      <c r="O998" s="462"/>
      <c r="P998" s="213" t="s">
        <v>518</v>
      </c>
      <c r="Q998" s="35"/>
      <c r="R998" s="35"/>
      <c r="S998" s="35"/>
    </row>
    <row r="999" spans="1:19" s="34" customFormat="1" ht="13.9" hidden="1" customHeight="1" outlineLevel="2" x14ac:dyDescent="0.2">
      <c r="A999" s="457">
        <f ca="1">IF($H999="UNIDADE CONSTRUTIVA",OFFSET(A999,-1,0)+1,LARGE(A$3:A998,1))</f>
        <v>0</v>
      </c>
      <c r="B999" s="457">
        <f t="shared" ca="1" si="215"/>
        <v>14</v>
      </c>
      <c r="C999" s="457">
        <f t="shared" ca="1" si="216"/>
        <v>5</v>
      </c>
      <c r="D999" s="458">
        <f t="shared" ca="1" si="217"/>
        <v>5</v>
      </c>
      <c r="E999" s="458">
        <f t="shared" ca="1" si="218"/>
        <v>0</v>
      </c>
      <c r="G999" s="206"/>
      <c r="H999" s="207" t="s">
        <v>211</v>
      </c>
      <c r="I999" s="208" t="str">
        <f t="shared" ca="1" si="185"/>
        <v>14.005.005</v>
      </c>
      <c r="J999" s="209" t="s">
        <v>134</v>
      </c>
      <c r="K999" s="210"/>
      <c r="L999" s="455"/>
      <c r="M999" s="455"/>
      <c r="N999" s="285">
        <f t="shared" ca="1" si="242"/>
        <v>210882.19271000003</v>
      </c>
      <c r="O999" s="462"/>
      <c r="P999" s="213"/>
      <c r="Q999" s="35"/>
      <c r="R999" s="35"/>
      <c r="S999" s="35"/>
    </row>
    <row r="1000" spans="1:19" s="34" customFormat="1" ht="13.9" hidden="1" customHeight="1" outlineLevel="3" x14ac:dyDescent="0.2">
      <c r="A1000" s="457">
        <f ca="1">IF($H1000="UNIDADE CONSTRUTIVA",OFFSET(A1000,-1,0)+1,LARGE(A$3:A999,1))</f>
        <v>0</v>
      </c>
      <c r="B1000" s="457">
        <f t="shared" ca="1" si="215"/>
        <v>14</v>
      </c>
      <c r="C1000" s="457">
        <f t="shared" ca="1" si="216"/>
        <v>5</v>
      </c>
      <c r="D1000" s="458">
        <f t="shared" ca="1" si="217"/>
        <v>5</v>
      </c>
      <c r="E1000" s="458">
        <f t="shared" ca="1" si="218"/>
        <v>1</v>
      </c>
      <c r="G1000" s="206"/>
      <c r="H1000" s="207" t="s">
        <v>212</v>
      </c>
      <c r="I1000" s="208" t="str">
        <f t="shared" ca="1" si="185"/>
        <v>14.005.005.001</v>
      </c>
      <c r="J1000" s="209" t="s">
        <v>560</v>
      </c>
      <c r="K1000" s="210" t="s">
        <v>3</v>
      </c>
      <c r="L1000" s="455">
        <f>Arquitetura!H1029</f>
        <v>5983.7500000000018</v>
      </c>
      <c r="M1000" s="455">
        <v>33.872199999999999</v>
      </c>
      <c r="N1000" s="285">
        <f t="shared" si="242"/>
        <v>202682.77675000005</v>
      </c>
      <c r="O1000" s="462"/>
      <c r="P1000" s="213" t="s">
        <v>518</v>
      </c>
      <c r="Q1000" s="35"/>
      <c r="R1000" s="35"/>
      <c r="S1000" s="35"/>
    </row>
    <row r="1001" spans="1:19" s="34" customFormat="1" ht="13.9" hidden="1" customHeight="1" outlineLevel="3" x14ac:dyDescent="0.2">
      <c r="A1001" s="457">
        <f ca="1">IF($H1001="UNIDADE CONSTRUTIVA",OFFSET(A1001,-1,0)+1,LARGE(A$3:A1000,1))</f>
        <v>0</v>
      </c>
      <c r="B1001" s="457">
        <f t="shared" ca="1" si="215"/>
        <v>14</v>
      </c>
      <c r="C1001" s="457">
        <f t="shared" ca="1" si="216"/>
        <v>5</v>
      </c>
      <c r="D1001" s="458">
        <f t="shared" ca="1" si="217"/>
        <v>5</v>
      </c>
      <c r="E1001" s="458">
        <f t="shared" ca="1" si="218"/>
        <v>2</v>
      </c>
      <c r="G1001" s="206"/>
      <c r="H1001" s="207" t="s">
        <v>212</v>
      </c>
      <c r="I1001" s="208" t="str">
        <f t="shared" ca="1" si="185"/>
        <v>14.005.005.002</v>
      </c>
      <c r="J1001" s="209" t="s">
        <v>561</v>
      </c>
      <c r="K1001" s="210" t="s">
        <v>3</v>
      </c>
      <c r="L1001" s="455">
        <f>Arquitetura!H1030</f>
        <v>920.5999999999998</v>
      </c>
      <c r="M1001" s="455">
        <v>8.9065999999999992</v>
      </c>
      <c r="N1001" s="285">
        <f t="shared" si="242"/>
        <v>8199.4159599999966</v>
      </c>
      <c r="O1001" s="462"/>
      <c r="P1001" s="213" t="s">
        <v>518</v>
      </c>
      <c r="Q1001" s="35"/>
      <c r="R1001" s="35"/>
      <c r="S1001" s="35"/>
    </row>
    <row r="1002" spans="1:19" s="34" customFormat="1" ht="13.9" hidden="1" customHeight="1" outlineLevel="2" x14ac:dyDescent="0.2">
      <c r="A1002" s="457">
        <f ca="1">IF($H1002="UNIDADE CONSTRUTIVA",OFFSET(A1002,-1,0)+1,LARGE(A$3:A1001,1))</f>
        <v>0</v>
      </c>
      <c r="B1002" s="457">
        <f t="shared" ca="1" si="215"/>
        <v>14</v>
      </c>
      <c r="C1002" s="457">
        <f t="shared" ca="1" si="216"/>
        <v>5</v>
      </c>
      <c r="D1002" s="458">
        <f t="shared" ca="1" si="217"/>
        <v>6</v>
      </c>
      <c r="E1002" s="458">
        <f t="shared" ca="1" si="218"/>
        <v>0</v>
      </c>
      <c r="G1002" s="206"/>
      <c r="H1002" s="207" t="s">
        <v>211</v>
      </c>
      <c r="I1002" s="208" t="str">
        <f t="shared" ca="1" si="185"/>
        <v>14.005.006</v>
      </c>
      <c r="J1002" s="209" t="s">
        <v>434</v>
      </c>
      <c r="K1002" s="210"/>
      <c r="L1002" s="455"/>
      <c r="M1002" s="455"/>
      <c r="N1002" s="285">
        <f t="shared" ca="1" si="242"/>
        <v>572646.98</v>
      </c>
      <c r="O1002" s="462"/>
      <c r="P1002" s="213"/>
      <c r="Q1002" s="35"/>
      <c r="R1002" s="35"/>
      <c r="S1002" s="35"/>
    </row>
    <row r="1003" spans="1:19" s="34" customFormat="1" ht="13.9" hidden="1" customHeight="1" outlineLevel="3" x14ac:dyDescent="0.2">
      <c r="A1003" s="457">
        <f ca="1">IF($H1003="UNIDADE CONSTRUTIVA",OFFSET(A1003,-1,0)+1,LARGE(A$3:A1002,1))</f>
        <v>0</v>
      </c>
      <c r="B1003" s="457">
        <f t="shared" ca="1" si="215"/>
        <v>14</v>
      </c>
      <c r="C1003" s="457">
        <f t="shared" ca="1" si="216"/>
        <v>5</v>
      </c>
      <c r="D1003" s="458">
        <f t="shared" ca="1" si="217"/>
        <v>6</v>
      </c>
      <c r="E1003" s="458">
        <f t="shared" ca="1" si="218"/>
        <v>1</v>
      </c>
      <c r="G1003" s="206"/>
      <c r="H1003" s="207" t="s">
        <v>212</v>
      </c>
      <c r="I1003" s="208" t="str">
        <f t="shared" ca="1" si="185"/>
        <v>14.005.006.001</v>
      </c>
      <c r="J1003" s="209" t="s">
        <v>1020</v>
      </c>
      <c r="K1003" s="210" t="s">
        <v>1</v>
      </c>
      <c r="L1003" s="455">
        <f>SUM(L990:L991)</f>
        <v>6527.09</v>
      </c>
      <c r="M1003" s="455">
        <v>37</v>
      </c>
      <c r="N1003" s="285">
        <f t="shared" si="242"/>
        <v>241502.33000000002</v>
      </c>
      <c r="O1003" s="462"/>
      <c r="P1003" s="213" t="s">
        <v>518</v>
      </c>
      <c r="Q1003" s="35"/>
      <c r="R1003" s="35"/>
      <c r="S1003" s="35"/>
    </row>
    <row r="1004" spans="1:19" s="34" customFormat="1" ht="13.9" hidden="1" customHeight="1" outlineLevel="3" x14ac:dyDescent="0.2">
      <c r="A1004" s="457">
        <f ca="1">IF($H1004="UNIDADE CONSTRUTIVA",OFFSET(A1004,-1,0)+1,LARGE(A$3:A1003,1))</f>
        <v>0</v>
      </c>
      <c r="B1004" s="457">
        <f ca="1">IF(H1004="UNIDADE CONSTRUTIVA",0,IF(H1004="CÉLULA CONSTRUTIVA",OFFSET(B1004,-1,0)+1,OFFSET(B1004,-1,0)))</f>
        <v>14</v>
      </c>
      <c r="C1004" s="457">
        <f ca="1">IF(H1004="CÉLULA CONSTRUTIVA",0,IF(H1004="ETAPA",OFFSET(C1004,-1,0)+1,OFFSET(C1004,-1,0)))</f>
        <v>5</v>
      </c>
      <c r="D1004" s="458">
        <f ca="1">IF(H1004="ETAPA",0,IF(H1004="SUBETAPA",OFFSET(D1004,-1,0)+1,OFFSET(D1004,-1,0)))</f>
        <v>6</v>
      </c>
      <c r="E1004" s="458">
        <f ca="1">IF(H1004="Subetapa",0,IF(H1004="serviço",OFFSET(E1004,-1,0)+1,OFFSET(E1004,-1,0)))</f>
        <v>2</v>
      </c>
      <c r="G1004" s="206"/>
      <c r="H1004" s="207" t="s">
        <v>212</v>
      </c>
      <c r="I1004" s="208" t="str">
        <f ca="1">IF(H1004="Unidade Construtiva",TEXT(A1004,"00"),IF(H1004="Célula Construtiva",TEXT(B1004,"00"),IF(H1004="Etapa",CONCATENATE(TEXT(B1004,"00"),".",TEXT(C1004,"000")),IF(H1004="Subetapa",CONCATENATE(TEXT(B1004,"00"),".",TEXT(C1004,"000"),".",TEXT(D1004,"000")),IF(H1004="Serviço",CONCATENATE(TEXT(B1004,"00"),".",TEXT(C1004,"000"),".",TEXT(D1004,"000"),".",TEXT(E1004,"000")),"")))))</f>
        <v>14.005.006.002</v>
      </c>
      <c r="J1004" s="209" t="s">
        <v>4202</v>
      </c>
      <c r="K1004" s="210" t="s">
        <v>1</v>
      </c>
      <c r="L1004" s="455">
        <f>L993</f>
        <v>160.5</v>
      </c>
      <c r="M1004" s="455">
        <v>15</v>
      </c>
      <c r="N1004" s="285">
        <f t="shared" si="242"/>
        <v>2407.5</v>
      </c>
      <c r="O1004" s="462"/>
      <c r="P1004" s="213" t="s">
        <v>518</v>
      </c>
      <c r="Q1004" s="35"/>
      <c r="R1004" s="35"/>
      <c r="S1004" s="35"/>
    </row>
    <row r="1005" spans="1:19" s="34" customFormat="1" ht="13.9" hidden="1" customHeight="1" outlineLevel="3" x14ac:dyDescent="0.2">
      <c r="A1005" s="457">
        <f ca="1">IF($H1005="UNIDADE CONSTRUTIVA",OFFSET(A1005,-1,0)+1,LARGE(A$3:A1004,1))</f>
        <v>0</v>
      </c>
      <c r="B1005" s="457">
        <f t="shared" ca="1" si="215"/>
        <v>14</v>
      </c>
      <c r="C1005" s="457">
        <f t="shared" ca="1" si="216"/>
        <v>5</v>
      </c>
      <c r="D1005" s="458">
        <f t="shared" ca="1" si="217"/>
        <v>6</v>
      </c>
      <c r="E1005" s="458">
        <f t="shared" ca="1" si="218"/>
        <v>3</v>
      </c>
      <c r="G1005" s="206"/>
      <c r="H1005" s="207" t="s">
        <v>212</v>
      </c>
      <c r="I1005" s="208" t="str">
        <f t="shared" ca="1" si="185"/>
        <v>14.005.006.003</v>
      </c>
      <c r="J1005" s="209" t="s">
        <v>263</v>
      </c>
      <c r="K1005" s="210" t="s">
        <v>1</v>
      </c>
      <c r="L1005" s="455">
        <f>L995+L996</f>
        <v>3929.81</v>
      </c>
      <c r="M1005" s="455">
        <v>45</v>
      </c>
      <c r="N1005" s="285">
        <f t="shared" si="242"/>
        <v>176841.45</v>
      </c>
      <c r="O1005" s="462"/>
      <c r="P1005" s="213" t="s">
        <v>518</v>
      </c>
      <c r="Q1005" s="35"/>
      <c r="R1005" s="35"/>
      <c r="S1005" s="35"/>
    </row>
    <row r="1006" spans="1:19" s="34" customFormat="1" ht="13.9" hidden="1" customHeight="1" outlineLevel="3" x14ac:dyDescent="0.2">
      <c r="A1006" s="457">
        <f ca="1">IF($H1006="UNIDADE CONSTRUTIVA",OFFSET(A1006,-1,0)+1,LARGE(A$3:A1005,1))</f>
        <v>0</v>
      </c>
      <c r="B1006" s="457">
        <f t="shared" ca="1" si="215"/>
        <v>14</v>
      </c>
      <c r="C1006" s="457">
        <f t="shared" ca="1" si="216"/>
        <v>5</v>
      </c>
      <c r="D1006" s="458">
        <f t="shared" ca="1" si="217"/>
        <v>6</v>
      </c>
      <c r="E1006" s="458">
        <f t="shared" ca="1" si="218"/>
        <v>4</v>
      </c>
      <c r="G1006" s="206"/>
      <c r="H1006" s="207" t="s">
        <v>212</v>
      </c>
      <c r="I1006" s="208" t="str">
        <f ca="1">IF(H1006="Unidade Construtiva",TEXT(A1006,"00"),IF(H1006="Célula Construtiva",TEXT(B1006,"00"),IF(H1006="Etapa",CONCATENATE(TEXT(B1006,"00"),".",TEXT(C1006,"000")),IF(H1006="Subetapa",CONCATENATE(TEXT(B1006,"00"),".",TEXT(C1006,"000"),".",TEXT(D1006,"000")),IF(H1006="Serviço",CONCATENATE(TEXT(B1006,"00"),".",TEXT(C1006,"000"),".",TEXT(D1006,"000"),".",TEXT(E1006,"000")),"")))))</f>
        <v>14.005.006.004</v>
      </c>
      <c r="J1006" s="209" t="s">
        <v>433</v>
      </c>
      <c r="K1006" s="210" t="s">
        <v>3</v>
      </c>
      <c r="L1006" s="455">
        <f>L1000</f>
        <v>5983.7500000000018</v>
      </c>
      <c r="M1006" s="455">
        <v>22</v>
      </c>
      <c r="N1006" s="285">
        <f t="shared" si="242"/>
        <v>131642.50000000003</v>
      </c>
      <c r="O1006" s="462"/>
      <c r="P1006" s="213" t="s">
        <v>518</v>
      </c>
      <c r="Q1006" s="35"/>
      <c r="R1006" s="35"/>
      <c r="S1006" s="35"/>
    </row>
    <row r="1007" spans="1:19" s="34" customFormat="1" ht="13.9" hidden="1" customHeight="1" outlineLevel="3" x14ac:dyDescent="0.2">
      <c r="A1007" s="457">
        <f ca="1">IF($H1007="UNIDADE CONSTRUTIVA",OFFSET(A1007,-1,0)+1,LARGE(A$3:A1006,1))</f>
        <v>0</v>
      </c>
      <c r="B1007" s="457">
        <f t="shared" ca="1" si="215"/>
        <v>14</v>
      </c>
      <c r="C1007" s="457">
        <f t="shared" ca="1" si="216"/>
        <v>5</v>
      </c>
      <c r="D1007" s="458">
        <f t="shared" ca="1" si="217"/>
        <v>6</v>
      </c>
      <c r="E1007" s="458">
        <f t="shared" ca="1" si="218"/>
        <v>5</v>
      </c>
      <c r="G1007" s="206"/>
      <c r="H1007" s="207" t="s">
        <v>212</v>
      </c>
      <c r="I1007" s="208" t="str">
        <f t="shared" ref="I1007:I1054" ca="1" si="243">IF(H1007="Unidade Construtiva",TEXT(A1007,"00"),IF(H1007="Célula Construtiva",TEXT(B1007,"00"),IF(H1007="Etapa",CONCATENATE(TEXT(B1007,"00"),".",TEXT(C1007,"000")),IF(H1007="Subetapa",CONCATENATE(TEXT(B1007,"00"),".",TEXT(C1007,"000"),".",TEXT(D1007,"000")),IF(H1007="Serviço",CONCATENATE(TEXT(B1007,"00"),".",TEXT(C1007,"000"),".",TEXT(D1007,"000"),".",TEXT(E1007,"000")),"")))))</f>
        <v>14.005.006.005</v>
      </c>
      <c r="J1007" s="209" t="s">
        <v>562</v>
      </c>
      <c r="K1007" s="210" t="s">
        <v>3</v>
      </c>
      <c r="L1007" s="455">
        <f>L1001</f>
        <v>920.5999999999998</v>
      </c>
      <c r="M1007" s="455">
        <v>22</v>
      </c>
      <c r="N1007" s="285">
        <f t="shared" si="242"/>
        <v>20253.199999999997</v>
      </c>
      <c r="O1007" s="462"/>
      <c r="P1007" s="213" t="s">
        <v>518</v>
      </c>
      <c r="Q1007" s="35"/>
      <c r="R1007" s="35"/>
      <c r="S1007" s="35"/>
    </row>
    <row r="1008" spans="1:19" s="34" customFormat="1" ht="13.9" hidden="1" customHeight="1" outlineLevel="1" x14ac:dyDescent="0.2">
      <c r="A1008" s="457">
        <f ca="1">IF($H1008="UNIDADE CONSTRUTIVA",OFFSET(A1008,-1,0)+1,LARGE(A$3:A1007,1))</f>
        <v>0</v>
      </c>
      <c r="B1008" s="457">
        <f t="shared" ref="B1008:B1027" ca="1" si="244">IF(H1008="UNIDADE CONSTRUTIVA",0,IF(H1008="CÉLULA CONSTRUTIVA",OFFSET(B1008,-1,0)+1,OFFSET(B1008,-1,0)))</f>
        <v>14</v>
      </c>
      <c r="C1008" s="457">
        <f t="shared" ref="C1008:C1027" ca="1" si="245">IF(H1008="CÉLULA CONSTRUTIVA",0,IF(H1008="ETAPA",OFFSET(C1008,-1,0)+1,OFFSET(C1008,-1,0)))</f>
        <v>6</v>
      </c>
      <c r="D1008" s="458">
        <f t="shared" ref="D1008:D1027" ca="1" si="246">IF(H1008="ETAPA",0,IF(H1008="SUBETAPA",OFFSET(D1008,-1,0)+1,OFFSET(D1008,-1,0)))</f>
        <v>0</v>
      </c>
      <c r="E1008" s="458">
        <f t="shared" ref="E1008:E1027" ca="1" si="247">IF(H1008="Subetapa",0,IF(H1008="serviço",OFFSET(E1008,-1,0)+1,OFFSET(E1008,-1,0)))</f>
        <v>5</v>
      </c>
      <c r="G1008" s="206"/>
      <c r="H1008" s="207" t="s">
        <v>210</v>
      </c>
      <c r="I1008" s="208" t="str">
        <f t="shared" ca="1" si="243"/>
        <v>14.006</v>
      </c>
      <c r="J1008" s="209" t="s">
        <v>1033</v>
      </c>
      <c r="K1008" s="210"/>
      <c r="L1008" s="455"/>
      <c r="M1008" s="455"/>
      <c r="N1008" s="285">
        <f t="shared" ca="1" si="242"/>
        <v>117538.80667199999</v>
      </c>
      <c r="O1008" s="462"/>
      <c r="P1008" s="213"/>
      <c r="Q1008" s="35"/>
      <c r="R1008" s="35"/>
      <c r="S1008" s="35"/>
    </row>
    <row r="1009" spans="1:19" s="34" customFormat="1" ht="13.9" hidden="1" customHeight="1" outlineLevel="2" x14ac:dyDescent="0.2">
      <c r="A1009" s="457">
        <f ca="1">IF($H1009="UNIDADE CONSTRUTIVA",OFFSET(A1009,-1,0)+1,LARGE(A$3:A1008,1))</f>
        <v>0</v>
      </c>
      <c r="B1009" s="457">
        <f t="shared" ca="1" si="244"/>
        <v>14</v>
      </c>
      <c r="C1009" s="457">
        <f t="shared" ca="1" si="245"/>
        <v>6</v>
      </c>
      <c r="D1009" s="458">
        <f t="shared" ca="1" si="246"/>
        <v>1</v>
      </c>
      <c r="E1009" s="458">
        <f t="shared" ca="1" si="247"/>
        <v>0</v>
      </c>
      <c r="G1009" s="206"/>
      <c r="H1009" s="207" t="s">
        <v>211</v>
      </c>
      <c r="I1009" s="208" t="str">
        <f t="shared" ca="1" si="243"/>
        <v>14.006.001</v>
      </c>
      <c r="J1009" s="209" t="s">
        <v>133</v>
      </c>
      <c r="K1009" s="210"/>
      <c r="L1009" s="455"/>
      <c r="M1009" s="455"/>
      <c r="N1009" s="285">
        <f t="shared" ref="N1009:N1040" ca="1" si="248">IF(H1009="Serviço",M1009*L1009,IF(H1009="CÉLULA CONSTRUTIVA",SUMIFS($N$8:$N$1505,$B$8:$B$1505,B1009,$H$8:$H$1505,"Serviço"),IF(H1009="ETAPA",SUMIFS($N$8:$N$1505,$B$8:$B$1505,B1009,$C$8:$C$1505,C1009,$H$8:$H$1505,"Serviço"),IF(H1009="SUBETAPA",SUMIFS($N$8:$N$1505,$B$8:$B$1505,B1009,$C$8:$C$1505,C1009,$D$8:$D$1505,D1009,$H$8:$H$1505,"Serviço"),0))))</f>
        <v>15621.707614999999</v>
      </c>
      <c r="O1009" s="462"/>
      <c r="P1009" s="213"/>
      <c r="Q1009" s="35"/>
      <c r="R1009" s="35"/>
      <c r="S1009" s="35"/>
    </row>
    <row r="1010" spans="1:19" s="34" customFormat="1" ht="13.9" hidden="1" customHeight="1" outlineLevel="3" x14ac:dyDescent="0.2">
      <c r="A1010" s="457">
        <f ca="1">IF($H1010="UNIDADE CONSTRUTIVA",OFFSET(A1010,-1,0)+1,LARGE(A$3:A1009,1))</f>
        <v>0</v>
      </c>
      <c r="B1010" s="457">
        <f t="shared" ca="1" si="244"/>
        <v>14</v>
      </c>
      <c r="C1010" s="457">
        <f t="shared" ca="1" si="245"/>
        <v>6</v>
      </c>
      <c r="D1010" s="458">
        <f t="shared" ca="1" si="246"/>
        <v>1</v>
      </c>
      <c r="E1010" s="458">
        <f t="shared" ca="1" si="247"/>
        <v>1</v>
      </c>
      <c r="G1010" s="206"/>
      <c r="H1010" s="207" t="s">
        <v>212</v>
      </c>
      <c r="I1010" s="208" t="str">
        <f t="shared" ca="1" si="243"/>
        <v>14.006.001.001</v>
      </c>
      <c r="J1010" s="209" t="s">
        <v>1010</v>
      </c>
      <c r="K1010" s="210" t="s">
        <v>1</v>
      </c>
      <c r="L1010" s="455">
        <f>Arquitetura!D750</f>
        <v>57.57</v>
      </c>
      <c r="M1010" s="455">
        <v>15.842499999999999</v>
      </c>
      <c r="N1010" s="285">
        <f t="shared" si="248"/>
        <v>912.05272500000001</v>
      </c>
      <c r="O1010" s="462"/>
      <c r="P1010" s="213" t="s">
        <v>518</v>
      </c>
      <c r="Q1010" s="35"/>
      <c r="R1010" s="35"/>
      <c r="S1010" s="35"/>
    </row>
    <row r="1011" spans="1:19" s="34" customFormat="1" ht="13.9" hidden="1" customHeight="1" outlineLevel="3" x14ac:dyDescent="0.2">
      <c r="A1011" s="457">
        <f ca="1">IF($H1011="UNIDADE CONSTRUTIVA",OFFSET(A1011,-1,0)+1,LARGE(A$3:A1010,1))</f>
        <v>0</v>
      </c>
      <c r="B1011" s="457">
        <f t="shared" ca="1" si="244"/>
        <v>14</v>
      </c>
      <c r="C1011" s="457">
        <f t="shared" ca="1" si="245"/>
        <v>6</v>
      </c>
      <c r="D1011" s="458">
        <f t="shared" ca="1" si="246"/>
        <v>1</v>
      </c>
      <c r="E1011" s="458">
        <f t="shared" ca="1" si="247"/>
        <v>2</v>
      </c>
      <c r="G1011" s="206"/>
      <c r="H1011" s="207" t="s">
        <v>212</v>
      </c>
      <c r="I1011" s="208" t="str">
        <f t="shared" ca="1" si="243"/>
        <v>14.006.001.002</v>
      </c>
      <c r="J1011" s="209" t="s">
        <v>420</v>
      </c>
      <c r="K1011" s="210" t="s">
        <v>1</v>
      </c>
      <c r="L1011" s="455">
        <f>Arquitetura!D751</f>
        <v>478.1</v>
      </c>
      <c r="M1011" s="455">
        <v>30.7669</v>
      </c>
      <c r="N1011" s="285">
        <f t="shared" si="248"/>
        <v>14709.65489</v>
      </c>
      <c r="O1011" s="462"/>
      <c r="P1011" s="213" t="s">
        <v>518</v>
      </c>
      <c r="Q1011" s="35"/>
      <c r="R1011" s="35"/>
      <c r="S1011" s="35"/>
    </row>
    <row r="1012" spans="1:19" s="34" customFormat="1" ht="13.9" hidden="1" customHeight="1" outlineLevel="2" x14ac:dyDescent="0.2">
      <c r="A1012" s="457">
        <f ca="1">IF($H1012="UNIDADE CONSTRUTIVA",OFFSET(A1012,-1,0)+1,LARGE(A$3:A1011,1))</f>
        <v>0</v>
      </c>
      <c r="B1012" s="457">
        <f t="shared" ca="1" si="244"/>
        <v>14</v>
      </c>
      <c r="C1012" s="457">
        <f t="shared" ca="1" si="245"/>
        <v>6</v>
      </c>
      <c r="D1012" s="458">
        <f t="shared" ca="1" si="246"/>
        <v>2</v>
      </c>
      <c r="E1012" s="458">
        <f t="shared" ca="1" si="247"/>
        <v>0</v>
      </c>
      <c r="G1012" s="206"/>
      <c r="H1012" s="207" t="s">
        <v>211</v>
      </c>
      <c r="I1012" s="208" t="str">
        <f t="shared" ca="1" si="243"/>
        <v>14.006.002</v>
      </c>
      <c r="J1012" s="209" t="s">
        <v>421</v>
      </c>
      <c r="K1012" s="210"/>
      <c r="L1012" s="455"/>
      <c r="M1012" s="455"/>
      <c r="N1012" s="285">
        <f t="shared" ca="1" si="248"/>
        <v>0</v>
      </c>
      <c r="O1012" s="462"/>
      <c r="P1012" s="213"/>
      <c r="Q1012" s="35"/>
      <c r="R1012" s="35"/>
      <c r="S1012" s="35"/>
    </row>
    <row r="1013" spans="1:19" s="34" customFormat="1" ht="13.9" hidden="1" customHeight="1" outlineLevel="3" x14ac:dyDescent="0.2">
      <c r="A1013" s="457">
        <f ca="1">IF($H1013="UNIDADE CONSTRUTIVA",OFFSET(A1013,-1,0)+1,LARGE(A$3:A1012,1))</f>
        <v>0</v>
      </c>
      <c r="B1013" s="457">
        <f t="shared" ca="1" si="244"/>
        <v>14</v>
      </c>
      <c r="C1013" s="457">
        <f t="shared" ca="1" si="245"/>
        <v>6</v>
      </c>
      <c r="D1013" s="458">
        <f t="shared" ca="1" si="246"/>
        <v>2</v>
      </c>
      <c r="E1013" s="458">
        <f t="shared" ca="1" si="247"/>
        <v>1</v>
      </c>
      <c r="G1013" s="206"/>
      <c r="H1013" s="207" t="s">
        <v>212</v>
      </c>
      <c r="I1013" s="208" t="str">
        <f t="shared" ca="1" si="243"/>
        <v>14.006.002.001</v>
      </c>
      <c r="J1013" s="471" t="s">
        <v>4186</v>
      </c>
      <c r="K1013" s="210" t="s">
        <v>1</v>
      </c>
      <c r="L1013" s="455">
        <f>Arquitetura!D840+Arquitetura!D841+Arquitetura!D839</f>
        <v>12</v>
      </c>
      <c r="M1013" s="455"/>
      <c r="N1013" s="285">
        <f t="shared" si="248"/>
        <v>0</v>
      </c>
      <c r="O1013" s="462" t="s">
        <v>4190</v>
      </c>
      <c r="P1013" s="213" t="s">
        <v>518</v>
      </c>
      <c r="Q1013" s="35"/>
      <c r="R1013" s="35"/>
      <c r="S1013" s="35"/>
    </row>
    <row r="1014" spans="1:19" s="34" customFormat="1" ht="13.9" hidden="1" customHeight="1" outlineLevel="2" x14ac:dyDescent="0.2">
      <c r="A1014" s="457">
        <f ca="1">IF($H1014="UNIDADE CONSTRUTIVA",OFFSET(A1014,-1,0)+1,LARGE(A$3:A1013,1))</f>
        <v>0</v>
      </c>
      <c r="B1014" s="457">
        <f t="shared" ca="1" si="244"/>
        <v>14</v>
      </c>
      <c r="C1014" s="457">
        <f t="shared" ca="1" si="245"/>
        <v>6</v>
      </c>
      <c r="D1014" s="458">
        <f t="shared" ca="1" si="246"/>
        <v>3</v>
      </c>
      <c r="E1014" s="458">
        <f t="shared" ca="1" si="247"/>
        <v>0</v>
      </c>
      <c r="G1014" s="206"/>
      <c r="H1014" s="207" t="s">
        <v>211</v>
      </c>
      <c r="I1014" s="208" t="str">
        <f t="shared" ca="1" si="243"/>
        <v>14.006.003</v>
      </c>
      <c r="J1014" s="209" t="s">
        <v>559</v>
      </c>
      <c r="K1014" s="210"/>
      <c r="L1014" s="455"/>
      <c r="M1014" s="455"/>
      <c r="N1014" s="285">
        <f t="shared" ca="1" si="248"/>
        <v>25837.793145000003</v>
      </c>
      <c r="O1014" s="462"/>
      <c r="P1014" s="213"/>
      <c r="Q1014" s="35"/>
      <c r="R1014" s="35"/>
      <c r="S1014" s="35"/>
    </row>
    <row r="1015" spans="1:19" s="34" customFormat="1" ht="13.9" hidden="1" customHeight="1" outlineLevel="3" x14ac:dyDescent="0.2">
      <c r="A1015" s="457">
        <f ca="1">IF($H1015="UNIDADE CONSTRUTIVA",OFFSET(A1015,-1,0)+1,LARGE(A$3:A1014,1))</f>
        <v>0</v>
      </c>
      <c r="B1015" s="457">
        <f t="shared" ca="1" si="244"/>
        <v>14</v>
      </c>
      <c r="C1015" s="457">
        <f t="shared" ca="1" si="245"/>
        <v>6</v>
      </c>
      <c r="D1015" s="458">
        <f t="shared" ca="1" si="246"/>
        <v>3</v>
      </c>
      <c r="E1015" s="458">
        <f t="shared" ca="1" si="247"/>
        <v>1</v>
      </c>
      <c r="G1015" s="206"/>
      <c r="H1015" s="207" t="s">
        <v>212</v>
      </c>
      <c r="I1015" s="208" t="str">
        <f t="shared" ca="1" si="243"/>
        <v>14.006.003.001</v>
      </c>
      <c r="J1015" s="209" t="s">
        <v>4195</v>
      </c>
      <c r="K1015" s="210" t="s">
        <v>1</v>
      </c>
      <c r="L1015" s="455">
        <f>Arquitetura!D971</f>
        <v>32.630000000000003</v>
      </c>
      <c r="M1015" s="455">
        <v>91.0017</v>
      </c>
      <c r="N1015" s="285">
        <f t="shared" si="248"/>
        <v>2969.3854710000001</v>
      </c>
      <c r="O1015" s="462"/>
      <c r="P1015" s="213" t="s">
        <v>518</v>
      </c>
      <c r="Q1015" s="35"/>
      <c r="R1015" s="35"/>
      <c r="S1015" s="35"/>
    </row>
    <row r="1016" spans="1:19" s="34" customFormat="1" ht="13.9" hidden="1" customHeight="1" outlineLevel="3" x14ac:dyDescent="0.2">
      <c r="A1016" s="457">
        <f ca="1">IF($H1016="UNIDADE CONSTRUTIVA",OFFSET(A1016,-1,0)+1,LARGE(A$3:A1015,1))</f>
        <v>0</v>
      </c>
      <c r="B1016" s="457">
        <f t="shared" ca="1" si="244"/>
        <v>14</v>
      </c>
      <c r="C1016" s="457">
        <f t="shared" ca="1" si="245"/>
        <v>6</v>
      </c>
      <c r="D1016" s="458">
        <f t="shared" ca="1" si="246"/>
        <v>3</v>
      </c>
      <c r="E1016" s="458">
        <f t="shared" ca="1" si="247"/>
        <v>2</v>
      </c>
      <c r="G1016" s="206"/>
      <c r="H1016" s="207" t="s">
        <v>212</v>
      </c>
      <c r="I1016" s="208" t="str">
        <f t="shared" ca="1" si="243"/>
        <v>14.006.003.002</v>
      </c>
      <c r="J1016" s="209" t="s">
        <v>4196</v>
      </c>
      <c r="K1016" s="210" t="s">
        <v>1</v>
      </c>
      <c r="L1016" s="455">
        <f>SUM(Arquitetura!D966:D970)</f>
        <v>250.10999999999999</v>
      </c>
      <c r="M1016" s="455">
        <v>91.433400000000006</v>
      </c>
      <c r="N1016" s="285">
        <f t="shared" si="248"/>
        <v>22868.407674000002</v>
      </c>
      <c r="O1016" s="462"/>
      <c r="P1016" s="213" t="s">
        <v>518</v>
      </c>
      <c r="Q1016" s="35"/>
      <c r="R1016" s="35"/>
      <c r="S1016" s="35"/>
    </row>
    <row r="1017" spans="1:19" s="34" customFormat="1" ht="13.9" hidden="1" customHeight="1" outlineLevel="2" x14ac:dyDescent="0.2">
      <c r="A1017" s="457">
        <f ca="1">IF($H1017="UNIDADE CONSTRUTIVA",OFFSET(A1017,-1,0)+1,LARGE(A$3:A1016,1))</f>
        <v>0</v>
      </c>
      <c r="B1017" s="457">
        <f t="shared" ca="1" si="244"/>
        <v>14</v>
      </c>
      <c r="C1017" s="457">
        <f t="shared" ca="1" si="245"/>
        <v>6</v>
      </c>
      <c r="D1017" s="458">
        <f t="shared" ca="1" si="246"/>
        <v>4</v>
      </c>
      <c r="E1017" s="458">
        <f t="shared" ca="1" si="247"/>
        <v>0</v>
      </c>
      <c r="G1017" s="206"/>
      <c r="H1017" s="207" t="s">
        <v>211</v>
      </c>
      <c r="I1017" s="208" t="str">
        <f t="shared" ca="1" si="243"/>
        <v>14.006.004</v>
      </c>
      <c r="J1017" s="209" t="s">
        <v>262</v>
      </c>
      <c r="K1017" s="210"/>
      <c r="L1017" s="455"/>
      <c r="M1017" s="455"/>
      <c r="N1017" s="285">
        <f t="shared" ca="1" si="248"/>
        <v>14241.33</v>
      </c>
      <c r="O1017" s="462"/>
      <c r="P1017" s="213"/>
      <c r="Q1017" s="35"/>
      <c r="R1017" s="35"/>
      <c r="S1017" s="35"/>
    </row>
    <row r="1018" spans="1:19" s="34" customFormat="1" ht="13.9" hidden="1" customHeight="1" outlineLevel="3" x14ac:dyDescent="0.2">
      <c r="A1018" s="457">
        <f ca="1">IF($H1018="UNIDADE CONSTRUTIVA",OFFSET(A1018,-1,0)+1,LARGE(A$3:A1017,1))</f>
        <v>0</v>
      </c>
      <c r="B1018" s="457">
        <f t="shared" ca="1" si="244"/>
        <v>14</v>
      </c>
      <c r="C1018" s="457">
        <f t="shared" ca="1" si="245"/>
        <v>6</v>
      </c>
      <c r="D1018" s="458">
        <f t="shared" ca="1" si="246"/>
        <v>4</v>
      </c>
      <c r="E1018" s="458">
        <f t="shared" ca="1" si="247"/>
        <v>1</v>
      </c>
      <c r="G1018" s="206"/>
      <c r="H1018" s="207" t="s">
        <v>212</v>
      </c>
      <c r="I1018" s="208" t="str">
        <f t="shared" ca="1" si="243"/>
        <v>14.006.004.001</v>
      </c>
      <c r="J1018" s="209" t="s">
        <v>4198</v>
      </c>
      <c r="K1018" s="210" t="s">
        <v>1</v>
      </c>
      <c r="L1018" s="455">
        <f>Arquitetura!D1010</f>
        <v>177.75</v>
      </c>
      <c r="M1018" s="455">
        <v>80.12</v>
      </c>
      <c r="N1018" s="285">
        <f t="shared" si="248"/>
        <v>14241.33</v>
      </c>
      <c r="O1018" s="462"/>
      <c r="P1018" s="213" t="s">
        <v>518</v>
      </c>
      <c r="Q1018" s="35"/>
      <c r="R1018" s="35"/>
      <c r="S1018" s="35"/>
    </row>
    <row r="1019" spans="1:19" s="34" customFormat="1" ht="13.9" hidden="1" customHeight="1" outlineLevel="2" x14ac:dyDescent="0.2">
      <c r="A1019" s="457">
        <f ca="1">IF($H1019="UNIDADE CONSTRUTIVA",OFFSET(A1019,-1,0)+1,LARGE(A$3:A1018,1))</f>
        <v>0</v>
      </c>
      <c r="B1019" s="457">
        <f t="shared" ca="1" si="244"/>
        <v>14</v>
      </c>
      <c r="C1019" s="457">
        <f t="shared" ca="1" si="245"/>
        <v>6</v>
      </c>
      <c r="D1019" s="458">
        <f t="shared" ca="1" si="246"/>
        <v>5</v>
      </c>
      <c r="E1019" s="458">
        <f t="shared" ca="1" si="247"/>
        <v>0</v>
      </c>
      <c r="G1019" s="206"/>
      <c r="H1019" s="207" t="s">
        <v>211</v>
      </c>
      <c r="I1019" s="208" t="str">
        <f t="shared" ca="1" si="243"/>
        <v>14.006.005</v>
      </c>
      <c r="J1019" s="209" t="s">
        <v>134</v>
      </c>
      <c r="K1019" s="210"/>
      <c r="L1019" s="455"/>
      <c r="M1019" s="455"/>
      <c r="N1019" s="285">
        <f t="shared" ca="1" si="248"/>
        <v>16841.085911999999</v>
      </c>
      <c r="O1019" s="462"/>
      <c r="P1019" s="213"/>
      <c r="Q1019" s="35"/>
      <c r="R1019" s="35"/>
      <c r="S1019" s="35"/>
    </row>
    <row r="1020" spans="1:19" s="34" customFormat="1" ht="13.9" hidden="1" customHeight="1" outlineLevel="3" x14ac:dyDescent="0.2">
      <c r="A1020" s="457">
        <f ca="1">IF($H1020="UNIDADE CONSTRUTIVA",OFFSET(A1020,-1,0)+1,LARGE(A$3:A1019,1))</f>
        <v>0</v>
      </c>
      <c r="B1020" s="457">
        <f t="shared" ca="1" si="244"/>
        <v>14</v>
      </c>
      <c r="C1020" s="457">
        <f t="shared" ca="1" si="245"/>
        <v>6</v>
      </c>
      <c r="D1020" s="458">
        <f t="shared" ca="1" si="246"/>
        <v>5</v>
      </c>
      <c r="E1020" s="458">
        <f t="shared" ca="1" si="247"/>
        <v>1</v>
      </c>
      <c r="G1020" s="206"/>
      <c r="H1020" s="207" t="s">
        <v>212</v>
      </c>
      <c r="I1020" s="208" t="str">
        <f t="shared" ca="1" si="243"/>
        <v>14.006.005.001</v>
      </c>
      <c r="J1020" s="209" t="s">
        <v>560</v>
      </c>
      <c r="K1020" s="210" t="s">
        <v>3</v>
      </c>
      <c r="L1020" s="455">
        <f>Arquitetura!D1068</f>
        <v>475.58</v>
      </c>
      <c r="M1020" s="455">
        <v>33.869999999999997</v>
      </c>
      <c r="N1020" s="285">
        <f t="shared" si="248"/>
        <v>16107.894599999998</v>
      </c>
      <c r="O1020" s="462"/>
      <c r="P1020" s="213" t="s">
        <v>518</v>
      </c>
      <c r="Q1020" s="35"/>
      <c r="R1020" s="35"/>
      <c r="S1020" s="35"/>
    </row>
    <row r="1021" spans="1:19" s="34" customFormat="1" ht="13.9" hidden="1" customHeight="1" outlineLevel="3" x14ac:dyDescent="0.2">
      <c r="A1021" s="457">
        <f ca="1">IF($H1021="UNIDADE CONSTRUTIVA",OFFSET(A1021,-1,0)+1,LARGE(A$3:A1020,1))</f>
        <v>0</v>
      </c>
      <c r="B1021" s="457">
        <f t="shared" ca="1" si="244"/>
        <v>14</v>
      </c>
      <c r="C1021" s="457">
        <f t="shared" ca="1" si="245"/>
        <v>6</v>
      </c>
      <c r="D1021" s="458">
        <f t="shared" ca="1" si="246"/>
        <v>5</v>
      </c>
      <c r="E1021" s="458">
        <f t="shared" ca="1" si="247"/>
        <v>2</v>
      </c>
      <c r="G1021" s="206"/>
      <c r="H1021" s="207" t="s">
        <v>212</v>
      </c>
      <c r="I1021" s="208" t="str">
        <f t="shared" ca="1" si="243"/>
        <v>14.006.005.002</v>
      </c>
      <c r="J1021" s="209" t="s">
        <v>561</v>
      </c>
      <c r="K1021" s="210" t="s">
        <v>3</v>
      </c>
      <c r="L1021" s="455">
        <f>Arquitetura!D1069</f>
        <v>82.32</v>
      </c>
      <c r="M1021" s="455">
        <v>8.9065999999999992</v>
      </c>
      <c r="N1021" s="285">
        <f t="shared" si="248"/>
        <v>733.19131199999993</v>
      </c>
      <c r="O1021" s="462"/>
      <c r="P1021" s="213" t="s">
        <v>518</v>
      </c>
      <c r="Q1021" s="35"/>
      <c r="R1021" s="35"/>
      <c r="S1021" s="35"/>
    </row>
    <row r="1022" spans="1:19" s="34" customFormat="1" ht="13.9" hidden="1" customHeight="1" outlineLevel="2" x14ac:dyDescent="0.2">
      <c r="A1022" s="457">
        <f ca="1">IF($H1022="UNIDADE CONSTRUTIVA",OFFSET(A1022,-1,0)+1,LARGE(A$3:A1021,1))</f>
        <v>0</v>
      </c>
      <c r="B1022" s="457">
        <f t="shared" ca="1" si="244"/>
        <v>14</v>
      </c>
      <c r="C1022" s="457">
        <f t="shared" ca="1" si="245"/>
        <v>6</v>
      </c>
      <c r="D1022" s="458">
        <f t="shared" ca="1" si="246"/>
        <v>6</v>
      </c>
      <c r="E1022" s="458">
        <f t="shared" ca="1" si="247"/>
        <v>0</v>
      </c>
      <c r="G1022" s="206"/>
      <c r="H1022" s="207" t="s">
        <v>211</v>
      </c>
      <c r="I1022" s="208" t="str">
        <f t="shared" ca="1" si="243"/>
        <v>14.006.006</v>
      </c>
      <c r="J1022" s="209" t="s">
        <v>434</v>
      </c>
      <c r="K1022" s="210"/>
      <c r="L1022" s="455"/>
      <c r="M1022" s="455"/>
      <c r="N1022" s="285">
        <f t="shared" ca="1" si="248"/>
        <v>44996.890000000007</v>
      </c>
      <c r="O1022" s="462"/>
      <c r="P1022" s="213"/>
      <c r="Q1022" s="35"/>
      <c r="R1022" s="35"/>
      <c r="S1022" s="35"/>
    </row>
    <row r="1023" spans="1:19" s="34" customFormat="1" ht="13.9" hidden="1" customHeight="1" outlineLevel="3" x14ac:dyDescent="0.2">
      <c r="A1023" s="457">
        <f ca="1">IF($H1023="UNIDADE CONSTRUTIVA",OFFSET(A1023,-1,0)+1,LARGE(A$3:A1022,1))</f>
        <v>0</v>
      </c>
      <c r="B1023" s="457">
        <f t="shared" ca="1" si="244"/>
        <v>14</v>
      </c>
      <c r="C1023" s="457">
        <f t="shared" ca="1" si="245"/>
        <v>6</v>
      </c>
      <c r="D1023" s="458">
        <f t="shared" ca="1" si="246"/>
        <v>6</v>
      </c>
      <c r="E1023" s="458">
        <f t="shared" ca="1" si="247"/>
        <v>1</v>
      </c>
      <c r="G1023" s="206"/>
      <c r="H1023" s="207" t="s">
        <v>212</v>
      </c>
      <c r="I1023" s="208" t="str">
        <f t="shared" ca="1" si="243"/>
        <v>14.006.006.001</v>
      </c>
      <c r="J1023" s="209" t="s">
        <v>1020</v>
      </c>
      <c r="K1023" s="210" t="s">
        <v>1</v>
      </c>
      <c r="L1023" s="455">
        <f>SUM(L1010:L1011)</f>
        <v>535.67000000000007</v>
      </c>
      <c r="M1023" s="455">
        <v>37</v>
      </c>
      <c r="N1023" s="285">
        <f t="shared" si="248"/>
        <v>19819.79</v>
      </c>
      <c r="O1023" s="462"/>
      <c r="P1023" s="213" t="s">
        <v>518</v>
      </c>
      <c r="Q1023" s="35"/>
      <c r="R1023" s="35"/>
      <c r="S1023" s="35"/>
    </row>
    <row r="1024" spans="1:19" s="34" customFormat="1" ht="13.9" hidden="1" customHeight="1" outlineLevel="3" x14ac:dyDescent="0.2">
      <c r="A1024" s="457">
        <f ca="1">IF($H1024="UNIDADE CONSTRUTIVA",OFFSET(A1024,-1,0)+1,LARGE(A$3:A1023,1))</f>
        <v>0</v>
      </c>
      <c r="B1024" s="457">
        <f t="shared" ca="1" si="244"/>
        <v>14</v>
      </c>
      <c r="C1024" s="457">
        <f t="shared" ca="1" si="245"/>
        <v>6</v>
      </c>
      <c r="D1024" s="458">
        <f t="shared" ca="1" si="246"/>
        <v>6</v>
      </c>
      <c r="E1024" s="458">
        <f t="shared" ca="1" si="247"/>
        <v>2</v>
      </c>
      <c r="G1024" s="206"/>
      <c r="H1024" s="207" t="s">
        <v>212</v>
      </c>
      <c r="I1024" s="208" t="str">
        <f t="shared" ca="1" si="243"/>
        <v>14.006.006.002</v>
      </c>
      <c r="J1024" s="209" t="s">
        <v>4202</v>
      </c>
      <c r="K1024" s="210" t="s">
        <v>1</v>
      </c>
      <c r="L1024" s="455">
        <f>L1013</f>
        <v>12</v>
      </c>
      <c r="M1024" s="455">
        <v>15</v>
      </c>
      <c r="N1024" s="285">
        <f t="shared" si="248"/>
        <v>180</v>
      </c>
      <c r="O1024" s="462"/>
      <c r="P1024" s="213" t="s">
        <v>518</v>
      </c>
      <c r="Q1024" s="35"/>
      <c r="R1024" s="35"/>
      <c r="S1024" s="35"/>
    </row>
    <row r="1025" spans="1:19" s="34" customFormat="1" ht="13.9" hidden="1" customHeight="1" outlineLevel="3" x14ac:dyDescent="0.2">
      <c r="A1025" s="457">
        <f ca="1">IF($H1025="UNIDADE CONSTRUTIVA",OFFSET(A1025,-1,0)+1,LARGE(A$3:A1024,1))</f>
        <v>0</v>
      </c>
      <c r="B1025" s="457">
        <f t="shared" ca="1" si="244"/>
        <v>14</v>
      </c>
      <c r="C1025" s="457">
        <f t="shared" ca="1" si="245"/>
        <v>6</v>
      </c>
      <c r="D1025" s="458">
        <f t="shared" ca="1" si="246"/>
        <v>6</v>
      </c>
      <c r="E1025" s="458">
        <f t="shared" ca="1" si="247"/>
        <v>3</v>
      </c>
      <c r="G1025" s="206"/>
      <c r="H1025" s="207" t="s">
        <v>212</v>
      </c>
      <c r="I1025" s="208" t="str">
        <f t="shared" ca="1" si="243"/>
        <v>14.006.006.003</v>
      </c>
      <c r="J1025" s="209" t="s">
        <v>263</v>
      </c>
      <c r="K1025" s="210" t="s">
        <v>1</v>
      </c>
      <c r="L1025" s="455">
        <f>L1015+L1016</f>
        <v>282.74</v>
      </c>
      <c r="M1025" s="455">
        <v>45</v>
      </c>
      <c r="N1025" s="285">
        <f t="shared" si="248"/>
        <v>12723.300000000001</v>
      </c>
      <c r="O1025" s="462"/>
      <c r="P1025" s="213" t="s">
        <v>518</v>
      </c>
      <c r="Q1025" s="35"/>
      <c r="R1025" s="35"/>
      <c r="S1025" s="35"/>
    </row>
    <row r="1026" spans="1:19" s="34" customFormat="1" ht="13.9" hidden="1" customHeight="1" outlineLevel="3" x14ac:dyDescent="0.2">
      <c r="A1026" s="457">
        <f ca="1">IF($H1026="UNIDADE CONSTRUTIVA",OFFSET(A1026,-1,0)+1,LARGE(A$3:A1025,1))</f>
        <v>0</v>
      </c>
      <c r="B1026" s="457">
        <f t="shared" ca="1" si="244"/>
        <v>14</v>
      </c>
      <c r="C1026" s="457">
        <f t="shared" ca="1" si="245"/>
        <v>6</v>
      </c>
      <c r="D1026" s="458">
        <f t="shared" ca="1" si="246"/>
        <v>6</v>
      </c>
      <c r="E1026" s="458">
        <f t="shared" ca="1" si="247"/>
        <v>4</v>
      </c>
      <c r="G1026" s="206"/>
      <c r="H1026" s="207" t="s">
        <v>212</v>
      </c>
      <c r="I1026" s="208" t="str">
        <f ca="1">IF(H1026="Unidade Construtiva",TEXT(A1026,"00"),IF(H1026="Célula Construtiva",TEXT(B1026,"00"),IF(H1026="Etapa",CONCATENATE(TEXT(B1026,"00"),".",TEXT(C1026,"000")),IF(H1026="Subetapa",CONCATENATE(TEXT(B1026,"00"),".",TEXT(C1026,"000"),".",TEXT(D1026,"000")),IF(H1026="Serviço",CONCATENATE(TEXT(B1026,"00"),".",TEXT(C1026,"000"),".",TEXT(D1026,"000"),".",TEXT(E1026,"000")),"")))))</f>
        <v>14.006.006.004</v>
      </c>
      <c r="J1026" s="209" t="s">
        <v>433</v>
      </c>
      <c r="K1026" s="210" t="s">
        <v>3</v>
      </c>
      <c r="L1026" s="455">
        <f>L1020</f>
        <v>475.58</v>
      </c>
      <c r="M1026" s="455">
        <v>22</v>
      </c>
      <c r="N1026" s="285">
        <f t="shared" si="248"/>
        <v>10462.76</v>
      </c>
      <c r="O1026" s="462"/>
      <c r="P1026" s="213" t="s">
        <v>518</v>
      </c>
      <c r="Q1026" s="35"/>
      <c r="R1026" s="35"/>
      <c r="S1026" s="35"/>
    </row>
    <row r="1027" spans="1:19" s="34" customFormat="1" ht="13.9" hidden="1" customHeight="1" outlineLevel="3" x14ac:dyDescent="0.2">
      <c r="A1027" s="457">
        <f ca="1">IF($H1027="UNIDADE CONSTRUTIVA",OFFSET(A1027,-1,0)+1,LARGE(A$3:A1026,1))</f>
        <v>0</v>
      </c>
      <c r="B1027" s="457">
        <f t="shared" ca="1" si="244"/>
        <v>14</v>
      </c>
      <c r="C1027" s="457">
        <f t="shared" ca="1" si="245"/>
        <v>6</v>
      </c>
      <c r="D1027" s="458">
        <f t="shared" ca="1" si="246"/>
        <v>6</v>
      </c>
      <c r="E1027" s="458">
        <f t="shared" ca="1" si="247"/>
        <v>5</v>
      </c>
      <c r="G1027" s="206"/>
      <c r="H1027" s="207" t="s">
        <v>212</v>
      </c>
      <c r="I1027" s="208" t="str">
        <f t="shared" ref="I1027:I1044" ca="1" si="249">IF(H1027="Unidade Construtiva",TEXT(A1027,"00"),IF(H1027="Célula Construtiva",TEXT(B1027,"00"),IF(H1027="Etapa",CONCATENATE(TEXT(B1027,"00"),".",TEXT(C1027,"000")),IF(H1027="Subetapa",CONCATENATE(TEXT(B1027,"00"),".",TEXT(C1027,"000"),".",TEXT(D1027,"000")),IF(H1027="Serviço",CONCATENATE(TEXT(B1027,"00"),".",TEXT(C1027,"000"),".",TEXT(D1027,"000"),".",TEXT(E1027,"000")),"")))))</f>
        <v>14.006.006.005</v>
      </c>
      <c r="J1027" s="209" t="s">
        <v>562</v>
      </c>
      <c r="K1027" s="210" t="s">
        <v>3</v>
      </c>
      <c r="L1027" s="455">
        <f>L1021</f>
        <v>82.32</v>
      </c>
      <c r="M1027" s="455">
        <v>22</v>
      </c>
      <c r="N1027" s="285">
        <f t="shared" si="248"/>
        <v>1811.04</v>
      </c>
      <c r="O1027" s="462"/>
      <c r="P1027" s="213" t="s">
        <v>518</v>
      </c>
      <c r="Q1027" s="35"/>
      <c r="R1027" s="35"/>
      <c r="S1027" s="35"/>
    </row>
    <row r="1028" spans="1:19" s="34" customFormat="1" ht="13.9" hidden="1" customHeight="1" outlineLevel="1" x14ac:dyDescent="0.2">
      <c r="A1028" s="457">
        <f ca="1">IF($H1028="UNIDADE CONSTRUTIVA",OFFSET(A1028,-1,0)+1,LARGE(A$3:A1027,1))</f>
        <v>0</v>
      </c>
      <c r="B1028" s="457">
        <f t="shared" ref="B1028:B1046" ca="1" si="250">IF(H1028="UNIDADE CONSTRUTIVA",0,IF(H1028="CÉLULA CONSTRUTIVA",OFFSET(B1028,-1,0)+1,OFFSET(B1028,-1,0)))</f>
        <v>14</v>
      </c>
      <c r="C1028" s="457">
        <f t="shared" ref="C1028:C1046" ca="1" si="251">IF(H1028="CÉLULA CONSTRUTIVA",0,IF(H1028="ETAPA",OFFSET(C1028,-1,0)+1,OFFSET(C1028,-1,0)))</f>
        <v>7</v>
      </c>
      <c r="D1028" s="458">
        <f t="shared" ref="D1028:D1046" ca="1" si="252">IF(H1028="ETAPA",0,IF(H1028="SUBETAPA",OFFSET(D1028,-1,0)+1,OFFSET(D1028,-1,0)))</f>
        <v>0</v>
      </c>
      <c r="E1028" s="458">
        <f t="shared" ref="E1028:E1046" ca="1" si="253">IF(H1028="Subetapa",0,IF(H1028="serviço",OFFSET(E1028,-1,0)+1,OFFSET(E1028,-1,0)))</f>
        <v>5</v>
      </c>
      <c r="G1028" s="206"/>
      <c r="H1028" s="207" t="s">
        <v>210</v>
      </c>
      <c r="I1028" s="208" t="str">
        <f t="shared" ca="1" si="249"/>
        <v>14.007</v>
      </c>
      <c r="J1028" s="209" t="s">
        <v>1034</v>
      </c>
      <c r="K1028" s="210"/>
      <c r="L1028" s="455"/>
      <c r="M1028" s="455"/>
      <c r="N1028" s="285">
        <f t="shared" ca="1" si="248"/>
        <v>93630.807222999982</v>
      </c>
      <c r="O1028" s="462"/>
      <c r="P1028" s="213"/>
      <c r="Q1028" s="35"/>
      <c r="R1028" s="35"/>
      <c r="S1028" s="35"/>
    </row>
    <row r="1029" spans="1:19" s="34" customFormat="1" ht="13.9" hidden="1" customHeight="1" outlineLevel="2" x14ac:dyDescent="0.2">
      <c r="A1029" s="457">
        <f ca="1">IF($H1029="UNIDADE CONSTRUTIVA",OFFSET(A1029,-1,0)+1,LARGE(A$3:A1028,1))</f>
        <v>0</v>
      </c>
      <c r="B1029" s="457">
        <f t="shared" ca="1" si="250"/>
        <v>14</v>
      </c>
      <c r="C1029" s="457">
        <f t="shared" ca="1" si="251"/>
        <v>7</v>
      </c>
      <c r="D1029" s="458">
        <f t="shared" ca="1" si="252"/>
        <v>1</v>
      </c>
      <c r="E1029" s="458">
        <f t="shared" ca="1" si="253"/>
        <v>0</v>
      </c>
      <c r="G1029" s="206"/>
      <c r="H1029" s="207" t="s">
        <v>211</v>
      </c>
      <c r="I1029" s="208" t="str">
        <f t="shared" ca="1" si="249"/>
        <v>14.007.001</v>
      </c>
      <c r="J1029" s="209" t="s">
        <v>133</v>
      </c>
      <c r="K1029" s="210"/>
      <c r="L1029" s="455"/>
      <c r="M1029" s="455"/>
      <c r="N1029" s="285">
        <f t="shared" ca="1" si="248"/>
        <v>11648.040670999999</v>
      </c>
      <c r="O1029" s="462"/>
      <c r="P1029" s="213"/>
      <c r="Q1029" s="35"/>
      <c r="R1029" s="35"/>
      <c r="S1029" s="35"/>
    </row>
    <row r="1030" spans="1:19" s="34" customFormat="1" ht="13.9" hidden="1" customHeight="1" outlineLevel="3" x14ac:dyDescent="0.2">
      <c r="A1030" s="457">
        <f ca="1">IF($H1030="UNIDADE CONSTRUTIVA",OFFSET(A1030,-1,0)+1,LARGE(A$3:A1029,1))</f>
        <v>0</v>
      </c>
      <c r="B1030" s="457">
        <f t="shared" ca="1" si="250"/>
        <v>14</v>
      </c>
      <c r="C1030" s="457">
        <f t="shared" ca="1" si="251"/>
        <v>7</v>
      </c>
      <c r="D1030" s="458">
        <f t="shared" ca="1" si="252"/>
        <v>1</v>
      </c>
      <c r="E1030" s="458">
        <f t="shared" ca="1" si="253"/>
        <v>1</v>
      </c>
      <c r="G1030" s="206"/>
      <c r="H1030" s="207" t="s">
        <v>212</v>
      </c>
      <c r="I1030" s="208" t="str">
        <f t="shared" ca="1" si="249"/>
        <v>14.007.001.001</v>
      </c>
      <c r="J1030" s="209" t="s">
        <v>420</v>
      </c>
      <c r="K1030" s="210" t="s">
        <v>1</v>
      </c>
      <c r="L1030" s="455">
        <f>Arquitetura!D753</f>
        <v>378.59</v>
      </c>
      <c r="M1030" s="455">
        <v>30.7669</v>
      </c>
      <c r="N1030" s="285">
        <f t="shared" si="248"/>
        <v>11648.040670999999</v>
      </c>
      <c r="O1030" s="462"/>
      <c r="P1030" s="213" t="s">
        <v>518</v>
      </c>
      <c r="Q1030" s="35"/>
      <c r="R1030" s="35"/>
      <c r="S1030" s="35"/>
    </row>
    <row r="1031" spans="1:19" s="34" customFormat="1" ht="13.9" hidden="1" customHeight="1" outlineLevel="2" x14ac:dyDescent="0.2">
      <c r="A1031" s="457">
        <f ca="1">IF($H1031="UNIDADE CONSTRUTIVA",OFFSET(A1031,-1,0)+1,LARGE(A$3:A1030,1))</f>
        <v>0</v>
      </c>
      <c r="B1031" s="457">
        <f t="shared" ca="1" si="250"/>
        <v>14</v>
      </c>
      <c r="C1031" s="457">
        <f t="shared" ca="1" si="251"/>
        <v>7</v>
      </c>
      <c r="D1031" s="458">
        <f t="shared" ca="1" si="252"/>
        <v>2</v>
      </c>
      <c r="E1031" s="458">
        <f t="shared" ca="1" si="253"/>
        <v>0</v>
      </c>
      <c r="G1031" s="206"/>
      <c r="H1031" s="207" t="s">
        <v>211</v>
      </c>
      <c r="I1031" s="208" t="str">
        <f t="shared" ca="1" si="249"/>
        <v>14.007.002</v>
      </c>
      <c r="J1031" s="209" t="s">
        <v>421</v>
      </c>
      <c r="K1031" s="210"/>
      <c r="L1031" s="455"/>
      <c r="M1031" s="455"/>
      <c r="N1031" s="285">
        <f t="shared" ca="1" si="248"/>
        <v>0</v>
      </c>
      <c r="O1031" s="462"/>
      <c r="P1031" s="213"/>
      <c r="Q1031" s="35"/>
      <c r="R1031" s="35"/>
      <c r="S1031" s="35"/>
    </row>
    <row r="1032" spans="1:19" s="34" customFormat="1" ht="13.9" hidden="1" customHeight="1" outlineLevel="3" x14ac:dyDescent="0.2">
      <c r="A1032" s="457">
        <f ca="1">IF($H1032="UNIDADE CONSTRUTIVA",OFFSET(A1032,-1,0)+1,LARGE(A$3:A1031,1))</f>
        <v>0</v>
      </c>
      <c r="B1032" s="457">
        <f t="shared" ca="1" si="250"/>
        <v>14</v>
      </c>
      <c r="C1032" s="457">
        <f t="shared" ca="1" si="251"/>
        <v>7</v>
      </c>
      <c r="D1032" s="458">
        <f t="shared" ca="1" si="252"/>
        <v>2</v>
      </c>
      <c r="E1032" s="458">
        <f t="shared" ca="1" si="253"/>
        <v>1</v>
      </c>
      <c r="G1032" s="206"/>
      <c r="H1032" s="207" t="s">
        <v>212</v>
      </c>
      <c r="I1032" s="208" t="str">
        <f t="shared" ca="1" si="249"/>
        <v>14.007.002.001</v>
      </c>
      <c r="J1032" s="471" t="s">
        <v>4186</v>
      </c>
      <c r="K1032" s="210" t="s">
        <v>1</v>
      </c>
      <c r="L1032" s="455">
        <f>Arquitetura!D843+Arquitetura!D844</f>
        <v>82.55</v>
      </c>
      <c r="M1032" s="455"/>
      <c r="N1032" s="285">
        <f t="shared" si="248"/>
        <v>0</v>
      </c>
      <c r="O1032" s="462" t="s">
        <v>4192</v>
      </c>
      <c r="P1032" s="213" t="s">
        <v>518</v>
      </c>
      <c r="Q1032" s="35"/>
      <c r="R1032" s="35"/>
      <c r="S1032" s="35"/>
    </row>
    <row r="1033" spans="1:19" s="34" customFormat="1" ht="13.9" hidden="1" customHeight="1" outlineLevel="2" x14ac:dyDescent="0.2">
      <c r="A1033" s="457">
        <f ca="1">IF($H1033="UNIDADE CONSTRUTIVA",OFFSET(A1033,-1,0)+1,LARGE(A$3:A1032,1))</f>
        <v>0</v>
      </c>
      <c r="B1033" s="457">
        <f t="shared" ca="1" si="250"/>
        <v>14</v>
      </c>
      <c r="C1033" s="457">
        <f t="shared" ca="1" si="251"/>
        <v>7</v>
      </c>
      <c r="D1033" s="458">
        <f t="shared" ca="1" si="252"/>
        <v>3</v>
      </c>
      <c r="E1033" s="458">
        <f t="shared" ca="1" si="253"/>
        <v>0</v>
      </c>
      <c r="G1033" s="206"/>
      <c r="H1033" s="207" t="s">
        <v>211</v>
      </c>
      <c r="I1033" s="208" t="str">
        <f t="shared" ca="1" si="249"/>
        <v>14.007.003</v>
      </c>
      <c r="J1033" s="209" t="s">
        <v>559</v>
      </c>
      <c r="K1033" s="210"/>
      <c r="L1033" s="455"/>
      <c r="M1033" s="455"/>
      <c r="N1033" s="285">
        <f t="shared" ca="1" si="248"/>
        <v>29628.417269999994</v>
      </c>
      <c r="O1033" s="462"/>
      <c r="P1033" s="213"/>
      <c r="Q1033" s="35"/>
      <c r="R1033" s="35"/>
      <c r="S1033" s="35"/>
    </row>
    <row r="1034" spans="1:19" s="34" customFormat="1" ht="13.9" hidden="1" customHeight="1" outlineLevel="3" x14ac:dyDescent="0.2">
      <c r="A1034" s="457">
        <f ca="1">IF($H1034="UNIDADE CONSTRUTIVA",OFFSET(A1034,-1,0)+1,LARGE(A$3:A1033,1))</f>
        <v>0</v>
      </c>
      <c r="B1034" s="457">
        <f t="shared" ca="1" si="250"/>
        <v>14</v>
      </c>
      <c r="C1034" s="457">
        <f t="shared" ca="1" si="251"/>
        <v>7</v>
      </c>
      <c r="D1034" s="458">
        <f t="shared" ca="1" si="252"/>
        <v>3</v>
      </c>
      <c r="E1034" s="458">
        <f t="shared" ca="1" si="253"/>
        <v>1</v>
      </c>
      <c r="G1034" s="206"/>
      <c r="H1034" s="207" t="s">
        <v>212</v>
      </c>
      <c r="I1034" s="208" t="str">
        <f t="shared" ca="1" si="249"/>
        <v>14.007.003.001</v>
      </c>
      <c r="J1034" s="209" t="s">
        <v>4195</v>
      </c>
      <c r="K1034" s="210" t="s">
        <v>1</v>
      </c>
      <c r="L1034" s="455">
        <f>Arquitetura!D977</f>
        <v>37.340000000000003</v>
      </c>
      <c r="M1034" s="455">
        <v>91.0017</v>
      </c>
      <c r="N1034" s="285">
        <f t="shared" si="248"/>
        <v>3398.0034780000001</v>
      </c>
      <c r="O1034" s="462"/>
      <c r="P1034" s="213" t="s">
        <v>518</v>
      </c>
      <c r="Q1034" s="35"/>
      <c r="R1034" s="35"/>
      <c r="S1034" s="35"/>
    </row>
    <row r="1035" spans="1:19" s="34" customFormat="1" ht="13.9" hidden="1" customHeight="1" outlineLevel="3" x14ac:dyDescent="0.2">
      <c r="A1035" s="457">
        <f ca="1">IF($H1035="UNIDADE CONSTRUTIVA",OFFSET(A1035,-1,0)+1,LARGE(A$3:A1034,1))</f>
        <v>0</v>
      </c>
      <c r="B1035" s="457">
        <f t="shared" ca="1" si="250"/>
        <v>14</v>
      </c>
      <c r="C1035" s="457">
        <f t="shared" ca="1" si="251"/>
        <v>7</v>
      </c>
      <c r="D1035" s="458">
        <f t="shared" ca="1" si="252"/>
        <v>3</v>
      </c>
      <c r="E1035" s="458">
        <f t="shared" ca="1" si="253"/>
        <v>2</v>
      </c>
      <c r="G1035" s="206"/>
      <c r="H1035" s="207" t="s">
        <v>212</v>
      </c>
      <c r="I1035" s="208" t="str">
        <f t="shared" ca="1" si="249"/>
        <v>14.007.003.002</v>
      </c>
      <c r="J1035" s="209" t="s">
        <v>4196</v>
      </c>
      <c r="K1035" s="210" t="s">
        <v>1</v>
      </c>
      <c r="L1035" s="455">
        <f>SUM(Arquitetura!D973:D976)</f>
        <v>286.87999999999994</v>
      </c>
      <c r="M1035" s="455">
        <v>91.433400000000006</v>
      </c>
      <c r="N1035" s="285">
        <f t="shared" si="248"/>
        <v>26230.413791999996</v>
      </c>
      <c r="O1035" s="462"/>
      <c r="P1035" s="213" t="s">
        <v>518</v>
      </c>
      <c r="Q1035" s="35"/>
      <c r="R1035" s="35"/>
      <c r="S1035" s="35"/>
    </row>
    <row r="1036" spans="1:19" s="34" customFormat="1" ht="13.9" hidden="1" customHeight="1" outlineLevel="2" x14ac:dyDescent="0.2">
      <c r="A1036" s="457">
        <f ca="1">IF($H1036="UNIDADE CONSTRUTIVA",OFFSET(A1036,-1,0)+1,LARGE(A$3:A1035,1))</f>
        <v>0</v>
      </c>
      <c r="B1036" s="457">
        <f t="shared" ca="1" si="250"/>
        <v>14</v>
      </c>
      <c r="C1036" s="457">
        <f t="shared" ca="1" si="251"/>
        <v>7</v>
      </c>
      <c r="D1036" s="458">
        <f t="shared" ca="1" si="252"/>
        <v>4</v>
      </c>
      <c r="E1036" s="458">
        <f t="shared" ca="1" si="253"/>
        <v>0</v>
      </c>
      <c r="G1036" s="206"/>
      <c r="H1036" s="207" t="s">
        <v>211</v>
      </c>
      <c r="I1036" s="208" t="str">
        <f t="shared" ca="1" si="249"/>
        <v>14.007.004</v>
      </c>
      <c r="J1036" s="209" t="s">
        <v>262</v>
      </c>
      <c r="K1036" s="210"/>
      <c r="L1036" s="455"/>
      <c r="M1036" s="455"/>
      <c r="N1036" s="285">
        <f t="shared" ca="1" si="248"/>
        <v>4356.9256000000005</v>
      </c>
      <c r="O1036" s="462"/>
      <c r="P1036" s="213"/>
      <c r="Q1036" s="35"/>
      <c r="R1036" s="35"/>
      <c r="S1036" s="35"/>
    </row>
    <row r="1037" spans="1:19" s="34" customFormat="1" ht="13.9" hidden="1" customHeight="1" outlineLevel="3" x14ac:dyDescent="0.2">
      <c r="A1037" s="457">
        <f ca="1">IF($H1037="UNIDADE CONSTRUTIVA",OFFSET(A1037,-1,0)+1,LARGE(A$3:A1036,1))</f>
        <v>0</v>
      </c>
      <c r="B1037" s="457">
        <f t="shared" ca="1" si="250"/>
        <v>14</v>
      </c>
      <c r="C1037" s="457">
        <f t="shared" ca="1" si="251"/>
        <v>7</v>
      </c>
      <c r="D1037" s="458">
        <f t="shared" ca="1" si="252"/>
        <v>4</v>
      </c>
      <c r="E1037" s="458">
        <f t="shared" ca="1" si="253"/>
        <v>1</v>
      </c>
      <c r="G1037" s="206"/>
      <c r="H1037" s="207" t="s">
        <v>212</v>
      </c>
      <c r="I1037" s="208" t="str">
        <f t="shared" ca="1" si="249"/>
        <v>14.007.004.001</v>
      </c>
      <c r="J1037" s="209" t="s">
        <v>4198</v>
      </c>
      <c r="K1037" s="210" t="s">
        <v>1</v>
      </c>
      <c r="L1037" s="455">
        <f>Arquitetura!D1012</f>
        <v>54.38</v>
      </c>
      <c r="M1037" s="455">
        <v>80.12</v>
      </c>
      <c r="N1037" s="285">
        <f t="shared" si="248"/>
        <v>4356.9256000000005</v>
      </c>
      <c r="O1037" s="462"/>
      <c r="P1037" s="213" t="s">
        <v>518</v>
      </c>
      <c r="Q1037" s="35"/>
      <c r="R1037" s="35"/>
      <c r="S1037" s="35"/>
    </row>
    <row r="1038" spans="1:19" s="34" customFormat="1" ht="13.9" hidden="1" customHeight="1" outlineLevel="2" x14ac:dyDescent="0.2">
      <c r="A1038" s="457">
        <f ca="1">IF($H1038="UNIDADE CONSTRUTIVA",OFFSET(A1038,-1,0)+1,LARGE(A$3:A1037,1))</f>
        <v>0</v>
      </c>
      <c r="B1038" s="457">
        <f t="shared" ca="1" si="250"/>
        <v>14</v>
      </c>
      <c r="C1038" s="457">
        <f t="shared" ca="1" si="251"/>
        <v>7</v>
      </c>
      <c r="D1038" s="458">
        <f t="shared" ca="1" si="252"/>
        <v>5</v>
      </c>
      <c r="E1038" s="458">
        <f t="shared" ca="1" si="253"/>
        <v>0</v>
      </c>
      <c r="G1038" s="206"/>
      <c r="H1038" s="207" t="s">
        <v>211</v>
      </c>
      <c r="I1038" s="208" t="str">
        <f t="shared" ca="1" si="249"/>
        <v>14.007.005</v>
      </c>
      <c r="J1038" s="209" t="s">
        <v>134</v>
      </c>
      <c r="K1038" s="210"/>
      <c r="L1038" s="455"/>
      <c r="M1038" s="455"/>
      <c r="N1038" s="285">
        <f t="shared" ca="1" si="248"/>
        <v>10073.143681999998</v>
      </c>
      <c r="O1038" s="462"/>
      <c r="P1038" s="213"/>
      <c r="Q1038" s="35"/>
      <c r="R1038" s="35"/>
      <c r="S1038" s="35"/>
    </row>
    <row r="1039" spans="1:19" s="34" customFormat="1" ht="13.9" hidden="1" customHeight="1" outlineLevel="3" x14ac:dyDescent="0.2">
      <c r="A1039" s="457">
        <f ca="1">IF($H1039="UNIDADE CONSTRUTIVA",OFFSET(A1039,-1,0)+1,LARGE(A$3:A1038,1))</f>
        <v>0</v>
      </c>
      <c r="B1039" s="457">
        <f t="shared" ca="1" si="250"/>
        <v>14</v>
      </c>
      <c r="C1039" s="457">
        <f t="shared" ca="1" si="251"/>
        <v>7</v>
      </c>
      <c r="D1039" s="458">
        <f t="shared" ca="1" si="252"/>
        <v>5</v>
      </c>
      <c r="E1039" s="458">
        <f t="shared" ca="1" si="253"/>
        <v>1</v>
      </c>
      <c r="G1039" s="206"/>
      <c r="H1039" s="207" t="s">
        <v>212</v>
      </c>
      <c r="I1039" s="208" t="str">
        <f t="shared" ca="1" si="249"/>
        <v>14.007.005.001</v>
      </c>
      <c r="J1039" s="209" t="s">
        <v>560</v>
      </c>
      <c r="K1039" s="210" t="s">
        <v>3</v>
      </c>
      <c r="L1039" s="455">
        <f>Arquitetura!D1071</f>
        <v>272.32</v>
      </c>
      <c r="M1039" s="455">
        <v>33.872199999999999</v>
      </c>
      <c r="N1039" s="285">
        <f t="shared" si="248"/>
        <v>9224.077503999999</v>
      </c>
      <c r="O1039" s="462"/>
      <c r="P1039" s="213" t="s">
        <v>518</v>
      </c>
      <c r="Q1039" s="35"/>
      <c r="R1039" s="35"/>
      <c r="S1039" s="35"/>
    </row>
    <row r="1040" spans="1:19" s="34" customFormat="1" ht="13.9" hidden="1" customHeight="1" outlineLevel="3" x14ac:dyDescent="0.2">
      <c r="A1040" s="457">
        <f ca="1">IF($H1040="UNIDADE CONSTRUTIVA",OFFSET(A1040,-1,0)+1,LARGE(A$3:A1039,1))</f>
        <v>0</v>
      </c>
      <c r="B1040" s="457">
        <f t="shared" ca="1" si="250"/>
        <v>14</v>
      </c>
      <c r="C1040" s="457">
        <f t="shared" ca="1" si="251"/>
        <v>7</v>
      </c>
      <c r="D1040" s="458">
        <f t="shared" ca="1" si="252"/>
        <v>5</v>
      </c>
      <c r="E1040" s="458">
        <f t="shared" ca="1" si="253"/>
        <v>2</v>
      </c>
      <c r="G1040" s="206"/>
      <c r="H1040" s="207" t="s">
        <v>212</v>
      </c>
      <c r="I1040" s="208" t="str">
        <f t="shared" ca="1" si="249"/>
        <v>14.007.005.002</v>
      </c>
      <c r="J1040" s="209" t="s">
        <v>561</v>
      </c>
      <c r="K1040" s="210" t="s">
        <v>3</v>
      </c>
      <c r="L1040" s="455">
        <f>Arquitetura!D1072</f>
        <v>95.33</v>
      </c>
      <c r="M1040" s="455">
        <v>8.9065999999999992</v>
      </c>
      <c r="N1040" s="285">
        <f t="shared" si="248"/>
        <v>849.06617799999992</v>
      </c>
      <c r="O1040" s="462"/>
      <c r="P1040" s="213" t="s">
        <v>518</v>
      </c>
      <c r="Q1040" s="35"/>
      <c r="R1040" s="35"/>
      <c r="S1040" s="35"/>
    </row>
    <row r="1041" spans="1:19" s="34" customFormat="1" ht="13.9" hidden="1" customHeight="1" outlineLevel="2" x14ac:dyDescent="0.2">
      <c r="A1041" s="457">
        <f ca="1">IF($H1041="UNIDADE CONSTRUTIVA",OFFSET(A1041,-1,0)+1,LARGE(A$3:A1040,1))</f>
        <v>0</v>
      </c>
      <c r="B1041" s="457">
        <f t="shared" ca="1" si="250"/>
        <v>14</v>
      </c>
      <c r="C1041" s="457">
        <f t="shared" ca="1" si="251"/>
        <v>7</v>
      </c>
      <c r="D1041" s="458">
        <f t="shared" ca="1" si="252"/>
        <v>6</v>
      </c>
      <c r="E1041" s="458">
        <f t="shared" ca="1" si="253"/>
        <v>0</v>
      </c>
      <c r="G1041" s="206"/>
      <c r="H1041" s="207" t="s">
        <v>211</v>
      </c>
      <c r="I1041" s="208" t="str">
        <f t="shared" ca="1" si="249"/>
        <v>14.007.006</v>
      </c>
      <c r="J1041" s="209" t="s">
        <v>434</v>
      </c>
      <c r="K1041" s="210"/>
      <c r="L1041" s="455"/>
      <c r="M1041" s="455"/>
      <c r="N1041" s="285">
        <f t="shared" ref="N1041:N1054" ca="1" si="254">IF(H1041="Serviço",M1041*L1041,IF(H1041="CÉLULA CONSTRUTIVA",SUMIFS($N$8:$N$1505,$B$8:$B$1505,B1041,$H$8:$H$1505,"Serviço"),IF(H1041="ETAPA",SUMIFS($N$8:$N$1505,$B$8:$B$1505,B1041,$C$8:$C$1505,C1041,$H$8:$H$1505,"Serviço"),IF(H1041="SUBETAPA",SUMIFS($N$8:$N$1505,$B$8:$B$1505,B1041,$C$8:$C$1505,C1041,$D$8:$D$1505,D1041,$H$8:$H$1505,"Serviço"),0))))</f>
        <v>37924.28</v>
      </c>
      <c r="O1041" s="462"/>
      <c r="P1041" s="213"/>
      <c r="Q1041" s="35"/>
      <c r="R1041" s="35"/>
      <c r="S1041" s="35"/>
    </row>
    <row r="1042" spans="1:19" s="34" customFormat="1" ht="13.9" hidden="1" customHeight="1" outlineLevel="3" x14ac:dyDescent="0.2">
      <c r="A1042" s="457">
        <f ca="1">IF($H1042="UNIDADE CONSTRUTIVA",OFFSET(A1042,-1,0)+1,LARGE(A$3:A1041,1))</f>
        <v>0</v>
      </c>
      <c r="B1042" s="457">
        <f t="shared" ca="1" si="250"/>
        <v>14</v>
      </c>
      <c r="C1042" s="457">
        <f t="shared" ca="1" si="251"/>
        <v>7</v>
      </c>
      <c r="D1042" s="458">
        <f t="shared" ca="1" si="252"/>
        <v>6</v>
      </c>
      <c r="E1042" s="458">
        <f t="shared" ca="1" si="253"/>
        <v>1</v>
      </c>
      <c r="G1042" s="206"/>
      <c r="H1042" s="207" t="s">
        <v>212</v>
      </c>
      <c r="I1042" s="208" t="str">
        <f t="shared" ca="1" si="249"/>
        <v>14.007.006.001</v>
      </c>
      <c r="J1042" s="209" t="s">
        <v>1020</v>
      </c>
      <c r="K1042" s="210" t="s">
        <v>1</v>
      </c>
      <c r="L1042" s="455">
        <f>L1030</f>
        <v>378.59</v>
      </c>
      <c r="M1042" s="455">
        <v>37</v>
      </c>
      <c r="N1042" s="285">
        <f t="shared" si="254"/>
        <v>14007.83</v>
      </c>
      <c r="O1042" s="462"/>
      <c r="P1042" s="213" t="s">
        <v>518</v>
      </c>
      <c r="Q1042" s="35"/>
      <c r="R1042" s="35"/>
      <c r="S1042" s="35"/>
    </row>
    <row r="1043" spans="1:19" s="34" customFormat="1" ht="13.9" hidden="1" customHeight="1" outlineLevel="3" x14ac:dyDescent="0.2">
      <c r="A1043" s="457">
        <f ca="1">IF($H1043="UNIDADE CONSTRUTIVA",OFFSET(A1043,-1,0)+1,LARGE(A$3:A1042,1))</f>
        <v>0</v>
      </c>
      <c r="B1043" s="457">
        <f t="shared" ca="1" si="250"/>
        <v>14</v>
      </c>
      <c r="C1043" s="457">
        <f t="shared" ca="1" si="251"/>
        <v>7</v>
      </c>
      <c r="D1043" s="458">
        <f t="shared" ca="1" si="252"/>
        <v>6</v>
      </c>
      <c r="E1043" s="458">
        <f t="shared" ca="1" si="253"/>
        <v>2</v>
      </c>
      <c r="G1043" s="206"/>
      <c r="H1043" s="207" t="s">
        <v>212</v>
      </c>
      <c r="I1043" s="208" t="str">
        <f t="shared" ca="1" si="249"/>
        <v>14.007.006.002</v>
      </c>
      <c r="J1043" s="209" t="s">
        <v>4202</v>
      </c>
      <c r="K1043" s="210" t="s">
        <v>1</v>
      </c>
      <c r="L1043" s="455">
        <f>L1032</f>
        <v>82.55</v>
      </c>
      <c r="M1043" s="455">
        <v>15</v>
      </c>
      <c r="N1043" s="285">
        <f t="shared" si="254"/>
        <v>1238.25</v>
      </c>
      <c r="O1043" s="462"/>
      <c r="P1043" s="213" t="s">
        <v>518</v>
      </c>
      <c r="Q1043" s="35"/>
      <c r="R1043" s="35"/>
      <c r="S1043" s="35"/>
    </row>
    <row r="1044" spans="1:19" s="34" customFormat="1" ht="13.9" hidden="1" customHeight="1" outlineLevel="3" x14ac:dyDescent="0.2">
      <c r="A1044" s="457">
        <f ca="1">IF($H1044="UNIDADE CONSTRUTIVA",OFFSET(A1044,-1,0)+1,LARGE(A$3:A1043,1))</f>
        <v>0</v>
      </c>
      <c r="B1044" s="457">
        <f t="shared" ca="1" si="250"/>
        <v>14</v>
      </c>
      <c r="C1044" s="457">
        <f t="shared" ca="1" si="251"/>
        <v>7</v>
      </c>
      <c r="D1044" s="458">
        <f t="shared" ca="1" si="252"/>
        <v>6</v>
      </c>
      <c r="E1044" s="458">
        <f t="shared" ca="1" si="253"/>
        <v>3</v>
      </c>
      <c r="G1044" s="206"/>
      <c r="H1044" s="207" t="s">
        <v>212</v>
      </c>
      <c r="I1044" s="208" t="str">
        <f t="shared" ca="1" si="249"/>
        <v>14.007.006.003</v>
      </c>
      <c r="J1044" s="209" t="s">
        <v>263</v>
      </c>
      <c r="K1044" s="210" t="s">
        <v>1</v>
      </c>
      <c r="L1044" s="455">
        <f>L1034+L1035</f>
        <v>324.21999999999991</v>
      </c>
      <c r="M1044" s="455">
        <v>45</v>
      </c>
      <c r="N1044" s="285">
        <f t="shared" si="254"/>
        <v>14589.899999999996</v>
      </c>
      <c r="O1044" s="462"/>
      <c r="P1044" s="213" t="s">
        <v>518</v>
      </c>
      <c r="Q1044" s="35"/>
      <c r="R1044" s="35"/>
      <c r="S1044" s="35"/>
    </row>
    <row r="1045" spans="1:19" s="34" customFormat="1" ht="13.9" hidden="1" customHeight="1" outlineLevel="3" x14ac:dyDescent="0.2">
      <c r="A1045" s="457">
        <f ca="1">IF($H1045="UNIDADE CONSTRUTIVA",OFFSET(A1045,-1,0)+1,LARGE(A$3:A1044,1))</f>
        <v>0</v>
      </c>
      <c r="B1045" s="457">
        <f t="shared" ca="1" si="250"/>
        <v>14</v>
      </c>
      <c r="C1045" s="457">
        <f t="shared" ca="1" si="251"/>
        <v>7</v>
      </c>
      <c r="D1045" s="458">
        <f t="shared" ca="1" si="252"/>
        <v>6</v>
      </c>
      <c r="E1045" s="458">
        <f t="shared" ca="1" si="253"/>
        <v>4</v>
      </c>
      <c r="G1045" s="206"/>
      <c r="H1045" s="207" t="s">
        <v>212</v>
      </c>
      <c r="I1045" s="208" t="str">
        <f ca="1">IF(H1045="Unidade Construtiva",TEXT(A1045,"00"),IF(H1045="Célula Construtiva",TEXT(B1045,"00"),IF(H1045="Etapa",CONCATENATE(TEXT(B1045,"00"),".",TEXT(C1045,"000")),IF(H1045="Subetapa",CONCATENATE(TEXT(B1045,"00"),".",TEXT(C1045,"000"),".",TEXT(D1045,"000")),IF(H1045="Serviço",CONCATENATE(TEXT(B1045,"00"),".",TEXT(C1045,"000"),".",TEXT(D1045,"000"),".",TEXT(E1045,"000")),"")))))</f>
        <v>14.007.006.004</v>
      </c>
      <c r="J1045" s="209" t="s">
        <v>433</v>
      </c>
      <c r="K1045" s="210" t="s">
        <v>3</v>
      </c>
      <c r="L1045" s="455">
        <f>L1039</f>
        <v>272.32</v>
      </c>
      <c r="M1045" s="455">
        <v>22</v>
      </c>
      <c r="N1045" s="285">
        <f t="shared" si="254"/>
        <v>5991.04</v>
      </c>
      <c r="O1045" s="462"/>
      <c r="P1045" s="213" t="s">
        <v>518</v>
      </c>
      <c r="Q1045" s="35"/>
      <c r="R1045" s="35"/>
      <c r="S1045" s="35"/>
    </row>
    <row r="1046" spans="1:19" s="34" customFormat="1" ht="13.9" hidden="1" customHeight="1" outlineLevel="3" x14ac:dyDescent="0.2">
      <c r="A1046" s="457">
        <f ca="1">IF($H1046="UNIDADE CONSTRUTIVA",OFFSET(A1046,-1,0)+1,LARGE(A$3:A1045,1))</f>
        <v>0</v>
      </c>
      <c r="B1046" s="457">
        <f t="shared" ca="1" si="250"/>
        <v>14</v>
      </c>
      <c r="C1046" s="457">
        <f t="shared" ca="1" si="251"/>
        <v>7</v>
      </c>
      <c r="D1046" s="458">
        <f t="shared" ca="1" si="252"/>
        <v>6</v>
      </c>
      <c r="E1046" s="458">
        <f t="shared" ca="1" si="253"/>
        <v>5</v>
      </c>
      <c r="G1046" s="206"/>
      <c r="H1046" s="207" t="s">
        <v>212</v>
      </c>
      <c r="I1046" s="208" t="str">
        <f ca="1">IF(H1046="Unidade Construtiva",TEXT(A1046,"00"),IF(H1046="Célula Construtiva",TEXT(B1046,"00"),IF(H1046="Etapa",CONCATENATE(TEXT(B1046,"00"),".",TEXT(C1046,"000")),IF(H1046="Subetapa",CONCATENATE(TEXT(B1046,"00"),".",TEXT(C1046,"000"),".",TEXT(D1046,"000")),IF(H1046="Serviço",CONCATENATE(TEXT(B1046,"00"),".",TEXT(C1046,"000"),".",TEXT(D1046,"000"),".",TEXT(E1046,"000")),"")))))</f>
        <v>14.007.006.005</v>
      </c>
      <c r="J1046" s="209" t="s">
        <v>562</v>
      </c>
      <c r="K1046" s="210" t="s">
        <v>3</v>
      </c>
      <c r="L1046" s="455">
        <f>L1040</f>
        <v>95.33</v>
      </c>
      <c r="M1046" s="455">
        <v>22</v>
      </c>
      <c r="N1046" s="285">
        <f t="shared" si="254"/>
        <v>2097.2599999999998</v>
      </c>
      <c r="O1046" s="462"/>
      <c r="P1046" s="213" t="s">
        <v>518</v>
      </c>
      <c r="Q1046" s="35"/>
      <c r="R1046" s="35"/>
      <c r="S1046" s="35"/>
    </row>
    <row r="1047" spans="1:19" s="34" customFormat="1" ht="13.9" hidden="1" customHeight="1" outlineLevel="1" x14ac:dyDescent="0.2">
      <c r="A1047" s="457">
        <f ca="1">IF($H1047="UNIDADE CONSTRUTIVA",OFFSET(A1047,-1,0)+1,LARGE(A$3:A1046,1))</f>
        <v>0</v>
      </c>
      <c r="B1047" s="457">
        <f t="shared" ca="1" si="215"/>
        <v>14</v>
      </c>
      <c r="C1047" s="457">
        <f t="shared" ca="1" si="216"/>
        <v>8</v>
      </c>
      <c r="D1047" s="458">
        <f t="shared" ca="1" si="217"/>
        <v>0</v>
      </c>
      <c r="E1047" s="458">
        <f t="shared" ca="1" si="218"/>
        <v>5</v>
      </c>
      <c r="G1047" s="206"/>
      <c r="H1047" s="207" t="s">
        <v>210</v>
      </c>
      <c r="I1047" s="208" t="str">
        <f t="shared" ca="1" si="243"/>
        <v>14.008</v>
      </c>
      <c r="J1047" s="209" t="s">
        <v>1027</v>
      </c>
      <c r="K1047" s="210"/>
      <c r="L1047" s="455"/>
      <c r="M1047" s="455"/>
      <c r="N1047" s="285">
        <f t="shared" ca="1" si="254"/>
        <v>10353.871760999999</v>
      </c>
      <c r="O1047" s="462"/>
      <c r="P1047" s="213"/>
      <c r="Q1047" s="35"/>
      <c r="R1047" s="35"/>
      <c r="S1047" s="35"/>
    </row>
    <row r="1048" spans="1:19" s="34" customFormat="1" ht="13.9" hidden="1" customHeight="1" outlineLevel="2" x14ac:dyDescent="0.2">
      <c r="A1048" s="457">
        <f ca="1">IF($H1048="UNIDADE CONSTRUTIVA",OFFSET(A1048,-1,0)+1,LARGE(A$3:A1047,1))</f>
        <v>0</v>
      </c>
      <c r="B1048" s="457">
        <f t="shared" ca="1" si="215"/>
        <v>14</v>
      </c>
      <c r="C1048" s="457">
        <f t="shared" ca="1" si="216"/>
        <v>8</v>
      </c>
      <c r="D1048" s="458">
        <f t="shared" ca="1" si="217"/>
        <v>1</v>
      </c>
      <c r="E1048" s="458">
        <f t="shared" ca="1" si="218"/>
        <v>0</v>
      </c>
      <c r="G1048" s="206"/>
      <c r="H1048" s="207" t="s">
        <v>211</v>
      </c>
      <c r="I1048" s="208" t="str">
        <f t="shared" ca="1" si="243"/>
        <v>14.008.001</v>
      </c>
      <c r="J1048" s="209" t="s">
        <v>133</v>
      </c>
      <c r="K1048" s="210"/>
      <c r="L1048" s="455"/>
      <c r="M1048" s="455"/>
      <c r="N1048" s="285">
        <f t="shared" ca="1" si="254"/>
        <v>1682.6417609999999</v>
      </c>
      <c r="O1048" s="462"/>
      <c r="P1048" s="213"/>
      <c r="Q1048" s="35"/>
      <c r="R1048" s="35"/>
      <c r="S1048" s="35"/>
    </row>
    <row r="1049" spans="1:19" s="34" customFormat="1" ht="13.9" hidden="1" customHeight="1" outlineLevel="3" x14ac:dyDescent="0.2">
      <c r="A1049" s="457">
        <f ca="1">IF($H1049="UNIDADE CONSTRUTIVA",OFFSET(A1049,-1,0)+1,LARGE(A$3:A1048,1))</f>
        <v>0</v>
      </c>
      <c r="B1049" s="457">
        <f t="shared" ca="1" si="215"/>
        <v>14</v>
      </c>
      <c r="C1049" s="457">
        <f t="shared" ca="1" si="216"/>
        <v>8</v>
      </c>
      <c r="D1049" s="458">
        <f t="shared" ca="1" si="217"/>
        <v>1</v>
      </c>
      <c r="E1049" s="458">
        <f t="shared" ca="1" si="218"/>
        <v>1</v>
      </c>
      <c r="G1049" s="206"/>
      <c r="H1049" s="207" t="s">
        <v>212</v>
      </c>
      <c r="I1049" s="208" t="str">
        <f t="shared" ca="1" si="243"/>
        <v>14.008.001.001</v>
      </c>
      <c r="J1049" s="209" t="s">
        <v>420</v>
      </c>
      <c r="K1049" s="210" t="s">
        <v>1</v>
      </c>
      <c r="L1049" s="455">
        <f>Arquitetura!D755</f>
        <v>54.69</v>
      </c>
      <c r="M1049" s="455">
        <v>30.7669</v>
      </c>
      <c r="N1049" s="285">
        <f t="shared" si="254"/>
        <v>1682.6417609999999</v>
      </c>
      <c r="O1049" s="462"/>
      <c r="P1049" s="213" t="s">
        <v>518</v>
      </c>
      <c r="Q1049" s="35"/>
      <c r="R1049" s="35"/>
      <c r="S1049" s="35"/>
    </row>
    <row r="1050" spans="1:19" s="34" customFormat="1" ht="13.9" hidden="1" customHeight="1" outlineLevel="2" x14ac:dyDescent="0.2">
      <c r="A1050" s="457">
        <f ca="1">IF($H1050="UNIDADE CONSTRUTIVA",OFFSET(A1050,-1,0)+1,LARGE(A$3:A1049,1))</f>
        <v>0</v>
      </c>
      <c r="B1050" s="457">
        <f t="shared" ca="1" si="215"/>
        <v>14</v>
      </c>
      <c r="C1050" s="457">
        <f t="shared" ca="1" si="216"/>
        <v>8</v>
      </c>
      <c r="D1050" s="458">
        <f t="shared" ca="1" si="217"/>
        <v>2</v>
      </c>
      <c r="E1050" s="458">
        <f t="shared" ca="1" si="218"/>
        <v>0</v>
      </c>
      <c r="G1050" s="206"/>
      <c r="H1050" s="207" t="s">
        <v>211</v>
      </c>
      <c r="I1050" s="208" t="str">
        <f t="shared" ca="1" si="243"/>
        <v>14.008.002</v>
      </c>
      <c r="J1050" s="209" t="s">
        <v>421</v>
      </c>
      <c r="K1050" s="210"/>
      <c r="L1050" s="455"/>
      <c r="M1050" s="455"/>
      <c r="N1050" s="285">
        <f t="shared" ca="1" si="254"/>
        <v>0</v>
      </c>
      <c r="O1050" s="462"/>
      <c r="P1050" s="213"/>
      <c r="Q1050" s="35"/>
      <c r="R1050" s="35"/>
      <c r="S1050" s="35"/>
    </row>
    <row r="1051" spans="1:19" s="34" customFormat="1" ht="13.9" hidden="1" customHeight="1" outlineLevel="3" x14ac:dyDescent="0.2">
      <c r="A1051" s="457">
        <f ca="1">IF($H1051="UNIDADE CONSTRUTIVA",OFFSET(A1051,-1,0)+1,LARGE(A$3:A1050,1))</f>
        <v>0</v>
      </c>
      <c r="B1051" s="457">
        <f t="shared" ca="1" si="215"/>
        <v>14</v>
      </c>
      <c r="C1051" s="457">
        <f t="shared" ca="1" si="216"/>
        <v>8</v>
      </c>
      <c r="D1051" s="458">
        <f t="shared" ca="1" si="217"/>
        <v>2</v>
      </c>
      <c r="E1051" s="458">
        <f t="shared" ca="1" si="218"/>
        <v>1</v>
      </c>
      <c r="G1051" s="206"/>
      <c r="H1051" s="207" t="s">
        <v>212</v>
      </c>
      <c r="I1051" s="208" t="str">
        <f t="shared" ca="1" si="243"/>
        <v>14.008.002.001</v>
      </c>
      <c r="J1051" s="471" t="s">
        <v>4186</v>
      </c>
      <c r="K1051" s="210" t="s">
        <v>1</v>
      </c>
      <c r="L1051" s="455">
        <f>SUM(Arquitetura!D846:D847)</f>
        <v>443.18</v>
      </c>
      <c r="M1051" s="455"/>
      <c r="N1051" s="285">
        <f t="shared" si="254"/>
        <v>0</v>
      </c>
      <c r="O1051" s="462" t="s">
        <v>4192</v>
      </c>
      <c r="P1051" s="213" t="s">
        <v>518</v>
      </c>
      <c r="Q1051" s="35"/>
      <c r="R1051" s="35"/>
      <c r="S1051" s="35"/>
    </row>
    <row r="1052" spans="1:19" s="34" customFormat="1" ht="13.9" hidden="1" customHeight="1" outlineLevel="2" x14ac:dyDescent="0.2">
      <c r="A1052" s="457">
        <f ca="1">IF($H1052="UNIDADE CONSTRUTIVA",OFFSET(A1052,-1,0)+1,LARGE(A$3:A1051,1))</f>
        <v>0</v>
      </c>
      <c r="B1052" s="457">
        <f t="shared" ca="1" si="215"/>
        <v>14</v>
      </c>
      <c r="C1052" s="457">
        <f t="shared" ca="1" si="216"/>
        <v>8</v>
      </c>
      <c r="D1052" s="458">
        <f t="shared" ca="1" si="217"/>
        <v>3</v>
      </c>
      <c r="E1052" s="458">
        <f t="shared" ca="1" si="218"/>
        <v>0</v>
      </c>
      <c r="G1052" s="206"/>
      <c r="H1052" s="207" t="s">
        <v>211</v>
      </c>
      <c r="I1052" s="208" t="str">
        <f t="shared" ca="1" si="243"/>
        <v>14.008.003</v>
      </c>
      <c r="J1052" s="209" t="s">
        <v>434</v>
      </c>
      <c r="K1052" s="210"/>
      <c r="L1052" s="455"/>
      <c r="M1052" s="455"/>
      <c r="N1052" s="285">
        <f t="shared" ca="1" si="254"/>
        <v>8671.23</v>
      </c>
      <c r="O1052" s="462"/>
      <c r="P1052" s="213"/>
      <c r="Q1052" s="35"/>
      <c r="R1052" s="35"/>
      <c r="S1052" s="35"/>
    </row>
    <row r="1053" spans="1:19" s="34" customFormat="1" ht="13.9" hidden="1" customHeight="1" outlineLevel="3" x14ac:dyDescent="0.2">
      <c r="A1053" s="457">
        <f ca="1">IF($H1053="UNIDADE CONSTRUTIVA",OFFSET(A1053,-1,0)+1,LARGE(A$3:A1052,1))</f>
        <v>0</v>
      </c>
      <c r="B1053" s="457">
        <f t="shared" ca="1" si="215"/>
        <v>14</v>
      </c>
      <c r="C1053" s="457">
        <f t="shared" ca="1" si="216"/>
        <v>8</v>
      </c>
      <c r="D1053" s="458">
        <f t="shared" ca="1" si="217"/>
        <v>3</v>
      </c>
      <c r="E1053" s="458">
        <f t="shared" ca="1" si="218"/>
        <v>1</v>
      </c>
      <c r="G1053" s="206"/>
      <c r="H1053" s="207" t="s">
        <v>212</v>
      </c>
      <c r="I1053" s="208" t="str">
        <f t="shared" ca="1" si="243"/>
        <v>14.008.003.001</v>
      </c>
      <c r="J1053" s="209" t="s">
        <v>1020</v>
      </c>
      <c r="K1053" s="210" t="s">
        <v>1</v>
      </c>
      <c r="L1053" s="455">
        <f>L1049</f>
        <v>54.69</v>
      </c>
      <c r="M1053" s="455">
        <v>37</v>
      </c>
      <c r="N1053" s="285">
        <f t="shared" si="254"/>
        <v>2023.53</v>
      </c>
      <c r="O1053" s="462"/>
      <c r="P1053" s="213" t="s">
        <v>518</v>
      </c>
      <c r="Q1053" s="35"/>
      <c r="R1053" s="35"/>
      <c r="S1053" s="35"/>
    </row>
    <row r="1054" spans="1:19" s="34" customFormat="1" ht="13.9" hidden="1" customHeight="1" outlineLevel="3" x14ac:dyDescent="0.2">
      <c r="A1054" s="457">
        <f ca="1">IF($H1054="UNIDADE CONSTRUTIVA",OFFSET(A1054,-1,0)+1,LARGE(A$3:A1053,1))</f>
        <v>0</v>
      </c>
      <c r="B1054" s="457">
        <f ca="1">IF(H1054="UNIDADE CONSTRUTIVA",0,IF(H1054="CÉLULA CONSTRUTIVA",OFFSET(B1054,-1,0)+1,OFFSET(B1054,-1,0)))</f>
        <v>14</v>
      </c>
      <c r="C1054" s="457">
        <f ca="1">IF(H1054="CÉLULA CONSTRUTIVA",0,IF(H1054="ETAPA",OFFSET(C1054,-1,0)+1,OFFSET(C1054,-1,0)))</f>
        <v>8</v>
      </c>
      <c r="D1054" s="458">
        <f ca="1">IF(H1054="ETAPA",0,IF(H1054="SUBETAPA",OFFSET(D1054,-1,0)+1,OFFSET(D1054,-1,0)))</f>
        <v>3</v>
      </c>
      <c r="E1054" s="458">
        <f ca="1">IF(H1054="Subetapa",0,IF(H1054="serviço",OFFSET(E1054,-1,0)+1,OFFSET(E1054,-1,0)))</f>
        <v>2</v>
      </c>
      <c r="G1054" s="206"/>
      <c r="H1054" s="207" t="s">
        <v>212</v>
      </c>
      <c r="I1054" s="208" t="str">
        <f t="shared" ca="1" si="243"/>
        <v>14.008.003.002</v>
      </c>
      <c r="J1054" s="209" t="s">
        <v>4202</v>
      </c>
      <c r="K1054" s="210" t="s">
        <v>1</v>
      </c>
      <c r="L1054" s="455">
        <f>L1051</f>
        <v>443.18</v>
      </c>
      <c r="M1054" s="455">
        <v>15</v>
      </c>
      <c r="N1054" s="285">
        <f t="shared" si="254"/>
        <v>6647.7</v>
      </c>
      <c r="O1054" s="462"/>
      <c r="P1054" s="213" t="s">
        <v>518</v>
      </c>
      <c r="Q1054" s="35"/>
      <c r="R1054" s="35"/>
      <c r="S1054" s="35"/>
    </row>
    <row r="1055" spans="1:19" s="34" customFormat="1" ht="13.9" customHeight="1" collapsed="1" x14ac:dyDescent="0.2">
      <c r="A1055" s="457">
        <f ca="1">IF($H1055="UNIDADE CONSTRUTIVA",OFFSET(A1055,-1,0)+1,LARGE(A$3:A1054,1))</f>
        <v>0</v>
      </c>
      <c r="B1055" s="457">
        <f t="shared" ref="B1055:B1303" ca="1" si="255">IF(H1055="UNIDADE CONSTRUTIVA",0,IF(H1055="CÉLULA CONSTRUTIVA",OFFSET(B1055,-1,0)+1,OFFSET(B1055,-1,0)))</f>
        <v>15</v>
      </c>
      <c r="C1055" s="457">
        <f t="shared" ref="C1055:C1303" ca="1" si="256">IF(H1055="CÉLULA CONSTRUTIVA",0,IF(H1055="ETAPA",OFFSET(C1055,-1,0)+1,OFFSET(C1055,-1,0)))</f>
        <v>0</v>
      </c>
      <c r="D1055" s="458">
        <f t="shared" ref="D1055:D1303" ca="1" si="257">IF(H1055="ETAPA",0,IF(H1055="SUBETAPA",OFFSET(D1055,-1,0)+1,OFFSET(D1055,-1,0)))</f>
        <v>3</v>
      </c>
      <c r="E1055" s="458">
        <f t="shared" ref="E1055:E1303" ca="1" si="258">IF(H1055="Subetapa",0,IF(H1055="serviço",OFFSET(E1055,-1,0)+1,OFFSET(E1055,-1,0)))</f>
        <v>2</v>
      </c>
      <c r="G1055" s="206"/>
      <c r="H1055" s="207" t="s">
        <v>209</v>
      </c>
      <c r="I1055" s="208" t="str">
        <f t="shared" ref="I1055:I1068" ca="1" si="259">IF(H1055="Unidade Construtiva",TEXT(A1055,"00"),IF(H1055="Célula Construtiva",TEXT(B1055,"00"),IF(H1055="Etapa",CONCATENATE(TEXT(B1055,"00"),".",TEXT(C1055,"000")),IF(H1055="Subetapa",CONCATENATE(TEXT(B1055,"00"),".",TEXT(C1055,"000"),".",TEXT(D1055,"000")),IF(H1055="Serviço",CONCATENATE(TEXT(B1055,"00"),".",TEXT(C1055,"000"),".",TEXT(D1055,"000"),".",TEXT(E1055,"000")),"")))))</f>
        <v>15</v>
      </c>
      <c r="J1055" s="209" t="s">
        <v>136</v>
      </c>
      <c r="K1055" s="210"/>
      <c r="L1055" s="455"/>
      <c r="M1055" s="455"/>
      <c r="N1055" s="285">
        <f ca="1">IF(H1055="Serviço",M1055*L1055,IF(H1055="CÉLULA CONSTRUTIVA",SUMIFS($N$8:$N$1393,$B$8:$B$1393,B1055,$H$8:$H$1393,"Serviço"),IF(H1055="ETAPA",SUMIFS($N$8:$N$1393,$B$8:$B$1393,B1055,$C$8:$C$1393,C1055,$H$8:$H$1393,"Serviço"),IF(H1055="SUBETAPA",SUMIFS($N$8:$N$1393,$B$8:$B$1393,B1055,$C$8:$C$1393,C1055,$D$8:$D$1393,D1055,$H$8:$H$1393,"Serviço"),0))))</f>
        <v>2004993.9693777179</v>
      </c>
      <c r="O1055" s="462"/>
      <c r="P1055" s="213"/>
      <c r="Q1055" s="463"/>
      <c r="R1055" s="463"/>
      <c r="S1055" s="35"/>
    </row>
    <row r="1056" spans="1:19" s="34" customFormat="1" ht="13.9" hidden="1" customHeight="1" outlineLevel="1" x14ac:dyDescent="0.2">
      <c r="A1056" s="457">
        <f ca="1">IF($H1056="UNIDADE CONSTRUTIVA",OFFSET(A1056,-1,0)+1,LARGE(A$3:A1055,1))</f>
        <v>0</v>
      </c>
      <c r="B1056" s="457">
        <f t="shared" ca="1" si="255"/>
        <v>15</v>
      </c>
      <c r="C1056" s="457">
        <f t="shared" ca="1" si="256"/>
        <v>1</v>
      </c>
      <c r="D1056" s="458">
        <f t="shared" ca="1" si="257"/>
        <v>0</v>
      </c>
      <c r="E1056" s="458">
        <f t="shared" ca="1" si="258"/>
        <v>2</v>
      </c>
      <c r="G1056" s="206"/>
      <c r="H1056" s="207" t="s">
        <v>210</v>
      </c>
      <c r="I1056" s="208" t="str">
        <f t="shared" ca="1" si="259"/>
        <v>15.001</v>
      </c>
      <c r="J1056" s="209" t="s">
        <v>1042</v>
      </c>
      <c r="K1056" s="210"/>
      <c r="L1056" s="455"/>
      <c r="M1056" s="455"/>
      <c r="N1056" s="285">
        <f t="shared" ref="N1056:N1087" ca="1" si="260">IF(H1056="Serviço",M1056*L1056,IF(H1056="CÉLULA CONSTRUTIVA",SUMIFS($N$8:$N$1408,$B$8:$B$1408,B1056,$H$8:$H$1408,"Serviço"),IF(H1056="ETAPA",SUMIFS($N$8:$N$1408,$B$8:$B$1408,B1056,$C$8:$C$1408,C1056,$H$8:$H$1408,"Serviço"),IF(H1056="SUBETAPA",SUMIFS($N$8:$N$1408,$B$8:$B$1408,B1056,$C$8:$C$1408,C1056,$D$8:$D$1408,D1056,$H$8:$H$1408,"Serviço"),0))))</f>
        <v>91169.001709999997</v>
      </c>
      <c r="O1056" s="462"/>
      <c r="P1056" s="213"/>
      <c r="Q1056" s="35"/>
      <c r="R1056" s="35"/>
      <c r="S1056" s="35"/>
    </row>
    <row r="1057" spans="1:19" s="34" customFormat="1" ht="13.9" hidden="1" customHeight="1" outlineLevel="2" x14ac:dyDescent="0.2">
      <c r="A1057" s="457">
        <f ca="1">IF($H1057="UNIDADE CONSTRUTIVA",OFFSET(A1057,-1,0)+1,LARGE(A$3:A1056,1))</f>
        <v>0</v>
      </c>
      <c r="B1057" s="457">
        <f t="shared" ca="1" si="255"/>
        <v>15</v>
      </c>
      <c r="C1057" s="457">
        <f t="shared" ca="1" si="256"/>
        <v>1</v>
      </c>
      <c r="D1057" s="458">
        <f t="shared" ca="1" si="257"/>
        <v>1</v>
      </c>
      <c r="E1057" s="458">
        <f t="shared" ca="1" si="258"/>
        <v>0</v>
      </c>
      <c r="G1057" s="206"/>
      <c r="H1057" s="207" t="s">
        <v>211</v>
      </c>
      <c r="I1057" s="208" t="str">
        <f t="shared" ca="1" si="259"/>
        <v>15.001.001</v>
      </c>
      <c r="J1057" s="209" t="s">
        <v>137</v>
      </c>
      <c r="K1057" s="210"/>
      <c r="L1057" s="455"/>
      <c r="M1057" s="455"/>
      <c r="N1057" s="285">
        <f t="shared" ca="1" si="260"/>
        <v>1356.9407039999999</v>
      </c>
      <c r="O1057" s="462"/>
      <c r="P1057" s="213"/>
      <c r="Q1057" s="35"/>
      <c r="R1057" s="35"/>
      <c r="S1057" s="35"/>
    </row>
    <row r="1058" spans="1:19" s="34" customFormat="1" ht="13.9" hidden="1" customHeight="1" outlineLevel="3" x14ac:dyDescent="0.2">
      <c r="A1058" s="457">
        <f ca="1">IF($H1058="UNIDADE CONSTRUTIVA",OFFSET(A1058,-1,0)+1,LARGE(A$3:A1057,1))</f>
        <v>0</v>
      </c>
      <c r="B1058" s="457">
        <f t="shared" ca="1" si="255"/>
        <v>15</v>
      </c>
      <c r="C1058" s="457">
        <f t="shared" ca="1" si="256"/>
        <v>1</v>
      </c>
      <c r="D1058" s="458">
        <f t="shared" ca="1" si="257"/>
        <v>1</v>
      </c>
      <c r="E1058" s="458">
        <f t="shared" ca="1" si="258"/>
        <v>1</v>
      </c>
      <c r="G1058" s="206"/>
      <c r="H1058" s="207" t="s">
        <v>212</v>
      </c>
      <c r="I1058" s="208" t="str">
        <f t="shared" ca="1" si="259"/>
        <v>15.001.001.001</v>
      </c>
      <c r="J1058" s="209" t="s">
        <v>4206</v>
      </c>
      <c r="K1058" s="210" t="s">
        <v>1</v>
      </c>
      <c r="L1058" s="455">
        <f>Arquitetura!D1078</f>
        <v>23.38</v>
      </c>
      <c r="M1058" s="455">
        <v>50.650799999999997</v>
      </c>
      <c r="N1058" s="285">
        <f t="shared" si="260"/>
        <v>1184.215704</v>
      </c>
      <c r="O1058" s="462"/>
      <c r="P1058" s="213" t="s">
        <v>518</v>
      </c>
      <c r="Q1058" s="35"/>
      <c r="R1058" s="35"/>
      <c r="S1058" s="35"/>
    </row>
    <row r="1059" spans="1:19" s="34" customFormat="1" ht="13.9" hidden="1" customHeight="1" outlineLevel="3" x14ac:dyDescent="0.2">
      <c r="A1059" s="457">
        <f ca="1">IF($H1059="UNIDADE CONSTRUTIVA",OFFSET(A1059,-1,0)+1,LARGE(A$3:A1058,1))</f>
        <v>0</v>
      </c>
      <c r="B1059" s="457">
        <f t="shared" ca="1" si="255"/>
        <v>15</v>
      </c>
      <c r="C1059" s="457">
        <f t="shared" ca="1" si="256"/>
        <v>1</v>
      </c>
      <c r="D1059" s="458">
        <f t="shared" ca="1" si="257"/>
        <v>1</v>
      </c>
      <c r="E1059" s="458">
        <f t="shared" ca="1" si="258"/>
        <v>2</v>
      </c>
      <c r="G1059" s="206"/>
      <c r="H1059" s="207" t="s">
        <v>212</v>
      </c>
      <c r="I1059" s="208" t="str">
        <f t="shared" ca="1" si="259"/>
        <v>15.001.001.002</v>
      </c>
      <c r="J1059" s="209" t="s">
        <v>4207</v>
      </c>
      <c r="K1059" s="210" t="s">
        <v>1</v>
      </c>
      <c r="L1059" s="455">
        <f>Arquitetura!D1079</f>
        <v>16.45</v>
      </c>
      <c r="M1059" s="455">
        <v>10.5</v>
      </c>
      <c r="N1059" s="285">
        <f t="shared" si="260"/>
        <v>172.72499999999999</v>
      </c>
      <c r="O1059" s="462"/>
      <c r="P1059" s="213" t="s">
        <v>518</v>
      </c>
      <c r="Q1059" s="35"/>
      <c r="R1059" s="35"/>
      <c r="S1059" s="35"/>
    </row>
    <row r="1060" spans="1:19" s="34" customFormat="1" ht="13.9" hidden="1" customHeight="1" outlineLevel="2" x14ac:dyDescent="0.2">
      <c r="A1060" s="457">
        <f ca="1">IF($H1060="UNIDADE CONSTRUTIVA",OFFSET(A1060,-1,0)+1,LARGE(A$3:A1059,1))</f>
        <v>0</v>
      </c>
      <c r="B1060" s="457">
        <f t="shared" ca="1" si="255"/>
        <v>15</v>
      </c>
      <c r="C1060" s="457">
        <f t="shared" ca="1" si="256"/>
        <v>1</v>
      </c>
      <c r="D1060" s="458">
        <f t="shared" ca="1" si="257"/>
        <v>2</v>
      </c>
      <c r="E1060" s="458">
        <f t="shared" ca="1" si="258"/>
        <v>0</v>
      </c>
      <c r="G1060" s="206"/>
      <c r="H1060" s="207" t="s">
        <v>211</v>
      </c>
      <c r="I1060" s="208" t="str">
        <f t="shared" ca="1" si="259"/>
        <v>15.001.002</v>
      </c>
      <c r="J1060" s="209" t="s">
        <v>138</v>
      </c>
      <c r="K1060" s="210"/>
      <c r="L1060" s="455"/>
      <c r="M1060" s="455"/>
      <c r="N1060" s="285">
        <f t="shared" ca="1" si="260"/>
        <v>15049.636851000001</v>
      </c>
      <c r="O1060" s="462"/>
      <c r="P1060" s="213"/>
      <c r="Q1060" s="35"/>
      <c r="R1060" s="35"/>
      <c r="S1060" s="35"/>
    </row>
    <row r="1061" spans="1:19" s="34" customFormat="1" ht="13.9" hidden="1" customHeight="1" outlineLevel="3" x14ac:dyDescent="0.2">
      <c r="A1061" s="457">
        <f ca="1">IF($H1061="UNIDADE CONSTRUTIVA",OFFSET(A1061,-1,0)+1,LARGE(A$3:A1060,1))</f>
        <v>0</v>
      </c>
      <c r="B1061" s="457">
        <f t="shared" ca="1" si="255"/>
        <v>15</v>
      </c>
      <c r="C1061" s="457">
        <f t="shared" ca="1" si="256"/>
        <v>1</v>
      </c>
      <c r="D1061" s="458">
        <f t="shared" ca="1" si="257"/>
        <v>2</v>
      </c>
      <c r="E1061" s="458">
        <f t="shared" ca="1" si="258"/>
        <v>1</v>
      </c>
      <c r="G1061" s="206"/>
      <c r="H1061" s="207" t="s">
        <v>212</v>
      </c>
      <c r="I1061" s="208" t="str">
        <f t="shared" ca="1" si="259"/>
        <v>15.001.002.001</v>
      </c>
      <c r="J1061" s="209" t="s">
        <v>1039</v>
      </c>
      <c r="K1061" s="210" t="s">
        <v>1</v>
      </c>
      <c r="L1061" s="455">
        <f>SUM(Arquitetura!D1124:D1131)</f>
        <v>1370.3700000000001</v>
      </c>
      <c r="M1061" s="455">
        <v>2.7856000000000001</v>
      </c>
      <c r="N1061" s="285">
        <f t="shared" si="260"/>
        <v>3817.3026720000003</v>
      </c>
      <c r="O1061" s="462"/>
      <c r="P1061" s="213" t="s">
        <v>518</v>
      </c>
      <c r="Q1061" s="35"/>
      <c r="R1061" s="35"/>
      <c r="S1061" s="35"/>
    </row>
    <row r="1062" spans="1:19" s="34" customFormat="1" ht="13.9" hidden="1" customHeight="1" outlineLevel="3" x14ac:dyDescent="0.2">
      <c r="A1062" s="457">
        <f ca="1">IF($H1062="UNIDADE CONSTRUTIVA",OFFSET(A1062,-1,0)+1,LARGE(A$3:A1061,1))</f>
        <v>0</v>
      </c>
      <c r="B1062" s="457">
        <f t="shared" ca="1" si="255"/>
        <v>15</v>
      </c>
      <c r="C1062" s="457">
        <f t="shared" ca="1" si="256"/>
        <v>1</v>
      </c>
      <c r="D1062" s="458">
        <f t="shared" ca="1" si="257"/>
        <v>2</v>
      </c>
      <c r="E1062" s="458">
        <f t="shared" ca="1" si="258"/>
        <v>2</v>
      </c>
      <c r="G1062" s="206"/>
      <c r="H1062" s="207" t="s">
        <v>212</v>
      </c>
      <c r="I1062" s="208" t="str">
        <f t="shared" ca="1" si="259"/>
        <v>15.001.002.002</v>
      </c>
      <c r="J1062" s="209" t="s">
        <v>1040</v>
      </c>
      <c r="K1062" s="210" t="s">
        <v>1</v>
      </c>
      <c r="L1062" s="455">
        <f>SUM(Arquitetura!D1127)</f>
        <v>141.58000000000001</v>
      </c>
      <c r="M1062" s="455">
        <v>5.8</v>
      </c>
      <c r="N1062" s="285">
        <f t="shared" si="260"/>
        <v>821.1640000000001</v>
      </c>
      <c r="O1062" s="462"/>
      <c r="P1062" s="213" t="s">
        <v>518</v>
      </c>
      <c r="Q1062" s="35"/>
      <c r="R1062" s="35"/>
      <c r="S1062" s="35"/>
    </row>
    <row r="1063" spans="1:19" s="34" customFormat="1" ht="13.9" hidden="1" customHeight="1" outlineLevel="3" x14ac:dyDescent="0.2">
      <c r="A1063" s="457">
        <f ca="1">IF($H1063="UNIDADE CONSTRUTIVA",OFFSET(A1063,-1,0)+1,LARGE(A$3:A1062,1))</f>
        <v>0</v>
      </c>
      <c r="B1063" s="457">
        <f t="shared" ca="1" si="255"/>
        <v>15</v>
      </c>
      <c r="C1063" s="457">
        <f t="shared" ca="1" si="256"/>
        <v>1</v>
      </c>
      <c r="D1063" s="458">
        <f t="shared" ca="1" si="257"/>
        <v>2</v>
      </c>
      <c r="E1063" s="458">
        <f t="shared" ca="1" si="258"/>
        <v>3</v>
      </c>
      <c r="G1063" s="206"/>
      <c r="H1063" s="207" t="s">
        <v>212</v>
      </c>
      <c r="I1063" s="208" t="str">
        <f t="shared" ca="1" si="259"/>
        <v>15.001.002.003</v>
      </c>
      <c r="J1063" s="209" t="s">
        <v>563</v>
      </c>
      <c r="K1063" s="210" t="s">
        <v>1</v>
      </c>
      <c r="L1063" s="455">
        <f>Arquitetura!D1127+Arquitetura!D1125</f>
        <v>214.81</v>
      </c>
      <c r="M1063" s="455">
        <v>13.619899999999999</v>
      </c>
      <c r="N1063" s="285">
        <f t="shared" si="260"/>
        <v>2925.6907189999997</v>
      </c>
      <c r="O1063" s="462"/>
      <c r="P1063" s="213" t="s">
        <v>518</v>
      </c>
      <c r="Q1063" s="35"/>
      <c r="R1063" s="35"/>
      <c r="S1063" s="35"/>
    </row>
    <row r="1064" spans="1:19" s="34" customFormat="1" ht="13.9" hidden="1" customHeight="1" outlineLevel="3" x14ac:dyDescent="0.2">
      <c r="A1064" s="457">
        <f ca="1">IF($H1064="UNIDADE CONSTRUTIVA",OFFSET(A1064,-1,0)+1,LARGE(A$3:A1063,1))</f>
        <v>0</v>
      </c>
      <c r="B1064" s="457">
        <f t="shared" ca="1" si="255"/>
        <v>15</v>
      </c>
      <c r="C1064" s="457">
        <f t="shared" ca="1" si="256"/>
        <v>1</v>
      </c>
      <c r="D1064" s="458">
        <f t="shared" ca="1" si="257"/>
        <v>2</v>
      </c>
      <c r="E1064" s="458">
        <f t="shared" ca="1" si="258"/>
        <v>4</v>
      </c>
      <c r="G1064" s="206"/>
      <c r="H1064" s="207" t="s">
        <v>212</v>
      </c>
      <c r="I1064" s="208" t="str">
        <f t="shared" ca="1" si="259"/>
        <v>15.001.002.004</v>
      </c>
      <c r="J1064" s="209" t="s">
        <v>435</v>
      </c>
      <c r="K1064" s="210" t="s">
        <v>1</v>
      </c>
      <c r="L1064" s="455">
        <f>SUM(Arquitetura!D1128:D1131)</f>
        <v>1017.6500000000001</v>
      </c>
      <c r="M1064" s="455">
        <v>6.7404000000000002</v>
      </c>
      <c r="N1064" s="285">
        <f t="shared" si="260"/>
        <v>6859.3680600000007</v>
      </c>
      <c r="O1064" s="462"/>
      <c r="P1064" s="213" t="s">
        <v>518</v>
      </c>
      <c r="Q1064" s="35"/>
      <c r="R1064" s="35"/>
      <c r="S1064" s="35"/>
    </row>
    <row r="1065" spans="1:19" s="34" customFormat="1" ht="13.9" hidden="1" customHeight="1" outlineLevel="3" x14ac:dyDescent="0.2">
      <c r="A1065" s="457">
        <f ca="1">IF($H1065="UNIDADE CONSTRUTIVA",OFFSET(A1065,-1,0)+1,LARGE(A$3:A1064,1))</f>
        <v>0</v>
      </c>
      <c r="B1065" s="457">
        <f ca="1">IF(H1065="UNIDADE CONSTRUTIVA",0,IF(H1065="CÉLULA CONSTRUTIVA",OFFSET(B1065,-1,0)+1,OFFSET(B1065,-1,0)))</f>
        <v>15</v>
      </c>
      <c r="C1065" s="457">
        <f ca="1">IF(H1065="CÉLULA CONSTRUTIVA",0,IF(H1065="ETAPA",OFFSET(C1065,-1,0)+1,OFFSET(C1065,-1,0)))</f>
        <v>1</v>
      </c>
      <c r="D1065" s="458">
        <f ca="1">IF(H1065="ETAPA",0,IF(H1065="SUBETAPA",OFFSET(D1065,-1,0)+1,OFFSET(D1065,-1,0)))</f>
        <v>2</v>
      </c>
      <c r="E1065" s="458">
        <f ca="1">IF(H1065="Subetapa",0,IF(H1065="serviço",OFFSET(E1065,-1,0)+1,OFFSET(E1065,-1,0)))</f>
        <v>5</v>
      </c>
      <c r="G1065" s="206"/>
      <c r="H1065" s="207" t="s">
        <v>212</v>
      </c>
      <c r="I1065" s="208" t="str">
        <f ca="1">IF(H1065="Unidade Construtiva",TEXT(A1065,"00"),IF(H1065="Célula Construtiva",TEXT(B1065,"00"),IF(H1065="Etapa",CONCATENATE(TEXT(B1065,"00"),".",TEXT(C1065,"000")),IF(H1065="Subetapa",CONCATENATE(TEXT(B1065,"00"),".",TEXT(C1065,"000"),".",TEXT(D1065,"000")),IF(H1065="Serviço",CONCATENATE(TEXT(B1065,"00"),".",TEXT(C1065,"000"),".",TEXT(D1065,"000"),".",TEXT(E1065,"000")),"")))))</f>
        <v>15.001.002.005</v>
      </c>
      <c r="J1065" s="209" t="s">
        <v>1041</v>
      </c>
      <c r="K1065" s="210" t="s">
        <v>1</v>
      </c>
      <c r="L1065" s="455">
        <f>Arquitetura!D1124+Arquitetura!D1126</f>
        <v>137.91</v>
      </c>
      <c r="M1065" s="455">
        <v>4.54</v>
      </c>
      <c r="N1065" s="285">
        <f t="shared" si="260"/>
        <v>626.1114</v>
      </c>
      <c r="O1065" s="462"/>
      <c r="P1065" s="213" t="s">
        <v>518</v>
      </c>
      <c r="Q1065" s="35"/>
      <c r="R1065" s="35"/>
      <c r="S1065" s="35"/>
    </row>
    <row r="1066" spans="1:19" s="34" customFormat="1" ht="13.9" hidden="1" customHeight="1" outlineLevel="2" x14ac:dyDescent="0.2">
      <c r="A1066" s="457">
        <f ca="1">IF($H1066="UNIDADE CONSTRUTIVA",OFFSET(A1066,-1,0)+1,LARGE(A$3:A1065,1))</f>
        <v>0</v>
      </c>
      <c r="B1066" s="457">
        <f t="shared" ca="1" si="255"/>
        <v>15</v>
      </c>
      <c r="C1066" s="457">
        <f t="shared" ca="1" si="256"/>
        <v>1</v>
      </c>
      <c r="D1066" s="458">
        <f t="shared" ca="1" si="257"/>
        <v>3</v>
      </c>
      <c r="E1066" s="458">
        <f t="shared" ca="1" si="258"/>
        <v>0</v>
      </c>
      <c r="G1066" s="206"/>
      <c r="H1066" s="207" t="s">
        <v>211</v>
      </c>
      <c r="I1066" s="208" t="str">
        <f t="shared" ca="1" si="259"/>
        <v>15.001.003</v>
      </c>
      <c r="J1066" s="209" t="s">
        <v>139</v>
      </c>
      <c r="K1066" s="210"/>
      <c r="L1066" s="455"/>
      <c r="M1066" s="455"/>
      <c r="N1066" s="285">
        <f t="shared" ca="1" si="260"/>
        <v>17920.057155000002</v>
      </c>
      <c r="O1066" s="462"/>
      <c r="P1066" s="213"/>
      <c r="Q1066" s="35"/>
      <c r="R1066" s="35"/>
      <c r="S1066" s="35"/>
    </row>
    <row r="1067" spans="1:19" s="34" customFormat="1" ht="13.9" hidden="1" customHeight="1" outlineLevel="3" x14ac:dyDescent="0.2">
      <c r="A1067" s="457">
        <f ca="1">IF($H1067="UNIDADE CONSTRUTIVA",OFFSET(A1067,-1,0)+1,LARGE(A$3:A1066,1))</f>
        <v>0</v>
      </c>
      <c r="B1067" s="457">
        <f t="shared" ca="1" si="255"/>
        <v>15</v>
      </c>
      <c r="C1067" s="457">
        <f t="shared" ca="1" si="256"/>
        <v>1</v>
      </c>
      <c r="D1067" s="458">
        <f t="shared" ca="1" si="257"/>
        <v>3</v>
      </c>
      <c r="E1067" s="458">
        <f t="shared" ca="1" si="258"/>
        <v>1</v>
      </c>
      <c r="G1067" s="206"/>
      <c r="H1067" s="207" t="s">
        <v>212</v>
      </c>
      <c r="I1067" s="208" t="str">
        <f ca="1">IF(H1067="Unidade Construtiva",TEXT(A1067,"00"),IF(H1067="Célula Construtiva",TEXT(B1067,"00"),IF(H1067="Etapa",CONCATENATE(TEXT(B1067,"00"),".",TEXT(C1067,"000")),IF(H1067="Subetapa",CONCATENATE(TEXT(B1067,"00"),".",TEXT(C1067,"000"),".",TEXT(D1067,"000")),IF(H1067="Serviço",CONCATENATE(TEXT(B1067,"00"),".",TEXT(C1067,"000"),".",TEXT(D1067,"000"),".",TEXT(E1067,"000")),"")))))</f>
        <v>15.001.003.001</v>
      </c>
      <c r="J1067" s="209" t="s">
        <v>564</v>
      </c>
      <c r="K1067" s="210" t="s">
        <v>1</v>
      </c>
      <c r="L1067" s="455">
        <f>Arquitetura!D1278+Arquitetura!D1279</f>
        <v>817.45</v>
      </c>
      <c r="M1067" s="455">
        <v>21.921900000000001</v>
      </c>
      <c r="N1067" s="285">
        <f t="shared" si="260"/>
        <v>17920.057155000002</v>
      </c>
      <c r="O1067" s="462"/>
      <c r="P1067" s="213" t="s">
        <v>518</v>
      </c>
      <c r="Q1067" s="35"/>
      <c r="R1067" s="35"/>
      <c r="S1067" s="35"/>
    </row>
    <row r="1068" spans="1:19" s="34" customFormat="1" ht="13.9" hidden="1" customHeight="1" outlineLevel="2" x14ac:dyDescent="0.2">
      <c r="A1068" s="457">
        <f ca="1">IF($H1068="UNIDADE CONSTRUTIVA",OFFSET(A1068,-1,0)+1,LARGE(A$3:A1067,1))</f>
        <v>0</v>
      </c>
      <c r="B1068" s="457">
        <f t="shared" ca="1" si="255"/>
        <v>15</v>
      </c>
      <c r="C1068" s="457">
        <f t="shared" ca="1" si="256"/>
        <v>1</v>
      </c>
      <c r="D1068" s="458">
        <f t="shared" ca="1" si="257"/>
        <v>4</v>
      </c>
      <c r="E1068" s="458">
        <f t="shared" ca="1" si="258"/>
        <v>0</v>
      </c>
      <c r="G1068" s="206"/>
      <c r="H1068" s="207" t="s">
        <v>211</v>
      </c>
      <c r="I1068" s="208" t="str">
        <f t="shared" ca="1" si="259"/>
        <v>15.001.004</v>
      </c>
      <c r="J1068" s="209" t="s">
        <v>430</v>
      </c>
      <c r="K1068" s="210"/>
      <c r="L1068" s="455"/>
      <c r="M1068" s="455"/>
      <c r="N1068" s="285">
        <f t="shared" ca="1" si="260"/>
        <v>56842.366999999998</v>
      </c>
      <c r="O1068" s="462"/>
      <c r="P1068" s="213"/>
      <c r="Q1068" s="35"/>
      <c r="R1068" s="35"/>
      <c r="S1068" s="35"/>
    </row>
    <row r="1069" spans="1:19" s="34" customFormat="1" ht="13.9" hidden="1" customHeight="1" outlineLevel="3" x14ac:dyDescent="0.2">
      <c r="A1069" s="457">
        <f ca="1">IF($H1069="UNIDADE CONSTRUTIVA",OFFSET(A1069,-1,0)+1,LARGE(A$3:A1068,1))</f>
        <v>0</v>
      </c>
      <c r="B1069" s="457">
        <f t="shared" ca="1" si="255"/>
        <v>15</v>
      </c>
      <c r="C1069" s="457">
        <f t="shared" ca="1" si="256"/>
        <v>1</v>
      </c>
      <c r="D1069" s="458">
        <f t="shared" ca="1" si="257"/>
        <v>4</v>
      </c>
      <c r="E1069" s="458">
        <f t="shared" ca="1" si="258"/>
        <v>1</v>
      </c>
      <c r="G1069" s="206"/>
      <c r="H1069" s="207" t="s">
        <v>212</v>
      </c>
      <c r="I1069" s="208" t="str">
        <f t="shared" ref="I1069:I1074" ca="1" si="261">IF(H1069="Unidade Construtiva",TEXT(A1069,"00"),IF(H1069="Célula Construtiva",TEXT(B1069,"00"),IF(H1069="Etapa",CONCATENATE(TEXT(B1069,"00"),".",TEXT(C1069,"000")),IF(H1069="Subetapa",CONCATENATE(TEXT(B1069,"00"),".",TEXT(C1069,"000"),".",TEXT(D1069,"000")),IF(H1069="Serviço",CONCATENATE(TEXT(B1069,"00"),".",TEXT(C1069,"000"),".",TEXT(D1069,"000"),".",TEXT(E1069,"000")),"")))))</f>
        <v>15.001.004.001</v>
      </c>
      <c r="J1069" s="209" t="s">
        <v>1043</v>
      </c>
      <c r="K1069" s="210" t="s">
        <v>1</v>
      </c>
      <c r="L1069" s="455">
        <f>L1058+L1059</f>
        <v>39.83</v>
      </c>
      <c r="M1069" s="455">
        <v>24.9</v>
      </c>
      <c r="N1069" s="285">
        <f t="shared" si="260"/>
        <v>991.76699999999994</v>
      </c>
      <c r="O1069" s="462"/>
      <c r="P1069" s="213" t="s">
        <v>518</v>
      </c>
      <c r="Q1069" s="35"/>
      <c r="R1069" s="35"/>
      <c r="S1069" s="35"/>
    </row>
    <row r="1070" spans="1:19" s="34" customFormat="1" ht="13.5" hidden="1" customHeight="1" outlineLevel="3" x14ac:dyDescent="0.2">
      <c r="A1070" s="457">
        <f ca="1">IF($H1070="UNIDADE CONSTRUTIVA",OFFSET(A1070,-1,0)+1,LARGE(A$3:A1069,1))</f>
        <v>0</v>
      </c>
      <c r="B1070" s="457">
        <f t="shared" ca="1" si="255"/>
        <v>15</v>
      </c>
      <c r="C1070" s="457">
        <f t="shared" ca="1" si="256"/>
        <v>1</v>
      </c>
      <c r="D1070" s="458">
        <f t="shared" ca="1" si="257"/>
        <v>4</v>
      </c>
      <c r="E1070" s="458">
        <f t="shared" ca="1" si="258"/>
        <v>2</v>
      </c>
      <c r="G1070" s="206"/>
      <c r="H1070" s="207" t="s">
        <v>212</v>
      </c>
      <c r="I1070" s="208" t="str">
        <f t="shared" ca="1" si="261"/>
        <v>15.001.004.002</v>
      </c>
      <c r="J1070" s="209" t="s">
        <v>1044</v>
      </c>
      <c r="K1070" s="210" t="s">
        <v>1</v>
      </c>
      <c r="L1070" s="455">
        <f>Arquitetura!D1125</f>
        <v>73.23</v>
      </c>
      <c r="M1070" s="455">
        <v>28</v>
      </c>
      <c r="N1070" s="285">
        <f t="shared" si="260"/>
        <v>2050.44</v>
      </c>
      <c r="O1070" s="462"/>
      <c r="P1070" s="213" t="s">
        <v>518</v>
      </c>
      <c r="Q1070" s="35"/>
      <c r="R1070" s="35"/>
      <c r="S1070" s="35"/>
    </row>
    <row r="1071" spans="1:19" s="34" customFormat="1" ht="13.5" hidden="1" customHeight="1" outlineLevel="3" x14ac:dyDescent="0.2">
      <c r="A1071" s="457">
        <f ca="1">IF($H1071="UNIDADE CONSTRUTIVA",OFFSET(A1071,-1,0)+1,LARGE(A$3:A1070,1))</f>
        <v>0</v>
      </c>
      <c r="B1071" s="457">
        <f t="shared" ca="1" si="255"/>
        <v>15</v>
      </c>
      <c r="C1071" s="457">
        <f t="shared" ca="1" si="256"/>
        <v>1</v>
      </c>
      <c r="D1071" s="458">
        <f t="shared" ca="1" si="257"/>
        <v>4</v>
      </c>
      <c r="E1071" s="458">
        <f t="shared" ca="1" si="258"/>
        <v>3</v>
      </c>
      <c r="G1071" s="206"/>
      <c r="H1071" s="207" t="s">
        <v>212</v>
      </c>
      <c r="I1071" s="208" t="str">
        <f t="shared" ca="1" si="261"/>
        <v>15.001.004.003</v>
      </c>
      <c r="J1071" s="209" t="s">
        <v>1045</v>
      </c>
      <c r="K1071" s="210" t="s">
        <v>1</v>
      </c>
      <c r="L1071" s="455">
        <f>L1062</f>
        <v>141.58000000000001</v>
      </c>
      <c r="M1071" s="455">
        <v>32</v>
      </c>
      <c r="N1071" s="285">
        <f t="shared" si="260"/>
        <v>4530.5600000000004</v>
      </c>
      <c r="O1071" s="462"/>
      <c r="P1071" s="213" t="s">
        <v>518</v>
      </c>
      <c r="Q1071" s="35"/>
      <c r="R1071" s="35"/>
      <c r="S1071" s="35"/>
    </row>
    <row r="1072" spans="1:19" s="34" customFormat="1" ht="13.9" hidden="1" customHeight="1" outlineLevel="3" x14ac:dyDescent="0.2">
      <c r="A1072" s="457">
        <f ca="1">IF($H1072="UNIDADE CONSTRUTIVA",OFFSET(A1072,-1,0)+1,LARGE(A$3:A1071,1))</f>
        <v>0</v>
      </c>
      <c r="B1072" s="457">
        <f t="shared" ca="1" si="255"/>
        <v>15</v>
      </c>
      <c r="C1072" s="457">
        <f t="shared" ca="1" si="256"/>
        <v>1</v>
      </c>
      <c r="D1072" s="458">
        <f t="shared" ca="1" si="257"/>
        <v>4</v>
      </c>
      <c r="E1072" s="458">
        <f t="shared" ca="1" si="258"/>
        <v>4</v>
      </c>
      <c r="G1072" s="206"/>
      <c r="H1072" s="207" t="s">
        <v>212</v>
      </c>
      <c r="I1072" s="208" t="str">
        <f t="shared" ca="1" si="261"/>
        <v>15.001.004.004</v>
      </c>
      <c r="J1072" s="209" t="s">
        <v>1046</v>
      </c>
      <c r="K1072" s="210" t="s">
        <v>1</v>
      </c>
      <c r="L1072" s="455">
        <f>L1064</f>
        <v>1017.6500000000001</v>
      </c>
      <c r="M1072" s="455">
        <v>20</v>
      </c>
      <c r="N1072" s="285">
        <f t="shared" si="260"/>
        <v>20353</v>
      </c>
      <c r="O1072" s="462"/>
      <c r="P1072" s="213" t="s">
        <v>518</v>
      </c>
      <c r="Q1072" s="35"/>
      <c r="R1072" s="35"/>
      <c r="S1072" s="35"/>
    </row>
    <row r="1073" spans="1:19" s="34" customFormat="1" ht="13.5" hidden="1" customHeight="1" outlineLevel="3" x14ac:dyDescent="0.2">
      <c r="A1073" s="457">
        <f ca="1">IF($H1073="UNIDADE CONSTRUTIVA",OFFSET(A1073,-1,0)+1,LARGE(A$3:A1072,1))</f>
        <v>0</v>
      </c>
      <c r="B1073" s="457">
        <f t="shared" ca="1" si="255"/>
        <v>15</v>
      </c>
      <c r="C1073" s="457">
        <f t="shared" ca="1" si="256"/>
        <v>1</v>
      </c>
      <c r="D1073" s="458">
        <f t="shared" ca="1" si="257"/>
        <v>4</v>
      </c>
      <c r="E1073" s="458">
        <f t="shared" ca="1" si="258"/>
        <v>5</v>
      </c>
      <c r="G1073" s="206"/>
      <c r="H1073" s="207" t="s">
        <v>212</v>
      </c>
      <c r="I1073" s="208" t="str">
        <f t="shared" ca="1" si="261"/>
        <v>15.001.004.005</v>
      </c>
      <c r="J1073" s="209" t="s">
        <v>4213</v>
      </c>
      <c r="K1073" s="210" t="s">
        <v>1</v>
      </c>
      <c r="L1073" s="455">
        <f>L1065</f>
        <v>137.91</v>
      </c>
      <c r="M1073" s="455">
        <v>20</v>
      </c>
      <c r="N1073" s="285">
        <f t="shared" si="260"/>
        <v>2758.2</v>
      </c>
      <c r="O1073" s="462" t="s">
        <v>990</v>
      </c>
      <c r="P1073" s="213" t="s">
        <v>518</v>
      </c>
      <c r="Q1073" s="35"/>
      <c r="R1073" s="35"/>
      <c r="S1073" s="35"/>
    </row>
    <row r="1074" spans="1:19" s="34" customFormat="1" ht="13.9" hidden="1" customHeight="1" outlineLevel="3" x14ac:dyDescent="0.2">
      <c r="A1074" s="457">
        <f ca="1">IF($H1074="UNIDADE CONSTRUTIVA",OFFSET(A1074,-1,0)+1,LARGE(A$3:A1073,1))</f>
        <v>0</v>
      </c>
      <c r="B1074" s="457">
        <f t="shared" ca="1" si="255"/>
        <v>15</v>
      </c>
      <c r="C1074" s="457">
        <f t="shared" ca="1" si="256"/>
        <v>1</v>
      </c>
      <c r="D1074" s="458">
        <f t="shared" ca="1" si="257"/>
        <v>4</v>
      </c>
      <c r="E1074" s="458">
        <f t="shared" ca="1" si="258"/>
        <v>6</v>
      </c>
      <c r="G1074" s="206"/>
      <c r="H1074" s="207" t="s">
        <v>212</v>
      </c>
      <c r="I1074" s="208" t="str">
        <f t="shared" ca="1" si="261"/>
        <v>15.001.004.006</v>
      </c>
      <c r="J1074" s="209" t="s">
        <v>4214</v>
      </c>
      <c r="K1074" s="210" t="s">
        <v>1</v>
      </c>
      <c r="L1074" s="455">
        <f>L1067</f>
        <v>817.45</v>
      </c>
      <c r="M1074" s="455">
        <v>32</v>
      </c>
      <c r="N1074" s="285">
        <f t="shared" si="260"/>
        <v>26158.400000000001</v>
      </c>
      <c r="O1074" s="462"/>
      <c r="P1074" s="213" t="s">
        <v>518</v>
      </c>
      <c r="Q1074" s="35"/>
      <c r="R1074" s="35"/>
      <c r="S1074" s="35"/>
    </row>
    <row r="1075" spans="1:19" s="34" customFormat="1" ht="13.9" hidden="1" customHeight="1" outlineLevel="1" x14ac:dyDescent="0.2">
      <c r="A1075" s="457">
        <f ca="1">IF($H1075="UNIDADE CONSTRUTIVA",OFFSET(A1075,-1,0)+1,LARGE(A$3:A1074,1))</f>
        <v>0</v>
      </c>
      <c r="B1075" s="457">
        <f t="shared" ca="1" si="255"/>
        <v>15</v>
      </c>
      <c r="C1075" s="457">
        <f t="shared" ca="1" si="256"/>
        <v>2</v>
      </c>
      <c r="D1075" s="458">
        <f t="shared" ca="1" si="257"/>
        <v>0</v>
      </c>
      <c r="E1075" s="458">
        <f t="shared" ca="1" si="258"/>
        <v>6</v>
      </c>
      <c r="G1075" s="206"/>
      <c r="H1075" s="207" t="s">
        <v>210</v>
      </c>
      <c r="I1075" s="208" t="str">
        <f t="shared" ref="I1075:I1084" ca="1" si="262">IF(H1075="Unidade Construtiva",TEXT(A1075,"00"),IF(H1075="Célula Construtiva",TEXT(B1075,"00"),IF(H1075="Etapa",CONCATENATE(TEXT(B1075,"00"),".",TEXT(C1075,"000")),IF(H1075="Subetapa",CONCATENATE(TEXT(B1075,"00"),".",TEXT(C1075,"000"),".",TEXT(D1075,"000")),IF(H1075="Serviço",CONCATENATE(TEXT(B1075,"00"),".",TEXT(C1075,"000"),".",TEXT(D1075,"000"),".",TEXT(E1075,"000")),"")))))</f>
        <v>15.002</v>
      </c>
      <c r="J1075" s="209" t="s">
        <v>1050</v>
      </c>
      <c r="K1075" s="210"/>
      <c r="L1075" s="455"/>
      <c r="M1075" s="455"/>
      <c r="N1075" s="285">
        <f t="shared" ca="1" si="260"/>
        <v>238243.23666200001</v>
      </c>
      <c r="O1075" s="462"/>
      <c r="P1075" s="213"/>
      <c r="Q1075" s="35"/>
      <c r="R1075" s="35"/>
      <c r="S1075" s="35"/>
    </row>
    <row r="1076" spans="1:19" s="34" customFormat="1" ht="13.9" hidden="1" customHeight="1" outlineLevel="2" x14ac:dyDescent="0.2">
      <c r="A1076" s="457">
        <f ca="1">IF($H1076="UNIDADE CONSTRUTIVA",OFFSET(A1076,-1,0)+1,LARGE(A$3:A1075,1))</f>
        <v>0</v>
      </c>
      <c r="B1076" s="457">
        <f t="shared" ca="1" si="255"/>
        <v>15</v>
      </c>
      <c r="C1076" s="457">
        <f t="shared" ca="1" si="256"/>
        <v>2</v>
      </c>
      <c r="D1076" s="458">
        <f t="shared" ca="1" si="257"/>
        <v>1</v>
      </c>
      <c r="E1076" s="458">
        <f t="shared" ca="1" si="258"/>
        <v>0</v>
      </c>
      <c r="G1076" s="206"/>
      <c r="H1076" s="207" t="s">
        <v>211</v>
      </c>
      <c r="I1076" s="208" t="str">
        <f t="shared" ca="1" si="262"/>
        <v>15.002.001</v>
      </c>
      <c r="J1076" s="209" t="s">
        <v>137</v>
      </c>
      <c r="K1076" s="210"/>
      <c r="L1076" s="455"/>
      <c r="M1076" s="455"/>
      <c r="N1076" s="285">
        <f t="shared" ca="1" si="260"/>
        <v>4737.9386279999999</v>
      </c>
      <c r="O1076" s="462"/>
      <c r="P1076" s="213"/>
      <c r="Q1076" s="35"/>
      <c r="R1076" s="35"/>
      <c r="S1076" s="35"/>
    </row>
    <row r="1077" spans="1:19" s="34" customFormat="1" ht="13.9" hidden="1" customHeight="1" outlineLevel="3" x14ac:dyDescent="0.2">
      <c r="A1077" s="457">
        <f ca="1">IF($H1077="UNIDADE CONSTRUTIVA",OFFSET(A1077,-1,0)+1,LARGE(A$3:A1076,1))</f>
        <v>0</v>
      </c>
      <c r="B1077" s="457">
        <f t="shared" ca="1" si="255"/>
        <v>15</v>
      </c>
      <c r="C1077" s="457">
        <f t="shared" ca="1" si="256"/>
        <v>2</v>
      </c>
      <c r="D1077" s="458">
        <f t="shared" ca="1" si="257"/>
        <v>1</v>
      </c>
      <c r="E1077" s="458">
        <f t="shared" ca="1" si="258"/>
        <v>1</v>
      </c>
      <c r="G1077" s="206"/>
      <c r="H1077" s="207" t="s">
        <v>212</v>
      </c>
      <c r="I1077" s="208" t="str">
        <f t="shared" ca="1" si="262"/>
        <v>15.002.001.001</v>
      </c>
      <c r="J1077" s="209" t="s">
        <v>4206</v>
      </c>
      <c r="K1077" s="210" t="s">
        <v>1</v>
      </c>
      <c r="L1077" s="455">
        <f>Arquitetura!H1081</f>
        <v>83.91</v>
      </c>
      <c r="M1077" s="455">
        <v>50.650799999999997</v>
      </c>
      <c r="N1077" s="285">
        <f t="shared" si="260"/>
        <v>4250.108628</v>
      </c>
      <c r="O1077" s="462"/>
      <c r="P1077" s="213" t="s">
        <v>518</v>
      </c>
      <c r="Q1077" s="35"/>
      <c r="R1077" s="35"/>
      <c r="S1077" s="35"/>
    </row>
    <row r="1078" spans="1:19" s="34" customFormat="1" ht="13.9" hidden="1" customHeight="1" outlineLevel="3" x14ac:dyDescent="0.2">
      <c r="A1078" s="457">
        <f ca="1">IF($H1078="UNIDADE CONSTRUTIVA",OFFSET(A1078,-1,0)+1,LARGE(A$3:A1077,1))</f>
        <v>0</v>
      </c>
      <c r="B1078" s="457">
        <f t="shared" ca="1" si="255"/>
        <v>15</v>
      </c>
      <c r="C1078" s="457">
        <f t="shared" ca="1" si="256"/>
        <v>2</v>
      </c>
      <c r="D1078" s="458">
        <f t="shared" ca="1" si="257"/>
        <v>1</v>
      </c>
      <c r="E1078" s="458">
        <f t="shared" ca="1" si="258"/>
        <v>2</v>
      </c>
      <c r="G1078" s="206"/>
      <c r="H1078" s="207" t="s">
        <v>212</v>
      </c>
      <c r="I1078" s="208" t="str">
        <f t="shared" ca="1" si="262"/>
        <v>15.002.001.002</v>
      </c>
      <c r="J1078" s="209" t="s">
        <v>4207</v>
      </c>
      <c r="K1078" s="210" t="s">
        <v>1</v>
      </c>
      <c r="L1078" s="455">
        <f>Arquitetura!H1082</f>
        <v>46.46</v>
      </c>
      <c r="M1078" s="455">
        <v>10.5</v>
      </c>
      <c r="N1078" s="285">
        <f t="shared" si="260"/>
        <v>487.83</v>
      </c>
      <c r="O1078" s="462"/>
      <c r="P1078" s="213" t="s">
        <v>518</v>
      </c>
      <c r="Q1078" s="35"/>
      <c r="R1078" s="35"/>
      <c r="S1078" s="35"/>
    </row>
    <row r="1079" spans="1:19" s="34" customFormat="1" ht="13.9" hidden="1" customHeight="1" outlineLevel="2" x14ac:dyDescent="0.2">
      <c r="A1079" s="457">
        <f ca="1">IF($H1079="UNIDADE CONSTRUTIVA",OFFSET(A1079,-1,0)+1,LARGE(A$3:A1078,1))</f>
        <v>0</v>
      </c>
      <c r="B1079" s="457">
        <f t="shared" ca="1" si="255"/>
        <v>15</v>
      </c>
      <c r="C1079" s="457">
        <f t="shared" ca="1" si="256"/>
        <v>2</v>
      </c>
      <c r="D1079" s="458">
        <f t="shared" ca="1" si="257"/>
        <v>2</v>
      </c>
      <c r="E1079" s="458">
        <f t="shared" ca="1" si="258"/>
        <v>0</v>
      </c>
      <c r="G1079" s="206"/>
      <c r="H1079" s="207" t="s">
        <v>211</v>
      </c>
      <c r="I1079" s="208" t="str">
        <f t="shared" ca="1" si="262"/>
        <v>15.002.002</v>
      </c>
      <c r="J1079" s="209" t="s">
        <v>138</v>
      </c>
      <c r="K1079" s="210"/>
      <c r="L1079" s="455"/>
      <c r="M1079" s="455"/>
      <c r="N1079" s="285">
        <f t="shared" ca="1" si="260"/>
        <v>31974.020708</v>
      </c>
      <c r="O1079" s="462"/>
      <c r="P1079" s="213"/>
      <c r="Q1079" s="35"/>
      <c r="R1079" s="35"/>
      <c r="S1079" s="35"/>
    </row>
    <row r="1080" spans="1:19" s="34" customFormat="1" ht="13.9" hidden="1" customHeight="1" outlineLevel="3" x14ac:dyDescent="0.2">
      <c r="A1080" s="457">
        <f ca="1">IF($H1080="UNIDADE CONSTRUTIVA",OFFSET(A1080,-1,0)+1,LARGE(A$3:A1079,1))</f>
        <v>0</v>
      </c>
      <c r="B1080" s="457">
        <f t="shared" ca="1" si="255"/>
        <v>15</v>
      </c>
      <c r="C1080" s="457">
        <f t="shared" ca="1" si="256"/>
        <v>2</v>
      </c>
      <c r="D1080" s="458">
        <f t="shared" ca="1" si="257"/>
        <v>2</v>
      </c>
      <c r="E1080" s="458">
        <f t="shared" ca="1" si="258"/>
        <v>1</v>
      </c>
      <c r="G1080" s="206"/>
      <c r="H1080" s="207" t="s">
        <v>212</v>
      </c>
      <c r="I1080" s="208" t="str">
        <f t="shared" ca="1" si="262"/>
        <v>15.002.002.001</v>
      </c>
      <c r="J1080" s="209" t="s">
        <v>1039</v>
      </c>
      <c r="K1080" s="210" t="s">
        <v>1</v>
      </c>
      <c r="L1080" s="455">
        <f>SUM(_xlfn.ANCHORARRAY(Arquitetura!H1133))</f>
        <v>3271.23</v>
      </c>
      <c r="M1080" s="455">
        <v>2.7856000000000001</v>
      </c>
      <c r="N1080" s="285">
        <f t="shared" si="260"/>
        <v>9112.3382880000008</v>
      </c>
      <c r="O1080" s="462"/>
      <c r="P1080" s="213" t="s">
        <v>518</v>
      </c>
      <c r="Q1080" s="35"/>
      <c r="R1080" s="35"/>
      <c r="S1080" s="35"/>
    </row>
    <row r="1081" spans="1:19" s="34" customFormat="1" ht="13.9" hidden="1" customHeight="1" outlineLevel="3" x14ac:dyDescent="0.2">
      <c r="A1081" s="457">
        <f ca="1">IF($H1081="UNIDADE CONSTRUTIVA",OFFSET(A1081,-1,0)+1,LARGE(A$3:A1080,1))</f>
        <v>0</v>
      </c>
      <c r="B1081" s="457">
        <f t="shared" ca="1" si="255"/>
        <v>15</v>
      </c>
      <c r="C1081" s="457">
        <f t="shared" ca="1" si="256"/>
        <v>2</v>
      </c>
      <c r="D1081" s="458">
        <f t="shared" ca="1" si="257"/>
        <v>2</v>
      </c>
      <c r="E1081" s="458">
        <f t="shared" ca="1" si="258"/>
        <v>2</v>
      </c>
      <c r="G1081" s="206"/>
      <c r="H1081" s="207" t="s">
        <v>212</v>
      </c>
      <c r="I1081" s="208" t="str">
        <f t="shared" ca="1" si="262"/>
        <v>15.002.002.002</v>
      </c>
      <c r="J1081" s="209" t="s">
        <v>563</v>
      </c>
      <c r="K1081" s="210" t="s">
        <v>1</v>
      </c>
      <c r="L1081" s="455">
        <f>Arquitetura!H1134</f>
        <v>191.44</v>
      </c>
      <c r="M1081" s="455">
        <v>13.619899999999999</v>
      </c>
      <c r="N1081" s="285">
        <f t="shared" si="260"/>
        <v>2607.3936559999997</v>
      </c>
      <c r="O1081" s="462"/>
      <c r="P1081" s="213" t="s">
        <v>518</v>
      </c>
      <c r="Q1081" s="35"/>
      <c r="R1081" s="35"/>
      <c r="S1081" s="35"/>
    </row>
    <row r="1082" spans="1:19" s="34" customFormat="1" ht="13.9" hidden="1" customHeight="1" outlineLevel="3" x14ac:dyDescent="0.2">
      <c r="A1082" s="457">
        <f ca="1">IF($H1082="UNIDADE CONSTRUTIVA",OFFSET(A1082,-1,0)+1,LARGE(A$3:A1081,1))</f>
        <v>0</v>
      </c>
      <c r="B1082" s="457">
        <f t="shared" ca="1" si="255"/>
        <v>15</v>
      </c>
      <c r="C1082" s="457">
        <f t="shared" ca="1" si="256"/>
        <v>2</v>
      </c>
      <c r="D1082" s="458">
        <f t="shared" ca="1" si="257"/>
        <v>2</v>
      </c>
      <c r="E1082" s="458">
        <f t="shared" ca="1" si="258"/>
        <v>3</v>
      </c>
      <c r="G1082" s="206"/>
      <c r="H1082" s="207" t="s">
        <v>212</v>
      </c>
      <c r="I1082" s="208" t="str">
        <f t="shared" ca="1" si="262"/>
        <v>15.002.002.003</v>
      </c>
      <c r="J1082" s="209" t="s">
        <v>435</v>
      </c>
      <c r="K1082" s="210" t="s">
        <v>1</v>
      </c>
      <c r="L1082" s="455">
        <f>Arquitetura!H1136+Arquitetura!H1137</f>
        <v>2850.41</v>
      </c>
      <c r="M1082" s="455">
        <v>6.7404000000000002</v>
      </c>
      <c r="N1082" s="285">
        <f t="shared" si="260"/>
        <v>19212.903564</v>
      </c>
      <c r="O1082" s="462"/>
      <c r="P1082" s="213" t="s">
        <v>518</v>
      </c>
      <c r="Q1082" s="35"/>
      <c r="R1082" s="35"/>
      <c r="S1082" s="35"/>
    </row>
    <row r="1083" spans="1:19" s="34" customFormat="1" ht="13.9" hidden="1" customHeight="1" outlineLevel="3" x14ac:dyDescent="0.2">
      <c r="A1083" s="457">
        <f ca="1">IF($H1083="UNIDADE CONSTRUTIVA",OFFSET(A1083,-1,0)+1,LARGE(A$3:A1082,1))</f>
        <v>0</v>
      </c>
      <c r="B1083" s="457">
        <f t="shared" ca="1" si="255"/>
        <v>15</v>
      </c>
      <c r="C1083" s="457">
        <f t="shared" ca="1" si="256"/>
        <v>2</v>
      </c>
      <c r="D1083" s="458">
        <f t="shared" ca="1" si="257"/>
        <v>2</v>
      </c>
      <c r="E1083" s="458">
        <f t="shared" ca="1" si="258"/>
        <v>4</v>
      </c>
      <c r="G1083" s="206"/>
      <c r="H1083" s="207" t="s">
        <v>212</v>
      </c>
      <c r="I1083" s="208" t="str">
        <f t="shared" ca="1" si="262"/>
        <v>15.002.002.004</v>
      </c>
      <c r="J1083" s="209" t="s">
        <v>1041</v>
      </c>
      <c r="K1083" s="210" t="s">
        <v>1</v>
      </c>
      <c r="L1083" s="455">
        <f>Arquitetura!H1133+Arquitetura!H1135</f>
        <v>229.38</v>
      </c>
      <c r="M1083" s="455">
        <v>4.54</v>
      </c>
      <c r="N1083" s="285">
        <f t="shared" si="260"/>
        <v>1041.3851999999999</v>
      </c>
      <c r="O1083" s="462" t="s">
        <v>990</v>
      </c>
      <c r="P1083" s="213" t="s">
        <v>518</v>
      </c>
      <c r="Q1083" s="35"/>
      <c r="R1083" s="35"/>
      <c r="S1083" s="35"/>
    </row>
    <row r="1084" spans="1:19" s="34" customFormat="1" ht="13.9" hidden="1" customHeight="1" outlineLevel="2" x14ac:dyDescent="0.2">
      <c r="A1084" s="457">
        <f ca="1">IF($H1084="UNIDADE CONSTRUTIVA",OFFSET(A1084,-1,0)+1,LARGE(A$3:A1083,1))</f>
        <v>0</v>
      </c>
      <c r="B1084" s="457">
        <f t="shared" ca="1" si="255"/>
        <v>15</v>
      </c>
      <c r="C1084" s="457">
        <f t="shared" ca="1" si="256"/>
        <v>2</v>
      </c>
      <c r="D1084" s="458">
        <f t="shared" ca="1" si="257"/>
        <v>3</v>
      </c>
      <c r="E1084" s="458">
        <f t="shared" ca="1" si="258"/>
        <v>0</v>
      </c>
      <c r="G1084" s="206"/>
      <c r="H1084" s="207" t="s">
        <v>211</v>
      </c>
      <c r="I1084" s="208" t="str">
        <f t="shared" ca="1" si="262"/>
        <v>15.002.003</v>
      </c>
      <c r="J1084" s="209" t="s">
        <v>139</v>
      </c>
      <c r="K1084" s="210"/>
      <c r="L1084" s="455"/>
      <c r="M1084" s="455"/>
      <c r="N1084" s="285">
        <f t="shared" ca="1" si="260"/>
        <v>53391.664325999998</v>
      </c>
      <c r="O1084" s="462"/>
      <c r="P1084" s="213"/>
      <c r="Q1084" s="35"/>
      <c r="R1084" s="35"/>
      <c r="S1084" s="35"/>
    </row>
    <row r="1085" spans="1:19" s="34" customFormat="1" ht="13.9" hidden="1" customHeight="1" outlineLevel="3" x14ac:dyDescent="0.2">
      <c r="A1085" s="457">
        <f ca="1">IF($H1085="UNIDADE CONSTRUTIVA",OFFSET(A1085,-1,0)+1,LARGE(A$3:A1084,1))</f>
        <v>0</v>
      </c>
      <c r="B1085" s="457">
        <f t="shared" ca="1" si="255"/>
        <v>15</v>
      </c>
      <c r="C1085" s="457">
        <f t="shared" ca="1" si="256"/>
        <v>2</v>
      </c>
      <c r="D1085" s="458">
        <f t="shared" ca="1" si="257"/>
        <v>3</v>
      </c>
      <c r="E1085" s="458">
        <f t="shared" ca="1" si="258"/>
        <v>1</v>
      </c>
      <c r="G1085" s="206"/>
      <c r="H1085" s="207" t="s">
        <v>212</v>
      </c>
      <c r="I1085" s="208" t="str">
        <f t="shared" ref="I1085:I1091" ca="1" si="263">IF(H1085="Unidade Construtiva",TEXT(A1085,"00"),IF(H1085="Célula Construtiva",TEXT(B1085,"00"),IF(H1085="Etapa",CONCATENATE(TEXT(B1085,"00"),".",TEXT(C1085,"000")),IF(H1085="Subetapa",CONCATENATE(TEXT(B1085,"00"),".",TEXT(C1085,"000"),".",TEXT(D1085,"000")),IF(H1085="Serviço",CONCATENATE(TEXT(B1085,"00"),".",TEXT(C1085,"000"),".",TEXT(D1085,"000"),".",TEXT(E1085,"000")),"")))))</f>
        <v>15.002.003.001</v>
      </c>
      <c r="J1085" s="209" t="s">
        <v>564</v>
      </c>
      <c r="K1085" s="210" t="s">
        <v>1</v>
      </c>
      <c r="L1085" s="455">
        <f>SUM(Arquitetura!D1281:D1288)</f>
        <v>2435.54</v>
      </c>
      <c r="M1085" s="455">
        <v>21.921900000000001</v>
      </c>
      <c r="N1085" s="285">
        <f t="shared" si="260"/>
        <v>53391.664325999998</v>
      </c>
      <c r="O1085" s="462"/>
      <c r="P1085" s="213" t="s">
        <v>518</v>
      </c>
      <c r="Q1085" s="35"/>
      <c r="R1085" s="35"/>
      <c r="S1085" s="35"/>
    </row>
    <row r="1086" spans="1:19" s="34" customFormat="1" ht="13.9" hidden="1" customHeight="1" outlineLevel="2" x14ac:dyDescent="0.2">
      <c r="A1086" s="457">
        <f ca="1">IF($H1086="UNIDADE CONSTRUTIVA",OFFSET(A1086,-1,0)+1,LARGE(A$3:A1085,1))</f>
        <v>0</v>
      </c>
      <c r="B1086" s="457">
        <f t="shared" ca="1" si="255"/>
        <v>15</v>
      </c>
      <c r="C1086" s="457">
        <f t="shared" ca="1" si="256"/>
        <v>2</v>
      </c>
      <c r="D1086" s="458">
        <f t="shared" ca="1" si="257"/>
        <v>4</v>
      </c>
      <c r="E1086" s="458">
        <f t="shared" ca="1" si="258"/>
        <v>0</v>
      </c>
      <c r="G1086" s="206"/>
      <c r="H1086" s="207" t="s">
        <v>211</v>
      </c>
      <c r="I1086" s="208" t="str">
        <f t="shared" ca="1" si="263"/>
        <v>15.002.004</v>
      </c>
      <c r="J1086" s="209" t="s">
        <v>430</v>
      </c>
      <c r="K1086" s="210"/>
      <c r="L1086" s="455"/>
      <c r="M1086" s="455"/>
      <c r="N1086" s="285">
        <f t="shared" ca="1" si="260"/>
        <v>148139.61300000001</v>
      </c>
      <c r="O1086" s="462"/>
      <c r="P1086" s="213"/>
      <c r="Q1086" s="35"/>
      <c r="R1086" s="35"/>
      <c r="S1086" s="35"/>
    </row>
    <row r="1087" spans="1:19" s="34" customFormat="1" ht="13.9" hidden="1" customHeight="1" outlineLevel="3" x14ac:dyDescent="0.2">
      <c r="A1087" s="457">
        <f ca="1">IF($H1087="UNIDADE CONSTRUTIVA",OFFSET(A1087,-1,0)+1,LARGE(A$3:A1086,1))</f>
        <v>0</v>
      </c>
      <c r="B1087" s="457">
        <f ca="1">IF(H1087="UNIDADE CONSTRUTIVA",0,IF(H1087="CÉLULA CONSTRUTIVA",OFFSET(B1087,-1,0)+1,OFFSET(B1087,-1,0)))</f>
        <v>15</v>
      </c>
      <c r="C1087" s="457">
        <f ca="1">IF(H1087="CÉLULA CONSTRUTIVA",0,IF(H1087="ETAPA",OFFSET(C1087,-1,0)+1,OFFSET(C1087,-1,0)))</f>
        <v>2</v>
      </c>
      <c r="D1087" s="458">
        <f ca="1">IF(H1087="ETAPA",0,IF(H1087="SUBETAPA",OFFSET(D1087,-1,0)+1,OFFSET(D1087,-1,0)))</f>
        <v>4</v>
      </c>
      <c r="E1087" s="458">
        <f ca="1">IF(H1087="Subetapa",0,IF(H1087="serviço",OFFSET(E1087,-1,0)+1,OFFSET(E1087,-1,0)))</f>
        <v>1</v>
      </c>
      <c r="G1087" s="206"/>
      <c r="H1087" s="207" t="s">
        <v>212</v>
      </c>
      <c r="I1087" s="208" t="str">
        <f t="shared" ca="1" si="263"/>
        <v>15.002.004.001</v>
      </c>
      <c r="J1087" s="209" t="s">
        <v>1043</v>
      </c>
      <c r="K1087" s="210" t="s">
        <v>1</v>
      </c>
      <c r="L1087" s="455">
        <f>L1077+L1078</f>
        <v>130.37</v>
      </c>
      <c r="M1087" s="455">
        <v>24.9</v>
      </c>
      <c r="N1087" s="285">
        <f t="shared" si="260"/>
        <v>3246.2129999999997</v>
      </c>
      <c r="O1087" s="462"/>
      <c r="P1087" s="213" t="s">
        <v>518</v>
      </c>
      <c r="Q1087" s="35"/>
      <c r="R1087" s="35"/>
      <c r="S1087" s="35"/>
    </row>
    <row r="1088" spans="1:19" s="34" customFormat="1" ht="13.5" hidden="1" customHeight="1" outlineLevel="3" x14ac:dyDescent="0.2">
      <c r="A1088" s="457">
        <f ca="1">IF($H1088="UNIDADE CONSTRUTIVA",OFFSET(A1088,-1,0)+1,LARGE(A$3:A1087,1))</f>
        <v>0</v>
      </c>
      <c r="B1088" s="457">
        <f ca="1">IF(H1088="UNIDADE CONSTRUTIVA",0,IF(H1088="CÉLULA CONSTRUTIVA",OFFSET(B1088,-1,0)+1,OFFSET(B1088,-1,0)))</f>
        <v>15</v>
      </c>
      <c r="C1088" s="457">
        <f ca="1">IF(H1088="CÉLULA CONSTRUTIVA",0,IF(H1088="ETAPA",OFFSET(C1088,-1,0)+1,OFFSET(C1088,-1,0)))</f>
        <v>2</v>
      </c>
      <c r="D1088" s="458">
        <f ca="1">IF(H1088="ETAPA",0,IF(H1088="SUBETAPA",OFFSET(D1088,-1,0)+1,OFFSET(D1088,-1,0)))</f>
        <v>4</v>
      </c>
      <c r="E1088" s="458">
        <f ca="1">IF(H1088="Subetapa",0,IF(H1088="serviço",OFFSET(E1088,-1,0)+1,OFFSET(E1088,-1,0)))</f>
        <v>2</v>
      </c>
      <c r="G1088" s="206"/>
      <c r="H1088" s="207" t="s">
        <v>212</v>
      </c>
      <c r="I1088" s="208" t="str">
        <f t="shared" ca="1" si="263"/>
        <v>15.002.004.002</v>
      </c>
      <c r="J1088" s="209" t="s">
        <v>1044</v>
      </c>
      <c r="K1088" s="210" t="s">
        <v>1</v>
      </c>
      <c r="L1088" s="455">
        <f>Arquitetura!H1134</f>
        <v>191.44</v>
      </c>
      <c r="M1088" s="455">
        <v>28</v>
      </c>
      <c r="N1088" s="285">
        <f t="shared" ref="N1088:N1119" si="264">IF(H1088="Serviço",M1088*L1088,IF(H1088="CÉLULA CONSTRUTIVA",SUMIFS($N$8:$N$1408,$B$8:$B$1408,B1088,$H$8:$H$1408,"Serviço"),IF(H1088="ETAPA",SUMIFS($N$8:$N$1408,$B$8:$B$1408,B1088,$C$8:$C$1408,C1088,$H$8:$H$1408,"Serviço"),IF(H1088="SUBETAPA",SUMIFS($N$8:$N$1408,$B$8:$B$1408,B1088,$C$8:$C$1408,C1088,$D$8:$D$1408,D1088,$H$8:$H$1408,"Serviço"),0))))</f>
        <v>5360.32</v>
      </c>
      <c r="O1088" s="462"/>
      <c r="P1088" s="213" t="s">
        <v>518</v>
      </c>
      <c r="Q1088" s="35"/>
      <c r="R1088" s="35"/>
      <c r="S1088" s="35"/>
    </row>
    <row r="1089" spans="1:19" s="34" customFormat="1" ht="13.9" hidden="1" customHeight="1" outlineLevel="3" x14ac:dyDescent="0.2">
      <c r="A1089" s="457">
        <f ca="1">IF($H1089="UNIDADE CONSTRUTIVA",OFFSET(A1089,-1,0)+1,LARGE(A$3:A1088,1))</f>
        <v>0</v>
      </c>
      <c r="B1089" s="457">
        <f ca="1">IF(H1089="UNIDADE CONSTRUTIVA",0,IF(H1089="CÉLULA CONSTRUTIVA",OFFSET(B1089,-1,0)+1,OFFSET(B1089,-1,0)))</f>
        <v>15</v>
      </c>
      <c r="C1089" s="457">
        <f ca="1">IF(H1089="CÉLULA CONSTRUTIVA",0,IF(H1089="ETAPA",OFFSET(C1089,-1,0)+1,OFFSET(C1089,-1,0)))</f>
        <v>2</v>
      </c>
      <c r="D1089" s="458">
        <f ca="1">IF(H1089="ETAPA",0,IF(H1089="SUBETAPA",OFFSET(D1089,-1,0)+1,OFFSET(D1089,-1,0)))</f>
        <v>4</v>
      </c>
      <c r="E1089" s="458">
        <f ca="1">IF(H1089="Subetapa",0,IF(H1089="serviço",OFFSET(E1089,-1,0)+1,OFFSET(E1089,-1,0)))</f>
        <v>3</v>
      </c>
      <c r="G1089" s="206"/>
      <c r="H1089" s="207" t="s">
        <v>212</v>
      </c>
      <c r="I1089" s="208" t="str">
        <f t="shared" ca="1" si="263"/>
        <v>15.002.004.003</v>
      </c>
      <c r="J1089" s="209" t="s">
        <v>1046</v>
      </c>
      <c r="K1089" s="210" t="s">
        <v>1</v>
      </c>
      <c r="L1089" s="455">
        <f>L1082</f>
        <v>2850.41</v>
      </c>
      <c r="M1089" s="455">
        <v>20</v>
      </c>
      <c r="N1089" s="285">
        <f t="shared" si="264"/>
        <v>57008.2</v>
      </c>
      <c r="O1089" s="462"/>
      <c r="P1089" s="213" t="s">
        <v>518</v>
      </c>
      <c r="Q1089" s="35"/>
      <c r="R1089" s="35"/>
      <c r="S1089" s="35"/>
    </row>
    <row r="1090" spans="1:19" s="34" customFormat="1" ht="13.5" hidden="1" customHeight="1" outlineLevel="3" x14ac:dyDescent="0.2">
      <c r="A1090" s="457">
        <f ca="1">IF($H1090="UNIDADE CONSTRUTIVA",OFFSET(A1090,-1,0)+1,LARGE(A$3:A1089,1))</f>
        <v>0</v>
      </c>
      <c r="B1090" s="457">
        <f ca="1">IF(H1090="UNIDADE CONSTRUTIVA",0,IF(H1090="CÉLULA CONSTRUTIVA",OFFSET(B1090,-1,0)+1,OFFSET(B1090,-1,0)))</f>
        <v>15</v>
      </c>
      <c r="C1090" s="457">
        <f ca="1">IF(H1090="CÉLULA CONSTRUTIVA",0,IF(H1090="ETAPA",OFFSET(C1090,-1,0)+1,OFFSET(C1090,-1,0)))</f>
        <v>2</v>
      </c>
      <c r="D1090" s="458">
        <f ca="1">IF(H1090="ETAPA",0,IF(H1090="SUBETAPA",OFFSET(D1090,-1,0)+1,OFFSET(D1090,-1,0)))</f>
        <v>4</v>
      </c>
      <c r="E1090" s="458">
        <f ca="1">IF(H1090="Subetapa",0,IF(H1090="serviço",OFFSET(E1090,-1,0)+1,OFFSET(E1090,-1,0)))</f>
        <v>4</v>
      </c>
      <c r="G1090" s="206"/>
      <c r="H1090" s="207" t="s">
        <v>212</v>
      </c>
      <c r="I1090" s="208" t="str">
        <f t="shared" ca="1" si="263"/>
        <v>15.002.004.004</v>
      </c>
      <c r="J1090" s="209" t="s">
        <v>4213</v>
      </c>
      <c r="K1090" s="210" t="s">
        <v>1</v>
      </c>
      <c r="L1090" s="455">
        <f>L1083</f>
        <v>229.38</v>
      </c>
      <c r="M1090" s="455">
        <v>20</v>
      </c>
      <c r="N1090" s="285">
        <f t="shared" si="264"/>
        <v>4587.6000000000004</v>
      </c>
      <c r="O1090" s="462" t="s">
        <v>990</v>
      </c>
      <c r="P1090" s="213" t="s">
        <v>518</v>
      </c>
      <c r="Q1090" s="35"/>
      <c r="R1090" s="35"/>
      <c r="S1090" s="35"/>
    </row>
    <row r="1091" spans="1:19" s="34" customFormat="1" ht="13.9" hidden="1" customHeight="1" outlineLevel="3" x14ac:dyDescent="0.2">
      <c r="A1091" s="457">
        <f ca="1">IF($H1091="UNIDADE CONSTRUTIVA",OFFSET(A1091,-1,0)+1,LARGE(A$3:A1090,1))</f>
        <v>0</v>
      </c>
      <c r="B1091" s="457">
        <f ca="1">IF(H1091="UNIDADE CONSTRUTIVA",0,IF(H1091="CÉLULA CONSTRUTIVA",OFFSET(B1091,-1,0)+1,OFFSET(B1091,-1,0)))</f>
        <v>15</v>
      </c>
      <c r="C1091" s="457">
        <f ca="1">IF(H1091="CÉLULA CONSTRUTIVA",0,IF(H1091="ETAPA",OFFSET(C1091,-1,0)+1,OFFSET(C1091,-1,0)))</f>
        <v>2</v>
      </c>
      <c r="D1091" s="458">
        <f ca="1">IF(H1091="ETAPA",0,IF(H1091="SUBETAPA",OFFSET(D1091,-1,0)+1,OFFSET(D1091,-1,0)))</f>
        <v>4</v>
      </c>
      <c r="E1091" s="458">
        <f ca="1">IF(H1091="Subetapa",0,IF(H1091="serviço",OFFSET(E1091,-1,0)+1,OFFSET(E1091,-1,0)))</f>
        <v>5</v>
      </c>
      <c r="G1091" s="206"/>
      <c r="H1091" s="207" t="s">
        <v>212</v>
      </c>
      <c r="I1091" s="208" t="str">
        <f t="shared" ca="1" si="263"/>
        <v>15.002.004.005</v>
      </c>
      <c r="J1091" s="209" t="s">
        <v>4214</v>
      </c>
      <c r="K1091" s="210" t="s">
        <v>1</v>
      </c>
      <c r="L1091" s="455">
        <f>L1085</f>
        <v>2435.54</v>
      </c>
      <c r="M1091" s="455">
        <v>32</v>
      </c>
      <c r="N1091" s="285">
        <f t="shared" si="264"/>
        <v>77937.279999999999</v>
      </c>
      <c r="O1091" s="462"/>
      <c r="P1091" s="213" t="s">
        <v>518</v>
      </c>
      <c r="Q1091" s="35"/>
      <c r="R1091" s="35"/>
      <c r="S1091" s="35"/>
    </row>
    <row r="1092" spans="1:19" s="34" customFormat="1" ht="13.9" hidden="1" customHeight="1" outlineLevel="1" x14ac:dyDescent="0.2">
      <c r="A1092" s="457">
        <f ca="1">IF($H1092="UNIDADE CONSTRUTIVA",OFFSET(A1092,-1,0)+1,LARGE(A$3:A1091,1))</f>
        <v>0</v>
      </c>
      <c r="B1092" s="457">
        <f t="shared" ca="1" si="255"/>
        <v>15</v>
      </c>
      <c r="C1092" s="457">
        <f t="shared" ca="1" si="256"/>
        <v>3</v>
      </c>
      <c r="D1092" s="458">
        <f t="shared" ca="1" si="257"/>
        <v>0</v>
      </c>
      <c r="E1092" s="458">
        <f t="shared" ca="1" si="258"/>
        <v>5</v>
      </c>
      <c r="G1092" s="206"/>
      <c r="H1092" s="207" t="s">
        <v>210</v>
      </c>
      <c r="I1092" s="208" t="str">
        <f t="shared" ref="I1092:I1101" ca="1" si="265">IF(H1092="Unidade Construtiva",TEXT(A1092,"00"),IF(H1092="Célula Construtiva",TEXT(B1092,"00"),IF(H1092="Etapa",CONCATENATE(TEXT(B1092,"00"),".",TEXT(C1092,"000")),IF(H1092="Subetapa",CONCATENATE(TEXT(B1092,"00"),".",TEXT(C1092,"000"),".",TEXT(D1092,"000")),IF(H1092="Serviço",CONCATENATE(TEXT(B1092,"00"),".",TEXT(C1092,"000"),".",TEXT(D1092,"000"),".",TEXT(E1092,"000")),"")))))</f>
        <v>15.003</v>
      </c>
      <c r="J1092" s="209" t="s">
        <v>1051</v>
      </c>
      <c r="K1092" s="210"/>
      <c r="L1092" s="455"/>
      <c r="M1092" s="455"/>
      <c r="N1092" s="285">
        <f t="shared" ca="1" si="264"/>
        <v>88496.694782000006</v>
      </c>
      <c r="O1092" s="462"/>
      <c r="P1092" s="213"/>
      <c r="Q1092" s="35"/>
      <c r="R1092" s="35"/>
      <c r="S1092" s="35"/>
    </row>
    <row r="1093" spans="1:19" s="34" customFormat="1" ht="13.9" hidden="1" customHeight="1" outlineLevel="2" x14ac:dyDescent="0.2">
      <c r="A1093" s="457">
        <f ca="1">IF($H1093="UNIDADE CONSTRUTIVA",OFFSET(A1093,-1,0)+1,LARGE(A$3:A1092,1))</f>
        <v>0</v>
      </c>
      <c r="B1093" s="457">
        <f t="shared" ca="1" si="255"/>
        <v>15</v>
      </c>
      <c r="C1093" s="457">
        <f t="shared" ca="1" si="256"/>
        <v>3</v>
      </c>
      <c r="D1093" s="458">
        <f t="shared" ca="1" si="257"/>
        <v>1</v>
      </c>
      <c r="E1093" s="458">
        <f t="shared" ca="1" si="258"/>
        <v>0</v>
      </c>
      <c r="G1093" s="206"/>
      <c r="H1093" s="207" t="s">
        <v>211</v>
      </c>
      <c r="I1093" s="208" t="str">
        <f t="shared" ca="1" si="265"/>
        <v>15.003.001</v>
      </c>
      <c r="J1093" s="209" t="s">
        <v>137</v>
      </c>
      <c r="K1093" s="210"/>
      <c r="L1093" s="455"/>
      <c r="M1093" s="455"/>
      <c r="N1093" s="285">
        <f t="shared" ca="1" si="264"/>
        <v>1729.5199559999999</v>
      </c>
      <c r="O1093" s="462"/>
      <c r="P1093" s="213"/>
      <c r="Q1093" s="35"/>
      <c r="R1093" s="35"/>
      <c r="S1093" s="35"/>
    </row>
    <row r="1094" spans="1:19" s="34" customFormat="1" ht="13.9" hidden="1" customHeight="1" outlineLevel="3" x14ac:dyDescent="0.2">
      <c r="A1094" s="457">
        <f ca="1">IF($H1094="UNIDADE CONSTRUTIVA",OFFSET(A1094,-1,0)+1,LARGE(A$3:A1093,1))</f>
        <v>0</v>
      </c>
      <c r="B1094" s="457">
        <f t="shared" ca="1" si="255"/>
        <v>15</v>
      </c>
      <c r="C1094" s="457">
        <f t="shared" ca="1" si="256"/>
        <v>3</v>
      </c>
      <c r="D1094" s="458">
        <f t="shared" ca="1" si="257"/>
        <v>1</v>
      </c>
      <c r="E1094" s="458">
        <f t="shared" ca="1" si="258"/>
        <v>1</v>
      </c>
      <c r="G1094" s="206"/>
      <c r="H1094" s="207" t="s">
        <v>212</v>
      </c>
      <c r="I1094" s="208" t="str">
        <f t="shared" ca="1" si="265"/>
        <v>15.003.001.001</v>
      </c>
      <c r="J1094" s="209" t="s">
        <v>4206</v>
      </c>
      <c r="K1094" s="210" t="s">
        <v>1</v>
      </c>
      <c r="L1094" s="455">
        <f>Arquitetura!D1090</f>
        <v>30.57</v>
      </c>
      <c r="M1094" s="455">
        <v>50.650799999999997</v>
      </c>
      <c r="N1094" s="285">
        <f t="shared" si="264"/>
        <v>1548.3949559999999</v>
      </c>
      <c r="O1094" s="462"/>
      <c r="P1094" s="213" t="s">
        <v>518</v>
      </c>
      <c r="Q1094" s="35"/>
      <c r="R1094" s="35"/>
      <c r="S1094" s="35"/>
    </row>
    <row r="1095" spans="1:19" s="34" customFormat="1" ht="13.9" hidden="1" customHeight="1" outlineLevel="3" x14ac:dyDescent="0.2">
      <c r="A1095" s="457">
        <f ca="1">IF($H1095="UNIDADE CONSTRUTIVA",OFFSET(A1095,-1,0)+1,LARGE(A$3:A1094,1))</f>
        <v>0</v>
      </c>
      <c r="B1095" s="457">
        <f t="shared" ca="1" si="255"/>
        <v>15</v>
      </c>
      <c r="C1095" s="457">
        <f t="shared" ca="1" si="256"/>
        <v>3</v>
      </c>
      <c r="D1095" s="458">
        <f t="shared" ca="1" si="257"/>
        <v>1</v>
      </c>
      <c r="E1095" s="458">
        <f t="shared" ca="1" si="258"/>
        <v>2</v>
      </c>
      <c r="G1095" s="206"/>
      <c r="H1095" s="207" t="s">
        <v>212</v>
      </c>
      <c r="I1095" s="208" t="str">
        <f t="shared" ca="1" si="265"/>
        <v>15.003.001.002</v>
      </c>
      <c r="J1095" s="209" t="s">
        <v>4207</v>
      </c>
      <c r="K1095" s="210" t="s">
        <v>1</v>
      </c>
      <c r="L1095" s="455">
        <f>Arquitetura!D1091</f>
        <v>17.25</v>
      </c>
      <c r="M1095" s="455">
        <v>10.5</v>
      </c>
      <c r="N1095" s="285">
        <f t="shared" si="264"/>
        <v>181.125</v>
      </c>
      <c r="O1095" s="462"/>
      <c r="P1095" s="213" t="s">
        <v>518</v>
      </c>
      <c r="Q1095" s="35"/>
      <c r="R1095" s="35"/>
      <c r="S1095" s="35"/>
    </row>
    <row r="1096" spans="1:19" s="34" customFormat="1" ht="13.9" hidden="1" customHeight="1" outlineLevel="2" x14ac:dyDescent="0.2">
      <c r="A1096" s="457">
        <f ca="1">IF($H1096="UNIDADE CONSTRUTIVA",OFFSET(A1096,-1,0)+1,LARGE(A$3:A1095,1))</f>
        <v>0</v>
      </c>
      <c r="B1096" s="457">
        <f t="shared" ca="1" si="255"/>
        <v>15</v>
      </c>
      <c r="C1096" s="457">
        <f t="shared" ca="1" si="256"/>
        <v>3</v>
      </c>
      <c r="D1096" s="458">
        <f t="shared" ca="1" si="257"/>
        <v>2</v>
      </c>
      <c r="E1096" s="458">
        <f t="shared" ca="1" si="258"/>
        <v>0</v>
      </c>
      <c r="G1096" s="206"/>
      <c r="H1096" s="207" t="s">
        <v>211</v>
      </c>
      <c r="I1096" s="208" t="str">
        <f t="shared" ca="1" si="265"/>
        <v>15.003.002</v>
      </c>
      <c r="J1096" s="209" t="s">
        <v>138</v>
      </c>
      <c r="K1096" s="210"/>
      <c r="L1096" s="455"/>
      <c r="M1096" s="455"/>
      <c r="N1096" s="285">
        <f t="shared" ca="1" si="264"/>
        <v>11933.531144999997</v>
      </c>
      <c r="O1096" s="462"/>
      <c r="P1096" s="213"/>
      <c r="Q1096" s="35"/>
      <c r="R1096" s="35"/>
      <c r="S1096" s="35"/>
    </row>
    <row r="1097" spans="1:19" s="34" customFormat="1" ht="13.9" hidden="1" customHeight="1" outlineLevel="3" x14ac:dyDescent="0.2">
      <c r="A1097" s="457">
        <f ca="1">IF($H1097="UNIDADE CONSTRUTIVA",OFFSET(A1097,-1,0)+1,LARGE(A$3:A1096,1))</f>
        <v>0</v>
      </c>
      <c r="B1097" s="457">
        <f t="shared" ca="1" si="255"/>
        <v>15</v>
      </c>
      <c r="C1097" s="457">
        <f t="shared" ca="1" si="256"/>
        <v>3</v>
      </c>
      <c r="D1097" s="458">
        <f t="shared" ca="1" si="257"/>
        <v>2</v>
      </c>
      <c r="E1097" s="458">
        <f t="shared" ca="1" si="258"/>
        <v>1</v>
      </c>
      <c r="G1097" s="206"/>
      <c r="H1097" s="207" t="s">
        <v>212</v>
      </c>
      <c r="I1097" s="208" t="str">
        <f t="shared" ca="1" si="265"/>
        <v>15.003.002.001</v>
      </c>
      <c r="J1097" s="209" t="s">
        <v>1039</v>
      </c>
      <c r="K1097" s="210" t="s">
        <v>1</v>
      </c>
      <c r="L1097" s="455">
        <f>SUM(Arquitetura!D1151:D1155)</f>
        <v>1219.6199999999999</v>
      </c>
      <c r="M1097" s="455">
        <v>2.7856000000000001</v>
      </c>
      <c r="N1097" s="285">
        <f t="shared" si="264"/>
        <v>3397.3734719999998</v>
      </c>
      <c r="O1097" s="462"/>
      <c r="P1097" s="213" t="s">
        <v>518</v>
      </c>
      <c r="Q1097" s="35"/>
      <c r="R1097" s="35"/>
      <c r="S1097" s="35"/>
    </row>
    <row r="1098" spans="1:19" s="34" customFormat="1" ht="13.9" hidden="1" customHeight="1" outlineLevel="3" x14ac:dyDescent="0.2">
      <c r="A1098" s="457">
        <f ca="1">IF($H1098="UNIDADE CONSTRUTIVA",OFFSET(A1098,-1,0)+1,LARGE(A$3:A1097,1))</f>
        <v>0</v>
      </c>
      <c r="B1098" s="457">
        <f t="shared" ca="1" si="255"/>
        <v>15</v>
      </c>
      <c r="C1098" s="457">
        <f t="shared" ca="1" si="256"/>
        <v>3</v>
      </c>
      <c r="D1098" s="458">
        <f t="shared" ca="1" si="257"/>
        <v>2</v>
      </c>
      <c r="E1098" s="458">
        <f t="shared" ca="1" si="258"/>
        <v>2</v>
      </c>
      <c r="G1098" s="206"/>
      <c r="H1098" s="207" t="s">
        <v>212</v>
      </c>
      <c r="I1098" s="208" t="str">
        <f t="shared" ca="1" si="265"/>
        <v>15.003.002.002</v>
      </c>
      <c r="J1098" s="209" t="s">
        <v>563</v>
      </c>
      <c r="K1098" s="210" t="s">
        <v>1</v>
      </c>
      <c r="L1098" s="455">
        <f>Arquitetura!D1152</f>
        <v>73.069999999999993</v>
      </c>
      <c r="M1098" s="455">
        <v>13.619899999999999</v>
      </c>
      <c r="N1098" s="285">
        <f t="shared" si="264"/>
        <v>995.2060929999999</v>
      </c>
      <c r="O1098" s="462"/>
      <c r="P1098" s="213" t="s">
        <v>518</v>
      </c>
      <c r="Q1098" s="35"/>
      <c r="R1098" s="35"/>
      <c r="S1098" s="35"/>
    </row>
    <row r="1099" spans="1:19" s="34" customFormat="1" ht="13.9" hidden="1" customHeight="1" outlineLevel="3" x14ac:dyDescent="0.2">
      <c r="A1099" s="457">
        <f ca="1">IF($H1099="UNIDADE CONSTRUTIVA",OFFSET(A1099,-1,0)+1,LARGE(A$3:A1098,1))</f>
        <v>0</v>
      </c>
      <c r="B1099" s="457">
        <f t="shared" ca="1" si="255"/>
        <v>15</v>
      </c>
      <c r="C1099" s="457">
        <f t="shared" ca="1" si="256"/>
        <v>3</v>
      </c>
      <c r="D1099" s="458">
        <f t="shared" ca="1" si="257"/>
        <v>2</v>
      </c>
      <c r="E1099" s="458">
        <f t="shared" ca="1" si="258"/>
        <v>3</v>
      </c>
      <c r="G1099" s="206"/>
      <c r="H1099" s="207" t="s">
        <v>212</v>
      </c>
      <c r="I1099" s="208" t="str">
        <f t="shared" ca="1" si="265"/>
        <v>15.003.002.003</v>
      </c>
      <c r="J1099" s="209" t="s">
        <v>435</v>
      </c>
      <c r="K1099" s="210" t="s">
        <v>1</v>
      </c>
      <c r="L1099" s="455">
        <f>Arquitetura!D1154+Arquitetura!D1155</f>
        <v>1061.4499999999998</v>
      </c>
      <c r="M1099" s="455">
        <v>6.7404000000000002</v>
      </c>
      <c r="N1099" s="285">
        <f t="shared" si="264"/>
        <v>7154.5975799999987</v>
      </c>
      <c r="O1099" s="462"/>
      <c r="P1099" s="213" t="s">
        <v>518</v>
      </c>
      <c r="Q1099" s="35"/>
      <c r="R1099" s="35"/>
      <c r="S1099" s="35"/>
    </row>
    <row r="1100" spans="1:19" s="34" customFormat="1" ht="13.9" hidden="1" customHeight="1" outlineLevel="3" x14ac:dyDescent="0.2">
      <c r="A1100" s="457">
        <f ca="1">IF($H1100="UNIDADE CONSTRUTIVA",OFFSET(A1100,-1,0)+1,LARGE(A$3:A1099,1))</f>
        <v>0</v>
      </c>
      <c r="B1100" s="457">
        <f t="shared" ca="1" si="255"/>
        <v>15</v>
      </c>
      <c r="C1100" s="457">
        <f t="shared" ca="1" si="256"/>
        <v>3</v>
      </c>
      <c r="D1100" s="458">
        <f t="shared" ca="1" si="257"/>
        <v>2</v>
      </c>
      <c r="E1100" s="458">
        <f t="shared" ca="1" si="258"/>
        <v>4</v>
      </c>
      <c r="G1100" s="206"/>
      <c r="H1100" s="207" t="s">
        <v>212</v>
      </c>
      <c r="I1100" s="208" t="str">
        <f t="shared" ca="1" si="265"/>
        <v>15.003.002.004</v>
      </c>
      <c r="J1100" s="209" t="s">
        <v>1041</v>
      </c>
      <c r="K1100" s="210" t="s">
        <v>1</v>
      </c>
      <c r="L1100" s="455">
        <f>Arquitetura!D1151+Arquitetura!D1153</f>
        <v>85.1</v>
      </c>
      <c r="M1100" s="455">
        <v>4.54</v>
      </c>
      <c r="N1100" s="285">
        <f t="shared" si="264"/>
        <v>386.35399999999998</v>
      </c>
      <c r="O1100" s="462" t="s">
        <v>990</v>
      </c>
      <c r="P1100" s="213" t="s">
        <v>518</v>
      </c>
      <c r="Q1100" s="35"/>
      <c r="R1100" s="35"/>
      <c r="S1100" s="35"/>
    </row>
    <row r="1101" spans="1:19" s="34" customFormat="1" ht="13.9" hidden="1" customHeight="1" outlineLevel="2" x14ac:dyDescent="0.2">
      <c r="A1101" s="457">
        <f ca="1">IF($H1101="UNIDADE CONSTRUTIVA",OFFSET(A1101,-1,0)+1,LARGE(A$3:A1100,1))</f>
        <v>0</v>
      </c>
      <c r="B1101" s="457">
        <f t="shared" ca="1" si="255"/>
        <v>15</v>
      </c>
      <c r="C1101" s="457">
        <f t="shared" ca="1" si="256"/>
        <v>3</v>
      </c>
      <c r="D1101" s="458">
        <f t="shared" ca="1" si="257"/>
        <v>3</v>
      </c>
      <c r="E1101" s="458">
        <f t="shared" ca="1" si="258"/>
        <v>0</v>
      </c>
      <c r="G1101" s="206"/>
      <c r="H1101" s="207" t="s">
        <v>211</v>
      </c>
      <c r="I1101" s="208" t="str">
        <f t="shared" ca="1" si="265"/>
        <v>15.003.003</v>
      </c>
      <c r="J1101" s="209" t="s">
        <v>139</v>
      </c>
      <c r="K1101" s="210"/>
      <c r="L1101" s="455"/>
      <c r="M1101" s="455"/>
      <c r="N1101" s="285">
        <f t="shared" ca="1" si="264"/>
        <v>17997.660681000001</v>
      </c>
      <c r="O1101" s="462"/>
      <c r="P1101" s="213"/>
      <c r="Q1101" s="35"/>
      <c r="R1101" s="35"/>
      <c r="S1101" s="35"/>
    </row>
    <row r="1102" spans="1:19" s="34" customFormat="1" ht="13.9" hidden="1" customHeight="1" outlineLevel="3" x14ac:dyDescent="0.2">
      <c r="A1102" s="457">
        <f ca="1">IF($H1102="UNIDADE CONSTRUTIVA",OFFSET(A1102,-1,0)+1,LARGE(A$3:A1101,1))</f>
        <v>0</v>
      </c>
      <c r="B1102" s="457">
        <f t="shared" ca="1" si="255"/>
        <v>15</v>
      </c>
      <c r="C1102" s="457">
        <f t="shared" ca="1" si="256"/>
        <v>3</v>
      </c>
      <c r="D1102" s="458">
        <f t="shared" ca="1" si="257"/>
        <v>3</v>
      </c>
      <c r="E1102" s="458">
        <f t="shared" ca="1" si="258"/>
        <v>1</v>
      </c>
      <c r="G1102" s="206"/>
      <c r="H1102" s="207" t="s">
        <v>212</v>
      </c>
      <c r="I1102" s="208" t="str">
        <f t="shared" ref="I1102:I1108" ca="1" si="266">IF(H1102="Unidade Construtiva",TEXT(A1102,"00"),IF(H1102="Célula Construtiva",TEXT(B1102,"00"),IF(H1102="Etapa",CONCATENATE(TEXT(B1102,"00"),".",TEXT(C1102,"000")),IF(H1102="Subetapa",CONCATENATE(TEXT(B1102,"00"),".",TEXT(C1102,"000"),".",TEXT(D1102,"000")),IF(H1102="Serviço",CONCATENATE(TEXT(B1102,"00"),".",TEXT(C1102,"000"),".",TEXT(D1102,"000"),".",TEXT(E1102,"000")),"")))))</f>
        <v>15.003.003.001</v>
      </c>
      <c r="J1102" s="209" t="s">
        <v>564</v>
      </c>
      <c r="K1102" s="210" t="s">
        <v>1</v>
      </c>
      <c r="L1102" s="455">
        <f>Arquitetura!D1290+Arquitetura!D1291</f>
        <v>820.99</v>
      </c>
      <c r="M1102" s="455">
        <v>21.921900000000001</v>
      </c>
      <c r="N1102" s="285">
        <f t="shared" si="264"/>
        <v>17997.660681000001</v>
      </c>
      <c r="O1102" s="462"/>
      <c r="P1102" s="213" t="s">
        <v>518</v>
      </c>
      <c r="Q1102" s="35"/>
      <c r="R1102" s="35"/>
      <c r="S1102" s="35"/>
    </row>
    <row r="1103" spans="1:19" s="34" customFormat="1" ht="13.9" hidden="1" customHeight="1" outlineLevel="2" x14ac:dyDescent="0.2">
      <c r="A1103" s="457">
        <f ca="1">IF($H1103="UNIDADE CONSTRUTIVA",OFFSET(A1103,-1,0)+1,LARGE(A$3:A1102,1))</f>
        <v>0</v>
      </c>
      <c r="B1103" s="457">
        <f t="shared" ca="1" si="255"/>
        <v>15</v>
      </c>
      <c r="C1103" s="457">
        <f t="shared" ca="1" si="256"/>
        <v>3</v>
      </c>
      <c r="D1103" s="458">
        <f t="shared" ca="1" si="257"/>
        <v>4</v>
      </c>
      <c r="E1103" s="458">
        <f t="shared" ca="1" si="258"/>
        <v>0</v>
      </c>
      <c r="G1103" s="206"/>
      <c r="H1103" s="207" t="s">
        <v>211</v>
      </c>
      <c r="I1103" s="208" t="str">
        <f t="shared" ca="1" si="266"/>
        <v>15.003.004</v>
      </c>
      <c r="J1103" s="209" t="s">
        <v>430</v>
      </c>
      <c r="K1103" s="210"/>
      <c r="L1103" s="455"/>
      <c r="M1103" s="455"/>
      <c r="N1103" s="285">
        <f t="shared" ca="1" si="264"/>
        <v>56835.982999999993</v>
      </c>
      <c r="O1103" s="462"/>
      <c r="P1103" s="213"/>
      <c r="Q1103" s="35"/>
      <c r="R1103" s="35"/>
      <c r="S1103" s="35"/>
    </row>
    <row r="1104" spans="1:19" s="34" customFormat="1" ht="13.9" hidden="1" customHeight="1" outlineLevel="3" x14ac:dyDescent="0.2">
      <c r="A1104" s="457">
        <f ca="1">IF($H1104="UNIDADE CONSTRUTIVA",OFFSET(A1104,-1,0)+1,LARGE(A$3:A1103,1))</f>
        <v>0</v>
      </c>
      <c r="B1104" s="457">
        <f t="shared" ca="1" si="255"/>
        <v>15</v>
      </c>
      <c r="C1104" s="457">
        <f t="shared" ca="1" si="256"/>
        <v>3</v>
      </c>
      <c r="D1104" s="458">
        <f t="shared" ca="1" si="257"/>
        <v>4</v>
      </c>
      <c r="E1104" s="458">
        <f t="shared" ca="1" si="258"/>
        <v>1</v>
      </c>
      <c r="G1104" s="206"/>
      <c r="H1104" s="207" t="s">
        <v>212</v>
      </c>
      <c r="I1104" s="208" t="str">
        <f t="shared" ca="1" si="266"/>
        <v>15.003.004.001</v>
      </c>
      <c r="J1104" s="209" t="s">
        <v>1043</v>
      </c>
      <c r="K1104" s="210" t="s">
        <v>1</v>
      </c>
      <c r="L1104" s="455">
        <f>L1094+L1095</f>
        <v>47.82</v>
      </c>
      <c r="M1104" s="455">
        <v>47</v>
      </c>
      <c r="N1104" s="285">
        <f t="shared" si="264"/>
        <v>2247.54</v>
      </c>
      <c r="O1104" s="462"/>
      <c r="P1104" s="213" t="s">
        <v>518</v>
      </c>
      <c r="Q1104" s="35"/>
      <c r="R1104" s="35"/>
      <c r="S1104" s="35"/>
    </row>
    <row r="1105" spans="1:19" s="34" customFormat="1" ht="13.9" hidden="1" customHeight="1" outlineLevel="3" x14ac:dyDescent="0.2">
      <c r="A1105" s="457">
        <f ca="1">IF($H1105="UNIDADE CONSTRUTIVA",OFFSET(A1105,-1,0)+1,LARGE(A$3:A1104,1))</f>
        <v>0</v>
      </c>
      <c r="B1105" s="457">
        <f t="shared" ca="1" si="255"/>
        <v>15</v>
      </c>
      <c r="C1105" s="457">
        <f t="shared" ca="1" si="256"/>
        <v>3</v>
      </c>
      <c r="D1105" s="458">
        <f t="shared" ca="1" si="257"/>
        <v>4</v>
      </c>
      <c r="E1105" s="458">
        <f t="shared" ca="1" si="258"/>
        <v>2</v>
      </c>
      <c r="G1105" s="206"/>
      <c r="H1105" s="207" t="s">
        <v>212</v>
      </c>
      <c r="I1105" s="208" t="str">
        <f t="shared" ca="1" si="266"/>
        <v>15.003.004.002</v>
      </c>
      <c r="J1105" s="209" t="s">
        <v>1044</v>
      </c>
      <c r="K1105" s="210" t="s">
        <v>1</v>
      </c>
      <c r="L1105" s="455">
        <f>Arquitetura!D1152</f>
        <v>73.069999999999993</v>
      </c>
      <c r="M1105" s="455">
        <v>24.9</v>
      </c>
      <c r="N1105" s="285">
        <f t="shared" si="264"/>
        <v>1819.4429999999998</v>
      </c>
      <c r="O1105" s="462"/>
      <c r="P1105" s="213" t="s">
        <v>518</v>
      </c>
      <c r="Q1105" s="35"/>
      <c r="R1105" s="35"/>
      <c r="S1105" s="35"/>
    </row>
    <row r="1106" spans="1:19" s="34" customFormat="1" ht="13.5" hidden="1" customHeight="1" outlineLevel="3" x14ac:dyDescent="0.2">
      <c r="A1106" s="457">
        <f ca="1">IF($H1106="UNIDADE CONSTRUTIVA",OFFSET(A1106,-1,0)+1,LARGE(A$3:A1105,1))</f>
        <v>0</v>
      </c>
      <c r="B1106" s="457">
        <f t="shared" ca="1" si="255"/>
        <v>15</v>
      </c>
      <c r="C1106" s="457">
        <f t="shared" ca="1" si="256"/>
        <v>3</v>
      </c>
      <c r="D1106" s="458">
        <f t="shared" ca="1" si="257"/>
        <v>4</v>
      </c>
      <c r="E1106" s="458">
        <f t="shared" ca="1" si="258"/>
        <v>3</v>
      </c>
      <c r="G1106" s="206"/>
      <c r="H1106" s="207" t="s">
        <v>212</v>
      </c>
      <c r="I1106" s="208" t="str">
        <f t="shared" ca="1" si="266"/>
        <v>15.003.004.003</v>
      </c>
      <c r="J1106" s="209" t="s">
        <v>1046</v>
      </c>
      <c r="K1106" s="210" t="s">
        <v>1</v>
      </c>
      <c r="L1106" s="455">
        <f>L1099</f>
        <v>1061.4499999999998</v>
      </c>
      <c r="M1106" s="455">
        <v>32</v>
      </c>
      <c r="N1106" s="285">
        <f t="shared" si="264"/>
        <v>33966.399999999994</v>
      </c>
      <c r="O1106" s="462"/>
      <c r="P1106" s="213" t="s">
        <v>518</v>
      </c>
      <c r="Q1106" s="35"/>
      <c r="R1106" s="35"/>
      <c r="S1106" s="35"/>
    </row>
    <row r="1107" spans="1:19" s="34" customFormat="1" ht="13.9" hidden="1" customHeight="1" outlineLevel="3" x14ac:dyDescent="0.2">
      <c r="A1107" s="457">
        <f ca="1">IF($H1107="UNIDADE CONSTRUTIVA",OFFSET(A1107,-1,0)+1,LARGE(A$3:A1106,1))</f>
        <v>0</v>
      </c>
      <c r="B1107" s="457">
        <f t="shared" ca="1" si="255"/>
        <v>15</v>
      </c>
      <c r="C1107" s="457">
        <f t="shared" ca="1" si="256"/>
        <v>3</v>
      </c>
      <c r="D1107" s="458">
        <f t="shared" ca="1" si="257"/>
        <v>4</v>
      </c>
      <c r="E1107" s="458">
        <f t="shared" ca="1" si="258"/>
        <v>4</v>
      </c>
      <c r="G1107" s="206"/>
      <c r="H1107" s="207" t="s">
        <v>212</v>
      </c>
      <c r="I1107" s="208" t="str">
        <f t="shared" ca="1" si="266"/>
        <v>15.003.004.004</v>
      </c>
      <c r="J1107" s="209" t="s">
        <v>4213</v>
      </c>
      <c r="K1107" s="210" t="s">
        <v>1</v>
      </c>
      <c r="L1107" s="455">
        <f>L1100</f>
        <v>85.1</v>
      </c>
      <c r="M1107" s="455">
        <v>28</v>
      </c>
      <c r="N1107" s="285">
        <f t="shared" si="264"/>
        <v>2382.7999999999997</v>
      </c>
      <c r="O1107" s="462"/>
      <c r="P1107" s="213" t="s">
        <v>518</v>
      </c>
      <c r="Q1107" s="35"/>
      <c r="R1107" s="35"/>
      <c r="S1107" s="35"/>
    </row>
    <row r="1108" spans="1:19" s="34" customFormat="1" ht="13.9" hidden="1" customHeight="1" outlineLevel="3" x14ac:dyDescent="0.2">
      <c r="A1108" s="457">
        <f ca="1">IF($H1108="UNIDADE CONSTRUTIVA",OFFSET(A1108,-1,0)+1,LARGE(A$3:A1107,1))</f>
        <v>0</v>
      </c>
      <c r="B1108" s="457">
        <f t="shared" ca="1" si="255"/>
        <v>15</v>
      </c>
      <c r="C1108" s="457">
        <f t="shared" ca="1" si="256"/>
        <v>3</v>
      </c>
      <c r="D1108" s="458">
        <f t="shared" ca="1" si="257"/>
        <v>4</v>
      </c>
      <c r="E1108" s="458">
        <f t="shared" ca="1" si="258"/>
        <v>5</v>
      </c>
      <c r="G1108" s="206"/>
      <c r="H1108" s="207" t="s">
        <v>212</v>
      </c>
      <c r="I1108" s="208" t="str">
        <f t="shared" ca="1" si="266"/>
        <v>15.003.004.005</v>
      </c>
      <c r="J1108" s="209" t="s">
        <v>4214</v>
      </c>
      <c r="K1108" s="210" t="s">
        <v>1</v>
      </c>
      <c r="L1108" s="455">
        <f>L1102</f>
        <v>820.99</v>
      </c>
      <c r="M1108" s="455">
        <v>20</v>
      </c>
      <c r="N1108" s="285">
        <f t="shared" si="264"/>
        <v>16419.8</v>
      </c>
      <c r="O1108" s="462"/>
      <c r="P1108" s="213" t="s">
        <v>518</v>
      </c>
      <c r="Q1108" s="35"/>
      <c r="R1108" s="35"/>
      <c r="S1108" s="35"/>
    </row>
    <row r="1109" spans="1:19" s="34" customFormat="1" ht="13.9" hidden="1" customHeight="1" outlineLevel="1" x14ac:dyDescent="0.2">
      <c r="A1109" s="457">
        <f ca="1">IF($H1109="UNIDADE CONSTRUTIVA",OFFSET(A1109,-1,0)+1,LARGE(A$3:A1108,1))</f>
        <v>0</v>
      </c>
      <c r="B1109" s="457">
        <f t="shared" ca="1" si="255"/>
        <v>15</v>
      </c>
      <c r="C1109" s="457">
        <f t="shared" ca="1" si="256"/>
        <v>4</v>
      </c>
      <c r="D1109" s="458">
        <f t="shared" ca="1" si="257"/>
        <v>0</v>
      </c>
      <c r="E1109" s="458">
        <f t="shared" ca="1" si="258"/>
        <v>5</v>
      </c>
      <c r="G1109" s="206"/>
      <c r="H1109" s="207" t="s">
        <v>210</v>
      </c>
      <c r="I1109" s="208" t="str">
        <f t="shared" ref="I1109:I1118" ca="1" si="267">IF(H1109="Unidade Construtiva",TEXT(A1109,"00"),IF(H1109="Célula Construtiva",TEXT(B1109,"00"),IF(H1109="Etapa",CONCATENATE(TEXT(B1109,"00"),".",TEXT(C1109,"000")),IF(H1109="Subetapa",CONCATENATE(TEXT(B1109,"00"),".",TEXT(C1109,"000"),".",TEXT(D1109,"000")),IF(H1109="Serviço",CONCATENATE(TEXT(B1109,"00"),".",TEXT(C1109,"000"),".",TEXT(D1109,"000"),".",TEXT(E1109,"000")),"")))))</f>
        <v>15.004</v>
      </c>
      <c r="J1109" s="209" t="s">
        <v>1052</v>
      </c>
      <c r="K1109" s="210"/>
      <c r="L1109" s="455"/>
      <c r="M1109" s="455"/>
      <c r="N1109" s="285">
        <f t="shared" ca="1" si="264"/>
        <v>83298.221827999994</v>
      </c>
      <c r="O1109" s="462"/>
      <c r="P1109" s="213"/>
      <c r="Q1109" s="35"/>
      <c r="R1109" s="35"/>
      <c r="S1109" s="35"/>
    </row>
    <row r="1110" spans="1:19" s="34" customFormat="1" ht="13.9" hidden="1" customHeight="1" outlineLevel="2" x14ac:dyDescent="0.2">
      <c r="A1110" s="457">
        <f ca="1">IF($H1110="UNIDADE CONSTRUTIVA",OFFSET(A1110,-1,0)+1,LARGE(A$3:A1109,1))</f>
        <v>0</v>
      </c>
      <c r="B1110" s="457">
        <f t="shared" ca="1" si="255"/>
        <v>15</v>
      </c>
      <c r="C1110" s="457">
        <f t="shared" ca="1" si="256"/>
        <v>4</v>
      </c>
      <c r="D1110" s="458">
        <f t="shared" ca="1" si="257"/>
        <v>1</v>
      </c>
      <c r="E1110" s="458">
        <f t="shared" ca="1" si="258"/>
        <v>0</v>
      </c>
      <c r="G1110" s="206"/>
      <c r="H1110" s="207" t="s">
        <v>211</v>
      </c>
      <c r="I1110" s="208" t="str">
        <f t="shared" ca="1" si="267"/>
        <v>15.004.001</v>
      </c>
      <c r="J1110" s="209" t="s">
        <v>137</v>
      </c>
      <c r="K1110" s="210"/>
      <c r="L1110" s="455"/>
      <c r="M1110" s="455"/>
      <c r="N1110" s="285">
        <f t="shared" ca="1" si="264"/>
        <v>172.51499999999999</v>
      </c>
      <c r="O1110" s="462"/>
      <c r="P1110" s="213"/>
      <c r="Q1110" s="35"/>
      <c r="R1110" s="35"/>
      <c r="S1110" s="35"/>
    </row>
    <row r="1111" spans="1:19" s="34" customFormat="1" ht="13.9" hidden="1" customHeight="1" outlineLevel="3" x14ac:dyDescent="0.2">
      <c r="A1111" s="457">
        <f ca="1">IF($H1111="UNIDADE CONSTRUTIVA",OFFSET(A1111,-1,0)+1,LARGE(A$3:A1110,1))</f>
        <v>0</v>
      </c>
      <c r="B1111" s="457">
        <f t="shared" ca="1" si="255"/>
        <v>15</v>
      </c>
      <c r="C1111" s="457">
        <f t="shared" ca="1" si="256"/>
        <v>4</v>
      </c>
      <c r="D1111" s="458">
        <f t="shared" ca="1" si="257"/>
        <v>1</v>
      </c>
      <c r="E1111" s="458">
        <f t="shared" ca="1" si="258"/>
        <v>1</v>
      </c>
      <c r="G1111" s="206"/>
      <c r="H1111" s="207" t="s">
        <v>212</v>
      </c>
      <c r="I1111" s="208" t="str">
        <f t="shared" ca="1" si="267"/>
        <v>15.004.001.001</v>
      </c>
      <c r="J1111" s="209" t="s">
        <v>4207</v>
      </c>
      <c r="K1111" s="210" t="s">
        <v>1</v>
      </c>
      <c r="L1111" s="455">
        <f>Arquitetura!D1093</f>
        <v>16.43</v>
      </c>
      <c r="M1111" s="455">
        <v>10.5</v>
      </c>
      <c r="N1111" s="285">
        <f t="shared" si="264"/>
        <v>172.51499999999999</v>
      </c>
      <c r="O1111" s="462"/>
      <c r="P1111" s="213" t="s">
        <v>518</v>
      </c>
      <c r="Q1111" s="35"/>
      <c r="R1111" s="35"/>
      <c r="S1111" s="35"/>
    </row>
    <row r="1112" spans="1:19" s="34" customFormat="1" ht="13.9" hidden="1" customHeight="1" outlineLevel="2" x14ac:dyDescent="0.2">
      <c r="A1112" s="457">
        <f ca="1">IF($H1112="UNIDADE CONSTRUTIVA",OFFSET(A1112,-1,0)+1,LARGE(A$3:A1111,1))</f>
        <v>0</v>
      </c>
      <c r="B1112" s="457">
        <f t="shared" ca="1" si="255"/>
        <v>15</v>
      </c>
      <c r="C1112" s="457">
        <f t="shared" ca="1" si="256"/>
        <v>4</v>
      </c>
      <c r="D1112" s="458">
        <f t="shared" ca="1" si="257"/>
        <v>2</v>
      </c>
      <c r="E1112" s="458">
        <f t="shared" ca="1" si="258"/>
        <v>0</v>
      </c>
      <c r="G1112" s="206"/>
      <c r="H1112" s="207" t="s">
        <v>211</v>
      </c>
      <c r="I1112" s="208" t="str">
        <f t="shared" ca="1" si="267"/>
        <v>15.004.002</v>
      </c>
      <c r="J1112" s="209" t="s">
        <v>138</v>
      </c>
      <c r="K1112" s="210"/>
      <c r="L1112" s="455"/>
      <c r="M1112" s="455"/>
      <c r="N1112" s="285">
        <f t="shared" ca="1" si="264"/>
        <v>21904.567919000001</v>
      </c>
      <c r="O1112" s="462"/>
      <c r="P1112" s="213"/>
      <c r="Q1112" s="35"/>
      <c r="R1112" s="35"/>
      <c r="S1112" s="35"/>
    </row>
    <row r="1113" spans="1:19" s="34" customFormat="1" ht="13.9" hidden="1" customHeight="1" outlineLevel="3" x14ac:dyDescent="0.2">
      <c r="A1113" s="457">
        <f ca="1">IF($H1113="UNIDADE CONSTRUTIVA",OFFSET(A1113,-1,0)+1,LARGE(A$3:A1112,1))</f>
        <v>0</v>
      </c>
      <c r="B1113" s="457">
        <f t="shared" ca="1" si="255"/>
        <v>15</v>
      </c>
      <c r="C1113" s="457">
        <f t="shared" ca="1" si="256"/>
        <v>4</v>
      </c>
      <c r="D1113" s="458">
        <f t="shared" ca="1" si="257"/>
        <v>2</v>
      </c>
      <c r="E1113" s="458">
        <f t="shared" ca="1" si="258"/>
        <v>1</v>
      </c>
      <c r="G1113" s="206"/>
      <c r="H1113" s="207" t="s">
        <v>212</v>
      </c>
      <c r="I1113" s="208" t="str">
        <f t="shared" ca="1" si="267"/>
        <v>15.004.002.001</v>
      </c>
      <c r="J1113" s="209" t="s">
        <v>1039</v>
      </c>
      <c r="K1113" s="210" t="s">
        <v>1</v>
      </c>
      <c r="L1113" s="455">
        <f>SUM(Arquitetura!D1157:D1163)</f>
        <v>1188.5500000000002</v>
      </c>
      <c r="M1113" s="455">
        <v>2.7856000000000001</v>
      </c>
      <c r="N1113" s="285">
        <f t="shared" si="264"/>
        <v>3310.8248800000006</v>
      </c>
      <c r="O1113" s="462"/>
      <c r="P1113" s="213" t="s">
        <v>518</v>
      </c>
      <c r="Q1113" s="35"/>
      <c r="R1113" s="35"/>
      <c r="S1113" s="35"/>
    </row>
    <row r="1114" spans="1:19" s="34" customFormat="1" ht="13.9" hidden="1" customHeight="1" outlineLevel="3" x14ac:dyDescent="0.2">
      <c r="A1114" s="457">
        <f ca="1">IF($H1114="UNIDADE CONSTRUTIVA",OFFSET(A1114,-1,0)+1,LARGE(A$3:A1113,1))</f>
        <v>0</v>
      </c>
      <c r="B1114" s="457">
        <f t="shared" ca="1" si="255"/>
        <v>15</v>
      </c>
      <c r="C1114" s="457">
        <f t="shared" ca="1" si="256"/>
        <v>4</v>
      </c>
      <c r="D1114" s="458">
        <f t="shared" ca="1" si="257"/>
        <v>2</v>
      </c>
      <c r="E1114" s="458">
        <f t="shared" ca="1" si="258"/>
        <v>2</v>
      </c>
      <c r="G1114" s="206"/>
      <c r="H1114" s="207" t="s">
        <v>212</v>
      </c>
      <c r="I1114" s="208" t="str">
        <f t="shared" ca="1" si="267"/>
        <v>15.004.002.002</v>
      </c>
      <c r="J1114" s="209" t="s">
        <v>1040</v>
      </c>
      <c r="K1114" s="210" t="s">
        <v>1</v>
      </c>
      <c r="L1114" s="455">
        <f>Arquitetura!D1157+Arquitetura!D1161</f>
        <v>806.72</v>
      </c>
      <c r="M1114" s="455">
        <v>5.8</v>
      </c>
      <c r="N1114" s="285">
        <f t="shared" si="264"/>
        <v>4678.9759999999997</v>
      </c>
      <c r="O1114" s="462"/>
      <c r="P1114" s="213" t="s">
        <v>518</v>
      </c>
      <c r="Q1114" s="35"/>
      <c r="R1114" s="35"/>
      <c r="S1114" s="35"/>
    </row>
    <row r="1115" spans="1:19" s="34" customFormat="1" ht="13.9" hidden="1" customHeight="1" outlineLevel="3" x14ac:dyDescent="0.2">
      <c r="A1115" s="457">
        <f ca="1">IF($H1115="UNIDADE CONSTRUTIVA",OFFSET(A1115,-1,0)+1,LARGE(A$3:A1114,1))</f>
        <v>0</v>
      </c>
      <c r="B1115" s="457">
        <f t="shared" ca="1" si="255"/>
        <v>15</v>
      </c>
      <c r="C1115" s="457">
        <f t="shared" ca="1" si="256"/>
        <v>4</v>
      </c>
      <c r="D1115" s="458">
        <f t="shared" ca="1" si="257"/>
        <v>2</v>
      </c>
      <c r="E1115" s="458">
        <f t="shared" ca="1" si="258"/>
        <v>3</v>
      </c>
      <c r="G1115" s="206"/>
      <c r="H1115" s="207" t="s">
        <v>212</v>
      </c>
      <c r="I1115" s="208" t="str">
        <f t="shared" ca="1" si="267"/>
        <v>15.004.002.003</v>
      </c>
      <c r="J1115" s="209" t="s">
        <v>563</v>
      </c>
      <c r="K1115" s="210" t="s">
        <v>1</v>
      </c>
      <c r="L1115" s="455">
        <f>Arquitetura!D1157+Arquitetura!D1159+Arquitetura!D1161</f>
        <v>889.61</v>
      </c>
      <c r="M1115" s="455">
        <v>13.619899999999999</v>
      </c>
      <c r="N1115" s="285">
        <f t="shared" si="264"/>
        <v>12116.399239</v>
      </c>
      <c r="O1115" s="462"/>
      <c r="P1115" s="213" t="s">
        <v>518</v>
      </c>
      <c r="Q1115" s="35"/>
      <c r="R1115" s="35"/>
      <c r="S1115" s="35"/>
    </row>
    <row r="1116" spans="1:19" s="34" customFormat="1" ht="13.9" hidden="1" customHeight="1" outlineLevel="3" x14ac:dyDescent="0.2">
      <c r="A1116" s="457">
        <f ca="1">IF($H1116="UNIDADE CONSTRUTIVA",OFFSET(A1116,-1,0)+1,LARGE(A$3:A1115,1))</f>
        <v>0</v>
      </c>
      <c r="B1116" s="457">
        <f t="shared" ca="1" si="255"/>
        <v>15</v>
      </c>
      <c r="C1116" s="457">
        <f t="shared" ca="1" si="256"/>
        <v>4</v>
      </c>
      <c r="D1116" s="458">
        <f t="shared" ca="1" si="257"/>
        <v>2</v>
      </c>
      <c r="E1116" s="458">
        <f t="shared" ca="1" si="258"/>
        <v>4</v>
      </c>
      <c r="G1116" s="206"/>
      <c r="H1116" s="207" t="s">
        <v>212</v>
      </c>
      <c r="I1116" s="208" t="str">
        <f t="shared" ca="1" si="267"/>
        <v>15.004.002.004</v>
      </c>
      <c r="J1116" s="209" t="s">
        <v>435</v>
      </c>
      <c r="K1116" s="210" t="s">
        <v>1</v>
      </c>
      <c r="L1116" s="455">
        <f>Arquitetura!D1162+Arquitetura!D1163</f>
        <v>200.5</v>
      </c>
      <c r="M1116" s="455">
        <v>6.7404000000000002</v>
      </c>
      <c r="N1116" s="285">
        <f t="shared" si="264"/>
        <v>1351.4502</v>
      </c>
      <c r="O1116" s="462"/>
      <c r="P1116" s="213" t="s">
        <v>518</v>
      </c>
      <c r="Q1116" s="35"/>
      <c r="R1116" s="35"/>
      <c r="S1116" s="35"/>
    </row>
    <row r="1117" spans="1:19" s="34" customFormat="1" ht="13.9" hidden="1" customHeight="1" outlineLevel="3" x14ac:dyDescent="0.2">
      <c r="A1117" s="457">
        <f ca="1">IF($H1117="UNIDADE CONSTRUTIVA",OFFSET(A1117,-1,0)+1,LARGE(A$3:A1116,1))</f>
        <v>0</v>
      </c>
      <c r="B1117" s="457">
        <f t="shared" ca="1" si="255"/>
        <v>15</v>
      </c>
      <c r="C1117" s="457">
        <f t="shared" ca="1" si="256"/>
        <v>4</v>
      </c>
      <c r="D1117" s="458">
        <f t="shared" ca="1" si="257"/>
        <v>2</v>
      </c>
      <c r="E1117" s="458">
        <f t="shared" ca="1" si="258"/>
        <v>5</v>
      </c>
      <c r="G1117" s="206"/>
      <c r="H1117" s="207" t="s">
        <v>212</v>
      </c>
      <c r="I1117" s="208" t="str">
        <f t="shared" ca="1" si="267"/>
        <v>15.004.002.005</v>
      </c>
      <c r="J1117" s="209" t="s">
        <v>1041</v>
      </c>
      <c r="K1117" s="210" t="s">
        <v>1</v>
      </c>
      <c r="L1117" s="455">
        <f>Arquitetura!D1158+Arquitetura!D1160</f>
        <v>98.44</v>
      </c>
      <c r="M1117" s="455">
        <v>4.54</v>
      </c>
      <c r="N1117" s="285">
        <f t="shared" si="264"/>
        <v>446.91759999999999</v>
      </c>
      <c r="O1117" s="462" t="s">
        <v>990</v>
      </c>
      <c r="P1117" s="213" t="s">
        <v>518</v>
      </c>
      <c r="Q1117" s="35"/>
      <c r="R1117" s="35"/>
      <c r="S1117" s="35"/>
    </row>
    <row r="1118" spans="1:19" s="34" customFormat="1" ht="13.9" hidden="1" customHeight="1" outlineLevel="2" x14ac:dyDescent="0.2">
      <c r="A1118" s="457">
        <f ca="1">IF($H1118="UNIDADE CONSTRUTIVA",OFFSET(A1118,-1,0)+1,LARGE(A$3:A1117,1))</f>
        <v>0</v>
      </c>
      <c r="B1118" s="457">
        <f t="shared" ca="1" si="255"/>
        <v>15</v>
      </c>
      <c r="C1118" s="457">
        <f t="shared" ca="1" si="256"/>
        <v>4</v>
      </c>
      <c r="D1118" s="458">
        <f t="shared" ca="1" si="257"/>
        <v>3</v>
      </c>
      <c r="E1118" s="458">
        <f t="shared" ca="1" si="258"/>
        <v>0</v>
      </c>
      <c r="G1118" s="206"/>
      <c r="H1118" s="207" t="s">
        <v>211</v>
      </c>
      <c r="I1118" s="208" t="str">
        <f t="shared" ca="1" si="267"/>
        <v>15.004.003</v>
      </c>
      <c r="J1118" s="209" t="s">
        <v>139</v>
      </c>
      <c r="K1118" s="210"/>
      <c r="L1118" s="455"/>
      <c r="M1118" s="455"/>
      <c r="N1118" s="285">
        <f t="shared" ca="1" si="264"/>
        <v>10853.751909000001</v>
      </c>
      <c r="O1118" s="462"/>
      <c r="P1118" s="213"/>
      <c r="Q1118" s="35"/>
      <c r="R1118" s="35"/>
      <c r="S1118" s="35"/>
    </row>
    <row r="1119" spans="1:19" s="34" customFormat="1" ht="13.9" hidden="1" customHeight="1" outlineLevel="3" x14ac:dyDescent="0.2">
      <c r="A1119" s="457">
        <f ca="1">IF($H1119="UNIDADE CONSTRUTIVA",OFFSET(A1119,-1,0)+1,LARGE(A$3:A1118,1))</f>
        <v>0</v>
      </c>
      <c r="B1119" s="457">
        <f t="shared" ca="1" si="255"/>
        <v>15</v>
      </c>
      <c r="C1119" s="457">
        <f t="shared" ca="1" si="256"/>
        <v>4</v>
      </c>
      <c r="D1119" s="458">
        <f t="shared" ca="1" si="257"/>
        <v>3</v>
      </c>
      <c r="E1119" s="458">
        <f t="shared" ca="1" si="258"/>
        <v>1</v>
      </c>
      <c r="G1119" s="206"/>
      <c r="H1119" s="207" t="s">
        <v>212</v>
      </c>
      <c r="I1119" s="208" t="str">
        <f t="shared" ref="I1119:I1126" ca="1" si="268">IF(H1119="Unidade Construtiva",TEXT(A1119,"00"),IF(H1119="Célula Construtiva",TEXT(B1119,"00"),IF(H1119="Etapa",CONCATENATE(TEXT(B1119,"00"),".",TEXT(C1119,"000")),IF(H1119="Subetapa",CONCATENATE(TEXT(B1119,"00"),".",TEXT(C1119,"000"),".",TEXT(D1119,"000")),IF(H1119="Serviço",CONCATENATE(TEXT(B1119,"00"),".",TEXT(C1119,"000"),".",TEXT(D1119,"000"),".",TEXT(E1119,"000")),"")))))</f>
        <v>15.004.003.001</v>
      </c>
      <c r="J1119" s="209" t="s">
        <v>564</v>
      </c>
      <c r="K1119" s="210" t="s">
        <v>1</v>
      </c>
      <c r="L1119" s="455">
        <f>Arquitetura!D1293+Arquitetura!D1294</f>
        <v>495.11</v>
      </c>
      <c r="M1119" s="455">
        <v>21.921900000000001</v>
      </c>
      <c r="N1119" s="285">
        <f t="shared" si="264"/>
        <v>10853.751909000001</v>
      </c>
      <c r="O1119" s="462"/>
      <c r="P1119" s="213" t="s">
        <v>518</v>
      </c>
      <c r="Q1119" s="35"/>
      <c r="R1119" s="35"/>
      <c r="S1119" s="35"/>
    </row>
    <row r="1120" spans="1:19" s="34" customFormat="1" ht="13.9" hidden="1" customHeight="1" outlineLevel="2" x14ac:dyDescent="0.2">
      <c r="A1120" s="457">
        <f ca="1">IF($H1120="UNIDADE CONSTRUTIVA",OFFSET(A1120,-1,0)+1,LARGE(A$3:A1119,1))</f>
        <v>0</v>
      </c>
      <c r="B1120" s="457">
        <f t="shared" ca="1" si="255"/>
        <v>15</v>
      </c>
      <c r="C1120" s="457">
        <f t="shared" ca="1" si="256"/>
        <v>4</v>
      </c>
      <c r="D1120" s="458">
        <f t="shared" ca="1" si="257"/>
        <v>4</v>
      </c>
      <c r="E1120" s="458">
        <f t="shared" ca="1" si="258"/>
        <v>0</v>
      </c>
      <c r="G1120" s="206"/>
      <c r="H1120" s="207" t="s">
        <v>211</v>
      </c>
      <c r="I1120" s="208" t="str">
        <f t="shared" ca="1" si="268"/>
        <v>15.004.004</v>
      </c>
      <c r="J1120" s="209" t="s">
        <v>430</v>
      </c>
      <c r="K1120" s="210"/>
      <c r="L1120" s="455"/>
      <c r="M1120" s="455"/>
      <c r="N1120" s="285">
        <f t="shared" ref="N1120:N1151" ca="1" si="269">IF(H1120="Serviço",M1120*L1120,IF(H1120="CÉLULA CONSTRUTIVA",SUMIFS($N$8:$N$1408,$B$8:$B$1408,B1120,$H$8:$H$1408,"Serviço"),IF(H1120="ETAPA",SUMIFS($N$8:$N$1408,$B$8:$B$1408,B1120,$C$8:$C$1408,C1120,$H$8:$H$1408,"Serviço"),IF(H1120="SUBETAPA",SUMIFS($N$8:$N$1408,$B$8:$B$1408,B1120,$C$8:$C$1408,C1120,$D$8:$D$1408,D1120,$H$8:$H$1408,"Serviço"),0))))</f>
        <v>50367.387000000002</v>
      </c>
      <c r="O1120" s="462"/>
      <c r="P1120" s="213"/>
      <c r="Q1120" s="35"/>
      <c r="R1120" s="35"/>
      <c r="S1120" s="35"/>
    </row>
    <row r="1121" spans="1:19" s="34" customFormat="1" ht="13.9" hidden="1" customHeight="1" outlineLevel="3" x14ac:dyDescent="0.2">
      <c r="A1121" s="457">
        <f ca="1">IF($H1121="UNIDADE CONSTRUTIVA",OFFSET(A1121,-1,0)+1,LARGE(A$3:A1120,1))</f>
        <v>0</v>
      </c>
      <c r="B1121" s="457">
        <f t="shared" ca="1" si="255"/>
        <v>15</v>
      </c>
      <c r="C1121" s="457">
        <f t="shared" ca="1" si="256"/>
        <v>4</v>
      </c>
      <c r="D1121" s="458">
        <f t="shared" ca="1" si="257"/>
        <v>4</v>
      </c>
      <c r="E1121" s="458">
        <f t="shared" ca="1" si="258"/>
        <v>1</v>
      </c>
      <c r="G1121" s="206"/>
      <c r="H1121" s="207" t="s">
        <v>212</v>
      </c>
      <c r="I1121" s="208" t="str">
        <f t="shared" ca="1" si="268"/>
        <v>15.004.004.001</v>
      </c>
      <c r="J1121" s="209" t="s">
        <v>1043</v>
      </c>
      <c r="K1121" s="210" t="s">
        <v>1</v>
      </c>
      <c r="L1121" s="455">
        <f>L1111</f>
        <v>16.43</v>
      </c>
      <c r="M1121" s="455">
        <v>24.9</v>
      </c>
      <c r="N1121" s="285">
        <f t="shared" si="269"/>
        <v>409.10699999999997</v>
      </c>
      <c r="O1121" s="462"/>
      <c r="P1121" s="213" t="s">
        <v>518</v>
      </c>
      <c r="Q1121" s="35"/>
      <c r="R1121" s="35"/>
      <c r="S1121" s="35"/>
    </row>
    <row r="1122" spans="1:19" s="34" customFormat="1" ht="13.5" hidden="1" customHeight="1" outlineLevel="3" x14ac:dyDescent="0.2">
      <c r="A1122" s="457">
        <f ca="1">IF($H1122="UNIDADE CONSTRUTIVA",OFFSET(A1122,-1,0)+1,LARGE(A$3:A1121,1))</f>
        <v>0</v>
      </c>
      <c r="B1122" s="457">
        <f t="shared" ca="1" si="255"/>
        <v>15</v>
      </c>
      <c r="C1122" s="457">
        <f t="shared" ca="1" si="256"/>
        <v>4</v>
      </c>
      <c r="D1122" s="458">
        <f t="shared" ca="1" si="257"/>
        <v>4</v>
      </c>
      <c r="E1122" s="458">
        <f t="shared" ca="1" si="258"/>
        <v>2</v>
      </c>
      <c r="G1122" s="206"/>
      <c r="H1122" s="207" t="s">
        <v>212</v>
      </c>
      <c r="I1122" s="208" t="str">
        <f t="shared" ca="1" si="268"/>
        <v>15.004.004.002</v>
      </c>
      <c r="J1122" s="209" t="s">
        <v>1044</v>
      </c>
      <c r="K1122" s="210" t="s">
        <v>1</v>
      </c>
      <c r="L1122" s="455">
        <f>Arquitetura!D1159</f>
        <v>82.89</v>
      </c>
      <c r="M1122" s="455">
        <v>28</v>
      </c>
      <c r="N1122" s="285">
        <f t="shared" si="269"/>
        <v>2320.92</v>
      </c>
      <c r="O1122" s="462"/>
      <c r="P1122" s="213" t="s">
        <v>518</v>
      </c>
      <c r="Q1122" s="35"/>
      <c r="R1122" s="35"/>
      <c r="S1122" s="35"/>
    </row>
    <row r="1123" spans="1:19" s="34" customFormat="1" ht="13.5" hidden="1" customHeight="1" outlineLevel="3" x14ac:dyDescent="0.2">
      <c r="A1123" s="457">
        <f ca="1">IF($H1123="UNIDADE CONSTRUTIVA",OFFSET(A1123,-1,0)+1,LARGE(A$3:A1122,1))</f>
        <v>0</v>
      </c>
      <c r="B1123" s="457">
        <f t="shared" ca="1" si="255"/>
        <v>15</v>
      </c>
      <c r="C1123" s="457">
        <f t="shared" ca="1" si="256"/>
        <v>4</v>
      </c>
      <c r="D1123" s="458">
        <f t="shared" ca="1" si="257"/>
        <v>4</v>
      </c>
      <c r="E1123" s="458">
        <f t="shared" ca="1" si="258"/>
        <v>3</v>
      </c>
      <c r="G1123" s="206"/>
      <c r="H1123" s="207" t="s">
        <v>212</v>
      </c>
      <c r="I1123" s="208" t="str">
        <f t="shared" ca="1" si="268"/>
        <v>15.004.004.003</v>
      </c>
      <c r="J1123" s="209" t="s">
        <v>1045</v>
      </c>
      <c r="K1123" s="210" t="s">
        <v>1</v>
      </c>
      <c r="L1123" s="455">
        <f>L1114</f>
        <v>806.72</v>
      </c>
      <c r="M1123" s="455">
        <v>32</v>
      </c>
      <c r="N1123" s="285">
        <f t="shared" si="269"/>
        <v>25815.040000000001</v>
      </c>
      <c r="O1123" s="462"/>
      <c r="P1123" s="213" t="s">
        <v>518</v>
      </c>
      <c r="Q1123" s="35"/>
      <c r="R1123" s="35"/>
      <c r="S1123" s="35"/>
    </row>
    <row r="1124" spans="1:19" s="34" customFormat="1" ht="13.9" hidden="1" customHeight="1" outlineLevel="3" x14ac:dyDescent="0.2">
      <c r="A1124" s="457">
        <f ca="1">IF($H1124="UNIDADE CONSTRUTIVA",OFFSET(A1124,-1,0)+1,LARGE(A$3:A1123,1))</f>
        <v>0</v>
      </c>
      <c r="B1124" s="457">
        <f t="shared" ca="1" si="255"/>
        <v>15</v>
      </c>
      <c r="C1124" s="457">
        <f t="shared" ca="1" si="256"/>
        <v>4</v>
      </c>
      <c r="D1124" s="458">
        <f t="shared" ca="1" si="257"/>
        <v>4</v>
      </c>
      <c r="E1124" s="458">
        <f t="shared" ca="1" si="258"/>
        <v>4</v>
      </c>
      <c r="G1124" s="206"/>
      <c r="H1124" s="207" t="s">
        <v>212</v>
      </c>
      <c r="I1124" s="208" t="str">
        <f t="shared" ca="1" si="268"/>
        <v>15.004.004.004</v>
      </c>
      <c r="J1124" s="209" t="s">
        <v>1046</v>
      </c>
      <c r="K1124" s="210" t="s">
        <v>1</v>
      </c>
      <c r="L1124" s="455">
        <f>L1116</f>
        <v>200.5</v>
      </c>
      <c r="M1124" s="455">
        <v>20</v>
      </c>
      <c r="N1124" s="285">
        <f t="shared" si="269"/>
        <v>4010</v>
      </c>
      <c r="O1124" s="462"/>
      <c r="P1124" s="213" t="s">
        <v>518</v>
      </c>
      <c r="Q1124" s="35"/>
      <c r="R1124" s="35"/>
      <c r="S1124" s="35"/>
    </row>
    <row r="1125" spans="1:19" s="34" customFormat="1" ht="13.5" hidden="1" customHeight="1" outlineLevel="3" x14ac:dyDescent="0.2">
      <c r="A1125" s="457">
        <f ca="1">IF($H1125="UNIDADE CONSTRUTIVA",OFFSET(A1125,-1,0)+1,LARGE(A$3:A1124,1))</f>
        <v>0</v>
      </c>
      <c r="B1125" s="457">
        <f t="shared" ca="1" si="255"/>
        <v>15</v>
      </c>
      <c r="C1125" s="457">
        <f t="shared" ca="1" si="256"/>
        <v>4</v>
      </c>
      <c r="D1125" s="458">
        <f t="shared" ca="1" si="257"/>
        <v>4</v>
      </c>
      <c r="E1125" s="458">
        <f t="shared" ca="1" si="258"/>
        <v>5</v>
      </c>
      <c r="G1125" s="206"/>
      <c r="H1125" s="207" t="s">
        <v>212</v>
      </c>
      <c r="I1125" s="208" t="str">
        <f t="shared" ca="1" si="268"/>
        <v>15.004.004.005</v>
      </c>
      <c r="J1125" s="209" t="s">
        <v>4213</v>
      </c>
      <c r="K1125" s="210" t="s">
        <v>1</v>
      </c>
      <c r="L1125" s="455">
        <f>L1117</f>
        <v>98.44</v>
      </c>
      <c r="M1125" s="455">
        <v>20</v>
      </c>
      <c r="N1125" s="285">
        <f t="shared" si="269"/>
        <v>1968.8</v>
      </c>
      <c r="O1125" s="462" t="s">
        <v>990</v>
      </c>
      <c r="P1125" s="213" t="s">
        <v>518</v>
      </c>
      <c r="Q1125" s="35"/>
      <c r="R1125" s="35"/>
      <c r="S1125" s="35"/>
    </row>
    <row r="1126" spans="1:19" s="34" customFormat="1" ht="13.9" hidden="1" customHeight="1" outlineLevel="3" x14ac:dyDescent="0.2">
      <c r="A1126" s="457">
        <f ca="1">IF($H1126="UNIDADE CONSTRUTIVA",OFFSET(A1126,-1,0)+1,LARGE(A$3:A1125,1))</f>
        <v>0</v>
      </c>
      <c r="B1126" s="457">
        <f t="shared" ca="1" si="255"/>
        <v>15</v>
      </c>
      <c r="C1126" s="457">
        <f t="shared" ca="1" si="256"/>
        <v>4</v>
      </c>
      <c r="D1126" s="458">
        <f t="shared" ca="1" si="257"/>
        <v>4</v>
      </c>
      <c r="E1126" s="458">
        <f t="shared" ca="1" si="258"/>
        <v>6</v>
      </c>
      <c r="G1126" s="206"/>
      <c r="H1126" s="207" t="s">
        <v>212</v>
      </c>
      <c r="I1126" s="208" t="str">
        <f t="shared" ca="1" si="268"/>
        <v>15.004.004.006</v>
      </c>
      <c r="J1126" s="209" t="s">
        <v>4214</v>
      </c>
      <c r="K1126" s="210" t="s">
        <v>1</v>
      </c>
      <c r="L1126" s="455">
        <f>L1119</f>
        <v>495.11</v>
      </c>
      <c r="M1126" s="455">
        <v>32</v>
      </c>
      <c r="N1126" s="285">
        <f t="shared" si="269"/>
        <v>15843.52</v>
      </c>
      <c r="O1126" s="462"/>
      <c r="P1126" s="213" t="s">
        <v>518</v>
      </c>
      <c r="Q1126" s="35"/>
      <c r="R1126" s="35"/>
      <c r="S1126" s="35"/>
    </row>
    <row r="1127" spans="1:19" s="34" customFormat="1" ht="13.9" hidden="1" customHeight="1" outlineLevel="1" x14ac:dyDescent="0.2">
      <c r="A1127" s="457">
        <f ca="1">IF($H1127="UNIDADE CONSTRUTIVA",OFFSET(A1127,-1,0)+1,LARGE(A$3:A1126,1))</f>
        <v>0</v>
      </c>
      <c r="B1127" s="457">
        <f t="shared" ca="1" si="255"/>
        <v>15</v>
      </c>
      <c r="C1127" s="457">
        <f t="shared" ca="1" si="256"/>
        <v>5</v>
      </c>
      <c r="D1127" s="458">
        <f t="shared" ca="1" si="257"/>
        <v>0</v>
      </c>
      <c r="E1127" s="458">
        <f t="shared" ca="1" si="258"/>
        <v>6</v>
      </c>
      <c r="G1127" s="206"/>
      <c r="H1127" s="207" t="s">
        <v>210</v>
      </c>
      <c r="I1127" s="208" t="str">
        <f t="shared" ref="I1127:I1135" ca="1" si="270">IF(H1127="Unidade Construtiva",TEXT(A1127,"00"),IF(H1127="Célula Construtiva",TEXT(B1127,"00"),IF(H1127="Etapa",CONCATENATE(TEXT(B1127,"00"),".",TEXT(C1127,"000")),IF(H1127="Subetapa",CONCATENATE(TEXT(B1127,"00"),".",TEXT(C1127,"000"),".",TEXT(D1127,"000")),IF(H1127="Serviço",CONCATENATE(TEXT(B1127,"00"),".",TEXT(C1127,"000"),".",TEXT(D1127,"000"),".",TEXT(E1127,"000")),"")))))</f>
        <v>15.005</v>
      </c>
      <c r="J1127" s="209" t="s">
        <v>1053</v>
      </c>
      <c r="K1127" s="210"/>
      <c r="L1127" s="455"/>
      <c r="M1127" s="455"/>
      <c r="N1127" s="285">
        <f t="shared" ca="1" si="269"/>
        <v>1314925.4047199998</v>
      </c>
      <c r="O1127" s="462"/>
      <c r="P1127" s="213"/>
      <c r="Q1127" s="35"/>
      <c r="R1127" s="35"/>
      <c r="S1127" s="35"/>
    </row>
    <row r="1128" spans="1:19" s="34" customFormat="1" ht="13.9" hidden="1" customHeight="1" outlineLevel="2" x14ac:dyDescent="0.2">
      <c r="A1128" s="457">
        <f ca="1">IF($H1128="UNIDADE CONSTRUTIVA",OFFSET(A1128,-1,0)+1,LARGE(A$3:A1127,1))</f>
        <v>0</v>
      </c>
      <c r="B1128" s="457">
        <f t="shared" ca="1" si="255"/>
        <v>15</v>
      </c>
      <c r="C1128" s="457">
        <f t="shared" ca="1" si="256"/>
        <v>5</v>
      </c>
      <c r="D1128" s="458">
        <f t="shared" ca="1" si="257"/>
        <v>1</v>
      </c>
      <c r="E1128" s="458">
        <f t="shared" ca="1" si="258"/>
        <v>0</v>
      </c>
      <c r="G1128" s="206"/>
      <c r="H1128" s="207" t="s">
        <v>211</v>
      </c>
      <c r="I1128" s="208" t="str">
        <f t="shared" ca="1" si="270"/>
        <v>15.005.001</v>
      </c>
      <c r="J1128" s="209" t="s">
        <v>137</v>
      </c>
      <c r="K1128" s="210"/>
      <c r="L1128" s="455"/>
      <c r="M1128" s="455"/>
      <c r="N1128" s="285">
        <f t="shared" ca="1" si="269"/>
        <v>2140.3200000000006</v>
      </c>
      <c r="O1128" s="462"/>
      <c r="P1128" s="213"/>
      <c r="Q1128" s="35"/>
      <c r="R1128" s="35"/>
      <c r="S1128" s="35"/>
    </row>
    <row r="1129" spans="1:19" s="34" customFormat="1" ht="13.9" hidden="1" customHeight="1" outlineLevel="3" x14ac:dyDescent="0.2">
      <c r="A1129" s="457">
        <f ca="1">IF($H1129="UNIDADE CONSTRUTIVA",OFFSET(A1129,-1,0)+1,LARGE(A$3:A1128,1))</f>
        <v>0</v>
      </c>
      <c r="B1129" s="457">
        <f t="shared" ca="1" si="255"/>
        <v>15</v>
      </c>
      <c r="C1129" s="457">
        <f t="shared" ca="1" si="256"/>
        <v>5</v>
      </c>
      <c r="D1129" s="458">
        <f t="shared" ca="1" si="257"/>
        <v>1</v>
      </c>
      <c r="E1129" s="458">
        <f t="shared" ca="1" si="258"/>
        <v>1</v>
      </c>
      <c r="G1129" s="206"/>
      <c r="H1129" s="207" t="s">
        <v>212</v>
      </c>
      <c r="I1129" s="208" t="str">
        <f t="shared" ca="1" si="270"/>
        <v>15.005.001.001</v>
      </c>
      <c r="J1129" s="209" t="s">
        <v>4207</v>
      </c>
      <c r="K1129" s="210" t="s">
        <v>1</v>
      </c>
      <c r="L1129" s="455">
        <f>Arquitetura!H1095</f>
        <v>203.84000000000006</v>
      </c>
      <c r="M1129" s="455">
        <v>10.5</v>
      </c>
      <c r="N1129" s="285">
        <f t="shared" si="269"/>
        <v>2140.3200000000006</v>
      </c>
      <c r="O1129" s="462"/>
      <c r="P1129" s="213" t="s">
        <v>518</v>
      </c>
      <c r="Q1129" s="35"/>
      <c r="R1129" s="35"/>
      <c r="S1129" s="35"/>
    </row>
    <row r="1130" spans="1:19" s="34" customFormat="1" ht="13.9" hidden="1" customHeight="1" outlineLevel="2" x14ac:dyDescent="0.2">
      <c r="A1130" s="457">
        <f ca="1">IF($H1130="UNIDADE CONSTRUTIVA",OFFSET(A1130,-1,0)+1,LARGE(A$3:A1129,1))</f>
        <v>0</v>
      </c>
      <c r="B1130" s="457">
        <f t="shared" ca="1" si="255"/>
        <v>15</v>
      </c>
      <c r="C1130" s="457">
        <f t="shared" ca="1" si="256"/>
        <v>5</v>
      </c>
      <c r="D1130" s="458">
        <f t="shared" ca="1" si="257"/>
        <v>2</v>
      </c>
      <c r="E1130" s="458">
        <f t="shared" ca="1" si="258"/>
        <v>0</v>
      </c>
      <c r="G1130" s="206"/>
      <c r="H1130" s="207" t="s">
        <v>211</v>
      </c>
      <c r="I1130" s="208" t="str">
        <f t="shared" ca="1" si="270"/>
        <v>15.005.002</v>
      </c>
      <c r="J1130" s="209" t="s">
        <v>138</v>
      </c>
      <c r="K1130" s="210"/>
      <c r="L1130" s="455"/>
      <c r="M1130" s="455"/>
      <c r="N1130" s="285">
        <f t="shared" ca="1" si="269"/>
        <v>365099.30247099994</v>
      </c>
      <c r="O1130" s="462"/>
      <c r="P1130" s="213"/>
      <c r="Q1130" s="35"/>
      <c r="R1130" s="35"/>
      <c r="S1130" s="35"/>
    </row>
    <row r="1131" spans="1:19" s="34" customFormat="1" ht="13.9" hidden="1" customHeight="1" outlineLevel="3" x14ac:dyDescent="0.2">
      <c r="A1131" s="457">
        <f ca="1">IF($H1131="UNIDADE CONSTRUTIVA",OFFSET(A1131,-1,0)+1,LARGE(A$3:A1130,1))</f>
        <v>0</v>
      </c>
      <c r="B1131" s="457">
        <f t="shared" ca="1" si="255"/>
        <v>15</v>
      </c>
      <c r="C1131" s="457">
        <f t="shared" ca="1" si="256"/>
        <v>5</v>
      </c>
      <c r="D1131" s="458">
        <f t="shared" ca="1" si="257"/>
        <v>2</v>
      </c>
      <c r="E1131" s="458">
        <f t="shared" ca="1" si="258"/>
        <v>1</v>
      </c>
      <c r="G1131" s="1000"/>
      <c r="H1131" s="1001" t="s">
        <v>212</v>
      </c>
      <c r="I1131" s="1002" t="str">
        <f t="shared" ca="1" si="270"/>
        <v>15.005.002.001</v>
      </c>
      <c r="J1131" s="1003" t="s">
        <v>1039</v>
      </c>
      <c r="K1131" s="1004" t="s">
        <v>1</v>
      </c>
      <c r="L1131" s="1009">
        <f>L1133+L1134</f>
        <v>17321.741999999998</v>
      </c>
      <c r="M1131" s="1009">
        <v>2.7856000000000001</v>
      </c>
      <c r="N1131" s="1006">
        <f t="shared" si="269"/>
        <v>48251.444515199997</v>
      </c>
      <c r="O1131" s="1010" t="s">
        <v>5061</v>
      </c>
      <c r="P1131" s="213" t="s">
        <v>518</v>
      </c>
      <c r="Q1131" s="35"/>
      <c r="R1131" s="35"/>
      <c r="S1131" s="35"/>
    </row>
    <row r="1132" spans="1:19" s="34" customFormat="1" ht="13.9" hidden="1" customHeight="1" outlineLevel="3" x14ac:dyDescent="0.2">
      <c r="A1132" s="457">
        <f ca="1">IF($H1132="UNIDADE CONSTRUTIVA",OFFSET(A1132,-1,0)+1,LARGE(A$3:A1131,1))</f>
        <v>0</v>
      </c>
      <c r="B1132" s="457">
        <f t="shared" ca="1" si="255"/>
        <v>15</v>
      </c>
      <c r="C1132" s="457">
        <f t="shared" ca="1" si="256"/>
        <v>5</v>
      </c>
      <c r="D1132" s="458">
        <f t="shared" ca="1" si="257"/>
        <v>2</v>
      </c>
      <c r="E1132" s="458">
        <f t="shared" ca="1" si="258"/>
        <v>2</v>
      </c>
      <c r="G1132" s="1000"/>
      <c r="H1132" s="1001" t="s">
        <v>212</v>
      </c>
      <c r="I1132" s="1002" t="str">
        <f t="shared" ca="1" si="270"/>
        <v>15.005.002.002</v>
      </c>
      <c r="J1132" s="1003" t="s">
        <v>1040</v>
      </c>
      <c r="K1132" s="1004" t="s">
        <v>1</v>
      </c>
      <c r="L1132" s="1009">
        <f>Arquitetura!H1165+Arquitetura!H1166+Arquitetura!H1170-SUM(Arquitetura!D544:D568)</f>
        <v>15526.181999999997</v>
      </c>
      <c r="M1132" s="1009">
        <v>5.8</v>
      </c>
      <c r="N1132" s="1006">
        <f t="shared" si="269"/>
        <v>90051.855599999981</v>
      </c>
      <c r="O1132" s="1010" t="s">
        <v>5061</v>
      </c>
      <c r="P1132" s="213" t="s">
        <v>518</v>
      </c>
      <c r="Q1132" s="35"/>
      <c r="R1132" s="35"/>
      <c r="S1132" s="35"/>
    </row>
    <row r="1133" spans="1:19" s="34" customFormat="1" ht="13.9" hidden="1" customHeight="1" outlineLevel="3" x14ac:dyDescent="0.2">
      <c r="A1133" s="457">
        <f ca="1">IF($H1133="UNIDADE CONSTRUTIVA",OFFSET(A1133,-1,0)+1,LARGE(A$3:A1132,1))</f>
        <v>0</v>
      </c>
      <c r="B1133" s="457">
        <f t="shared" ca="1" si="255"/>
        <v>15</v>
      </c>
      <c r="C1133" s="457">
        <f t="shared" ca="1" si="256"/>
        <v>5</v>
      </c>
      <c r="D1133" s="458">
        <f t="shared" ca="1" si="257"/>
        <v>2</v>
      </c>
      <c r="E1133" s="458">
        <f t="shared" ca="1" si="258"/>
        <v>3</v>
      </c>
      <c r="G1133" s="1000"/>
      <c r="H1133" s="1001" t="s">
        <v>212</v>
      </c>
      <c r="I1133" s="1002" t="str">
        <f t="shared" ca="1" si="270"/>
        <v>15.005.002.003</v>
      </c>
      <c r="J1133" s="1003" t="s">
        <v>563</v>
      </c>
      <c r="K1133" s="1004" t="s">
        <v>1</v>
      </c>
      <c r="L1133" s="1009">
        <f>Arquitetura!H1165+Arquitetura!H1166+Arquitetura!H1168+Arquitetura!H1170-SUM(Arquitetura!D544:D568)</f>
        <v>16316.841999999997</v>
      </c>
      <c r="M1133" s="1009">
        <v>13.619899999999999</v>
      </c>
      <c r="N1133" s="1006">
        <f t="shared" si="269"/>
        <v>222233.75635579994</v>
      </c>
      <c r="O1133" s="1010" t="s">
        <v>5061</v>
      </c>
      <c r="P1133" s="213" t="s">
        <v>518</v>
      </c>
      <c r="Q1133" s="35"/>
      <c r="R1133" s="35"/>
      <c r="S1133" s="35"/>
    </row>
    <row r="1134" spans="1:19" s="34" customFormat="1" ht="13.9" hidden="1" customHeight="1" outlineLevel="3" x14ac:dyDescent="0.2">
      <c r="A1134" s="457">
        <f ca="1">IF($H1134="UNIDADE CONSTRUTIVA",OFFSET(A1134,-1,0)+1,LARGE(A$3:A1133,1))</f>
        <v>0</v>
      </c>
      <c r="B1134" s="457">
        <f t="shared" ca="1" si="255"/>
        <v>15</v>
      </c>
      <c r="C1134" s="457">
        <f t="shared" ca="1" si="256"/>
        <v>5</v>
      </c>
      <c r="D1134" s="458">
        <f t="shared" ca="1" si="257"/>
        <v>2</v>
      </c>
      <c r="E1134" s="458">
        <f t="shared" ca="1" si="258"/>
        <v>4</v>
      </c>
      <c r="G1134" s="206"/>
      <c r="H1134" s="207" t="s">
        <v>212</v>
      </c>
      <c r="I1134" s="208" t="str">
        <f t="shared" ca="1" si="270"/>
        <v>15.005.002.004</v>
      </c>
      <c r="J1134" s="209" t="s">
        <v>1041</v>
      </c>
      <c r="K1134" s="210" t="s">
        <v>1</v>
      </c>
      <c r="L1134" s="455">
        <f>Arquitetura!H1167+Arquitetura!H1169</f>
        <v>1004.8999999999999</v>
      </c>
      <c r="M1134" s="455">
        <v>4.54</v>
      </c>
      <c r="N1134" s="285">
        <f t="shared" si="269"/>
        <v>4562.2459999999992</v>
      </c>
      <c r="O1134" s="462" t="s">
        <v>990</v>
      </c>
      <c r="P1134" s="213" t="s">
        <v>518</v>
      </c>
      <c r="Q1134" s="35"/>
      <c r="R1134" s="35"/>
      <c r="S1134" s="35"/>
    </row>
    <row r="1135" spans="1:19" s="34" customFormat="1" ht="13.9" hidden="1" customHeight="1" outlineLevel="2" x14ac:dyDescent="0.2">
      <c r="A1135" s="457">
        <f ca="1">IF($H1135="UNIDADE CONSTRUTIVA",OFFSET(A1135,-1,0)+1,LARGE(A$3:A1134,1))</f>
        <v>0</v>
      </c>
      <c r="B1135" s="457">
        <f t="shared" ca="1" si="255"/>
        <v>15</v>
      </c>
      <c r="C1135" s="457">
        <f t="shared" ca="1" si="256"/>
        <v>5</v>
      </c>
      <c r="D1135" s="458">
        <f t="shared" ca="1" si="257"/>
        <v>3</v>
      </c>
      <c r="E1135" s="458">
        <f t="shared" ca="1" si="258"/>
        <v>0</v>
      </c>
      <c r="G1135" s="206"/>
      <c r="H1135" s="207" t="s">
        <v>211</v>
      </c>
      <c r="I1135" s="208" t="str">
        <f t="shared" ca="1" si="270"/>
        <v>15.005.003</v>
      </c>
      <c r="J1135" s="209" t="s">
        <v>139</v>
      </c>
      <c r="K1135" s="210"/>
      <c r="L1135" s="455"/>
      <c r="M1135" s="455"/>
      <c r="N1135" s="285">
        <f t="shared" ca="1" si="269"/>
        <v>164057.14224900003</v>
      </c>
      <c r="O1135" s="462"/>
      <c r="P1135" s="213"/>
      <c r="Q1135" s="35"/>
      <c r="R1135" s="35"/>
      <c r="S1135" s="35"/>
    </row>
    <row r="1136" spans="1:19" s="34" customFormat="1" ht="13.9" hidden="1" customHeight="1" outlineLevel="3" x14ac:dyDescent="0.2">
      <c r="A1136" s="457">
        <f ca="1">IF($H1136="UNIDADE CONSTRUTIVA",OFFSET(A1136,-1,0)+1,LARGE(A$3:A1135,1))</f>
        <v>0</v>
      </c>
      <c r="B1136" s="457">
        <f t="shared" ca="1" si="255"/>
        <v>15</v>
      </c>
      <c r="C1136" s="457">
        <f t="shared" ca="1" si="256"/>
        <v>5</v>
      </c>
      <c r="D1136" s="458">
        <f t="shared" ca="1" si="257"/>
        <v>3</v>
      </c>
      <c r="E1136" s="458">
        <f t="shared" ca="1" si="258"/>
        <v>1</v>
      </c>
      <c r="G1136" s="206"/>
      <c r="H1136" s="207" t="s">
        <v>212</v>
      </c>
      <c r="I1136" s="208" t="str">
        <f t="shared" ref="I1136:I1142" ca="1" si="271">IF(H1136="Unidade Construtiva",TEXT(A1136,"00"),IF(H1136="Célula Construtiva",TEXT(B1136,"00"),IF(H1136="Etapa",CONCATENATE(TEXT(B1136,"00"),".",TEXT(C1136,"000")),IF(H1136="Subetapa",CONCATENATE(TEXT(B1136,"00"),".",TEXT(C1136,"000"),".",TEXT(D1136,"000")),IF(H1136="Serviço",CONCATENATE(TEXT(B1136,"00"),".",TEXT(C1136,"000"),".",TEXT(D1136,"000"),".",TEXT(E1136,"000")),"")))))</f>
        <v>15.005.003.001</v>
      </c>
      <c r="J1136" s="209" t="s">
        <v>564</v>
      </c>
      <c r="K1136" s="210" t="s">
        <v>1</v>
      </c>
      <c r="L1136" s="455">
        <f>Arquitetura!H1296+Arquitetura!H1297</f>
        <v>7483.7100000000009</v>
      </c>
      <c r="M1136" s="455">
        <v>21.921900000000001</v>
      </c>
      <c r="N1136" s="285">
        <f t="shared" si="269"/>
        <v>164057.14224900003</v>
      </c>
      <c r="O1136" s="462"/>
      <c r="P1136" s="213" t="s">
        <v>518</v>
      </c>
      <c r="Q1136" s="35"/>
      <c r="R1136" s="35"/>
      <c r="S1136" s="35"/>
    </row>
    <row r="1137" spans="1:19" s="34" customFormat="1" ht="13.9" hidden="1" customHeight="1" outlineLevel="2" x14ac:dyDescent="0.2">
      <c r="A1137" s="457">
        <f ca="1">IF($H1137="UNIDADE CONSTRUTIVA",OFFSET(A1137,-1,0)+1,LARGE(A$3:A1136,1))</f>
        <v>0</v>
      </c>
      <c r="B1137" s="457">
        <f t="shared" ca="1" si="255"/>
        <v>15</v>
      </c>
      <c r="C1137" s="457">
        <f t="shared" ca="1" si="256"/>
        <v>5</v>
      </c>
      <c r="D1137" s="458">
        <f t="shared" ca="1" si="257"/>
        <v>4</v>
      </c>
      <c r="E1137" s="458">
        <f t="shared" ca="1" si="258"/>
        <v>0</v>
      </c>
      <c r="G1137" s="206"/>
      <c r="H1137" s="207" t="s">
        <v>211</v>
      </c>
      <c r="I1137" s="208" t="str">
        <f t="shared" ca="1" si="271"/>
        <v>15.005.004</v>
      </c>
      <c r="J1137" s="209" t="s">
        <v>430</v>
      </c>
      <c r="K1137" s="210"/>
      <c r="L1137" s="455"/>
      <c r="M1137" s="455"/>
      <c r="N1137" s="285">
        <f t="shared" ca="1" si="269"/>
        <v>783628.6399999999</v>
      </c>
      <c r="O1137" s="462"/>
      <c r="P1137" s="213"/>
      <c r="Q1137" s="35"/>
      <c r="R1137" s="35"/>
      <c r="S1137" s="35"/>
    </row>
    <row r="1138" spans="1:19" s="34" customFormat="1" ht="13.9" hidden="1" customHeight="1" outlineLevel="3" x14ac:dyDescent="0.2">
      <c r="A1138" s="457">
        <f ca="1">IF($H1138="UNIDADE CONSTRUTIVA",OFFSET(A1138,-1,0)+1,LARGE(A$3:A1137,1))</f>
        <v>0</v>
      </c>
      <c r="B1138" s="457">
        <f ca="1">IF(H1138="UNIDADE CONSTRUTIVA",0,IF(H1138="CÉLULA CONSTRUTIVA",OFFSET(B1138,-1,0)+1,OFFSET(B1138,-1,0)))</f>
        <v>15</v>
      </c>
      <c r="C1138" s="457">
        <f ca="1">IF(H1138="CÉLULA CONSTRUTIVA",0,IF(H1138="ETAPA",OFFSET(C1138,-1,0)+1,OFFSET(C1138,-1,0)))</f>
        <v>5</v>
      </c>
      <c r="D1138" s="458">
        <f ca="1">IF(H1138="ETAPA",0,IF(H1138="SUBETAPA",OFFSET(D1138,-1,0)+1,OFFSET(D1138,-1,0)))</f>
        <v>4</v>
      </c>
      <c r="E1138" s="458">
        <f ca="1">IF(H1138="Subetapa",0,IF(H1138="serviço",OFFSET(E1138,-1,0)+1,OFFSET(E1138,-1,0)))</f>
        <v>1</v>
      </c>
      <c r="G1138" s="206"/>
      <c r="H1138" s="207" t="s">
        <v>212</v>
      </c>
      <c r="I1138" s="208" t="str">
        <f t="shared" ca="1" si="271"/>
        <v>15.005.004.001</v>
      </c>
      <c r="J1138" s="209" t="s">
        <v>1043</v>
      </c>
      <c r="K1138" s="210" t="s">
        <v>1</v>
      </c>
      <c r="L1138" s="455">
        <f>L1129</f>
        <v>203.84000000000006</v>
      </c>
      <c r="M1138" s="455">
        <v>24.9</v>
      </c>
      <c r="N1138" s="285">
        <f t="shared" si="269"/>
        <v>5075.6160000000009</v>
      </c>
      <c r="O1138" s="462"/>
      <c r="P1138" s="213" t="s">
        <v>518</v>
      </c>
      <c r="Q1138" s="35"/>
      <c r="R1138" s="35"/>
      <c r="S1138" s="35"/>
    </row>
    <row r="1139" spans="1:19" s="34" customFormat="1" ht="13.5" hidden="1" customHeight="1" outlineLevel="3" x14ac:dyDescent="0.2">
      <c r="A1139" s="457">
        <f ca="1">IF($H1139="UNIDADE CONSTRUTIVA",OFFSET(A1139,-1,0)+1,LARGE(A$3:A1138,1))</f>
        <v>0</v>
      </c>
      <c r="B1139" s="457">
        <f ca="1">IF(H1139="UNIDADE CONSTRUTIVA",0,IF(H1139="CÉLULA CONSTRUTIVA",OFFSET(B1139,-1,0)+1,OFFSET(B1139,-1,0)))</f>
        <v>15</v>
      </c>
      <c r="C1139" s="457">
        <f ca="1">IF(H1139="CÉLULA CONSTRUTIVA",0,IF(H1139="ETAPA",OFFSET(C1139,-1,0)+1,OFFSET(C1139,-1,0)))</f>
        <v>5</v>
      </c>
      <c r="D1139" s="458">
        <f ca="1">IF(H1139="ETAPA",0,IF(H1139="SUBETAPA",OFFSET(D1139,-1,0)+1,OFFSET(D1139,-1,0)))</f>
        <v>4</v>
      </c>
      <c r="E1139" s="458">
        <f ca="1">IF(H1139="Subetapa",0,IF(H1139="serviço",OFFSET(E1139,-1,0)+1,OFFSET(E1139,-1,0)))</f>
        <v>2</v>
      </c>
      <c r="G1139" s="206"/>
      <c r="H1139" s="207" t="s">
        <v>212</v>
      </c>
      <c r="I1139" s="208" t="str">
        <f t="shared" ca="1" si="271"/>
        <v>15.005.004.002</v>
      </c>
      <c r="J1139" s="209" t="s">
        <v>1044</v>
      </c>
      <c r="K1139" s="210" t="s">
        <v>1</v>
      </c>
      <c r="L1139" s="455">
        <f>Arquitetura!H1168</f>
        <v>790.6600000000002</v>
      </c>
      <c r="M1139" s="455">
        <v>28</v>
      </c>
      <c r="N1139" s="285">
        <f t="shared" si="269"/>
        <v>22138.480000000007</v>
      </c>
      <c r="O1139" s="462"/>
      <c r="P1139" s="213" t="s">
        <v>518</v>
      </c>
      <c r="Q1139" s="35"/>
      <c r="R1139" s="35"/>
      <c r="S1139" s="35"/>
    </row>
    <row r="1140" spans="1:19" s="34" customFormat="1" ht="13.5" hidden="1" customHeight="1" outlineLevel="3" x14ac:dyDescent="0.2">
      <c r="A1140" s="457">
        <f ca="1">IF($H1140="UNIDADE CONSTRUTIVA",OFFSET(A1140,-1,0)+1,LARGE(A$3:A1139,1))</f>
        <v>0</v>
      </c>
      <c r="B1140" s="457">
        <f ca="1">IF(H1140="UNIDADE CONSTRUTIVA",0,IF(H1140="CÉLULA CONSTRUTIVA",OFFSET(B1140,-1,0)+1,OFFSET(B1140,-1,0)))</f>
        <v>15</v>
      </c>
      <c r="C1140" s="457">
        <f ca="1">IF(H1140="CÉLULA CONSTRUTIVA",0,IF(H1140="ETAPA",OFFSET(C1140,-1,0)+1,OFFSET(C1140,-1,0)))</f>
        <v>5</v>
      </c>
      <c r="D1140" s="458">
        <f ca="1">IF(H1140="ETAPA",0,IF(H1140="SUBETAPA",OFFSET(D1140,-1,0)+1,OFFSET(D1140,-1,0)))</f>
        <v>4</v>
      </c>
      <c r="E1140" s="458">
        <f ca="1">IF(H1140="Subetapa",0,IF(H1140="serviço",OFFSET(E1140,-1,0)+1,OFFSET(E1140,-1,0)))</f>
        <v>3</v>
      </c>
      <c r="G1140" s="1000"/>
      <c r="H1140" s="1001" t="s">
        <v>212</v>
      </c>
      <c r="I1140" s="1002" t="str">
        <f t="shared" ca="1" si="271"/>
        <v>15.005.004.003</v>
      </c>
      <c r="J1140" s="1003" t="s">
        <v>1045</v>
      </c>
      <c r="K1140" s="1004" t="s">
        <v>1</v>
      </c>
      <c r="L1140" s="1009">
        <f>L1132</f>
        <v>15526.181999999997</v>
      </c>
      <c r="M1140" s="1009">
        <v>32</v>
      </c>
      <c r="N1140" s="1006">
        <f t="shared" si="269"/>
        <v>496837.82399999991</v>
      </c>
      <c r="O1140" s="1010"/>
      <c r="P1140" s="213" t="s">
        <v>518</v>
      </c>
      <c r="Q1140" s="35"/>
      <c r="R1140" s="35"/>
      <c r="S1140" s="35"/>
    </row>
    <row r="1141" spans="1:19" s="34" customFormat="1" ht="13.5" hidden="1" customHeight="1" outlineLevel="3" x14ac:dyDescent="0.2">
      <c r="A1141" s="457">
        <f ca="1">IF($H1141="UNIDADE CONSTRUTIVA",OFFSET(A1141,-1,0)+1,LARGE(A$3:A1140,1))</f>
        <v>0</v>
      </c>
      <c r="B1141" s="457">
        <f ca="1">IF(H1141="UNIDADE CONSTRUTIVA",0,IF(H1141="CÉLULA CONSTRUTIVA",OFFSET(B1141,-1,0)+1,OFFSET(B1141,-1,0)))</f>
        <v>15</v>
      </c>
      <c r="C1141" s="457">
        <f ca="1">IF(H1141="CÉLULA CONSTRUTIVA",0,IF(H1141="ETAPA",OFFSET(C1141,-1,0)+1,OFFSET(C1141,-1,0)))</f>
        <v>5</v>
      </c>
      <c r="D1141" s="458">
        <f ca="1">IF(H1141="ETAPA",0,IF(H1141="SUBETAPA",OFFSET(D1141,-1,0)+1,OFFSET(D1141,-1,0)))</f>
        <v>4</v>
      </c>
      <c r="E1141" s="458">
        <f ca="1">IF(H1141="Subetapa",0,IF(H1141="serviço",OFFSET(E1141,-1,0)+1,OFFSET(E1141,-1,0)))</f>
        <v>4</v>
      </c>
      <c r="G1141" s="206"/>
      <c r="H1141" s="207" t="s">
        <v>212</v>
      </c>
      <c r="I1141" s="208" t="str">
        <f t="shared" ca="1" si="271"/>
        <v>15.005.004.004</v>
      </c>
      <c r="J1141" s="209" t="s">
        <v>4213</v>
      </c>
      <c r="K1141" s="210" t="s">
        <v>1</v>
      </c>
      <c r="L1141" s="455">
        <f>L1134</f>
        <v>1004.8999999999999</v>
      </c>
      <c r="M1141" s="455">
        <v>20</v>
      </c>
      <c r="N1141" s="285">
        <f t="shared" si="269"/>
        <v>20097.999999999996</v>
      </c>
      <c r="O1141" s="462" t="s">
        <v>990</v>
      </c>
      <c r="P1141" s="213" t="s">
        <v>518</v>
      </c>
      <c r="Q1141" s="35"/>
      <c r="R1141" s="35"/>
      <c r="S1141" s="35"/>
    </row>
    <row r="1142" spans="1:19" s="34" customFormat="1" ht="13.9" hidden="1" customHeight="1" outlineLevel="3" x14ac:dyDescent="0.2">
      <c r="A1142" s="457">
        <f ca="1">IF($H1142="UNIDADE CONSTRUTIVA",OFFSET(A1142,-1,0)+1,LARGE(A$3:A1141,1))</f>
        <v>0</v>
      </c>
      <c r="B1142" s="457">
        <f ca="1">IF(H1142="UNIDADE CONSTRUTIVA",0,IF(H1142="CÉLULA CONSTRUTIVA",OFFSET(B1142,-1,0)+1,OFFSET(B1142,-1,0)))</f>
        <v>15</v>
      </c>
      <c r="C1142" s="457">
        <f ca="1">IF(H1142="CÉLULA CONSTRUTIVA",0,IF(H1142="ETAPA",OFFSET(C1142,-1,0)+1,OFFSET(C1142,-1,0)))</f>
        <v>5</v>
      </c>
      <c r="D1142" s="458">
        <f ca="1">IF(H1142="ETAPA",0,IF(H1142="SUBETAPA",OFFSET(D1142,-1,0)+1,OFFSET(D1142,-1,0)))</f>
        <v>4</v>
      </c>
      <c r="E1142" s="458">
        <f ca="1">IF(H1142="Subetapa",0,IF(H1142="serviço",OFFSET(E1142,-1,0)+1,OFFSET(E1142,-1,0)))</f>
        <v>5</v>
      </c>
      <c r="G1142" s="206"/>
      <c r="H1142" s="207" t="s">
        <v>212</v>
      </c>
      <c r="I1142" s="208" t="str">
        <f t="shared" ca="1" si="271"/>
        <v>15.005.004.005</v>
      </c>
      <c r="J1142" s="209" t="s">
        <v>4214</v>
      </c>
      <c r="K1142" s="210" t="s">
        <v>1</v>
      </c>
      <c r="L1142" s="455">
        <f>L1136</f>
        <v>7483.7100000000009</v>
      </c>
      <c r="M1142" s="455">
        <v>32</v>
      </c>
      <c r="N1142" s="285">
        <f t="shared" si="269"/>
        <v>239478.72000000003</v>
      </c>
      <c r="O1142" s="462"/>
      <c r="P1142" s="213" t="s">
        <v>518</v>
      </c>
      <c r="Q1142" s="35"/>
      <c r="R1142" s="35"/>
      <c r="S1142" s="35"/>
    </row>
    <row r="1143" spans="1:19" s="34" customFormat="1" ht="13.9" hidden="1" customHeight="1" outlineLevel="1" x14ac:dyDescent="0.2">
      <c r="A1143" s="457">
        <f ca="1">IF($H1143="UNIDADE CONSTRUTIVA",OFFSET(A1143,-1,0)+1,LARGE(A$3:A1142,1))</f>
        <v>0</v>
      </c>
      <c r="B1143" s="457">
        <f t="shared" ca="1" si="255"/>
        <v>15</v>
      </c>
      <c r="C1143" s="457">
        <f t="shared" ca="1" si="256"/>
        <v>6</v>
      </c>
      <c r="D1143" s="458">
        <f t="shared" ca="1" si="257"/>
        <v>0</v>
      </c>
      <c r="E1143" s="458">
        <f t="shared" ca="1" si="258"/>
        <v>5</v>
      </c>
      <c r="G1143" s="206"/>
      <c r="H1143" s="207" t="s">
        <v>210</v>
      </c>
      <c r="I1143" s="208" t="str">
        <f t="shared" ref="I1143:I1151" ca="1" si="272">IF(H1143="Unidade Construtiva",TEXT(A1143,"00"),IF(H1143="Célula Construtiva",TEXT(B1143,"00"),IF(H1143="Etapa",CONCATENATE(TEXT(B1143,"00"),".",TEXT(C1143,"000")),IF(H1143="Subetapa",CONCATENATE(TEXT(B1143,"00"),".",TEXT(C1143,"000"),".",TEXT(D1143,"000")),IF(H1143="Serviço",CONCATENATE(TEXT(B1143,"00"),".",TEXT(C1143,"000"),".",TEXT(D1143,"000"),".",TEXT(E1143,"000")),"")))))</f>
        <v>15.006</v>
      </c>
      <c r="J1143" s="209" t="s">
        <v>1054</v>
      </c>
      <c r="K1143" s="210"/>
      <c r="L1143" s="455"/>
      <c r="M1143" s="455"/>
      <c r="N1143" s="285">
        <f t="shared" ca="1" si="269"/>
        <v>97300.242445717551</v>
      </c>
      <c r="O1143" s="462"/>
      <c r="P1143" s="213"/>
      <c r="Q1143" s="35"/>
      <c r="R1143" s="35"/>
      <c r="S1143" s="35"/>
    </row>
    <row r="1144" spans="1:19" s="34" customFormat="1" ht="13.9" hidden="1" customHeight="1" outlineLevel="2" x14ac:dyDescent="0.2">
      <c r="A1144" s="457">
        <f ca="1">IF($H1144="UNIDADE CONSTRUTIVA",OFFSET(A1144,-1,0)+1,LARGE(A$3:A1143,1))</f>
        <v>0</v>
      </c>
      <c r="B1144" s="457">
        <f t="shared" ca="1" si="255"/>
        <v>15</v>
      </c>
      <c r="C1144" s="457">
        <f t="shared" ca="1" si="256"/>
        <v>6</v>
      </c>
      <c r="D1144" s="458">
        <f t="shared" ca="1" si="257"/>
        <v>1</v>
      </c>
      <c r="E1144" s="458">
        <f t="shared" ca="1" si="258"/>
        <v>0</v>
      </c>
      <c r="G1144" s="206"/>
      <c r="H1144" s="207" t="s">
        <v>211</v>
      </c>
      <c r="I1144" s="208" t="str">
        <f t="shared" ca="1" si="272"/>
        <v>15.006.001</v>
      </c>
      <c r="J1144" s="209" t="s">
        <v>137</v>
      </c>
      <c r="K1144" s="210"/>
      <c r="L1144" s="455"/>
      <c r="M1144" s="455"/>
      <c r="N1144" s="285">
        <f t="shared" ca="1" si="269"/>
        <v>164.22</v>
      </c>
      <c r="O1144" s="462"/>
      <c r="P1144" s="213"/>
      <c r="Q1144" s="35"/>
      <c r="R1144" s="35"/>
      <c r="S1144" s="35"/>
    </row>
    <row r="1145" spans="1:19" s="34" customFormat="1" ht="13.9" hidden="1" customHeight="1" outlineLevel="3" x14ac:dyDescent="0.2">
      <c r="A1145" s="457">
        <f ca="1">IF($H1145="UNIDADE CONSTRUTIVA",OFFSET(A1145,-1,0)+1,LARGE(A$3:A1144,1))</f>
        <v>0</v>
      </c>
      <c r="B1145" s="457">
        <f t="shared" ca="1" si="255"/>
        <v>15</v>
      </c>
      <c r="C1145" s="457">
        <f t="shared" ca="1" si="256"/>
        <v>6</v>
      </c>
      <c r="D1145" s="458">
        <f t="shared" ca="1" si="257"/>
        <v>1</v>
      </c>
      <c r="E1145" s="458">
        <f t="shared" ca="1" si="258"/>
        <v>1</v>
      </c>
      <c r="G1145" s="206"/>
      <c r="H1145" s="207" t="s">
        <v>212</v>
      </c>
      <c r="I1145" s="208" t="str">
        <f t="shared" ca="1" si="272"/>
        <v>15.006.001.001</v>
      </c>
      <c r="J1145" s="209" t="s">
        <v>4207</v>
      </c>
      <c r="K1145" s="210" t="s">
        <v>1</v>
      </c>
      <c r="L1145" s="455">
        <f>Arquitetura!D1121</f>
        <v>15.64</v>
      </c>
      <c r="M1145" s="455">
        <v>10.5</v>
      </c>
      <c r="N1145" s="285">
        <f t="shared" si="269"/>
        <v>164.22</v>
      </c>
      <c r="O1145" s="462"/>
      <c r="P1145" s="213" t="s">
        <v>518</v>
      </c>
      <c r="Q1145" s="35"/>
      <c r="R1145" s="35"/>
      <c r="S1145" s="35"/>
    </row>
    <row r="1146" spans="1:19" s="34" customFormat="1" ht="13.9" hidden="1" customHeight="1" outlineLevel="2" x14ac:dyDescent="0.2">
      <c r="A1146" s="457">
        <f ca="1">IF($H1146="UNIDADE CONSTRUTIVA",OFFSET(A1146,-1,0)+1,LARGE(A$3:A1145,1))</f>
        <v>0</v>
      </c>
      <c r="B1146" s="457">
        <f t="shared" ca="1" si="255"/>
        <v>15</v>
      </c>
      <c r="C1146" s="457">
        <f t="shared" ca="1" si="256"/>
        <v>6</v>
      </c>
      <c r="D1146" s="458">
        <f t="shared" ca="1" si="257"/>
        <v>2</v>
      </c>
      <c r="E1146" s="458">
        <f t="shared" ca="1" si="258"/>
        <v>0</v>
      </c>
      <c r="G1146" s="206"/>
      <c r="H1146" s="207" t="s">
        <v>211</v>
      </c>
      <c r="I1146" s="208" t="str">
        <f t="shared" ca="1" si="272"/>
        <v>15.006.002</v>
      </c>
      <c r="J1146" s="209" t="s">
        <v>138</v>
      </c>
      <c r="K1146" s="210"/>
      <c r="L1146" s="455"/>
      <c r="M1146" s="455"/>
      <c r="N1146" s="285">
        <f t="shared" ca="1" si="269"/>
        <v>27888.559271651306</v>
      </c>
      <c r="O1146" s="462"/>
      <c r="P1146" s="213"/>
      <c r="Q1146" s="35"/>
      <c r="R1146" s="35"/>
      <c r="S1146" s="35"/>
    </row>
    <row r="1147" spans="1:19" s="34" customFormat="1" ht="13.9" hidden="1" customHeight="1" outlineLevel="3" x14ac:dyDescent="0.2">
      <c r="A1147" s="457">
        <f ca="1">IF($H1147="UNIDADE CONSTRUTIVA",OFFSET(A1147,-1,0)+1,LARGE(A$3:A1146,1))</f>
        <v>0</v>
      </c>
      <c r="B1147" s="457">
        <f t="shared" ca="1" si="255"/>
        <v>15</v>
      </c>
      <c r="C1147" s="457">
        <f t="shared" ca="1" si="256"/>
        <v>6</v>
      </c>
      <c r="D1147" s="458">
        <f t="shared" ca="1" si="257"/>
        <v>2</v>
      </c>
      <c r="E1147" s="458">
        <f t="shared" ca="1" si="258"/>
        <v>1</v>
      </c>
      <c r="G1147" s="1000"/>
      <c r="H1147" s="1001" t="s">
        <v>212</v>
      </c>
      <c r="I1147" s="1002" t="str">
        <f t="shared" ca="1" si="272"/>
        <v>15.006.002.001</v>
      </c>
      <c r="J1147" s="1003" t="s">
        <v>1039</v>
      </c>
      <c r="K1147" s="1004" t="s">
        <v>1</v>
      </c>
      <c r="L1147" s="1009">
        <f>L1149+L1150</f>
        <v>1324.09058506457</v>
      </c>
      <c r="M1147" s="1009">
        <v>2.7856000000000001</v>
      </c>
      <c r="N1147" s="1006">
        <f t="shared" si="269"/>
        <v>3688.3867337558663</v>
      </c>
      <c r="O1147" s="1010" t="s">
        <v>5061</v>
      </c>
      <c r="P1147" s="213" t="s">
        <v>518</v>
      </c>
      <c r="Q1147" s="35"/>
      <c r="R1147" s="35"/>
      <c r="S1147" s="35"/>
    </row>
    <row r="1148" spans="1:19" s="34" customFormat="1" ht="13.9" hidden="1" customHeight="1" outlineLevel="3" x14ac:dyDescent="0.2">
      <c r="A1148" s="457">
        <f ca="1">IF($H1148="UNIDADE CONSTRUTIVA",OFFSET(A1148,-1,0)+1,LARGE(A$3:A1147,1))</f>
        <v>0</v>
      </c>
      <c r="B1148" s="457">
        <f t="shared" ca="1" si="255"/>
        <v>15</v>
      </c>
      <c r="C1148" s="457">
        <f t="shared" ca="1" si="256"/>
        <v>6</v>
      </c>
      <c r="D1148" s="458">
        <f t="shared" ca="1" si="257"/>
        <v>2</v>
      </c>
      <c r="E1148" s="458">
        <f t="shared" ca="1" si="258"/>
        <v>2</v>
      </c>
      <c r="G1148" s="1000"/>
      <c r="H1148" s="1001" t="s">
        <v>212</v>
      </c>
      <c r="I1148" s="1002" t="str">
        <f t="shared" ca="1" si="272"/>
        <v>15.006.002.002</v>
      </c>
      <c r="J1148" s="1003" t="s">
        <v>1040</v>
      </c>
      <c r="K1148" s="1004" t="s">
        <v>1</v>
      </c>
      <c r="L1148" s="1009">
        <f>Arquitetura!D1256+Arquitetura!D1257+Arquitetura!D1261-Arquitetura!D570</f>
        <v>1185.01058506457</v>
      </c>
      <c r="M1148" s="1009">
        <v>5.8</v>
      </c>
      <c r="N1148" s="1006">
        <f t="shared" si="269"/>
        <v>6873.0613933745062</v>
      </c>
      <c r="O1148" s="1010" t="s">
        <v>5061</v>
      </c>
      <c r="P1148" s="213" t="s">
        <v>518</v>
      </c>
      <c r="Q1148" s="35"/>
      <c r="R1148" s="35"/>
      <c r="S1148" s="35"/>
    </row>
    <row r="1149" spans="1:19" s="34" customFormat="1" ht="13.9" hidden="1" customHeight="1" outlineLevel="3" x14ac:dyDescent="0.2">
      <c r="A1149" s="457">
        <f ca="1">IF($H1149="UNIDADE CONSTRUTIVA",OFFSET(A1149,-1,0)+1,LARGE(A$3:A1148,1))</f>
        <v>0</v>
      </c>
      <c r="B1149" s="457">
        <f t="shared" ca="1" si="255"/>
        <v>15</v>
      </c>
      <c r="C1149" s="457">
        <f t="shared" ca="1" si="256"/>
        <v>6</v>
      </c>
      <c r="D1149" s="458">
        <f t="shared" ca="1" si="257"/>
        <v>2</v>
      </c>
      <c r="E1149" s="458">
        <f t="shared" ca="1" si="258"/>
        <v>3</v>
      </c>
      <c r="G1149" s="1000"/>
      <c r="H1149" s="1001" t="s">
        <v>212</v>
      </c>
      <c r="I1149" s="1002" t="str">
        <f t="shared" ca="1" si="272"/>
        <v>15.006.002.003</v>
      </c>
      <c r="J1149" s="1003" t="s">
        <v>563</v>
      </c>
      <c r="K1149" s="1004" t="s">
        <v>1</v>
      </c>
      <c r="L1149" s="1009">
        <f>Arquitetura!D1256+Arquitetura!D1257+Arquitetura!D1259+Arquitetura!D1261-Arquitetura!D570</f>
        <v>1246.24058506457</v>
      </c>
      <c r="M1149" s="1009">
        <v>13.619899999999999</v>
      </c>
      <c r="N1149" s="1006">
        <f t="shared" si="269"/>
        <v>16973.672144520937</v>
      </c>
      <c r="O1149" s="1010" t="s">
        <v>5061</v>
      </c>
      <c r="P1149" s="213" t="s">
        <v>518</v>
      </c>
      <c r="Q1149" s="35"/>
      <c r="R1149" s="35"/>
      <c r="S1149" s="35"/>
    </row>
    <row r="1150" spans="1:19" s="34" customFormat="1" ht="13.9" hidden="1" customHeight="1" outlineLevel="3" x14ac:dyDescent="0.2">
      <c r="A1150" s="457">
        <f ca="1">IF($H1150="UNIDADE CONSTRUTIVA",OFFSET(A1150,-1,0)+1,LARGE(A$3:A1149,1))</f>
        <v>0</v>
      </c>
      <c r="B1150" s="457">
        <f t="shared" ca="1" si="255"/>
        <v>15</v>
      </c>
      <c r="C1150" s="457">
        <f t="shared" ca="1" si="256"/>
        <v>6</v>
      </c>
      <c r="D1150" s="458">
        <f t="shared" ca="1" si="257"/>
        <v>2</v>
      </c>
      <c r="E1150" s="458">
        <f t="shared" ca="1" si="258"/>
        <v>4</v>
      </c>
      <c r="G1150" s="206"/>
      <c r="H1150" s="207" t="s">
        <v>212</v>
      </c>
      <c r="I1150" s="208" t="str">
        <f t="shared" ca="1" si="272"/>
        <v>15.006.002.004</v>
      </c>
      <c r="J1150" s="209" t="s">
        <v>1041</v>
      </c>
      <c r="K1150" s="210" t="s">
        <v>1</v>
      </c>
      <c r="L1150" s="455">
        <f>Arquitetura!D1258+Arquitetura!D1260</f>
        <v>77.849999999999994</v>
      </c>
      <c r="M1150" s="455">
        <v>4.54</v>
      </c>
      <c r="N1150" s="285">
        <f t="shared" si="269"/>
        <v>353.43899999999996</v>
      </c>
      <c r="O1150" s="462" t="s">
        <v>990</v>
      </c>
      <c r="P1150" s="213" t="s">
        <v>518</v>
      </c>
      <c r="Q1150" s="35"/>
      <c r="R1150" s="35"/>
      <c r="S1150" s="35"/>
    </row>
    <row r="1151" spans="1:19" s="34" customFormat="1" ht="13.9" hidden="1" customHeight="1" outlineLevel="2" x14ac:dyDescent="0.2">
      <c r="A1151" s="457">
        <f ca="1">IF($H1151="UNIDADE CONSTRUTIVA",OFFSET(A1151,-1,0)+1,LARGE(A$3:A1150,1))</f>
        <v>0</v>
      </c>
      <c r="B1151" s="457">
        <f t="shared" ca="1" si="255"/>
        <v>15</v>
      </c>
      <c r="C1151" s="457">
        <f t="shared" ca="1" si="256"/>
        <v>6</v>
      </c>
      <c r="D1151" s="458">
        <f t="shared" ca="1" si="257"/>
        <v>3</v>
      </c>
      <c r="E1151" s="458">
        <f t="shared" ca="1" si="258"/>
        <v>0</v>
      </c>
      <c r="G1151" s="206"/>
      <c r="H1151" s="207" t="s">
        <v>211</v>
      </c>
      <c r="I1151" s="208" t="str">
        <f t="shared" ca="1" si="272"/>
        <v>15.006.003</v>
      </c>
      <c r="J1151" s="209" t="s">
        <v>139</v>
      </c>
      <c r="K1151" s="210"/>
      <c r="L1151" s="455"/>
      <c r="M1151" s="455"/>
      <c r="N1151" s="285">
        <f t="shared" ca="1" si="269"/>
        <v>11247.688452000002</v>
      </c>
      <c r="O1151" s="462"/>
      <c r="P1151" s="213"/>
      <c r="Q1151" s="35"/>
      <c r="R1151" s="35"/>
      <c r="S1151" s="35"/>
    </row>
    <row r="1152" spans="1:19" s="34" customFormat="1" ht="13.9" hidden="1" customHeight="1" outlineLevel="3" x14ac:dyDescent="0.2">
      <c r="A1152" s="457">
        <f ca="1">IF($H1152="UNIDADE CONSTRUTIVA",OFFSET(A1152,-1,0)+1,LARGE(A$3:A1151,1))</f>
        <v>0</v>
      </c>
      <c r="B1152" s="457">
        <f t="shared" ca="1" si="255"/>
        <v>15</v>
      </c>
      <c r="C1152" s="457">
        <f t="shared" ca="1" si="256"/>
        <v>6</v>
      </c>
      <c r="D1152" s="458">
        <f t="shared" ca="1" si="257"/>
        <v>3</v>
      </c>
      <c r="E1152" s="458">
        <f t="shared" ca="1" si="258"/>
        <v>1</v>
      </c>
      <c r="G1152" s="206"/>
      <c r="H1152" s="207" t="s">
        <v>212</v>
      </c>
      <c r="I1152" s="208" t="str">
        <f t="shared" ref="I1152:I1157" ca="1" si="273">IF(H1152="Unidade Construtiva",TEXT(A1152,"00"),IF(H1152="Célula Construtiva",TEXT(B1152,"00"),IF(H1152="Etapa",CONCATENATE(TEXT(B1152,"00"),".",TEXT(C1152,"000")),IF(H1152="Subetapa",CONCATENATE(TEXT(B1152,"00"),".",TEXT(C1152,"000"),".",TEXT(D1152,"000")),IF(H1152="Serviço",CONCATENATE(TEXT(B1152,"00"),".",TEXT(C1152,"000"),".",TEXT(D1152,"000"),".",TEXT(E1152,"000")),"")))))</f>
        <v>15.006.003.001</v>
      </c>
      <c r="J1152" s="209" t="s">
        <v>564</v>
      </c>
      <c r="K1152" s="210" t="s">
        <v>1</v>
      </c>
      <c r="L1152" s="455">
        <f>Arquitetura!D1335+Arquitetura!D1336</f>
        <v>513.08000000000004</v>
      </c>
      <c r="M1152" s="455">
        <v>21.921900000000001</v>
      </c>
      <c r="N1152" s="285">
        <f t="shared" ref="N1152:N1183" si="274">IF(H1152="Serviço",M1152*L1152,IF(H1152="CÉLULA CONSTRUTIVA",SUMIFS($N$8:$N$1408,$B$8:$B$1408,B1152,$H$8:$H$1408,"Serviço"),IF(H1152="ETAPA",SUMIFS($N$8:$N$1408,$B$8:$B$1408,B1152,$C$8:$C$1408,C1152,$H$8:$H$1408,"Serviço"),IF(H1152="SUBETAPA",SUMIFS($N$8:$N$1408,$B$8:$B$1408,B1152,$C$8:$C$1408,C1152,$D$8:$D$1408,D1152,$H$8:$H$1408,"Serviço"),0))))</f>
        <v>11247.688452000002</v>
      </c>
      <c r="O1152" s="462"/>
      <c r="P1152" s="213" t="s">
        <v>518</v>
      </c>
      <c r="Q1152" s="35"/>
      <c r="R1152" s="35"/>
      <c r="S1152" s="35"/>
    </row>
    <row r="1153" spans="1:19" s="34" customFormat="1" ht="13.9" hidden="1" customHeight="1" outlineLevel="2" x14ac:dyDescent="0.2">
      <c r="A1153" s="457">
        <f ca="1">IF($H1153="UNIDADE CONSTRUTIVA",OFFSET(A1153,-1,0)+1,LARGE(A$3:A1152,1))</f>
        <v>0</v>
      </c>
      <c r="B1153" s="457">
        <f t="shared" ca="1" si="255"/>
        <v>15</v>
      </c>
      <c r="C1153" s="457">
        <f t="shared" ca="1" si="256"/>
        <v>6</v>
      </c>
      <c r="D1153" s="458">
        <f t="shared" ca="1" si="257"/>
        <v>4</v>
      </c>
      <c r="E1153" s="458">
        <f t="shared" ca="1" si="258"/>
        <v>0</v>
      </c>
      <c r="G1153" s="206"/>
      <c r="H1153" s="207" t="s">
        <v>211</v>
      </c>
      <c r="I1153" s="208" t="str">
        <f t="shared" ca="1" si="273"/>
        <v>15.006.004</v>
      </c>
      <c r="J1153" s="209" t="s">
        <v>430</v>
      </c>
      <c r="K1153" s="210"/>
      <c r="L1153" s="455"/>
      <c r="M1153" s="455"/>
      <c r="N1153" s="285">
        <f t="shared" ca="1" si="274"/>
        <v>57999.774722066242</v>
      </c>
      <c r="O1153" s="462"/>
      <c r="P1153" s="213"/>
      <c r="Q1153" s="35"/>
      <c r="R1153" s="35"/>
      <c r="S1153" s="35"/>
    </row>
    <row r="1154" spans="1:19" s="34" customFormat="1" ht="13.9" hidden="1" customHeight="1" outlineLevel="3" x14ac:dyDescent="0.2">
      <c r="A1154" s="457">
        <f ca="1">IF($H1154="UNIDADE CONSTRUTIVA",OFFSET(A1154,-1,0)+1,LARGE(A$3:A1153,1))</f>
        <v>0</v>
      </c>
      <c r="B1154" s="457">
        <f t="shared" ca="1" si="255"/>
        <v>15</v>
      </c>
      <c r="C1154" s="457">
        <f t="shared" ca="1" si="256"/>
        <v>6</v>
      </c>
      <c r="D1154" s="458">
        <f t="shared" ca="1" si="257"/>
        <v>4</v>
      </c>
      <c r="E1154" s="458">
        <f t="shared" ca="1" si="258"/>
        <v>1</v>
      </c>
      <c r="G1154" s="206"/>
      <c r="H1154" s="207" t="s">
        <v>212</v>
      </c>
      <c r="I1154" s="208" t="str">
        <f t="shared" ca="1" si="273"/>
        <v>15.006.004.001</v>
      </c>
      <c r="J1154" s="209" t="s">
        <v>1043</v>
      </c>
      <c r="K1154" s="210" t="s">
        <v>1</v>
      </c>
      <c r="L1154" s="455">
        <f>L1145</f>
        <v>15.64</v>
      </c>
      <c r="M1154" s="455">
        <v>24.9</v>
      </c>
      <c r="N1154" s="285">
        <f t="shared" si="274"/>
        <v>389.43599999999998</v>
      </c>
      <c r="O1154" s="462"/>
      <c r="P1154" s="213" t="s">
        <v>518</v>
      </c>
      <c r="Q1154" s="35"/>
      <c r="R1154" s="35"/>
      <c r="S1154" s="35"/>
    </row>
    <row r="1155" spans="1:19" s="34" customFormat="1" ht="13.5" hidden="1" customHeight="1" outlineLevel="3" x14ac:dyDescent="0.2">
      <c r="A1155" s="457">
        <f ca="1">IF($H1155="UNIDADE CONSTRUTIVA",OFFSET(A1155,-1,0)+1,LARGE(A$3:A1154,1))</f>
        <v>0</v>
      </c>
      <c r="B1155" s="457">
        <f t="shared" ca="1" si="255"/>
        <v>15</v>
      </c>
      <c r="C1155" s="457">
        <f t="shared" ca="1" si="256"/>
        <v>6</v>
      </c>
      <c r="D1155" s="458">
        <f t="shared" ca="1" si="257"/>
        <v>4</v>
      </c>
      <c r="E1155" s="458">
        <f t="shared" ca="1" si="258"/>
        <v>2</v>
      </c>
      <c r="G1155" s="206"/>
      <c r="H1155" s="207" t="s">
        <v>212</v>
      </c>
      <c r="I1155" s="208" t="str">
        <f t="shared" ca="1" si="273"/>
        <v>15.006.004.002</v>
      </c>
      <c r="J1155" s="209" t="s">
        <v>1044</v>
      </c>
      <c r="K1155" s="210" t="s">
        <v>1</v>
      </c>
      <c r="L1155" s="455">
        <f>Arquitetura!D1259</f>
        <v>61.23</v>
      </c>
      <c r="M1155" s="455">
        <v>28</v>
      </c>
      <c r="N1155" s="285">
        <f t="shared" si="274"/>
        <v>1714.4399999999998</v>
      </c>
      <c r="O1155" s="462"/>
      <c r="P1155" s="213" t="s">
        <v>518</v>
      </c>
      <c r="Q1155" s="35"/>
      <c r="R1155" s="35"/>
      <c r="S1155" s="35"/>
    </row>
    <row r="1156" spans="1:19" s="34" customFormat="1" ht="13.5" hidden="1" customHeight="1" outlineLevel="3" x14ac:dyDescent="0.2">
      <c r="A1156" s="457">
        <f ca="1">IF($H1156="UNIDADE CONSTRUTIVA",OFFSET(A1156,-1,0)+1,LARGE(A$3:A1155,1))</f>
        <v>0</v>
      </c>
      <c r="B1156" s="457">
        <f t="shared" ca="1" si="255"/>
        <v>15</v>
      </c>
      <c r="C1156" s="457">
        <f t="shared" ca="1" si="256"/>
        <v>6</v>
      </c>
      <c r="D1156" s="458">
        <f t="shared" ca="1" si="257"/>
        <v>4</v>
      </c>
      <c r="E1156" s="458">
        <f t="shared" ca="1" si="258"/>
        <v>3</v>
      </c>
      <c r="G1156" s="1000"/>
      <c r="H1156" s="1001" t="s">
        <v>212</v>
      </c>
      <c r="I1156" s="1002" t="str">
        <f t="shared" ca="1" si="273"/>
        <v>15.006.004.003</v>
      </c>
      <c r="J1156" s="1003" t="s">
        <v>1045</v>
      </c>
      <c r="K1156" s="1004" t="s">
        <v>1</v>
      </c>
      <c r="L1156" s="1009">
        <f>L1148</f>
        <v>1185.01058506457</v>
      </c>
      <c r="M1156" s="1009">
        <v>32</v>
      </c>
      <c r="N1156" s="1006">
        <f t="shared" si="274"/>
        <v>37920.338722066241</v>
      </c>
      <c r="O1156" s="1010"/>
      <c r="P1156" s="213" t="s">
        <v>518</v>
      </c>
      <c r="Q1156" s="35"/>
      <c r="R1156" s="35"/>
      <c r="S1156" s="35"/>
    </row>
    <row r="1157" spans="1:19" s="34" customFormat="1" ht="13.5" hidden="1" customHeight="1" outlineLevel="3" x14ac:dyDescent="0.2">
      <c r="A1157" s="457">
        <f ca="1">IF($H1157="UNIDADE CONSTRUTIVA",OFFSET(A1157,-1,0)+1,LARGE(A$3:A1156,1))</f>
        <v>0</v>
      </c>
      <c r="B1157" s="457">
        <f t="shared" ca="1" si="255"/>
        <v>15</v>
      </c>
      <c r="C1157" s="457">
        <f t="shared" ca="1" si="256"/>
        <v>6</v>
      </c>
      <c r="D1157" s="458">
        <f t="shared" ca="1" si="257"/>
        <v>4</v>
      </c>
      <c r="E1157" s="458">
        <f t="shared" ca="1" si="258"/>
        <v>4</v>
      </c>
      <c r="G1157" s="206"/>
      <c r="H1157" s="207" t="s">
        <v>212</v>
      </c>
      <c r="I1157" s="208" t="str">
        <f t="shared" ca="1" si="273"/>
        <v>15.006.004.004</v>
      </c>
      <c r="J1157" s="209" t="s">
        <v>4213</v>
      </c>
      <c r="K1157" s="210" t="s">
        <v>1</v>
      </c>
      <c r="L1157" s="455">
        <f>L1150</f>
        <v>77.849999999999994</v>
      </c>
      <c r="M1157" s="455">
        <v>20</v>
      </c>
      <c r="N1157" s="285">
        <f t="shared" si="274"/>
        <v>1557</v>
      </c>
      <c r="O1157" s="462" t="s">
        <v>990</v>
      </c>
      <c r="P1157" s="213" t="s">
        <v>518</v>
      </c>
      <c r="Q1157" s="35"/>
      <c r="R1157" s="35"/>
      <c r="S1157" s="35"/>
    </row>
    <row r="1158" spans="1:19" s="34" customFormat="1" ht="13.9" hidden="1" customHeight="1" outlineLevel="3" x14ac:dyDescent="0.2">
      <c r="A1158" s="457">
        <f ca="1">IF($H1158="UNIDADE CONSTRUTIVA",OFFSET(A1158,-1,0)+1,LARGE(A$3:A1157,1))</f>
        <v>0</v>
      </c>
      <c r="B1158" s="457">
        <f t="shared" ca="1" si="255"/>
        <v>15</v>
      </c>
      <c r="C1158" s="457">
        <f t="shared" ca="1" si="256"/>
        <v>6</v>
      </c>
      <c r="D1158" s="458">
        <f t="shared" ca="1" si="257"/>
        <v>4</v>
      </c>
      <c r="E1158" s="458">
        <f t="shared" ca="1" si="258"/>
        <v>5</v>
      </c>
      <c r="G1158" s="206"/>
      <c r="H1158" s="207" t="s">
        <v>212</v>
      </c>
      <c r="I1158" s="208" t="str">
        <f t="shared" ref="I1158:I1168" ca="1" si="275">IF(H1158="Unidade Construtiva",TEXT(A1158,"00"),IF(H1158="Célula Construtiva",TEXT(B1158,"00"),IF(H1158="Etapa",CONCATENATE(TEXT(B1158,"00"),".",TEXT(C1158,"000")),IF(H1158="Subetapa",CONCATENATE(TEXT(B1158,"00"),".",TEXT(C1158,"000"),".",TEXT(D1158,"000")),IF(H1158="Serviço",CONCATENATE(TEXT(B1158,"00"),".",TEXT(C1158,"000"),".",TEXT(D1158,"000"),".",TEXT(E1158,"000")),"")))))</f>
        <v>15.006.004.005</v>
      </c>
      <c r="J1158" s="209" t="s">
        <v>4214</v>
      </c>
      <c r="K1158" s="210" t="s">
        <v>1</v>
      </c>
      <c r="L1158" s="455">
        <f>L1152</f>
        <v>513.08000000000004</v>
      </c>
      <c r="M1158" s="455">
        <v>32</v>
      </c>
      <c r="N1158" s="285">
        <f t="shared" si="274"/>
        <v>16418.560000000001</v>
      </c>
      <c r="O1158" s="462"/>
      <c r="P1158" s="213" t="s">
        <v>518</v>
      </c>
      <c r="Q1158" s="35"/>
      <c r="R1158" s="35"/>
      <c r="S1158" s="35"/>
    </row>
    <row r="1159" spans="1:19" s="34" customFormat="1" ht="13.9" hidden="1" customHeight="1" outlineLevel="1" x14ac:dyDescent="0.2">
      <c r="A1159" s="457">
        <f ca="1">IF($H1159="UNIDADE CONSTRUTIVA",OFFSET(A1159,-1,0)+1,LARGE(A$3:A1158,1))</f>
        <v>0</v>
      </c>
      <c r="B1159" s="457">
        <f t="shared" ref="B1159:B1173" ca="1" si="276">IF(H1159="UNIDADE CONSTRUTIVA",0,IF(H1159="CÉLULA CONSTRUTIVA",OFFSET(B1159,-1,0)+1,OFFSET(B1159,-1,0)))</f>
        <v>15</v>
      </c>
      <c r="C1159" s="457">
        <f t="shared" ref="C1159:C1173" ca="1" si="277">IF(H1159="CÉLULA CONSTRUTIVA",0,IF(H1159="ETAPA",OFFSET(C1159,-1,0)+1,OFFSET(C1159,-1,0)))</f>
        <v>7</v>
      </c>
      <c r="D1159" s="458">
        <f t="shared" ref="D1159:D1173" ca="1" si="278">IF(H1159="ETAPA",0,IF(H1159="SUBETAPA",OFFSET(D1159,-1,0)+1,OFFSET(D1159,-1,0)))</f>
        <v>0</v>
      </c>
      <c r="E1159" s="458">
        <f t="shared" ref="E1159:E1173" ca="1" si="279">IF(H1159="Subetapa",0,IF(H1159="serviço",OFFSET(E1159,-1,0)+1,OFFSET(E1159,-1,0)))</f>
        <v>5</v>
      </c>
      <c r="G1159" s="206"/>
      <c r="H1159" s="207" t="s">
        <v>210</v>
      </c>
      <c r="I1159" s="208" t="str">
        <f t="shared" ca="1" si="275"/>
        <v>15.007</v>
      </c>
      <c r="J1159" s="209" t="s">
        <v>1055</v>
      </c>
      <c r="K1159" s="210"/>
      <c r="L1159" s="455"/>
      <c r="M1159" s="455"/>
      <c r="N1159" s="285">
        <f t="shared" ca="1" si="274"/>
        <v>67839.524494999991</v>
      </c>
      <c r="O1159" s="462"/>
      <c r="P1159" s="213"/>
      <c r="Q1159" s="35"/>
      <c r="R1159" s="35"/>
      <c r="S1159" s="35"/>
    </row>
    <row r="1160" spans="1:19" s="34" customFormat="1" ht="13.9" hidden="1" customHeight="1" outlineLevel="2" x14ac:dyDescent="0.2">
      <c r="A1160" s="457">
        <f ca="1">IF($H1160="UNIDADE CONSTRUTIVA",OFFSET(A1160,-1,0)+1,LARGE(A$3:A1159,1))</f>
        <v>0</v>
      </c>
      <c r="B1160" s="457">
        <f t="shared" ca="1" si="276"/>
        <v>15</v>
      </c>
      <c r="C1160" s="457">
        <f t="shared" ca="1" si="277"/>
        <v>7</v>
      </c>
      <c r="D1160" s="458">
        <f t="shared" ca="1" si="278"/>
        <v>1</v>
      </c>
      <c r="E1160" s="458">
        <f t="shared" ca="1" si="279"/>
        <v>0</v>
      </c>
      <c r="G1160" s="206"/>
      <c r="H1160" s="207" t="s">
        <v>211</v>
      </c>
      <c r="I1160" s="208" t="str">
        <f t="shared" ca="1" si="275"/>
        <v>15.007.001</v>
      </c>
      <c r="J1160" s="209" t="s">
        <v>138</v>
      </c>
      <c r="K1160" s="210"/>
      <c r="L1160" s="455"/>
      <c r="M1160" s="455"/>
      <c r="N1160" s="285">
        <f t="shared" ca="1" si="274"/>
        <v>18252.115808000002</v>
      </c>
      <c r="O1160" s="462"/>
      <c r="P1160" s="213"/>
      <c r="Q1160" s="35"/>
      <c r="R1160" s="35"/>
      <c r="S1160" s="35"/>
    </row>
    <row r="1161" spans="1:19" s="34" customFormat="1" ht="13.9" hidden="1" customHeight="1" outlineLevel="3" x14ac:dyDescent="0.2">
      <c r="A1161" s="457">
        <f ca="1">IF($H1161="UNIDADE CONSTRUTIVA",OFFSET(A1161,-1,0)+1,LARGE(A$3:A1160,1))</f>
        <v>0</v>
      </c>
      <c r="B1161" s="457">
        <f t="shared" ca="1" si="276"/>
        <v>15</v>
      </c>
      <c r="C1161" s="457">
        <f t="shared" ca="1" si="277"/>
        <v>7</v>
      </c>
      <c r="D1161" s="458">
        <f t="shared" ca="1" si="278"/>
        <v>1</v>
      </c>
      <c r="E1161" s="458">
        <f t="shared" ca="1" si="279"/>
        <v>1</v>
      </c>
      <c r="G1161" s="1000"/>
      <c r="H1161" s="1001" t="s">
        <v>212</v>
      </c>
      <c r="I1161" s="1002" t="str">
        <f t="shared" ca="1" si="275"/>
        <v>15.007.001.001</v>
      </c>
      <c r="J1161" s="1003" t="s">
        <v>1039</v>
      </c>
      <c r="K1161" s="1004" t="s">
        <v>1</v>
      </c>
      <c r="L1161" s="1009">
        <f>L1163+L1164+L1165</f>
        <v>931.65000000000009</v>
      </c>
      <c r="M1161" s="1009">
        <v>2.7856000000000001</v>
      </c>
      <c r="N1161" s="1006">
        <f t="shared" si="274"/>
        <v>2595.2042400000005</v>
      </c>
      <c r="O1161" s="1010" t="s">
        <v>5061</v>
      </c>
      <c r="P1161" s="213" t="s">
        <v>518</v>
      </c>
      <c r="Q1161" s="35"/>
      <c r="R1161" s="35"/>
      <c r="S1161" s="35"/>
    </row>
    <row r="1162" spans="1:19" s="34" customFormat="1" ht="13.9" hidden="1" customHeight="1" outlineLevel="3" x14ac:dyDescent="0.2">
      <c r="A1162" s="457">
        <f ca="1">IF($H1162="UNIDADE CONSTRUTIVA",OFFSET(A1162,-1,0)+1,LARGE(A$3:A1161,1))</f>
        <v>0</v>
      </c>
      <c r="B1162" s="457">
        <f t="shared" ca="1" si="276"/>
        <v>15</v>
      </c>
      <c r="C1162" s="457">
        <f t="shared" ca="1" si="277"/>
        <v>7</v>
      </c>
      <c r="D1162" s="458">
        <f t="shared" ca="1" si="278"/>
        <v>1</v>
      </c>
      <c r="E1162" s="458">
        <f t="shared" ca="1" si="279"/>
        <v>2</v>
      </c>
      <c r="G1162" s="1000"/>
      <c r="H1162" s="1001" t="s">
        <v>212</v>
      </c>
      <c r="I1162" s="1002" t="str">
        <f t="shared" ca="1" si="275"/>
        <v>15.007.001.002</v>
      </c>
      <c r="J1162" s="1003" t="s">
        <v>1040</v>
      </c>
      <c r="K1162" s="1004" t="s">
        <v>1</v>
      </c>
      <c r="L1162" s="1009">
        <f>Arquitetura!D1263+Arquitetura!D1264+Arquitetura!D1268-Arquitetura!D572</f>
        <v>706.69</v>
      </c>
      <c r="M1162" s="1009">
        <v>5.8</v>
      </c>
      <c r="N1162" s="1006">
        <f t="shared" si="274"/>
        <v>4098.8020000000006</v>
      </c>
      <c r="O1162" s="1010" t="s">
        <v>5061</v>
      </c>
      <c r="P1162" s="213" t="s">
        <v>518</v>
      </c>
      <c r="Q1162" s="35"/>
      <c r="R1162" s="35"/>
      <c r="S1162" s="35"/>
    </row>
    <row r="1163" spans="1:19" s="34" customFormat="1" ht="13.9" hidden="1" customHeight="1" outlineLevel="3" x14ac:dyDescent="0.2">
      <c r="A1163" s="457">
        <f ca="1">IF($H1163="UNIDADE CONSTRUTIVA",OFFSET(A1163,-1,0)+1,LARGE(A$3:A1162,1))</f>
        <v>0</v>
      </c>
      <c r="B1163" s="457">
        <f t="shared" ca="1" si="276"/>
        <v>15</v>
      </c>
      <c r="C1163" s="457">
        <f t="shared" ca="1" si="277"/>
        <v>7</v>
      </c>
      <c r="D1163" s="458">
        <f t="shared" ca="1" si="278"/>
        <v>1</v>
      </c>
      <c r="E1163" s="458">
        <f t="shared" ca="1" si="279"/>
        <v>3</v>
      </c>
      <c r="G1163" s="1000"/>
      <c r="H1163" s="1001" t="s">
        <v>212</v>
      </c>
      <c r="I1163" s="1002" t="str">
        <f t="shared" ca="1" si="275"/>
        <v>15.007.001.003</v>
      </c>
      <c r="J1163" s="1003" t="s">
        <v>563</v>
      </c>
      <c r="K1163" s="1004" t="s">
        <v>1</v>
      </c>
      <c r="L1163" s="1009">
        <f>Arquitetura!D1263+Arquitetura!D1264+Arquitetura!D1266+Arquitetura!D1268-Arquitetura!D572</f>
        <v>794.72</v>
      </c>
      <c r="M1163" s="1009">
        <v>13.619899999999999</v>
      </c>
      <c r="N1163" s="1006">
        <f t="shared" si="274"/>
        <v>10824.006928000001</v>
      </c>
      <c r="O1163" s="1010" t="s">
        <v>5061</v>
      </c>
      <c r="P1163" s="213" t="s">
        <v>518</v>
      </c>
      <c r="Q1163" s="35"/>
      <c r="R1163" s="35"/>
      <c r="S1163" s="35"/>
    </row>
    <row r="1164" spans="1:19" s="34" customFormat="1" ht="13.9" hidden="1" customHeight="1" outlineLevel="3" x14ac:dyDescent="0.2">
      <c r="A1164" s="457">
        <f ca="1">IF($H1164="UNIDADE CONSTRUTIVA",OFFSET(A1164,-1,0)+1,LARGE(A$3:A1163,1))</f>
        <v>0</v>
      </c>
      <c r="B1164" s="457">
        <f t="shared" ca="1" si="276"/>
        <v>15</v>
      </c>
      <c r="C1164" s="457">
        <f t="shared" ca="1" si="277"/>
        <v>7</v>
      </c>
      <c r="D1164" s="458">
        <f t="shared" ca="1" si="278"/>
        <v>1</v>
      </c>
      <c r="E1164" s="458">
        <f t="shared" ca="1" si="279"/>
        <v>4</v>
      </c>
      <c r="G1164" s="206"/>
      <c r="H1164" s="207" t="s">
        <v>212</v>
      </c>
      <c r="I1164" s="208" t="str">
        <f t="shared" ca="1" si="275"/>
        <v>15.007.001.004</v>
      </c>
      <c r="J1164" s="209" t="s">
        <v>1041</v>
      </c>
      <c r="K1164" s="210" t="s">
        <v>1</v>
      </c>
      <c r="L1164" s="455">
        <f>Arquitetura!D1265+Arquitetura!D1267</f>
        <v>85.83</v>
      </c>
      <c r="M1164" s="455">
        <v>4.54</v>
      </c>
      <c r="N1164" s="285">
        <f t="shared" si="274"/>
        <v>389.66820000000001</v>
      </c>
      <c r="O1164" s="462" t="s">
        <v>990</v>
      </c>
      <c r="P1164" s="213" t="s">
        <v>518</v>
      </c>
      <c r="Q1164" s="35"/>
      <c r="R1164" s="35"/>
      <c r="S1164" s="35"/>
    </row>
    <row r="1165" spans="1:19" s="34" customFormat="1" ht="13.9" hidden="1" customHeight="1" outlineLevel="3" x14ac:dyDescent="0.2">
      <c r="A1165" s="457">
        <f ca="1">IF($H1165="UNIDADE CONSTRUTIVA",OFFSET(A1165,-1,0)+1,LARGE(A$3:A1164,1))</f>
        <v>0</v>
      </c>
      <c r="B1165" s="457">
        <f t="shared" ca="1" si="276"/>
        <v>15</v>
      </c>
      <c r="C1165" s="457">
        <f t="shared" ca="1" si="277"/>
        <v>7</v>
      </c>
      <c r="D1165" s="458">
        <f t="shared" ca="1" si="278"/>
        <v>1</v>
      </c>
      <c r="E1165" s="458">
        <f t="shared" ca="1" si="279"/>
        <v>5</v>
      </c>
      <c r="G1165" s="206"/>
      <c r="H1165" s="207" t="s">
        <v>212</v>
      </c>
      <c r="I1165" s="208" t="str">
        <f t="shared" ca="1" si="275"/>
        <v>15.007.001.005</v>
      </c>
      <c r="J1165" s="209" t="s">
        <v>435</v>
      </c>
      <c r="K1165" s="210" t="s">
        <v>1</v>
      </c>
      <c r="L1165" s="455">
        <f>Arquitetura!D1269</f>
        <v>51.1</v>
      </c>
      <c r="M1165" s="455">
        <v>6.7404000000000002</v>
      </c>
      <c r="N1165" s="285">
        <f t="shared" si="274"/>
        <v>344.43444</v>
      </c>
      <c r="O1165" s="462"/>
      <c r="P1165" s="213" t="s">
        <v>518</v>
      </c>
      <c r="Q1165" s="35"/>
      <c r="R1165" s="35"/>
      <c r="S1165" s="35"/>
    </row>
    <row r="1166" spans="1:19" s="34" customFormat="1" ht="13.9" hidden="1" customHeight="1" outlineLevel="2" x14ac:dyDescent="0.2">
      <c r="A1166" s="457">
        <f ca="1">IF($H1166="UNIDADE CONSTRUTIVA",OFFSET(A1166,-1,0)+1,LARGE(A$3:A1165,1))</f>
        <v>0</v>
      </c>
      <c r="B1166" s="457">
        <f t="shared" ca="1" si="276"/>
        <v>15</v>
      </c>
      <c r="C1166" s="457">
        <f t="shared" ca="1" si="277"/>
        <v>7</v>
      </c>
      <c r="D1166" s="458">
        <f t="shared" ca="1" si="278"/>
        <v>2</v>
      </c>
      <c r="E1166" s="458">
        <f t="shared" ca="1" si="279"/>
        <v>0</v>
      </c>
      <c r="G1166" s="206"/>
      <c r="H1166" s="207" t="s">
        <v>211</v>
      </c>
      <c r="I1166" s="208" t="str">
        <f t="shared" ca="1" si="275"/>
        <v>15.007.002</v>
      </c>
      <c r="J1166" s="209" t="s">
        <v>139</v>
      </c>
      <c r="K1166" s="210"/>
      <c r="L1166" s="455"/>
      <c r="M1166" s="455"/>
      <c r="N1166" s="285">
        <f t="shared" ca="1" si="274"/>
        <v>8850.528687</v>
      </c>
      <c r="O1166" s="462"/>
      <c r="P1166" s="213"/>
      <c r="Q1166" s="35"/>
      <c r="R1166" s="35"/>
      <c r="S1166" s="35"/>
    </row>
    <row r="1167" spans="1:19" s="34" customFormat="1" ht="13.9" hidden="1" customHeight="1" outlineLevel="3" x14ac:dyDescent="0.2">
      <c r="A1167" s="457">
        <f ca="1">IF($H1167="UNIDADE CONSTRUTIVA",OFFSET(A1167,-1,0)+1,LARGE(A$3:A1166,1))</f>
        <v>0</v>
      </c>
      <c r="B1167" s="457">
        <f t="shared" ca="1" si="276"/>
        <v>15</v>
      </c>
      <c r="C1167" s="457">
        <f t="shared" ca="1" si="277"/>
        <v>7</v>
      </c>
      <c r="D1167" s="458">
        <f t="shared" ca="1" si="278"/>
        <v>2</v>
      </c>
      <c r="E1167" s="458">
        <f t="shared" ca="1" si="279"/>
        <v>1</v>
      </c>
      <c r="G1167" s="206"/>
      <c r="H1167" s="207" t="s">
        <v>212</v>
      </c>
      <c r="I1167" s="208" t="str">
        <f t="shared" ca="1" si="275"/>
        <v>15.007.002.001</v>
      </c>
      <c r="J1167" s="209" t="s">
        <v>564</v>
      </c>
      <c r="K1167" s="210" t="s">
        <v>1</v>
      </c>
      <c r="L1167" s="455">
        <f>Arquitetura!D1338</f>
        <v>403.73</v>
      </c>
      <c r="M1167" s="455">
        <v>21.921900000000001</v>
      </c>
      <c r="N1167" s="285">
        <f t="shared" si="274"/>
        <v>8850.528687</v>
      </c>
      <c r="O1167" s="462"/>
      <c r="P1167" s="213" t="s">
        <v>518</v>
      </c>
      <c r="Q1167" s="35"/>
      <c r="R1167" s="35"/>
      <c r="S1167" s="35"/>
    </row>
    <row r="1168" spans="1:19" s="34" customFormat="1" ht="13.9" hidden="1" customHeight="1" outlineLevel="2" x14ac:dyDescent="0.2">
      <c r="A1168" s="457">
        <f ca="1">IF($H1168="UNIDADE CONSTRUTIVA",OFFSET(A1168,-1,0)+1,LARGE(A$3:A1167,1))</f>
        <v>0</v>
      </c>
      <c r="B1168" s="457">
        <f t="shared" ca="1" si="276"/>
        <v>15</v>
      </c>
      <c r="C1168" s="457">
        <f t="shared" ca="1" si="277"/>
        <v>7</v>
      </c>
      <c r="D1168" s="458">
        <f t="shared" ca="1" si="278"/>
        <v>3</v>
      </c>
      <c r="E1168" s="458">
        <f t="shared" ca="1" si="279"/>
        <v>0</v>
      </c>
      <c r="G1168" s="206"/>
      <c r="H1168" s="207" t="s">
        <v>211</v>
      </c>
      <c r="I1168" s="208" t="str">
        <f t="shared" ca="1" si="275"/>
        <v>15.007.003</v>
      </c>
      <c r="J1168" s="209" t="s">
        <v>430</v>
      </c>
      <c r="K1168" s="210"/>
      <c r="L1168" s="455"/>
      <c r="M1168" s="455"/>
      <c r="N1168" s="285">
        <f t="shared" ca="1" si="274"/>
        <v>40736.880000000005</v>
      </c>
      <c r="O1168" s="462"/>
      <c r="P1168" s="213"/>
      <c r="Q1168" s="35"/>
      <c r="R1168" s="35"/>
      <c r="S1168" s="35"/>
    </row>
    <row r="1169" spans="1:19" s="34" customFormat="1" ht="13.5" hidden="1" customHeight="1" outlineLevel="3" x14ac:dyDescent="0.2">
      <c r="A1169" s="457">
        <f ca="1">IF($H1169="UNIDADE CONSTRUTIVA",OFFSET(A1169,-1,0)+1,LARGE(A$3:A1168,1))</f>
        <v>0</v>
      </c>
      <c r="B1169" s="457">
        <f t="shared" ca="1" si="276"/>
        <v>15</v>
      </c>
      <c r="C1169" s="457">
        <f t="shared" ca="1" si="277"/>
        <v>7</v>
      </c>
      <c r="D1169" s="458">
        <f t="shared" ca="1" si="278"/>
        <v>3</v>
      </c>
      <c r="E1169" s="458">
        <f t="shared" ca="1" si="279"/>
        <v>1</v>
      </c>
      <c r="G1169" s="206"/>
      <c r="H1169" s="207" t="s">
        <v>212</v>
      </c>
      <c r="I1169" s="208" t="str">
        <f ca="1">IF(H1169="Unidade Construtiva",TEXT(A1169,"00"),IF(H1169="Célula Construtiva",TEXT(B1169,"00"),IF(H1169="Etapa",CONCATENATE(TEXT(B1169,"00"),".",TEXT(C1169,"000")),IF(H1169="Subetapa",CONCATENATE(TEXT(B1169,"00"),".",TEXT(C1169,"000"),".",TEXT(D1169,"000")),IF(H1169="Serviço",CONCATENATE(TEXT(B1169,"00"),".",TEXT(C1169,"000"),".",TEXT(D1169,"000"),".",TEXT(E1169,"000")),"")))))</f>
        <v>15.007.003.001</v>
      </c>
      <c r="J1169" s="209" t="s">
        <v>1044</v>
      </c>
      <c r="K1169" s="210" t="s">
        <v>1</v>
      </c>
      <c r="L1169" s="455">
        <f>Arquitetura!D1266</f>
        <v>88.03</v>
      </c>
      <c r="M1169" s="455">
        <v>28</v>
      </c>
      <c r="N1169" s="285">
        <f t="shared" si="274"/>
        <v>2464.84</v>
      </c>
      <c r="O1169" s="462"/>
      <c r="P1169" s="213" t="s">
        <v>518</v>
      </c>
      <c r="Q1169" s="35"/>
      <c r="R1169" s="35"/>
      <c r="S1169" s="35"/>
    </row>
    <row r="1170" spans="1:19" s="34" customFormat="1" ht="13.5" hidden="1" customHeight="1" outlineLevel="3" x14ac:dyDescent="0.2">
      <c r="A1170" s="457">
        <f ca="1">IF($H1170="UNIDADE CONSTRUTIVA",OFFSET(A1170,-1,0)+1,LARGE(A$3:A1169,1))</f>
        <v>0</v>
      </c>
      <c r="B1170" s="457">
        <f t="shared" ca="1" si="276"/>
        <v>15</v>
      </c>
      <c r="C1170" s="457">
        <f t="shared" ca="1" si="277"/>
        <v>7</v>
      </c>
      <c r="D1170" s="458">
        <f t="shared" ca="1" si="278"/>
        <v>3</v>
      </c>
      <c r="E1170" s="458">
        <f t="shared" ca="1" si="279"/>
        <v>2</v>
      </c>
      <c r="G1170" s="1000"/>
      <c r="H1170" s="1001" t="s">
        <v>212</v>
      </c>
      <c r="I1170" s="1002" t="str">
        <f ca="1">IF(H1170="Unidade Construtiva",TEXT(A1170,"00"),IF(H1170="Célula Construtiva",TEXT(B1170,"00"),IF(H1170="Etapa",CONCATENATE(TEXT(B1170,"00"),".",TEXT(C1170,"000")),IF(H1170="Subetapa",CONCATENATE(TEXT(B1170,"00"),".",TEXT(C1170,"000"),".",TEXT(D1170,"000")),IF(H1170="Serviço",CONCATENATE(TEXT(B1170,"00"),".",TEXT(C1170,"000"),".",TEXT(D1170,"000"),".",TEXT(E1170,"000")),"")))))</f>
        <v>15.007.003.002</v>
      </c>
      <c r="J1170" s="1003" t="s">
        <v>1045</v>
      </c>
      <c r="K1170" s="1004" t="s">
        <v>1</v>
      </c>
      <c r="L1170" s="1009">
        <f>L1162</f>
        <v>706.69</v>
      </c>
      <c r="M1170" s="1009">
        <v>32</v>
      </c>
      <c r="N1170" s="1006">
        <f t="shared" si="274"/>
        <v>22614.080000000002</v>
      </c>
      <c r="O1170" s="1010"/>
      <c r="P1170" s="213" t="s">
        <v>518</v>
      </c>
      <c r="Q1170" s="35"/>
      <c r="R1170" s="35"/>
      <c r="S1170" s="35"/>
    </row>
    <row r="1171" spans="1:19" s="34" customFormat="1" ht="13.9" hidden="1" customHeight="1" outlineLevel="3" x14ac:dyDescent="0.2">
      <c r="A1171" s="457">
        <f ca="1">IF($H1171="UNIDADE CONSTRUTIVA",OFFSET(A1171,-1,0)+1,LARGE(A$3:A1170,1))</f>
        <v>0</v>
      </c>
      <c r="B1171" s="457">
        <f t="shared" ca="1" si="276"/>
        <v>15</v>
      </c>
      <c r="C1171" s="457">
        <f t="shared" ca="1" si="277"/>
        <v>7</v>
      </c>
      <c r="D1171" s="458">
        <f t="shared" ca="1" si="278"/>
        <v>3</v>
      </c>
      <c r="E1171" s="458">
        <f t="shared" ca="1" si="279"/>
        <v>3</v>
      </c>
      <c r="G1171" s="206"/>
      <c r="H1171" s="207" t="s">
        <v>212</v>
      </c>
      <c r="I1171" s="208" t="str">
        <f ca="1">IF(H1171="Unidade Construtiva",TEXT(A1171,"00"),IF(H1171="Célula Construtiva",TEXT(B1171,"00"),IF(H1171="Etapa",CONCATENATE(TEXT(B1171,"00"),".",TEXT(C1171,"000")),IF(H1171="Subetapa",CONCATENATE(TEXT(B1171,"00"),".",TEXT(C1171,"000"),".",TEXT(D1171,"000")),IF(H1171="Serviço",CONCATENATE(TEXT(B1171,"00"),".",TEXT(C1171,"000"),".",TEXT(D1171,"000"),".",TEXT(E1171,"000")),"")))))</f>
        <v>15.007.003.003</v>
      </c>
      <c r="J1171" s="209" t="s">
        <v>1046</v>
      </c>
      <c r="K1171" s="210" t="s">
        <v>1</v>
      </c>
      <c r="L1171" s="455">
        <f>L1165</f>
        <v>51.1</v>
      </c>
      <c r="M1171" s="455">
        <v>20</v>
      </c>
      <c r="N1171" s="285">
        <f t="shared" si="274"/>
        <v>1022</v>
      </c>
      <c r="O1171" s="462"/>
      <c r="P1171" s="213" t="s">
        <v>518</v>
      </c>
      <c r="Q1171" s="35"/>
      <c r="R1171" s="35"/>
      <c r="S1171" s="35"/>
    </row>
    <row r="1172" spans="1:19" s="34" customFormat="1" ht="13.5" hidden="1" customHeight="1" outlineLevel="3" x14ac:dyDescent="0.2">
      <c r="A1172" s="457">
        <f ca="1">IF($H1172="UNIDADE CONSTRUTIVA",OFFSET(A1172,-1,0)+1,LARGE(A$3:A1171,1))</f>
        <v>0</v>
      </c>
      <c r="B1172" s="457">
        <f t="shared" ca="1" si="276"/>
        <v>15</v>
      </c>
      <c r="C1172" s="457">
        <f t="shared" ca="1" si="277"/>
        <v>7</v>
      </c>
      <c r="D1172" s="458">
        <f t="shared" ca="1" si="278"/>
        <v>3</v>
      </c>
      <c r="E1172" s="458">
        <f t="shared" ca="1" si="279"/>
        <v>4</v>
      </c>
      <c r="G1172" s="206"/>
      <c r="H1172" s="207" t="s">
        <v>212</v>
      </c>
      <c r="I1172" s="208" t="str">
        <f ca="1">IF(H1172="Unidade Construtiva",TEXT(A1172,"00"),IF(H1172="Célula Construtiva",TEXT(B1172,"00"),IF(H1172="Etapa",CONCATENATE(TEXT(B1172,"00"),".",TEXT(C1172,"000")),IF(H1172="Subetapa",CONCATENATE(TEXT(B1172,"00"),".",TEXT(C1172,"000"),".",TEXT(D1172,"000")),IF(H1172="Serviço",CONCATENATE(TEXT(B1172,"00"),".",TEXT(C1172,"000"),".",TEXT(D1172,"000"),".",TEXT(E1172,"000")),"")))))</f>
        <v>15.007.003.004</v>
      </c>
      <c r="J1172" s="209" t="s">
        <v>4213</v>
      </c>
      <c r="K1172" s="210" t="s">
        <v>1</v>
      </c>
      <c r="L1172" s="455">
        <f>L1164</f>
        <v>85.83</v>
      </c>
      <c r="M1172" s="455">
        <v>20</v>
      </c>
      <c r="N1172" s="285">
        <f t="shared" si="274"/>
        <v>1716.6</v>
      </c>
      <c r="O1172" s="462" t="s">
        <v>990</v>
      </c>
      <c r="P1172" s="213" t="s">
        <v>518</v>
      </c>
      <c r="Q1172" s="35"/>
      <c r="R1172" s="35"/>
      <c r="S1172" s="35"/>
    </row>
    <row r="1173" spans="1:19" s="34" customFormat="1" ht="13.9" hidden="1" customHeight="1" outlineLevel="3" x14ac:dyDescent="0.2">
      <c r="A1173" s="457">
        <f ca="1">IF($H1173="UNIDADE CONSTRUTIVA",OFFSET(A1173,-1,0)+1,LARGE(A$3:A1172,1))</f>
        <v>0</v>
      </c>
      <c r="B1173" s="457">
        <f t="shared" ca="1" si="276"/>
        <v>15</v>
      </c>
      <c r="C1173" s="457">
        <f t="shared" ca="1" si="277"/>
        <v>7</v>
      </c>
      <c r="D1173" s="458">
        <f t="shared" ca="1" si="278"/>
        <v>3</v>
      </c>
      <c r="E1173" s="458">
        <f t="shared" ca="1" si="279"/>
        <v>5</v>
      </c>
      <c r="G1173" s="206"/>
      <c r="H1173" s="207" t="s">
        <v>212</v>
      </c>
      <c r="I1173" s="208" t="str">
        <f ca="1">IF(H1173="Unidade Construtiva",TEXT(A1173,"00"),IF(H1173="Célula Construtiva",TEXT(B1173,"00"),IF(H1173="Etapa",CONCATENATE(TEXT(B1173,"00"),".",TEXT(C1173,"000")),IF(H1173="Subetapa",CONCATENATE(TEXT(B1173,"00"),".",TEXT(C1173,"000"),".",TEXT(D1173,"000")),IF(H1173="Serviço",CONCATENATE(TEXT(B1173,"00"),".",TEXT(C1173,"000"),".",TEXT(D1173,"000"),".",TEXT(E1173,"000")),"")))))</f>
        <v>15.007.003.005</v>
      </c>
      <c r="J1173" s="209" t="s">
        <v>4214</v>
      </c>
      <c r="K1173" s="210" t="s">
        <v>1</v>
      </c>
      <c r="L1173" s="455">
        <f>L1167</f>
        <v>403.73</v>
      </c>
      <c r="M1173" s="455">
        <v>32</v>
      </c>
      <c r="N1173" s="285">
        <f t="shared" si="274"/>
        <v>12919.36</v>
      </c>
      <c r="O1173" s="462"/>
      <c r="P1173" s="213" t="s">
        <v>518</v>
      </c>
      <c r="Q1173" s="35"/>
      <c r="R1173" s="35"/>
      <c r="S1173" s="35"/>
    </row>
    <row r="1174" spans="1:19" s="34" customFormat="1" ht="13.9" hidden="1" customHeight="1" outlineLevel="1" x14ac:dyDescent="0.2">
      <c r="A1174" s="457">
        <f ca="1">IF($H1174="UNIDADE CONSTRUTIVA",OFFSET(A1174,-1,0)+1,LARGE(A$3:A1173,1))</f>
        <v>0</v>
      </c>
      <c r="B1174" s="457">
        <f t="shared" ca="1" si="255"/>
        <v>15</v>
      </c>
      <c r="C1174" s="457">
        <f t="shared" ca="1" si="256"/>
        <v>8</v>
      </c>
      <c r="D1174" s="458">
        <f t="shared" ca="1" si="257"/>
        <v>0</v>
      </c>
      <c r="E1174" s="458">
        <f t="shared" ca="1" si="258"/>
        <v>5</v>
      </c>
      <c r="G1174" s="206"/>
      <c r="H1174" s="207" t="s">
        <v>210</v>
      </c>
      <c r="I1174" s="208" t="str">
        <f t="shared" ref="I1174:I1181" ca="1" si="280">IF(H1174="Unidade Construtiva",TEXT(A1174,"00"),IF(H1174="Célula Construtiva",TEXT(B1174,"00"),IF(H1174="Etapa",CONCATENATE(TEXT(B1174,"00"),".",TEXT(C1174,"000")),IF(H1174="Subetapa",CONCATENATE(TEXT(B1174,"00"),".",TEXT(C1174,"000"),".",TEXT(D1174,"000")),IF(H1174="Serviço",CONCATENATE(TEXT(B1174,"00"),".",TEXT(C1174,"000"),".",TEXT(D1174,"000"),".",TEXT(E1174,"000")),"")))))</f>
        <v>15.008</v>
      </c>
      <c r="J1174" s="209" t="s">
        <v>1048</v>
      </c>
      <c r="K1174" s="210"/>
      <c r="L1174" s="455"/>
      <c r="M1174" s="455"/>
      <c r="N1174" s="285">
        <f t="shared" ca="1" si="274"/>
        <v>23721.642735000001</v>
      </c>
      <c r="O1174" s="462"/>
      <c r="P1174" s="213"/>
      <c r="Q1174" s="35"/>
      <c r="R1174" s="35"/>
      <c r="S1174" s="35"/>
    </row>
    <row r="1175" spans="1:19" s="34" customFormat="1" ht="13.9" hidden="1" customHeight="1" outlineLevel="2" x14ac:dyDescent="0.2">
      <c r="A1175" s="457">
        <f ca="1">IF($H1175="UNIDADE CONSTRUTIVA",OFFSET(A1175,-1,0)+1,LARGE(A$3:A1174,1))</f>
        <v>0</v>
      </c>
      <c r="B1175" s="457">
        <f t="shared" ca="1" si="255"/>
        <v>15</v>
      </c>
      <c r="C1175" s="457">
        <f t="shared" ca="1" si="256"/>
        <v>8</v>
      </c>
      <c r="D1175" s="458">
        <f t="shared" ca="1" si="257"/>
        <v>1</v>
      </c>
      <c r="E1175" s="458">
        <f t="shared" ca="1" si="258"/>
        <v>0</v>
      </c>
      <c r="G1175" s="206"/>
      <c r="H1175" s="207" t="s">
        <v>211</v>
      </c>
      <c r="I1175" s="208" t="str">
        <f t="shared" ca="1" si="280"/>
        <v>15.008.001</v>
      </c>
      <c r="J1175" s="209" t="s">
        <v>138</v>
      </c>
      <c r="K1175" s="210"/>
      <c r="L1175" s="455"/>
      <c r="M1175" s="455"/>
      <c r="N1175" s="285">
        <f t="shared" ca="1" si="274"/>
        <v>6754.0764389999995</v>
      </c>
      <c r="O1175" s="462"/>
      <c r="P1175" s="213"/>
      <c r="Q1175" s="35"/>
      <c r="R1175" s="35"/>
      <c r="S1175" s="35"/>
    </row>
    <row r="1176" spans="1:19" s="34" customFormat="1" ht="13.9" hidden="1" customHeight="1" outlineLevel="3" x14ac:dyDescent="0.2">
      <c r="A1176" s="457">
        <f ca="1">IF($H1176="UNIDADE CONSTRUTIVA",OFFSET(A1176,-1,0)+1,LARGE(A$3:A1175,1))</f>
        <v>0</v>
      </c>
      <c r="B1176" s="457">
        <f t="shared" ca="1" si="255"/>
        <v>15</v>
      </c>
      <c r="C1176" s="457">
        <f t="shared" ca="1" si="256"/>
        <v>8</v>
      </c>
      <c r="D1176" s="458">
        <f t="shared" ca="1" si="257"/>
        <v>1</v>
      </c>
      <c r="E1176" s="458">
        <f t="shared" ca="1" si="258"/>
        <v>1</v>
      </c>
      <c r="G1176" s="206"/>
      <c r="H1176" s="207" t="s">
        <v>212</v>
      </c>
      <c r="I1176" s="208" t="str">
        <f t="shared" ca="1" si="280"/>
        <v>15.008.001.001</v>
      </c>
      <c r="J1176" s="209" t="s">
        <v>1039</v>
      </c>
      <c r="K1176" s="210" t="s">
        <v>1</v>
      </c>
      <c r="L1176" s="455">
        <f>SUM(Arquitetura!D1271:D1275)</f>
        <v>437.98</v>
      </c>
      <c r="M1176" s="455">
        <v>2.7856000000000001</v>
      </c>
      <c r="N1176" s="285">
        <f t="shared" si="274"/>
        <v>1220.037088</v>
      </c>
      <c r="O1176" s="462"/>
      <c r="P1176" s="213" t="s">
        <v>518</v>
      </c>
      <c r="Q1176" s="35"/>
      <c r="R1176" s="35"/>
      <c r="S1176" s="35"/>
    </row>
    <row r="1177" spans="1:19" s="34" customFormat="1" ht="13.9" hidden="1" customHeight="1" outlineLevel="3" x14ac:dyDescent="0.2">
      <c r="A1177" s="457">
        <f ca="1">IF($H1177="UNIDADE CONSTRUTIVA",OFFSET(A1177,-1,0)+1,LARGE(A$3:A1176,1))</f>
        <v>0</v>
      </c>
      <c r="B1177" s="457">
        <f t="shared" ca="1" si="255"/>
        <v>15</v>
      </c>
      <c r="C1177" s="457">
        <f t="shared" ca="1" si="256"/>
        <v>8</v>
      </c>
      <c r="D1177" s="458">
        <f t="shared" ca="1" si="257"/>
        <v>1</v>
      </c>
      <c r="E1177" s="458">
        <f t="shared" ca="1" si="258"/>
        <v>2</v>
      </c>
      <c r="G1177" s="206"/>
      <c r="H1177" s="207" t="s">
        <v>212</v>
      </c>
      <c r="I1177" s="208" t="str">
        <f t="shared" ca="1" si="280"/>
        <v>15.008.001.002</v>
      </c>
      <c r="J1177" s="209" t="s">
        <v>563</v>
      </c>
      <c r="K1177" s="210" t="s">
        <v>1</v>
      </c>
      <c r="L1177" s="455">
        <f>Arquitetura!D1271+Arquitetura!D1274</f>
        <v>390.49</v>
      </c>
      <c r="M1177" s="455">
        <v>13.619899999999999</v>
      </c>
      <c r="N1177" s="285">
        <f t="shared" si="274"/>
        <v>5318.4347509999998</v>
      </c>
      <c r="O1177" s="462"/>
      <c r="P1177" s="213" t="s">
        <v>518</v>
      </c>
      <c r="Q1177" s="35"/>
      <c r="R1177" s="35"/>
      <c r="S1177" s="35"/>
    </row>
    <row r="1178" spans="1:19" s="34" customFormat="1" ht="13.9" hidden="1" customHeight="1" outlineLevel="3" x14ac:dyDescent="0.2">
      <c r="A1178" s="457">
        <f ca="1">IF($H1178="UNIDADE CONSTRUTIVA",OFFSET(A1178,-1,0)+1,LARGE(A$3:A1177,1))</f>
        <v>0</v>
      </c>
      <c r="B1178" s="457">
        <f t="shared" ca="1" si="255"/>
        <v>15</v>
      </c>
      <c r="C1178" s="457">
        <f t="shared" ca="1" si="256"/>
        <v>8</v>
      </c>
      <c r="D1178" s="458">
        <f t="shared" ca="1" si="257"/>
        <v>1</v>
      </c>
      <c r="E1178" s="458">
        <f t="shared" ca="1" si="258"/>
        <v>3</v>
      </c>
      <c r="G1178" s="206"/>
      <c r="H1178" s="207" t="s">
        <v>212</v>
      </c>
      <c r="I1178" s="208" t="str">
        <f t="shared" ca="1" si="280"/>
        <v>15.008.001.003</v>
      </c>
      <c r="J1178" s="209" t="s">
        <v>1041</v>
      </c>
      <c r="K1178" s="210" t="s">
        <v>1</v>
      </c>
      <c r="L1178" s="455">
        <f>Arquitetura!D1272+Arquitetura!D1275</f>
        <v>47.49</v>
      </c>
      <c r="M1178" s="455">
        <v>4.54</v>
      </c>
      <c r="N1178" s="285">
        <f t="shared" si="274"/>
        <v>215.6046</v>
      </c>
      <c r="O1178" s="462" t="s">
        <v>990</v>
      </c>
      <c r="P1178" s="213" t="s">
        <v>518</v>
      </c>
      <c r="Q1178" s="35"/>
      <c r="R1178" s="35"/>
      <c r="S1178" s="35"/>
    </row>
    <row r="1179" spans="1:19" s="34" customFormat="1" ht="13.9" hidden="1" customHeight="1" outlineLevel="2" x14ac:dyDescent="0.2">
      <c r="A1179" s="457">
        <f ca="1">IF($H1179="UNIDADE CONSTRUTIVA",OFFSET(A1179,-1,0)+1,LARGE(A$3:A1178,1))</f>
        <v>0</v>
      </c>
      <c r="B1179" s="457">
        <f t="shared" ca="1" si="255"/>
        <v>15</v>
      </c>
      <c r="C1179" s="457">
        <f t="shared" ca="1" si="256"/>
        <v>8</v>
      </c>
      <c r="D1179" s="458">
        <f t="shared" ca="1" si="257"/>
        <v>2</v>
      </c>
      <c r="E1179" s="458">
        <f t="shared" ca="1" si="258"/>
        <v>0</v>
      </c>
      <c r="G1179" s="206"/>
      <c r="H1179" s="207" t="s">
        <v>211</v>
      </c>
      <c r="I1179" s="208" t="str">
        <f t="shared" ca="1" si="280"/>
        <v>15.008.002</v>
      </c>
      <c r="J1179" s="209" t="s">
        <v>139</v>
      </c>
      <c r="K1179" s="210"/>
      <c r="L1179" s="455"/>
      <c r="M1179" s="455"/>
      <c r="N1179" s="285">
        <f t="shared" ca="1" si="274"/>
        <v>2232.526296</v>
      </c>
      <c r="O1179" s="462"/>
      <c r="P1179" s="213"/>
      <c r="Q1179" s="35"/>
      <c r="R1179" s="35"/>
      <c r="S1179" s="35"/>
    </row>
    <row r="1180" spans="1:19" s="34" customFormat="1" ht="13.9" hidden="1" customHeight="1" outlineLevel="3" x14ac:dyDescent="0.2">
      <c r="A1180" s="457">
        <f ca="1">IF($H1180="UNIDADE CONSTRUTIVA",OFFSET(A1180,-1,0)+1,LARGE(A$3:A1179,1))</f>
        <v>0</v>
      </c>
      <c r="B1180" s="457">
        <f t="shared" ca="1" si="255"/>
        <v>15</v>
      </c>
      <c r="C1180" s="457">
        <f t="shared" ca="1" si="256"/>
        <v>8</v>
      </c>
      <c r="D1180" s="458">
        <f t="shared" ca="1" si="257"/>
        <v>2</v>
      </c>
      <c r="E1180" s="458">
        <f t="shared" ca="1" si="258"/>
        <v>1</v>
      </c>
      <c r="G1180" s="206"/>
      <c r="H1180" s="207" t="s">
        <v>212</v>
      </c>
      <c r="I1180" s="208" t="str">
        <f t="shared" ca="1" si="280"/>
        <v>15.008.002.001</v>
      </c>
      <c r="J1180" s="209" t="s">
        <v>564</v>
      </c>
      <c r="K1180" s="210" t="s">
        <v>1</v>
      </c>
      <c r="L1180" s="455">
        <f>Arquitetura!D1340+Arquitetura!D1342</f>
        <v>101.84</v>
      </c>
      <c r="M1180" s="455">
        <v>21.921900000000001</v>
      </c>
      <c r="N1180" s="285">
        <f t="shared" si="274"/>
        <v>2232.526296</v>
      </c>
      <c r="O1180" s="462"/>
      <c r="P1180" s="213" t="s">
        <v>518</v>
      </c>
      <c r="Q1180" s="35"/>
      <c r="R1180" s="35"/>
      <c r="S1180" s="35"/>
    </row>
    <row r="1181" spans="1:19" s="34" customFormat="1" ht="13.9" hidden="1" customHeight="1" outlineLevel="2" x14ac:dyDescent="0.2">
      <c r="A1181" s="457">
        <f ca="1">IF($H1181="UNIDADE CONSTRUTIVA",OFFSET(A1181,-1,0)+1,LARGE(A$3:A1180,1))</f>
        <v>0</v>
      </c>
      <c r="B1181" s="457">
        <f t="shared" ca="1" si="255"/>
        <v>15</v>
      </c>
      <c r="C1181" s="457">
        <f t="shared" ca="1" si="256"/>
        <v>8</v>
      </c>
      <c r="D1181" s="458">
        <f t="shared" ca="1" si="257"/>
        <v>3</v>
      </c>
      <c r="E1181" s="458">
        <f t="shared" ca="1" si="258"/>
        <v>0</v>
      </c>
      <c r="G1181" s="206"/>
      <c r="H1181" s="207" t="s">
        <v>211</v>
      </c>
      <c r="I1181" s="208" t="str">
        <f t="shared" ca="1" si="280"/>
        <v>15.008.003</v>
      </c>
      <c r="J1181" s="209" t="s">
        <v>430</v>
      </c>
      <c r="K1181" s="210"/>
      <c r="L1181" s="455"/>
      <c r="M1181" s="455"/>
      <c r="N1181" s="285">
        <f t="shared" ca="1" si="274"/>
        <v>14735.04</v>
      </c>
      <c r="O1181" s="462"/>
      <c r="P1181" s="213"/>
      <c r="Q1181" s="35"/>
      <c r="R1181" s="35"/>
      <c r="S1181" s="35"/>
    </row>
    <row r="1182" spans="1:19" s="34" customFormat="1" ht="13.5" hidden="1" customHeight="1" outlineLevel="3" x14ac:dyDescent="0.2">
      <c r="A1182" s="457">
        <f ca="1">IF($H1182="UNIDADE CONSTRUTIVA",OFFSET(A1182,-1,0)+1,LARGE(A$3:A1181,1))</f>
        <v>0</v>
      </c>
      <c r="B1182" s="457">
        <f t="shared" ca="1" si="255"/>
        <v>15</v>
      </c>
      <c r="C1182" s="457">
        <f t="shared" ca="1" si="256"/>
        <v>8</v>
      </c>
      <c r="D1182" s="458">
        <f t="shared" ca="1" si="257"/>
        <v>3</v>
      </c>
      <c r="E1182" s="458">
        <f t="shared" ca="1" si="258"/>
        <v>1</v>
      </c>
      <c r="G1182" s="206"/>
      <c r="H1182" s="207" t="s">
        <v>212</v>
      </c>
      <c r="I1182" s="208" t="str">
        <f t="shared" ref="I1182:I1189" ca="1" si="281">IF(H1182="Unidade Construtiva",TEXT(A1182,"00"),IF(H1182="Célula Construtiva",TEXT(B1182,"00"),IF(H1182="Etapa",CONCATENATE(TEXT(B1182,"00"),".",TEXT(C1182,"000")),IF(H1182="Subetapa",CONCATENATE(TEXT(B1182,"00"),".",TEXT(C1182,"000"),".",TEXT(D1182,"000")),IF(H1182="Serviço",CONCATENATE(TEXT(B1182,"00"),".",TEXT(C1182,"000"),".",TEXT(D1182,"000"),".",TEXT(E1182,"000")),"")))))</f>
        <v>15.008.003.001</v>
      </c>
      <c r="J1182" s="209" t="s">
        <v>1044</v>
      </c>
      <c r="K1182" s="210" t="s">
        <v>1</v>
      </c>
      <c r="L1182" s="455">
        <f>L1177</f>
        <v>390.49</v>
      </c>
      <c r="M1182" s="455">
        <v>28</v>
      </c>
      <c r="N1182" s="285">
        <f t="shared" si="274"/>
        <v>10933.720000000001</v>
      </c>
      <c r="O1182" s="462"/>
      <c r="P1182" s="213" t="s">
        <v>518</v>
      </c>
      <c r="Q1182" s="35"/>
      <c r="R1182" s="35"/>
      <c r="S1182" s="35"/>
    </row>
    <row r="1183" spans="1:19" s="34" customFormat="1" ht="13.5" hidden="1" customHeight="1" outlineLevel="3" x14ac:dyDescent="0.2">
      <c r="A1183" s="457">
        <f ca="1">IF($H1183="UNIDADE CONSTRUTIVA",OFFSET(A1183,-1,0)+1,LARGE(A$3:A1182,1))</f>
        <v>0</v>
      </c>
      <c r="B1183" s="457">
        <f t="shared" ca="1" si="255"/>
        <v>15</v>
      </c>
      <c r="C1183" s="457">
        <f t="shared" ca="1" si="256"/>
        <v>8</v>
      </c>
      <c r="D1183" s="458">
        <f t="shared" ca="1" si="257"/>
        <v>3</v>
      </c>
      <c r="E1183" s="458">
        <f t="shared" ca="1" si="258"/>
        <v>2</v>
      </c>
      <c r="G1183" s="206"/>
      <c r="H1183" s="207" t="s">
        <v>212</v>
      </c>
      <c r="I1183" s="208" t="str">
        <f t="shared" ca="1" si="281"/>
        <v>15.008.003.002</v>
      </c>
      <c r="J1183" s="209" t="s">
        <v>1047</v>
      </c>
      <c r="K1183" s="210" t="s">
        <v>1</v>
      </c>
      <c r="L1183" s="455">
        <f>L1178</f>
        <v>47.49</v>
      </c>
      <c r="M1183" s="455">
        <v>20</v>
      </c>
      <c r="N1183" s="285">
        <f t="shared" si="274"/>
        <v>949.80000000000007</v>
      </c>
      <c r="O1183" s="462" t="s">
        <v>990</v>
      </c>
      <c r="P1183" s="213" t="s">
        <v>518</v>
      </c>
      <c r="Q1183" s="35"/>
      <c r="R1183" s="35"/>
      <c r="S1183" s="35"/>
    </row>
    <row r="1184" spans="1:19" s="34" customFormat="1" ht="13.9" hidden="1" customHeight="1" outlineLevel="3" x14ac:dyDescent="0.2">
      <c r="A1184" s="457">
        <f ca="1">IF($H1184="UNIDADE CONSTRUTIVA",OFFSET(A1184,-1,0)+1,LARGE(A$3:A1183,1))</f>
        <v>0</v>
      </c>
      <c r="B1184" s="457">
        <f t="shared" ca="1" si="255"/>
        <v>15</v>
      </c>
      <c r="C1184" s="457">
        <f t="shared" ca="1" si="256"/>
        <v>8</v>
      </c>
      <c r="D1184" s="458">
        <f t="shared" ca="1" si="257"/>
        <v>3</v>
      </c>
      <c r="E1184" s="458">
        <f t="shared" ca="1" si="258"/>
        <v>3</v>
      </c>
      <c r="G1184" s="206"/>
      <c r="H1184" s="207" t="s">
        <v>212</v>
      </c>
      <c r="I1184" s="208" t="str">
        <f t="shared" ca="1" si="281"/>
        <v>15.008.003.003</v>
      </c>
      <c r="J1184" s="209" t="s">
        <v>1049</v>
      </c>
      <c r="K1184" s="210" t="s">
        <v>1</v>
      </c>
      <c r="L1184" s="455">
        <f>L1180</f>
        <v>101.84</v>
      </c>
      <c r="M1184" s="455">
        <v>28</v>
      </c>
      <c r="N1184" s="285">
        <f t="shared" ref="N1184" si="282">IF(H1184="Serviço",M1184*L1184,IF(H1184="CÉLULA CONSTRUTIVA",SUMIFS($N$8:$N$1408,$B$8:$B$1408,B1184,$H$8:$H$1408,"Serviço"),IF(H1184="ETAPA",SUMIFS($N$8:$N$1408,$B$8:$B$1408,B1184,$C$8:$C$1408,C1184,$H$8:$H$1408,"Serviço"),IF(H1184="SUBETAPA",SUMIFS($N$8:$N$1408,$B$8:$B$1408,B1184,$C$8:$C$1408,C1184,$D$8:$D$1408,D1184,$H$8:$H$1408,"Serviço"),0))))</f>
        <v>2851.52</v>
      </c>
      <c r="O1184" s="462"/>
      <c r="P1184" s="213" t="s">
        <v>518</v>
      </c>
      <c r="Q1184" s="35"/>
      <c r="R1184" s="35"/>
      <c r="S1184" s="35"/>
    </row>
    <row r="1185" spans="1:19" s="34" customFormat="1" ht="13.9" customHeight="1" collapsed="1" x14ac:dyDescent="0.2">
      <c r="A1185" s="457">
        <f ca="1">IF($H1185="UNIDADE CONSTRUTIVA",OFFSET(A1185,-1,0)+1,LARGE(A$3:A1184,1))</f>
        <v>0</v>
      </c>
      <c r="B1185" s="457">
        <f t="shared" ca="1" si="255"/>
        <v>16</v>
      </c>
      <c r="C1185" s="457">
        <f t="shared" ca="1" si="256"/>
        <v>0</v>
      </c>
      <c r="D1185" s="458">
        <f t="shared" ca="1" si="257"/>
        <v>3</v>
      </c>
      <c r="E1185" s="458">
        <f t="shared" ca="1" si="258"/>
        <v>3</v>
      </c>
      <c r="G1185" s="206"/>
      <c r="H1185" s="207" t="s">
        <v>209</v>
      </c>
      <c r="I1185" s="208" t="str">
        <f t="shared" ca="1" si="281"/>
        <v>16</v>
      </c>
      <c r="J1185" s="209" t="s">
        <v>140</v>
      </c>
      <c r="K1185" s="210"/>
      <c r="L1185" s="455"/>
      <c r="M1185" s="455"/>
      <c r="N1185" s="285">
        <f ca="1">IF(H1185="Serviço",M1185*L1185,IF(H1185="CÉLULA CONSTRUTIVA",SUMIFS($N$8:$N$1393,$B$8:$B$1393,B1185,$H$8:$H$1393,"Serviço"),IF(H1185="ETAPA",SUMIFS($N$8:$N$1393,$B$8:$B$1393,B1185,$C$8:$C$1393,C1185,$H$8:$H$1393,"Serviço"),IF(H1185="SUBETAPA",SUMIFS($N$8:$N$1393,$B$8:$B$1393,B1185,$C$8:$C$1393,C1185,$D$8:$D$1393,D1185,$H$8:$H$1393,"Serviço"),0))))</f>
        <v>4314922.2708150372</v>
      </c>
      <c r="O1185" s="462"/>
      <c r="P1185" s="213"/>
      <c r="Q1185" s="463"/>
      <c r="R1185" s="463"/>
      <c r="S1185" s="35"/>
    </row>
    <row r="1186" spans="1:19" s="34" customFormat="1" ht="13.9" hidden="1" customHeight="1" outlineLevel="1" x14ac:dyDescent="0.2">
      <c r="A1186" s="457">
        <f ca="1">IF($H1186="UNIDADE CONSTRUTIVA",OFFSET(A1186,-1,0)+1,LARGE(A$3:A1185,1))</f>
        <v>0</v>
      </c>
      <c r="B1186" s="457">
        <f t="shared" ca="1" si="255"/>
        <v>16</v>
      </c>
      <c r="C1186" s="457">
        <f t="shared" ca="1" si="256"/>
        <v>1</v>
      </c>
      <c r="D1186" s="458">
        <f t="shared" ca="1" si="257"/>
        <v>0</v>
      </c>
      <c r="E1186" s="458">
        <f t="shared" ca="1" si="258"/>
        <v>3</v>
      </c>
      <c r="G1186" s="206"/>
      <c r="H1186" s="207" t="s">
        <v>210</v>
      </c>
      <c r="I1186" s="208" t="str">
        <f t="shared" ca="1" si="281"/>
        <v>16.001</v>
      </c>
      <c r="J1186" s="209" t="s">
        <v>4215</v>
      </c>
      <c r="K1186" s="210"/>
      <c r="L1186" s="455"/>
      <c r="M1186" s="455"/>
      <c r="N1186" s="285">
        <f t="shared" ref="N1186:N1217" ca="1" si="283">IF(H1186="Serviço",M1186*L1186,IF(H1186="CÉLULA CONSTRUTIVA",SUMIFS($N$8:$N$1314,$B$8:$B$1314,B1186,$H$8:$H$1314,"Serviço"),IF(H1186="ETAPA",SUMIFS($N$8:$N$1314,$B$8:$B$1314,B1186,$C$8:$C$1314,C1186,$H$8:$H$1314,"Serviço"),IF(H1186="SUBETAPA",SUMIFS($N$8:$N$1314,$B$8:$B$1314,B1186,$C$8:$C$1314,C1186,$D$8:$D$1314,D1186,$H$8:$H$1314,"Serviço"),0))))</f>
        <v>159071.90259506105</v>
      </c>
      <c r="O1186" s="462"/>
      <c r="P1186" s="213"/>
      <c r="Q1186" s="35"/>
      <c r="R1186" s="35"/>
      <c r="S1186" s="35"/>
    </row>
    <row r="1187" spans="1:19" s="34" customFormat="1" ht="13.9" hidden="1" customHeight="1" outlineLevel="2" x14ac:dyDescent="0.2">
      <c r="A1187" s="457">
        <f ca="1">IF($H1187="UNIDADE CONSTRUTIVA",OFFSET(A1187,-1,0)+1,LARGE(A$3:A1186,1))</f>
        <v>0</v>
      </c>
      <c r="B1187" s="457">
        <f t="shared" ca="1" si="255"/>
        <v>16</v>
      </c>
      <c r="C1187" s="457">
        <f t="shared" ca="1" si="256"/>
        <v>1</v>
      </c>
      <c r="D1187" s="458">
        <f t="shared" ca="1" si="257"/>
        <v>1</v>
      </c>
      <c r="E1187" s="458">
        <f t="shared" ca="1" si="258"/>
        <v>0</v>
      </c>
      <c r="G1187" s="206"/>
      <c r="H1187" s="207" t="s">
        <v>211</v>
      </c>
      <c r="I1187" s="208" t="str">
        <f t="shared" ca="1" si="281"/>
        <v>16.001.001</v>
      </c>
      <c r="J1187" s="209" t="s">
        <v>142</v>
      </c>
      <c r="K1187" s="210"/>
      <c r="L1187" s="455"/>
      <c r="M1187" s="455"/>
      <c r="N1187" s="285">
        <f t="shared" ca="1" si="283"/>
        <v>100112.57549022356</v>
      </c>
      <c r="O1187" s="462"/>
      <c r="P1187" s="213"/>
      <c r="Q1187" s="35"/>
      <c r="R1187" s="35"/>
      <c r="S1187" s="35"/>
    </row>
    <row r="1188" spans="1:19" s="34" customFormat="1" ht="13.9" hidden="1" customHeight="1" outlineLevel="3" x14ac:dyDescent="0.2">
      <c r="A1188" s="457">
        <f ca="1">IF($H1188="UNIDADE CONSTRUTIVA",OFFSET(A1188,-1,0)+1,LARGE(A$3:A1187,1))</f>
        <v>0</v>
      </c>
      <c r="B1188" s="457">
        <f t="shared" ca="1" si="255"/>
        <v>16</v>
      </c>
      <c r="C1188" s="457">
        <f t="shared" ca="1" si="256"/>
        <v>1</v>
      </c>
      <c r="D1188" s="458">
        <f t="shared" ca="1" si="257"/>
        <v>1</v>
      </c>
      <c r="E1188" s="458">
        <f t="shared" ca="1" si="258"/>
        <v>1</v>
      </c>
      <c r="G1188" s="206"/>
      <c r="H1188" s="207" t="s">
        <v>212</v>
      </c>
      <c r="I1188" s="208" t="str">
        <f t="shared" ca="1" si="281"/>
        <v>16.001.001.001</v>
      </c>
      <c r="J1188" s="209" t="s">
        <v>143</v>
      </c>
      <c r="K1188" s="210" t="s">
        <v>1</v>
      </c>
      <c r="L1188" s="472">
        <f>Arquitetura!H1346</f>
        <v>56.35</v>
      </c>
      <c r="M1188" s="472">
        <f>'PRECIFICAÇÃO ESQUADRIAS'!E54</f>
        <v>1165.1569652213586</v>
      </c>
      <c r="N1188" s="285">
        <f t="shared" si="283"/>
        <v>65656.594990223559</v>
      </c>
      <c r="O1188" s="462"/>
      <c r="P1188" s="213" t="s">
        <v>518</v>
      </c>
      <c r="Q1188" s="35"/>
      <c r="R1188" s="35"/>
      <c r="S1188" s="35"/>
    </row>
    <row r="1189" spans="1:19" s="34" customFormat="1" ht="13.9" hidden="1" customHeight="1" outlineLevel="3" x14ac:dyDescent="0.2">
      <c r="A1189" s="457">
        <f ca="1">IF($H1189="UNIDADE CONSTRUTIVA",OFFSET(A1189,-1,0)+1,LARGE(A$3:A1188,1))</f>
        <v>0</v>
      </c>
      <c r="B1189" s="457">
        <f ca="1">IF(H1189="UNIDADE CONSTRUTIVA",0,IF(H1189="CÉLULA CONSTRUTIVA",OFFSET(B1189,-1,0)+1,OFFSET(B1189,-1,0)))</f>
        <v>16</v>
      </c>
      <c r="C1189" s="457">
        <f ca="1">IF(H1189="CÉLULA CONSTRUTIVA",0,IF(H1189="ETAPA",OFFSET(C1189,-1,0)+1,OFFSET(C1189,-1,0)))</f>
        <v>1</v>
      </c>
      <c r="D1189" s="458">
        <f ca="1">IF(H1189="ETAPA",0,IF(H1189="SUBETAPA",OFFSET(D1189,-1,0)+1,OFFSET(D1189,-1,0)))</f>
        <v>1</v>
      </c>
      <c r="E1189" s="458">
        <f ca="1">IF(H1189="Subetapa",0,IF(H1189="serviço",OFFSET(E1189,-1,0)+1,OFFSET(E1189,-1,0)))</f>
        <v>2</v>
      </c>
      <c r="G1189" s="206"/>
      <c r="H1189" s="207" t="s">
        <v>212</v>
      </c>
      <c r="I1189" s="208" t="str">
        <f t="shared" ca="1" si="281"/>
        <v>16.001.001.002</v>
      </c>
      <c r="J1189" s="209" t="s">
        <v>4997</v>
      </c>
      <c r="K1189" s="210" t="s">
        <v>1</v>
      </c>
      <c r="L1189" s="472">
        <f>Arquitetura!H1348</f>
        <v>24.35</v>
      </c>
      <c r="M1189" s="472">
        <v>1415.03</v>
      </c>
      <c r="N1189" s="285">
        <f t="shared" si="283"/>
        <v>34455.980499999998</v>
      </c>
      <c r="O1189" s="462"/>
      <c r="P1189" s="213" t="s">
        <v>518</v>
      </c>
      <c r="Q1189" s="35"/>
      <c r="R1189" s="35"/>
      <c r="S1189" s="35"/>
    </row>
    <row r="1190" spans="1:19" s="34" customFormat="1" ht="11.25" hidden="1" customHeight="1" outlineLevel="2" x14ac:dyDescent="0.2">
      <c r="A1190" s="457">
        <f ca="1">IF($H1190="UNIDADE CONSTRUTIVA",OFFSET(A1190,-1,0)+1,LARGE(A$3:A1188,1))</f>
        <v>0</v>
      </c>
      <c r="B1190" s="457">
        <f t="shared" ca="1" si="255"/>
        <v>16</v>
      </c>
      <c r="C1190" s="457">
        <f t="shared" ca="1" si="256"/>
        <v>1</v>
      </c>
      <c r="D1190" s="458">
        <f t="shared" ca="1" si="257"/>
        <v>2</v>
      </c>
      <c r="E1190" s="458">
        <f t="shared" ca="1" si="258"/>
        <v>0</v>
      </c>
      <c r="G1190" s="206"/>
      <c r="H1190" s="207" t="s">
        <v>211</v>
      </c>
      <c r="I1190" s="208" t="str">
        <f t="shared" ref="I1190:I1195" ca="1" si="284">IF(H1190="Unidade Construtiva",TEXT(A1190,"00"),IF(H1190="Célula Construtiva",TEXT(B1190,"00"),IF(H1190="Etapa",CONCATENATE(TEXT(B1190,"00"),".",TEXT(C1190,"000")),IF(H1190="Subetapa",CONCATENATE(TEXT(B1190,"00"),".",TEXT(C1190,"000"),".",TEXT(D1190,"000")),IF(H1190="Serviço",CONCATENATE(TEXT(B1190,"00"),".",TEXT(C1190,"000"),".",TEXT(D1190,"000"),".",TEXT(E1190,"000")),"")))))</f>
        <v>16.001.002</v>
      </c>
      <c r="J1190" s="209" t="s">
        <v>4226</v>
      </c>
      <c r="K1190" s="210"/>
      <c r="L1190" s="472"/>
      <c r="M1190" s="472"/>
      <c r="N1190" s="285">
        <f t="shared" ca="1" si="283"/>
        <v>595.66319999999996</v>
      </c>
      <c r="O1190" s="462"/>
      <c r="P1190" s="213"/>
      <c r="Q1190" s="35"/>
      <c r="R1190" s="35"/>
      <c r="S1190" s="35"/>
    </row>
    <row r="1191" spans="1:19" s="34" customFormat="1" ht="11.25" hidden="1" outlineLevel="3" x14ac:dyDescent="0.2">
      <c r="A1191" s="457">
        <f ca="1">IF($H1191="UNIDADE CONSTRUTIVA",OFFSET(A1191,-1,0)+1,LARGE(A$3:A1190,1))</f>
        <v>0</v>
      </c>
      <c r="B1191" s="457">
        <f t="shared" ca="1" si="255"/>
        <v>16</v>
      </c>
      <c r="C1191" s="457">
        <f t="shared" ca="1" si="256"/>
        <v>1</v>
      </c>
      <c r="D1191" s="458">
        <f t="shared" ca="1" si="257"/>
        <v>2</v>
      </c>
      <c r="E1191" s="458">
        <f t="shared" ca="1" si="258"/>
        <v>1</v>
      </c>
      <c r="G1191" s="206"/>
      <c r="H1191" s="207" t="s">
        <v>212</v>
      </c>
      <c r="I1191" s="208" t="str">
        <f t="shared" ca="1" si="284"/>
        <v>16.001.002.001</v>
      </c>
      <c r="J1191" s="209" t="s">
        <v>4226</v>
      </c>
      <c r="K1191" s="210" t="s">
        <v>3</v>
      </c>
      <c r="L1191" s="472">
        <f>Arquitetura!H1345</f>
        <v>5.52</v>
      </c>
      <c r="M1191" s="472">
        <f>'PRECIFICAÇÃO ESQUADRIAS'!D2</f>
        <v>107.91</v>
      </c>
      <c r="N1191" s="285">
        <f t="shared" si="283"/>
        <v>595.66319999999996</v>
      </c>
      <c r="O1191" s="462"/>
      <c r="P1191" s="213" t="s">
        <v>518</v>
      </c>
      <c r="Q1191" s="35"/>
      <c r="R1191" s="35"/>
      <c r="S1191" s="35"/>
    </row>
    <row r="1192" spans="1:19" s="34" customFormat="1" ht="11.25" hidden="1" customHeight="1" outlineLevel="2" x14ac:dyDescent="0.2">
      <c r="A1192" s="457">
        <f ca="1">IF($H1192="UNIDADE CONSTRUTIVA",OFFSET(A1192,-1,0)+1,LARGE(A$3:A1191,1))</f>
        <v>0</v>
      </c>
      <c r="B1192" s="457">
        <f t="shared" ref="B1192:B1198" ca="1" si="285">IF(H1192="UNIDADE CONSTRUTIVA",0,IF(H1192="CÉLULA CONSTRUTIVA",OFFSET(B1192,-1,0)+1,OFFSET(B1192,-1,0)))</f>
        <v>16</v>
      </c>
      <c r="C1192" s="457">
        <f t="shared" ref="C1192:C1198" ca="1" si="286">IF(H1192="CÉLULA CONSTRUTIVA",0,IF(H1192="ETAPA",OFFSET(C1192,-1,0)+1,OFFSET(C1192,-1,0)))</f>
        <v>1</v>
      </c>
      <c r="D1192" s="458">
        <f t="shared" ref="D1192:D1198" ca="1" si="287">IF(H1192="ETAPA",0,IF(H1192="SUBETAPA",OFFSET(D1192,-1,0)+1,OFFSET(D1192,-1,0)))</f>
        <v>3</v>
      </c>
      <c r="E1192" s="458">
        <f t="shared" ref="E1192:E1198" ca="1" si="288">IF(H1192="Subetapa",0,IF(H1192="serviço",OFFSET(E1192,-1,0)+1,OFFSET(E1192,-1,0)))</f>
        <v>0</v>
      </c>
      <c r="G1192" s="206"/>
      <c r="H1192" s="207" t="s">
        <v>211</v>
      </c>
      <c r="I1192" s="208" t="str">
        <f t="shared" ca="1" si="284"/>
        <v>16.001.003</v>
      </c>
      <c r="J1192" s="209" t="s">
        <v>4227</v>
      </c>
      <c r="K1192" s="210"/>
      <c r="L1192" s="472"/>
      <c r="M1192" s="472"/>
      <c r="N1192" s="285">
        <f t="shared" ca="1" si="283"/>
        <v>48760.086904837488</v>
      </c>
      <c r="O1192" s="462"/>
      <c r="P1192" s="213"/>
      <c r="Q1192" s="35"/>
      <c r="R1192" s="35"/>
      <c r="S1192" s="35"/>
    </row>
    <row r="1193" spans="1:19" s="34" customFormat="1" ht="11.25" hidden="1" outlineLevel="3" x14ac:dyDescent="0.2">
      <c r="A1193" s="457">
        <f ca="1">IF($H1193="UNIDADE CONSTRUTIVA",OFFSET(A1193,-1,0)+1,LARGE(A$3:A1192,1))</f>
        <v>0</v>
      </c>
      <c r="B1193" s="457">
        <f t="shared" ca="1" si="285"/>
        <v>16</v>
      </c>
      <c r="C1193" s="457">
        <f t="shared" ca="1" si="286"/>
        <v>1</v>
      </c>
      <c r="D1193" s="458">
        <f t="shared" ca="1" si="287"/>
        <v>3</v>
      </c>
      <c r="E1193" s="458">
        <f t="shared" ca="1" si="288"/>
        <v>1</v>
      </c>
      <c r="G1193" s="206"/>
      <c r="H1193" s="207" t="s">
        <v>212</v>
      </c>
      <c r="I1193" s="208" t="str">
        <f t="shared" ca="1" si="284"/>
        <v>16.001.003.001</v>
      </c>
      <c r="J1193" s="209" t="s">
        <v>4227</v>
      </c>
      <c r="K1193" s="210" t="s">
        <v>1</v>
      </c>
      <c r="L1193" s="472">
        <f>Arquitetura!H1347</f>
        <v>18.740000000000002</v>
      </c>
      <c r="M1193" s="472">
        <f>'PRECIFICAÇÃO ESQUADRIAS'!D12</f>
        <v>2601.9256619443695</v>
      </c>
      <c r="N1193" s="285">
        <f t="shared" si="283"/>
        <v>48760.086904837488</v>
      </c>
      <c r="O1193" s="462"/>
      <c r="P1193" s="213" t="s">
        <v>518</v>
      </c>
      <c r="Q1193" s="35"/>
      <c r="R1193" s="35"/>
      <c r="S1193" s="35"/>
    </row>
    <row r="1194" spans="1:19" s="34" customFormat="1" ht="13.9" hidden="1" customHeight="1" outlineLevel="2" x14ac:dyDescent="0.2">
      <c r="A1194" s="457">
        <f ca="1">IF($H1194="UNIDADE CONSTRUTIVA",OFFSET(A1194,-1,0)+1,LARGE(A$3:A1193,1))</f>
        <v>0</v>
      </c>
      <c r="B1194" s="457">
        <f t="shared" ca="1" si="285"/>
        <v>16</v>
      </c>
      <c r="C1194" s="457">
        <f t="shared" ca="1" si="286"/>
        <v>1</v>
      </c>
      <c r="D1194" s="458">
        <f t="shared" ca="1" si="287"/>
        <v>4</v>
      </c>
      <c r="E1194" s="458">
        <f t="shared" ca="1" si="288"/>
        <v>0</v>
      </c>
      <c r="G1194" s="206"/>
      <c r="H1194" s="207" t="s">
        <v>211</v>
      </c>
      <c r="I1194" s="208" t="str">
        <f t="shared" ca="1" si="284"/>
        <v>16.001.004</v>
      </c>
      <c r="J1194" s="209" t="s">
        <v>146</v>
      </c>
      <c r="K1194" s="210"/>
      <c r="L1194" s="455"/>
      <c r="M1194" s="455"/>
      <c r="N1194" s="285">
        <f t="shared" ca="1" si="283"/>
        <v>798.577</v>
      </c>
      <c r="O1194" s="462"/>
      <c r="P1194" s="213"/>
      <c r="Q1194" s="35"/>
      <c r="R1194" s="35"/>
      <c r="S1194" s="35"/>
    </row>
    <row r="1195" spans="1:19" s="34" customFormat="1" ht="13.9" hidden="1" customHeight="1" outlineLevel="3" x14ac:dyDescent="0.2">
      <c r="A1195" s="457">
        <f ca="1">IF($H1195="UNIDADE CONSTRUTIVA",OFFSET(A1195,-1,0)+1,LARGE(A$3:A1194,1))</f>
        <v>0</v>
      </c>
      <c r="B1195" s="457">
        <f t="shared" ca="1" si="285"/>
        <v>16</v>
      </c>
      <c r="C1195" s="457">
        <f t="shared" ca="1" si="286"/>
        <v>1</v>
      </c>
      <c r="D1195" s="458">
        <f t="shared" ca="1" si="287"/>
        <v>4</v>
      </c>
      <c r="E1195" s="458">
        <f t="shared" ca="1" si="288"/>
        <v>1</v>
      </c>
      <c r="G1195" s="206"/>
      <c r="H1195" s="207" t="s">
        <v>212</v>
      </c>
      <c r="I1195" s="208" t="str">
        <f t="shared" ca="1" si="284"/>
        <v>16.001.004.001</v>
      </c>
      <c r="J1195" s="209" t="s">
        <v>1199</v>
      </c>
      <c r="K1195" s="210" t="s">
        <v>3</v>
      </c>
      <c r="L1195" s="455">
        <f>Arquitetura!D1713</f>
        <v>12.22</v>
      </c>
      <c r="M1195" s="455">
        <v>65.349999999999994</v>
      </c>
      <c r="N1195" s="285">
        <f t="shared" si="283"/>
        <v>798.577</v>
      </c>
      <c r="O1195" s="462"/>
      <c r="P1195" s="213" t="s">
        <v>518</v>
      </c>
      <c r="Q1195" s="35"/>
      <c r="R1195" s="35"/>
      <c r="S1195" s="35"/>
    </row>
    <row r="1196" spans="1:19" s="34" customFormat="1" ht="13.9" hidden="1" customHeight="1" outlineLevel="2" x14ac:dyDescent="0.2">
      <c r="A1196" s="457">
        <f ca="1">IF($H1196="UNIDADE CONSTRUTIVA",OFFSET(A1196,-1,0)+1,LARGE(A$3:A1195,1))</f>
        <v>0</v>
      </c>
      <c r="B1196" s="457">
        <f t="shared" ca="1" si="285"/>
        <v>16</v>
      </c>
      <c r="C1196" s="457">
        <f t="shared" ca="1" si="286"/>
        <v>1</v>
      </c>
      <c r="D1196" s="458">
        <f t="shared" ca="1" si="287"/>
        <v>5</v>
      </c>
      <c r="E1196" s="458">
        <f t="shared" ca="1" si="288"/>
        <v>0</v>
      </c>
      <c r="G1196" s="206"/>
      <c r="H1196" s="207" t="s">
        <v>211</v>
      </c>
      <c r="I1196" s="208" t="str">
        <f t="shared" ref="I1196:I1226" ca="1" si="289">IF(H1196="Unidade Construtiva",TEXT(A1196,"00"),IF(H1196="Célula Construtiva",TEXT(B1196,"00"),IF(H1196="Etapa",CONCATENATE(TEXT(B1196,"00"),".",TEXT(C1196,"000")),IF(H1196="Subetapa",CONCATENATE(TEXT(B1196,"00"),".",TEXT(C1196,"000"),".",TEXT(D1196,"000")),IF(H1196="Serviço",CONCATENATE(TEXT(B1196,"00"),".",TEXT(C1196,"000"),".",TEXT(D1196,"000"),".",TEXT(E1196,"000")),"")))))</f>
        <v>16.001.005</v>
      </c>
      <c r="J1196" s="209" t="s">
        <v>148</v>
      </c>
      <c r="K1196" s="210"/>
      <c r="L1196" s="455"/>
      <c r="M1196" s="455"/>
      <c r="N1196" s="285">
        <f t="shared" ca="1" si="283"/>
        <v>8805</v>
      </c>
      <c r="O1196" s="462"/>
      <c r="P1196" s="213"/>
      <c r="Q1196" s="35"/>
      <c r="R1196" s="35"/>
      <c r="S1196" s="35"/>
    </row>
    <row r="1197" spans="1:19" s="34" customFormat="1" ht="13.9" hidden="1" customHeight="1" outlineLevel="3" x14ac:dyDescent="0.2">
      <c r="A1197" s="457">
        <f ca="1">IF($H1197="UNIDADE CONSTRUTIVA",OFFSET(A1197,-1,0)+1,LARGE(A$3:A1196,1))</f>
        <v>0</v>
      </c>
      <c r="B1197" s="457">
        <f t="shared" ca="1" si="285"/>
        <v>16</v>
      </c>
      <c r="C1197" s="457">
        <f t="shared" ca="1" si="286"/>
        <v>1</v>
      </c>
      <c r="D1197" s="458">
        <f t="shared" ca="1" si="287"/>
        <v>5</v>
      </c>
      <c r="E1197" s="458">
        <f t="shared" ca="1" si="288"/>
        <v>1</v>
      </c>
      <c r="G1197" s="206"/>
      <c r="H1197" s="207" t="s">
        <v>212</v>
      </c>
      <c r="I1197" s="208" t="str">
        <f t="shared" ca="1" si="289"/>
        <v>16.001.005.001</v>
      </c>
      <c r="J1197" s="209" t="s">
        <v>1200</v>
      </c>
      <c r="K1197" s="210" t="s">
        <v>2</v>
      </c>
      <c r="L1197" s="455">
        <f>Arquitetura!D1854</f>
        <v>4</v>
      </c>
      <c r="M1197" s="455">
        <v>1761</v>
      </c>
      <c r="N1197" s="285">
        <f t="shared" si="283"/>
        <v>7044</v>
      </c>
      <c r="O1197" s="462"/>
      <c r="P1197" s="213" t="s">
        <v>518</v>
      </c>
      <c r="Q1197" s="35"/>
      <c r="R1197" s="35"/>
      <c r="S1197" s="35"/>
    </row>
    <row r="1198" spans="1:19" s="34" customFormat="1" ht="13.9" hidden="1" customHeight="1" outlineLevel="3" x14ac:dyDescent="0.2">
      <c r="A1198" s="457">
        <f ca="1">IF($H1198="UNIDADE CONSTRUTIVA",OFFSET(A1198,-1,0)+1,LARGE(A$3:A1197,1))</f>
        <v>0</v>
      </c>
      <c r="B1198" s="457">
        <f t="shared" ca="1" si="285"/>
        <v>16</v>
      </c>
      <c r="C1198" s="457">
        <f t="shared" ca="1" si="286"/>
        <v>1</v>
      </c>
      <c r="D1198" s="458">
        <f t="shared" ca="1" si="287"/>
        <v>5</v>
      </c>
      <c r="E1198" s="458">
        <f t="shared" ca="1" si="288"/>
        <v>2</v>
      </c>
      <c r="G1198" s="206"/>
      <c r="H1198" s="207" t="s">
        <v>212</v>
      </c>
      <c r="I1198" s="208" t="str">
        <f t="shared" ca="1" si="289"/>
        <v>16.001.005.002</v>
      </c>
      <c r="J1198" s="209" t="s">
        <v>4229</v>
      </c>
      <c r="K1198" s="210" t="s">
        <v>2</v>
      </c>
      <c r="L1198" s="455">
        <f>Arquitetura!D1853</f>
        <v>1</v>
      </c>
      <c r="M1198" s="455">
        <v>1761</v>
      </c>
      <c r="N1198" s="285">
        <f t="shared" si="283"/>
        <v>1761</v>
      </c>
      <c r="O1198" s="462"/>
      <c r="P1198" s="213" t="s">
        <v>518</v>
      </c>
      <c r="Q1198" s="35"/>
      <c r="R1198" s="35"/>
      <c r="S1198" s="35"/>
    </row>
    <row r="1199" spans="1:19" s="34" customFormat="1" ht="13.9" hidden="1" customHeight="1" outlineLevel="1" x14ac:dyDescent="0.2">
      <c r="A1199" s="457">
        <f ca="1">IF($H1199="UNIDADE CONSTRUTIVA",OFFSET(A1199,-1,0)+1,LARGE(A$3:A1198,1))</f>
        <v>0</v>
      </c>
      <c r="B1199" s="457">
        <f t="shared" ca="1" si="255"/>
        <v>16</v>
      </c>
      <c r="C1199" s="457">
        <f t="shared" ca="1" si="256"/>
        <v>2</v>
      </c>
      <c r="D1199" s="458">
        <f t="shared" ca="1" si="257"/>
        <v>0</v>
      </c>
      <c r="E1199" s="458">
        <f t="shared" ca="1" si="258"/>
        <v>2</v>
      </c>
      <c r="G1199" s="206"/>
      <c r="H1199" s="207" t="s">
        <v>210</v>
      </c>
      <c r="I1199" s="208" t="str">
        <f t="shared" ca="1" si="289"/>
        <v>16.002</v>
      </c>
      <c r="J1199" s="209" t="s">
        <v>4937</v>
      </c>
      <c r="K1199" s="210"/>
      <c r="L1199" s="455"/>
      <c r="M1199" s="455"/>
      <c r="N1199" s="285">
        <f t="shared" ca="1" si="283"/>
        <v>229952.08511765572</v>
      </c>
      <c r="O1199" s="462"/>
      <c r="P1199" s="213"/>
      <c r="Q1199" s="35"/>
      <c r="R1199" s="35"/>
      <c r="S1199" s="35"/>
    </row>
    <row r="1200" spans="1:19" s="34" customFormat="1" ht="13.9" hidden="1" customHeight="1" outlineLevel="2" x14ac:dyDescent="0.2">
      <c r="A1200" s="457">
        <f ca="1">IF($H1200="UNIDADE CONSTRUTIVA",OFFSET(A1200,-1,0)+1,LARGE(A$3:A1199,1))</f>
        <v>0</v>
      </c>
      <c r="B1200" s="457">
        <f t="shared" ca="1" si="255"/>
        <v>16</v>
      </c>
      <c r="C1200" s="457">
        <f t="shared" ca="1" si="256"/>
        <v>2</v>
      </c>
      <c r="D1200" s="458">
        <f t="shared" ca="1" si="257"/>
        <v>1</v>
      </c>
      <c r="E1200" s="458">
        <f t="shared" ca="1" si="258"/>
        <v>0</v>
      </c>
      <c r="G1200" s="206"/>
      <c r="H1200" s="207" t="s">
        <v>211</v>
      </c>
      <c r="I1200" s="208" t="str">
        <f t="shared" ca="1" si="289"/>
        <v>16.002.001</v>
      </c>
      <c r="J1200" s="209" t="s">
        <v>142</v>
      </c>
      <c r="K1200" s="210"/>
      <c r="L1200" s="455"/>
      <c r="M1200" s="455"/>
      <c r="N1200" s="285">
        <f t="shared" ca="1" si="283"/>
        <v>215312.22721765575</v>
      </c>
      <c r="O1200" s="462"/>
      <c r="P1200" s="213"/>
      <c r="Q1200" s="35"/>
      <c r="R1200" s="35"/>
      <c r="S1200" s="35"/>
    </row>
    <row r="1201" spans="1:19" s="34" customFormat="1" ht="13.9" hidden="1" customHeight="1" outlineLevel="3" x14ac:dyDescent="0.2">
      <c r="A1201" s="457">
        <f ca="1">IF($H1201="UNIDADE CONSTRUTIVA",OFFSET(A1201,-1,0)+1,LARGE(A$3:A1200,1))</f>
        <v>0</v>
      </c>
      <c r="B1201" s="457">
        <f t="shared" ca="1" si="255"/>
        <v>16</v>
      </c>
      <c r="C1201" s="457">
        <f t="shared" ca="1" si="256"/>
        <v>2</v>
      </c>
      <c r="D1201" s="458">
        <f t="shared" ca="1" si="257"/>
        <v>1</v>
      </c>
      <c r="E1201" s="458">
        <f t="shared" ca="1" si="258"/>
        <v>1</v>
      </c>
      <c r="G1201" s="206"/>
      <c r="H1201" s="207" t="s">
        <v>212</v>
      </c>
      <c r="I1201" s="208" t="str">
        <f t="shared" ca="1" si="289"/>
        <v>16.002.001.001</v>
      </c>
      <c r="J1201" s="209" t="s">
        <v>143</v>
      </c>
      <c r="K1201" s="210" t="s">
        <v>1</v>
      </c>
      <c r="L1201" s="472">
        <f>Arquitetura!H1363</f>
        <v>110.48000000000002</v>
      </c>
      <c r="M1201" s="472">
        <f>'PRECIFICAÇÃO ESQUADRIAS'!E54</f>
        <v>1165.1569652213586</v>
      </c>
      <c r="N1201" s="285">
        <f t="shared" si="283"/>
        <v>128726.54151765573</v>
      </c>
      <c r="O1201" s="462"/>
      <c r="P1201" s="213" t="s">
        <v>518</v>
      </c>
      <c r="Q1201" s="35"/>
      <c r="R1201" s="35"/>
      <c r="S1201" s="35"/>
    </row>
    <row r="1202" spans="1:19" s="34" customFormat="1" ht="13.9" hidden="1" customHeight="1" outlineLevel="3" x14ac:dyDescent="0.2">
      <c r="A1202" s="457">
        <f ca="1">IF($H1202="UNIDADE CONSTRUTIVA",OFFSET(A1202,-1,0)+1,LARGE(A$3:A1201,1))</f>
        <v>0</v>
      </c>
      <c r="B1202" s="457">
        <f t="shared" ca="1" si="255"/>
        <v>16</v>
      </c>
      <c r="C1202" s="457">
        <f t="shared" ca="1" si="256"/>
        <v>2</v>
      </c>
      <c r="D1202" s="458">
        <f t="shared" ca="1" si="257"/>
        <v>1</v>
      </c>
      <c r="E1202" s="458">
        <f t="shared" ca="1" si="258"/>
        <v>2</v>
      </c>
      <c r="G1202" s="206"/>
      <c r="H1202" s="207" t="s">
        <v>212</v>
      </c>
      <c r="I1202" s="208" t="str">
        <f t="shared" ca="1" si="289"/>
        <v>16.002.001.002</v>
      </c>
      <c r="J1202" s="209" t="s">
        <v>4997</v>
      </c>
      <c r="K1202" s="210" t="s">
        <v>1</v>
      </c>
      <c r="L1202" s="472">
        <f>Arquitetura!H1364</f>
        <v>61.19</v>
      </c>
      <c r="M1202" s="472">
        <v>1415.03</v>
      </c>
      <c r="N1202" s="285">
        <f t="shared" si="283"/>
        <v>86585.685700000002</v>
      </c>
      <c r="O1202" s="462"/>
      <c r="P1202" s="213" t="s">
        <v>518</v>
      </c>
      <c r="Q1202" s="35"/>
      <c r="R1202" s="35"/>
      <c r="S1202" s="35"/>
    </row>
    <row r="1203" spans="1:19" s="34" customFormat="1" ht="11.25" hidden="1" customHeight="1" outlineLevel="2" x14ac:dyDescent="0.2">
      <c r="A1203" s="457">
        <f ca="1">IF($H1203="UNIDADE CONSTRUTIVA",OFFSET(A1203,-1,0)+1,LARGE(A$3:A1201,1))</f>
        <v>0</v>
      </c>
      <c r="B1203" s="457">
        <f t="shared" ref="B1203:B1208" ca="1" si="290">IF(H1203="UNIDADE CONSTRUTIVA",0,IF(H1203="CÉLULA CONSTRUTIVA",OFFSET(B1203,-1,0)+1,OFFSET(B1203,-1,0)))</f>
        <v>16</v>
      </c>
      <c r="C1203" s="457">
        <f t="shared" ref="C1203:C1208" ca="1" si="291">IF(H1203="CÉLULA CONSTRUTIVA",0,IF(H1203="ETAPA",OFFSET(C1203,-1,0)+1,OFFSET(C1203,-1,0)))</f>
        <v>2</v>
      </c>
      <c r="D1203" s="458">
        <f t="shared" ref="D1203:D1208" ca="1" si="292">IF(H1203="ETAPA",0,IF(H1203="SUBETAPA",OFFSET(D1203,-1,0)+1,OFFSET(D1203,-1,0)))</f>
        <v>2</v>
      </c>
      <c r="E1203" s="458">
        <f t="shared" ref="E1203:E1208" ca="1" si="293">IF(H1203="Subetapa",0,IF(H1203="serviço",OFFSET(E1203,-1,0)+1,OFFSET(E1203,-1,0)))</f>
        <v>0</v>
      </c>
      <c r="G1203" s="206"/>
      <c r="H1203" s="207" t="s">
        <v>211</v>
      </c>
      <c r="I1203" s="208" t="str">
        <f t="shared" ca="1" si="289"/>
        <v>16.002.002</v>
      </c>
      <c r="J1203" s="209" t="s">
        <v>4226</v>
      </c>
      <c r="K1203" s="210"/>
      <c r="L1203" s="472"/>
      <c r="M1203" s="472"/>
      <c r="N1203" s="285">
        <f t="shared" ca="1" si="283"/>
        <v>1757.8538999999998</v>
      </c>
      <c r="O1203" s="462"/>
      <c r="P1203" s="213"/>
      <c r="Q1203" s="35"/>
      <c r="R1203" s="35"/>
      <c r="S1203" s="35"/>
    </row>
    <row r="1204" spans="1:19" s="34" customFormat="1" ht="11.25" hidden="1" outlineLevel="3" x14ac:dyDescent="0.2">
      <c r="A1204" s="457">
        <f ca="1">IF($H1204="UNIDADE CONSTRUTIVA",OFFSET(A1204,-1,0)+1,LARGE(A$3:A1203,1))</f>
        <v>0</v>
      </c>
      <c r="B1204" s="457">
        <f t="shared" ca="1" si="290"/>
        <v>16</v>
      </c>
      <c r="C1204" s="457">
        <f t="shared" ca="1" si="291"/>
        <v>2</v>
      </c>
      <c r="D1204" s="458">
        <f t="shared" ca="1" si="292"/>
        <v>2</v>
      </c>
      <c r="E1204" s="458">
        <f t="shared" ca="1" si="293"/>
        <v>1</v>
      </c>
      <c r="G1204" s="206"/>
      <c r="H1204" s="207" t="s">
        <v>212</v>
      </c>
      <c r="I1204" s="208" t="str">
        <f t="shared" ca="1" si="289"/>
        <v>16.002.002.001</v>
      </c>
      <c r="J1204" s="209" t="s">
        <v>4226</v>
      </c>
      <c r="K1204" s="210" t="s">
        <v>3</v>
      </c>
      <c r="L1204" s="472">
        <f>Arquitetura!H1362</f>
        <v>16.29</v>
      </c>
      <c r="M1204" s="472">
        <f>'PRECIFICAÇÃO ESQUADRIAS'!D2</f>
        <v>107.91</v>
      </c>
      <c r="N1204" s="285">
        <f t="shared" si="283"/>
        <v>1757.8538999999998</v>
      </c>
      <c r="O1204" s="462"/>
      <c r="P1204" s="213" t="s">
        <v>518</v>
      </c>
      <c r="Q1204" s="35"/>
      <c r="R1204" s="35"/>
      <c r="S1204" s="35"/>
    </row>
    <row r="1205" spans="1:19" s="34" customFormat="1" ht="13.9" hidden="1" customHeight="1" outlineLevel="2" x14ac:dyDescent="0.2">
      <c r="A1205" s="457">
        <f ca="1">IF($H1205="UNIDADE CONSTRUTIVA",OFFSET(A1205,-1,0)+1,LARGE(A$3:A1204,1))</f>
        <v>0</v>
      </c>
      <c r="B1205" s="457">
        <f t="shared" ca="1" si="290"/>
        <v>16</v>
      </c>
      <c r="C1205" s="457">
        <f t="shared" ca="1" si="291"/>
        <v>2</v>
      </c>
      <c r="D1205" s="458">
        <f t="shared" ca="1" si="292"/>
        <v>3</v>
      </c>
      <c r="E1205" s="458">
        <f t="shared" ca="1" si="293"/>
        <v>0</v>
      </c>
      <c r="G1205" s="206"/>
      <c r="H1205" s="207" t="s">
        <v>211</v>
      </c>
      <c r="I1205" s="208" t="str">
        <f t="shared" ca="1" si="289"/>
        <v>16.002.003</v>
      </c>
      <c r="J1205" s="209" t="s">
        <v>146</v>
      </c>
      <c r="K1205" s="210"/>
      <c r="L1205" s="455"/>
      <c r="M1205" s="455"/>
      <c r="N1205" s="285">
        <f t="shared" ca="1" si="283"/>
        <v>2316.0039999999995</v>
      </c>
      <c r="O1205" s="462"/>
      <c r="P1205" s="213"/>
      <c r="Q1205" s="35"/>
      <c r="R1205" s="35"/>
      <c r="S1205" s="35"/>
    </row>
    <row r="1206" spans="1:19" s="34" customFormat="1" ht="13.9" hidden="1" customHeight="1" outlineLevel="3" x14ac:dyDescent="0.2">
      <c r="A1206" s="457">
        <f ca="1">IF($H1206="UNIDADE CONSTRUTIVA",OFFSET(A1206,-1,0)+1,LARGE(A$3:A1205,1))</f>
        <v>0</v>
      </c>
      <c r="B1206" s="457">
        <f t="shared" ca="1" si="290"/>
        <v>16</v>
      </c>
      <c r="C1206" s="457">
        <f t="shared" ca="1" si="291"/>
        <v>2</v>
      </c>
      <c r="D1206" s="458">
        <f t="shared" ca="1" si="292"/>
        <v>3</v>
      </c>
      <c r="E1206" s="458">
        <f t="shared" ca="1" si="293"/>
        <v>1</v>
      </c>
      <c r="G1206" s="206"/>
      <c r="H1206" s="207" t="s">
        <v>212</v>
      </c>
      <c r="I1206" s="208" t="str">
        <f t="shared" ca="1" si="289"/>
        <v>16.002.003.001</v>
      </c>
      <c r="J1206" s="209" t="s">
        <v>1199</v>
      </c>
      <c r="K1206" s="210" t="s">
        <v>3</v>
      </c>
      <c r="L1206" s="455">
        <f>Arquitetura!H1716</f>
        <v>35.44</v>
      </c>
      <c r="M1206" s="455">
        <v>65.349999999999994</v>
      </c>
      <c r="N1206" s="285">
        <f t="shared" si="283"/>
        <v>2316.0039999999995</v>
      </c>
      <c r="O1206" s="462"/>
      <c r="P1206" s="213" t="s">
        <v>518</v>
      </c>
      <c r="Q1206" s="35"/>
      <c r="R1206" s="35"/>
      <c r="S1206" s="35"/>
    </row>
    <row r="1207" spans="1:19" s="34" customFormat="1" ht="13.9" hidden="1" customHeight="1" outlineLevel="2" x14ac:dyDescent="0.2">
      <c r="A1207" s="457">
        <f ca="1">IF($H1207="UNIDADE CONSTRUTIVA",OFFSET(A1207,-1,0)+1,LARGE(A$3:A1206,1))</f>
        <v>0</v>
      </c>
      <c r="B1207" s="457">
        <f t="shared" ca="1" si="290"/>
        <v>16</v>
      </c>
      <c r="C1207" s="457">
        <f t="shared" ca="1" si="291"/>
        <v>2</v>
      </c>
      <c r="D1207" s="458">
        <f t="shared" ca="1" si="292"/>
        <v>4</v>
      </c>
      <c r="E1207" s="458">
        <f t="shared" ca="1" si="293"/>
        <v>0</v>
      </c>
      <c r="G1207" s="206"/>
      <c r="H1207" s="207" t="s">
        <v>211</v>
      </c>
      <c r="I1207" s="208" t="str">
        <f t="shared" ca="1" si="289"/>
        <v>16.002.004</v>
      </c>
      <c r="J1207" s="209" t="s">
        <v>148</v>
      </c>
      <c r="K1207" s="210"/>
      <c r="L1207" s="455"/>
      <c r="M1207" s="455"/>
      <c r="N1207" s="285">
        <f t="shared" ca="1" si="283"/>
        <v>10566</v>
      </c>
      <c r="O1207" s="462"/>
      <c r="P1207" s="213"/>
      <c r="Q1207" s="35"/>
      <c r="R1207" s="35"/>
      <c r="S1207" s="35"/>
    </row>
    <row r="1208" spans="1:19" s="34" customFormat="1" ht="13.9" hidden="1" customHeight="1" outlineLevel="3" x14ac:dyDescent="0.2">
      <c r="A1208" s="457">
        <f ca="1">IF($H1208="UNIDADE CONSTRUTIVA",OFFSET(A1208,-1,0)+1,LARGE(A$3:A1207,1))</f>
        <v>0</v>
      </c>
      <c r="B1208" s="457">
        <f t="shared" ca="1" si="290"/>
        <v>16</v>
      </c>
      <c r="C1208" s="457">
        <f t="shared" ca="1" si="291"/>
        <v>2</v>
      </c>
      <c r="D1208" s="458">
        <f t="shared" ca="1" si="292"/>
        <v>4</v>
      </c>
      <c r="E1208" s="458">
        <f t="shared" ca="1" si="293"/>
        <v>1</v>
      </c>
      <c r="G1208" s="206"/>
      <c r="H1208" s="207" t="s">
        <v>212</v>
      </c>
      <c r="I1208" s="208" t="str">
        <f t="shared" ca="1" si="289"/>
        <v>16.002.004.001</v>
      </c>
      <c r="J1208" s="209" t="s">
        <v>1200</v>
      </c>
      <c r="K1208" s="210" t="s">
        <v>2</v>
      </c>
      <c r="L1208" s="455">
        <f>Arquitetura!H1857</f>
        <v>6</v>
      </c>
      <c r="M1208" s="455">
        <v>1761</v>
      </c>
      <c r="N1208" s="285">
        <f t="shared" si="283"/>
        <v>10566</v>
      </c>
      <c r="O1208" s="462"/>
      <c r="P1208" s="213" t="s">
        <v>518</v>
      </c>
      <c r="Q1208" s="35"/>
      <c r="R1208" s="35"/>
      <c r="S1208" s="35"/>
    </row>
    <row r="1209" spans="1:19" s="34" customFormat="1" ht="13.9" hidden="1" customHeight="1" outlineLevel="1" x14ac:dyDescent="0.2">
      <c r="A1209" s="457">
        <f ca="1">IF($H1209="UNIDADE CONSTRUTIVA",OFFSET(A1209,-1,0)+1,LARGE(A$3:A1208,1))</f>
        <v>0</v>
      </c>
      <c r="B1209" s="457">
        <f t="shared" ca="1" si="255"/>
        <v>16</v>
      </c>
      <c r="C1209" s="457">
        <f t="shared" ca="1" si="256"/>
        <v>3</v>
      </c>
      <c r="D1209" s="458">
        <f t="shared" ca="1" si="257"/>
        <v>0</v>
      </c>
      <c r="E1209" s="458">
        <f t="shared" ca="1" si="258"/>
        <v>1</v>
      </c>
      <c r="G1209" s="206"/>
      <c r="H1209" s="207" t="s">
        <v>210</v>
      </c>
      <c r="I1209" s="208" t="str">
        <f t="shared" ca="1" si="289"/>
        <v>16.003</v>
      </c>
      <c r="J1209" s="209" t="s">
        <v>4938</v>
      </c>
      <c r="K1209" s="210"/>
      <c r="L1209" s="455"/>
      <c r="M1209" s="455"/>
      <c r="N1209" s="285">
        <f t="shared" ca="1" si="283"/>
        <v>79537.21250275668</v>
      </c>
      <c r="O1209" s="462"/>
      <c r="P1209" s="213"/>
      <c r="Q1209" s="35"/>
      <c r="R1209" s="35"/>
      <c r="S1209" s="35"/>
    </row>
    <row r="1210" spans="1:19" s="34" customFormat="1" ht="13.9" hidden="1" customHeight="1" outlineLevel="2" x14ac:dyDescent="0.2">
      <c r="A1210" s="457">
        <f ca="1">IF($H1210="UNIDADE CONSTRUTIVA",OFFSET(A1210,-1,0)+1,LARGE(A$3:A1209,1))</f>
        <v>0</v>
      </c>
      <c r="B1210" s="457">
        <f t="shared" ca="1" si="255"/>
        <v>16</v>
      </c>
      <c r="C1210" s="457">
        <f t="shared" ca="1" si="256"/>
        <v>3</v>
      </c>
      <c r="D1210" s="458">
        <f t="shared" ca="1" si="257"/>
        <v>1</v>
      </c>
      <c r="E1210" s="458">
        <f t="shared" ca="1" si="258"/>
        <v>0</v>
      </c>
      <c r="G1210" s="206"/>
      <c r="H1210" s="207" t="s">
        <v>211</v>
      </c>
      <c r="I1210" s="208" t="str">
        <f t="shared" ca="1" si="289"/>
        <v>16.003.001</v>
      </c>
      <c r="J1210" s="209" t="s">
        <v>142</v>
      </c>
      <c r="K1210" s="210"/>
      <c r="L1210" s="455"/>
      <c r="M1210" s="455"/>
      <c r="N1210" s="285">
        <f t="shared" ca="1" si="283"/>
        <v>74633.465702756672</v>
      </c>
      <c r="O1210" s="462"/>
      <c r="P1210" s="213"/>
      <c r="Q1210" s="35"/>
      <c r="R1210" s="35"/>
      <c r="S1210" s="35"/>
    </row>
    <row r="1211" spans="1:19" s="34" customFormat="1" ht="13.9" hidden="1" customHeight="1" outlineLevel="3" x14ac:dyDescent="0.2">
      <c r="A1211" s="457">
        <f ca="1">IF($H1211="UNIDADE CONSTRUTIVA",OFFSET(A1211,-1,0)+1,LARGE(A$3:A1210,1))</f>
        <v>0</v>
      </c>
      <c r="B1211" s="457">
        <f t="shared" ca="1" si="255"/>
        <v>16</v>
      </c>
      <c r="C1211" s="457">
        <f t="shared" ca="1" si="256"/>
        <v>3</v>
      </c>
      <c r="D1211" s="458">
        <f t="shared" ca="1" si="257"/>
        <v>1</v>
      </c>
      <c r="E1211" s="458">
        <f t="shared" ca="1" si="258"/>
        <v>1</v>
      </c>
      <c r="G1211" s="206"/>
      <c r="H1211" s="207" t="s">
        <v>212</v>
      </c>
      <c r="I1211" s="208" t="str">
        <f t="shared" ca="1" si="289"/>
        <v>16.003.001.001</v>
      </c>
      <c r="J1211" s="209" t="s">
        <v>143</v>
      </c>
      <c r="K1211" s="210" t="s">
        <v>1</v>
      </c>
      <c r="L1211" s="472">
        <f>Arquitetura!H1393</f>
        <v>37.299999999999997</v>
      </c>
      <c r="M1211" s="472">
        <f>'PRECIFICAÇÃO ESQUADRIAS'!E54</f>
        <v>1165.1569652213586</v>
      </c>
      <c r="N1211" s="285">
        <f t="shared" si="283"/>
        <v>43460.354802756672</v>
      </c>
      <c r="O1211" s="462"/>
      <c r="P1211" s="213" t="s">
        <v>518</v>
      </c>
      <c r="Q1211" s="35"/>
      <c r="R1211" s="35"/>
      <c r="S1211" s="35"/>
    </row>
    <row r="1212" spans="1:19" s="34" customFormat="1" ht="13.9" hidden="1" customHeight="1" outlineLevel="3" x14ac:dyDescent="0.2">
      <c r="A1212" s="457">
        <f ca="1">IF($H1212="UNIDADE CONSTRUTIVA",OFFSET(A1212,-1,0)+1,LARGE(A$3:A1211,1))</f>
        <v>0</v>
      </c>
      <c r="B1212" s="457">
        <f ca="1">IF(H1212="UNIDADE CONSTRUTIVA",0,IF(H1212="CÉLULA CONSTRUTIVA",OFFSET(B1212,-1,0)+1,OFFSET(B1212,-1,0)))</f>
        <v>16</v>
      </c>
      <c r="C1212" s="457">
        <f ca="1">IF(H1212="CÉLULA CONSTRUTIVA",0,IF(H1212="ETAPA",OFFSET(C1212,-1,0)+1,OFFSET(C1212,-1,0)))</f>
        <v>3</v>
      </c>
      <c r="D1212" s="458">
        <f ca="1">IF(H1212="ETAPA",0,IF(H1212="SUBETAPA",OFFSET(D1212,-1,0)+1,OFFSET(D1212,-1,0)))</f>
        <v>1</v>
      </c>
      <c r="E1212" s="458">
        <f ca="1">IF(H1212="Subetapa",0,IF(H1212="serviço",OFFSET(E1212,-1,0)+1,OFFSET(E1212,-1,0)))</f>
        <v>2</v>
      </c>
      <c r="G1212" s="206"/>
      <c r="H1212" s="207" t="s">
        <v>212</v>
      </c>
      <c r="I1212" s="208" t="str">
        <f t="shared" ca="1" si="289"/>
        <v>16.003.001.002</v>
      </c>
      <c r="J1212" s="209" t="s">
        <v>4997</v>
      </c>
      <c r="K1212" s="210" t="s">
        <v>1</v>
      </c>
      <c r="L1212" s="472">
        <f>Arquitetura!H1394</f>
        <v>22.03</v>
      </c>
      <c r="M1212" s="472">
        <v>1415.03</v>
      </c>
      <c r="N1212" s="285">
        <f t="shared" si="283"/>
        <v>31173.1109</v>
      </c>
      <c r="O1212" s="462"/>
      <c r="P1212" s="213" t="s">
        <v>518</v>
      </c>
      <c r="Q1212" s="35"/>
      <c r="R1212" s="35"/>
      <c r="S1212" s="35"/>
    </row>
    <row r="1213" spans="1:19" s="34" customFormat="1" ht="11.25" hidden="1" customHeight="1" outlineLevel="2" x14ac:dyDescent="0.2">
      <c r="A1213" s="457">
        <f ca="1">IF($H1213="UNIDADE CONSTRUTIVA",OFFSET(A1213,-1,0)+1,LARGE(A$3:A1211,1))</f>
        <v>0</v>
      </c>
      <c r="B1213" s="457">
        <f t="shared" ca="1" si="255"/>
        <v>16</v>
      </c>
      <c r="C1213" s="457">
        <f t="shared" ca="1" si="256"/>
        <v>3</v>
      </c>
      <c r="D1213" s="458">
        <f t="shared" ca="1" si="257"/>
        <v>2</v>
      </c>
      <c r="E1213" s="458">
        <f t="shared" ca="1" si="258"/>
        <v>0</v>
      </c>
      <c r="G1213" s="206"/>
      <c r="H1213" s="207" t="s">
        <v>211</v>
      </c>
      <c r="I1213" s="208" t="str">
        <f t="shared" ca="1" si="289"/>
        <v>16.003.002</v>
      </c>
      <c r="J1213" s="209" t="s">
        <v>4226</v>
      </c>
      <c r="K1213" s="210"/>
      <c r="L1213" s="472"/>
      <c r="M1213" s="472"/>
      <c r="N1213" s="285">
        <f t="shared" ca="1" si="283"/>
        <v>580.55579999999998</v>
      </c>
      <c r="O1213" s="462"/>
      <c r="P1213" s="213"/>
      <c r="Q1213" s="35"/>
      <c r="R1213" s="35"/>
      <c r="S1213" s="35"/>
    </row>
    <row r="1214" spans="1:19" s="34" customFormat="1" ht="11.25" hidden="1" outlineLevel="3" x14ac:dyDescent="0.2">
      <c r="A1214" s="457">
        <f ca="1">IF($H1214="UNIDADE CONSTRUTIVA",OFFSET(A1214,-1,0)+1,LARGE(A$3:A1213,1))</f>
        <v>0</v>
      </c>
      <c r="B1214" s="457">
        <f t="shared" ca="1" si="255"/>
        <v>16</v>
      </c>
      <c r="C1214" s="457">
        <f t="shared" ca="1" si="256"/>
        <v>3</v>
      </c>
      <c r="D1214" s="458">
        <f t="shared" ca="1" si="257"/>
        <v>2</v>
      </c>
      <c r="E1214" s="458">
        <f t="shared" ca="1" si="258"/>
        <v>1</v>
      </c>
      <c r="G1214" s="206"/>
      <c r="H1214" s="207" t="s">
        <v>212</v>
      </c>
      <c r="I1214" s="208" t="str">
        <f t="shared" ca="1" si="289"/>
        <v>16.003.002.001</v>
      </c>
      <c r="J1214" s="209" t="s">
        <v>4226</v>
      </c>
      <c r="K1214" s="210" t="s">
        <v>3</v>
      </c>
      <c r="L1214" s="472">
        <f>Arquitetura!H1392</f>
        <v>5.38</v>
      </c>
      <c r="M1214" s="472">
        <f>'PRECIFICAÇÃO ESQUADRIAS'!D2</f>
        <v>107.91</v>
      </c>
      <c r="N1214" s="285">
        <f t="shared" si="283"/>
        <v>580.55579999999998</v>
      </c>
      <c r="O1214" s="462"/>
      <c r="P1214" s="213" t="s">
        <v>518</v>
      </c>
      <c r="Q1214" s="35"/>
      <c r="R1214" s="35"/>
      <c r="S1214" s="35"/>
    </row>
    <row r="1215" spans="1:19" s="34" customFormat="1" ht="13.9" hidden="1" customHeight="1" outlineLevel="2" x14ac:dyDescent="0.2">
      <c r="A1215" s="457">
        <f ca="1">IF($H1215="UNIDADE CONSTRUTIVA",OFFSET(A1215,-1,0)+1,LARGE(A$3:A1214,1))</f>
        <v>0</v>
      </c>
      <c r="B1215" s="457">
        <f ca="1">IF(H1215="UNIDADE CONSTRUTIVA",0,IF(H1215="CÉLULA CONSTRUTIVA",OFFSET(B1215,-1,0)+1,OFFSET(B1215,-1,0)))</f>
        <v>16</v>
      </c>
      <c r="C1215" s="457">
        <f ca="1">IF(H1215="CÉLULA CONSTRUTIVA",0,IF(H1215="ETAPA",OFFSET(C1215,-1,0)+1,OFFSET(C1215,-1,0)))</f>
        <v>3</v>
      </c>
      <c r="D1215" s="458">
        <f ca="1">IF(H1215="ETAPA",0,IF(H1215="SUBETAPA",OFFSET(D1215,-1,0)+1,OFFSET(D1215,-1,0)))</f>
        <v>3</v>
      </c>
      <c r="E1215" s="458">
        <f ca="1">IF(H1215="Subetapa",0,IF(H1215="serviço",OFFSET(E1215,-1,0)+1,OFFSET(E1215,-1,0)))</f>
        <v>0</v>
      </c>
      <c r="G1215" s="206"/>
      <c r="H1215" s="207" t="s">
        <v>211</v>
      </c>
      <c r="I1215" s="208" t="str">
        <f t="shared" ca="1" si="289"/>
        <v>16.003.003</v>
      </c>
      <c r="J1215" s="209" t="s">
        <v>146</v>
      </c>
      <c r="K1215" s="210"/>
      <c r="L1215" s="455"/>
      <c r="M1215" s="455"/>
      <c r="N1215" s="285">
        <f t="shared" ca="1" si="283"/>
        <v>801.19099999999992</v>
      </c>
      <c r="O1215" s="462"/>
      <c r="P1215" s="213"/>
      <c r="Q1215" s="35"/>
      <c r="R1215" s="35"/>
      <c r="S1215" s="35"/>
    </row>
    <row r="1216" spans="1:19" s="34" customFormat="1" ht="13.9" hidden="1" customHeight="1" outlineLevel="3" x14ac:dyDescent="0.2">
      <c r="A1216" s="457">
        <f ca="1">IF($H1216="UNIDADE CONSTRUTIVA",OFFSET(A1216,-1,0)+1,LARGE(A$3:A1215,1))</f>
        <v>0</v>
      </c>
      <c r="B1216" s="457">
        <f ca="1">IF(H1216="UNIDADE CONSTRUTIVA",0,IF(H1216="CÉLULA CONSTRUTIVA",OFFSET(B1216,-1,0)+1,OFFSET(B1216,-1,0)))</f>
        <v>16</v>
      </c>
      <c r="C1216" s="457">
        <f ca="1">IF(H1216="CÉLULA CONSTRUTIVA",0,IF(H1216="ETAPA",OFFSET(C1216,-1,0)+1,OFFSET(C1216,-1,0)))</f>
        <v>3</v>
      </c>
      <c r="D1216" s="458">
        <f ca="1">IF(H1216="ETAPA",0,IF(H1216="SUBETAPA",OFFSET(D1216,-1,0)+1,OFFSET(D1216,-1,0)))</f>
        <v>3</v>
      </c>
      <c r="E1216" s="458">
        <f ca="1">IF(H1216="Subetapa",0,IF(H1216="serviço",OFFSET(E1216,-1,0)+1,OFFSET(E1216,-1,0)))</f>
        <v>1</v>
      </c>
      <c r="G1216" s="206"/>
      <c r="H1216" s="207" t="s">
        <v>212</v>
      </c>
      <c r="I1216" s="208" t="str">
        <f t="shared" ca="1" si="289"/>
        <v>16.003.003.001</v>
      </c>
      <c r="J1216" s="209" t="s">
        <v>1199</v>
      </c>
      <c r="K1216" s="210" t="s">
        <v>3</v>
      </c>
      <c r="L1216" s="455">
        <f>Arquitetura!D1725</f>
        <v>12.26</v>
      </c>
      <c r="M1216" s="455">
        <v>65.349999999999994</v>
      </c>
      <c r="N1216" s="285">
        <f t="shared" si="283"/>
        <v>801.19099999999992</v>
      </c>
      <c r="O1216" s="462"/>
      <c r="P1216" s="213" t="s">
        <v>518</v>
      </c>
      <c r="Q1216" s="35"/>
      <c r="R1216" s="35"/>
      <c r="S1216" s="35"/>
    </row>
    <row r="1217" spans="1:19" s="34" customFormat="1" ht="13.9" hidden="1" customHeight="1" outlineLevel="2" x14ac:dyDescent="0.2">
      <c r="A1217" s="457">
        <f ca="1">IF($H1217="UNIDADE CONSTRUTIVA",OFFSET(A1217,-1,0)+1,LARGE(A$3:A1216,1))</f>
        <v>0</v>
      </c>
      <c r="B1217" s="457">
        <f ca="1">IF(H1217="UNIDADE CONSTRUTIVA",0,IF(H1217="CÉLULA CONSTRUTIVA",OFFSET(B1217,-1,0)+1,OFFSET(B1217,-1,0)))</f>
        <v>16</v>
      </c>
      <c r="C1217" s="457">
        <f ca="1">IF(H1217="CÉLULA CONSTRUTIVA",0,IF(H1217="ETAPA",OFFSET(C1217,-1,0)+1,OFFSET(C1217,-1,0)))</f>
        <v>3</v>
      </c>
      <c r="D1217" s="458">
        <f ca="1">IF(H1217="ETAPA",0,IF(H1217="SUBETAPA",OFFSET(D1217,-1,0)+1,OFFSET(D1217,-1,0)))</f>
        <v>4</v>
      </c>
      <c r="E1217" s="458">
        <f ca="1">IF(H1217="Subetapa",0,IF(H1217="serviço",OFFSET(E1217,-1,0)+1,OFFSET(E1217,-1,0)))</f>
        <v>0</v>
      </c>
      <c r="G1217" s="206"/>
      <c r="H1217" s="207" t="s">
        <v>211</v>
      </c>
      <c r="I1217" s="208" t="str">
        <f t="shared" ca="1" si="289"/>
        <v>16.003.004</v>
      </c>
      <c r="J1217" s="209" t="s">
        <v>148</v>
      </c>
      <c r="K1217" s="210"/>
      <c r="L1217" s="455"/>
      <c r="M1217" s="455"/>
      <c r="N1217" s="285">
        <f t="shared" ca="1" si="283"/>
        <v>3522</v>
      </c>
      <c r="O1217" s="462"/>
      <c r="P1217" s="213"/>
      <c r="Q1217" s="35"/>
      <c r="R1217" s="35"/>
      <c r="S1217" s="35"/>
    </row>
    <row r="1218" spans="1:19" s="34" customFormat="1" ht="13.9" hidden="1" customHeight="1" outlineLevel="3" x14ac:dyDescent="0.2">
      <c r="A1218" s="457">
        <f ca="1">IF($H1218="UNIDADE CONSTRUTIVA",OFFSET(A1218,-1,0)+1,LARGE(A$3:A1217,1))</f>
        <v>0</v>
      </c>
      <c r="B1218" s="457">
        <f ca="1">IF(H1218="UNIDADE CONSTRUTIVA",0,IF(H1218="CÉLULA CONSTRUTIVA",OFFSET(B1218,-1,0)+1,OFFSET(B1218,-1,0)))</f>
        <v>16</v>
      </c>
      <c r="C1218" s="457">
        <f ca="1">IF(H1218="CÉLULA CONSTRUTIVA",0,IF(H1218="ETAPA",OFFSET(C1218,-1,0)+1,OFFSET(C1218,-1,0)))</f>
        <v>3</v>
      </c>
      <c r="D1218" s="458">
        <f ca="1">IF(H1218="ETAPA",0,IF(H1218="SUBETAPA",OFFSET(D1218,-1,0)+1,OFFSET(D1218,-1,0)))</f>
        <v>4</v>
      </c>
      <c r="E1218" s="458">
        <f ca="1">IF(H1218="Subetapa",0,IF(H1218="serviço",OFFSET(E1218,-1,0)+1,OFFSET(E1218,-1,0)))</f>
        <v>1</v>
      </c>
      <c r="G1218" s="206"/>
      <c r="H1218" s="207" t="s">
        <v>212</v>
      </c>
      <c r="I1218" s="208" t="str">
        <f t="shared" ca="1" si="289"/>
        <v>16.003.004.001</v>
      </c>
      <c r="J1218" s="209" t="s">
        <v>1200</v>
      </c>
      <c r="K1218" s="210" t="s">
        <v>2</v>
      </c>
      <c r="L1218" s="455">
        <f>Arquitetura!D1866</f>
        <v>2</v>
      </c>
      <c r="M1218" s="455">
        <v>1761</v>
      </c>
      <c r="N1218" s="285">
        <f t="shared" ref="N1218:N1251" si="294">IF(H1218="Serviço",M1218*L1218,IF(H1218="CÉLULA CONSTRUTIVA",SUMIFS($N$8:$N$1314,$B$8:$B$1314,B1218,$H$8:$H$1314,"Serviço"),IF(H1218="ETAPA",SUMIFS($N$8:$N$1314,$B$8:$B$1314,B1218,$C$8:$C$1314,C1218,$H$8:$H$1314,"Serviço"),IF(H1218="SUBETAPA",SUMIFS($N$8:$N$1314,$B$8:$B$1314,B1218,$C$8:$C$1314,C1218,$D$8:$D$1314,D1218,$H$8:$H$1314,"Serviço"),0))))</f>
        <v>3522</v>
      </c>
      <c r="O1218" s="462"/>
      <c r="P1218" s="213" t="s">
        <v>518</v>
      </c>
      <c r="Q1218" s="35"/>
      <c r="R1218" s="35"/>
      <c r="S1218" s="35"/>
    </row>
    <row r="1219" spans="1:19" s="34" customFormat="1" ht="13.9" hidden="1" customHeight="1" outlineLevel="1" x14ac:dyDescent="0.2">
      <c r="A1219" s="457">
        <f ca="1">IF($H1219="UNIDADE CONSTRUTIVA",OFFSET(A1219,-1,0)+1,LARGE(A$3:A1218,1))</f>
        <v>0</v>
      </c>
      <c r="B1219" s="457">
        <f t="shared" ca="1" si="255"/>
        <v>16</v>
      </c>
      <c r="C1219" s="457">
        <f t="shared" ca="1" si="256"/>
        <v>4</v>
      </c>
      <c r="D1219" s="458">
        <f t="shared" ca="1" si="257"/>
        <v>0</v>
      </c>
      <c r="E1219" s="458">
        <f t="shared" ca="1" si="258"/>
        <v>1</v>
      </c>
      <c r="G1219" s="206"/>
      <c r="H1219" s="207" t="s">
        <v>210</v>
      </c>
      <c r="I1219" s="208" t="str">
        <f t="shared" ca="1" si="289"/>
        <v>16.004</v>
      </c>
      <c r="J1219" s="209" t="s">
        <v>4939</v>
      </c>
      <c r="K1219" s="210"/>
      <c r="L1219" s="455"/>
      <c r="M1219" s="455"/>
      <c r="N1219" s="285">
        <f t="shared" ca="1" si="294"/>
        <v>221971.83037701412</v>
      </c>
      <c r="O1219" s="462"/>
      <c r="P1219" s="213"/>
      <c r="Q1219" s="35"/>
      <c r="R1219" s="35"/>
      <c r="S1219" s="35"/>
    </row>
    <row r="1220" spans="1:19" s="34" customFormat="1" ht="13.9" hidden="1" customHeight="1" outlineLevel="2" x14ac:dyDescent="0.2">
      <c r="A1220" s="457">
        <f ca="1">IF($H1220="UNIDADE CONSTRUTIVA",OFFSET(A1220,-1,0)+1,LARGE(A$3:A1219,1))</f>
        <v>0</v>
      </c>
      <c r="B1220" s="457">
        <f t="shared" ca="1" si="255"/>
        <v>16</v>
      </c>
      <c r="C1220" s="457">
        <f t="shared" ca="1" si="256"/>
        <v>4</v>
      </c>
      <c r="D1220" s="458">
        <f t="shared" ca="1" si="257"/>
        <v>1</v>
      </c>
      <c r="E1220" s="458">
        <f t="shared" ca="1" si="258"/>
        <v>0</v>
      </c>
      <c r="G1220" s="206"/>
      <c r="H1220" s="207" t="s">
        <v>211</v>
      </c>
      <c r="I1220" s="208" t="str">
        <f t="shared" ca="1" si="289"/>
        <v>16.004.001</v>
      </c>
      <c r="J1220" s="209" t="s">
        <v>142</v>
      </c>
      <c r="K1220" s="210"/>
      <c r="L1220" s="455"/>
      <c r="M1220" s="455"/>
      <c r="N1220" s="285">
        <f t="shared" ca="1" si="294"/>
        <v>188212.05524637492</v>
      </c>
      <c r="O1220" s="462"/>
      <c r="P1220" s="213"/>
      <c r="Q1220" s="35"/>
      <c r="R1220" s="35"/>
      <c r="S1220" s="35"/>
    </row>
    <row r="1221" spans="1:19" s="34" customFormat="1" ht="13.9" hidden="1" customHeight="1" outlineLevel="3" x14ac:dyDescent="0.2">
      <c r="A1221" s="457">
        <f ca="1">IF($H1221="UNIDADE CONSTRUTIVA",OFFSET(A1221,-1,0)+1,LARGE(A$3:A1220,1))</f>
        <v>0</v>
      </c>
      <c r="B1221" s="457">
        <f t="shared" ca="1" si="255"/>
        <v>16</v>
      </c>
      <c r="C1221" s="457">
        <f t="shared" ca="1" si="256"/>
        <v>4</v>
      </c>
      <c r="D1221" s="458">
        <f t="shared" ca="1" si="257"/>
        <v>1</v>
      </c>
      <c r="E1221" s="458">
        <f t="shared" ca="1" si="258"/>
        <v>1</v>
      </c>
      <c r="G1221" s="206"/>
      <c r="H1221" s="207" t="s">
        <v>212</v>
      </c>
      <c r="I1221" s="208" t="str">
        <f t="shared" ca="1" si="289"/>
        <v>16.004.001.001</v>
      </c>
      <c r="J1221" s="209" t="s">
        <v>143</v>
      </c>
      <c r="K1221" s="210" t="s">
        <v>1</v>
      </c>
      <c r="L1221" s="472">
        <f>Arquitetura!H1403</f>
        <v>160.26</v>
      </c>
      <c r="M1221" s="472">
        <f>'PRECIFICAÇÃO ESQUADRIAS'!E54</f>
        <v>1165.1569652213586</v>
      </c>
      <c r="N1221" s="285">
        <f t="shared" si="294"/>
        <v>186728.05524637492</v>
      </c>
      <c r="O1221" s="462"/>
      <c r="P1221" s="213" t="s">
        <v>518</v>
      </c>
      <c r="Q1221" s="35"/>
      <c r="R1221" s="35"/>
      <c r="S1221" s="35"/>
    </row>
    <row r="1222" spans="1:19" s="34" customFormat="1" ht="13.9" hidden="1" customHeight="1" outlineLevel="3" x14ac:dyDescent="0.2">
      <c r="A1222" s="457">
        <f ca="1">IF($H1222="UNIDADE CONSTRUTIVA",OFFSET(A1222,-1,0)+1,LARGE(A$3:A1221,1))</f>
        <v>0</v>
      </c>
      <c r="B1222" s="457">
        <f t="shared" ref="B1222" ca="1" si="295">IF(H1222="UNIDADE CONSTRUTIVA",0,IF(H1222="CÉLULA CONSTRUTIVA",OFFSET(B1222,-1,0)+1,OFFSET(B1222,-1,0)))</f>
        <v>16</v>
      </c>
      <c r="C1222" s="457">
        <f t="shared" ref="C1222" ca="1" si="296">IF(H1222="CÉLULA CONSTRUTIVA",0,IF(H1222="ETAPA",OFFSET(C1222,-1,0)+1,OFFSET(C1222,-1,0)))</f>
        <v>4</v>
      </c>
      <c r="D1222" s="458">
        <f t="shared" ref="D1222" ca="1" si="297">IF(H1222="ETAPA",0,IF(H1222="SUBETAPA",OFFSET(D1222,-1,0)+1,OFFSET(D1222,-1,0)))</f>
        <v>1</v>
      </c>
      <c r="E1222" s="458">
        <f t="shared" ref="E1222" ca="1" si="298">IF(H1222="Subetapa",0,IF(H1222="serviço",OFFSET(E1222,-1,0)+1,OFFSET(E1222,-1,0)))</f>
        <v>2</v>
      </c>
      <c r="G1222" s="1000"/>
      <c r="H1222" s="1001" t="s">
        <v>212</v>
      </c>
      <c r="I1222" s="1002" t="str">
        <f t="shared" ref="I1222" ca="1" si="299">IF(H1222="Unidade Construtiva",TEXT(A1222,"00"),IF(H1222="Célula Construtiva",TEXT(B1222,"00"),IF(H1222="Etapa",CONCATENATE(TEXT(B1222,"00"),".",TEXT(C1222,"000")),IF(H1222="Subetapa",CONCATENATE(TEXT(B1222,"00"),".",TEXT(C1222,"000"),".",TEXT(D1222,"000")),IF(H1222="Serviço",CONCATENATE(TEXT(B1222,"00"),".",TEXT(C1222,"000"),".",TEXT(D1222,"000"),".",TEXT(E1222,"000")),"")))))</f>
        <v>16.004.001.002</v>
      </c>
      <c r="J1222" s="1003" t="s">
        <v>5105</v>
      </c>
      <c r="K1222" s="1004" t="s">
        <v>3</v>
      </c>
      <c r="L1222" s="1009">
        <f>(0.6*2+0.8*2)</f>
        <v>2.8</v>
      </c>
      <c r="M1222" s="1009">
        <v>530</v>
      </c>
      <c r="N1222" s="1006">
        <f t="shared" ref="N1222" si="300">IF(H1222="Serviço",M1222*L1222,IF(H1222="CÉLULA CONSTRUTIVA",SUMIFS($N$8:$N$1314,$B$8:$B$1314,B1222,$H$8:$H$1314,"Serviço"),IF(H1222="ETAPA",SUMIFS($N$8:$N$1314,$B$8:$B$1314,B1222,$C$8:$C$1314,C1222,$H$8:$H$1314,"Serviço"),IF(H1222="SUBETAPA",SUMIFS($N$8:$N$1314,$B$8:$B$1314,B1222,$C$8:$C$1314,C1222,$D$8:$D$1314,D1222,$H$8:$H$1314,"Serviço"),0))))</f>
        <v>1484</v>
      </c>
      <c r="O1222" s="1010" t="s">
        <v>5106</v>
      </c>
      <c r="P1222" s="213" t="s">
        <v>518</v>
      </c>
      <c r="Q1222" s="35"/>
      <c r="R1222" s="35"/>
      <c r="S1222" s="35"/>
    </row>
    <row r="1223" spans="1:19" s="34" customFormat="1" ht="11.25" hidden="1" customHeight="1" outlineLevel="2" x14ac:dyDescent="0.2">
      <c r="A1223" s="457">
        <f ca="1">IF($H1223="UNIDADE CONSTRUTIVA",OFFSET(A1223,-1,0)+1,LARGE(A$3:A1221,1))</f>
        <v>0</v>
      </c>
      <c r="B1223" s="457">
        <f ca="1">IF(H1223="UNIDADE CONSTRUTIVA",0,IF(H1223="CÉLULA CONSTRUTIVA",OFFSET(B1223,-1,0)+1,OFFSET(B1223,-1,0)))</f>
        <v>16</v>
      </c>
      <c r="C1223" s="457">
        <f ca="1">IF(H1223="CÉLULA CONSTRUTIVA",0,IF(H1223="ETAPA",OFFSET(C1223,-1,0)+1,OFFSET(C1223,-1,0)))</f>
        <v>4</v>
      </c>
      <c r="D1223" s="458">
        <f ca="1">IF(H1223="ETAPA",0,IF(H1223="SUBETAPA",OFFSET(D1223,-1,0)+1,OFFSET(D1223,-1,0)))</f>
        <v>2</v>
      </c>
      <c r="E1223" s="458">
        <f ca="1">IF(H1223="Subetapa",0,IF(H1223="serviço",OFFSET(E1223,-1,0)+1,OFFSET(E1223,-1,0)))</f>
        <v>0</v>
      </c>
      <c r="G1223" s="206"/>
      <c r="H1223" s="207" t="s">
        <v>211</v>
      </c>
      <c r="I1223" s="208" t="str">
        <f t="shared" ca="1" si="289"/>
        <v>16.004.002</v>
      </c>
      <c r="J1223" s="209" t="s">
        <v>4226</v>
      </c>
      <c r="K1223" s="210"/>
      <c r="L1223" s="472"/>
      <c r="M1223" s="472"/>
      <c r="N1223" s="285">
        <f t="shared" ca="1" si="294"/>
        <v>588.10950000000003</v>
      </c>
      <c r="O1223" s="462"/>
      <c r="P1223" s="213"/>
      <c r="Q1223" s="35"/>
      <c r="R1223" s="35"/>
      <c r="S1223" s="35"/>
    </row>
    <row r="1224" spans="1:19" s="34" customFormat="1" ht="11.25" hidden="1" outlineLevel="3" x14ac:dyDescent="0.2">
      <c r="A1224" s="457">
        <f ca="1">IF($H1224="UNIDADE CONSTRUTIVA",OFFSET(A1224,-1,0)+1,LARGE(A$3:A1223,1))</f>
        <v>0</v>
      </c>
      <c r="B1224" s="457">
        <f ca="1">IF(H1224="UNIDADE CONSTRUTIVA",0,IF(H1224="CÉLULA CONSTRUTIVA",OFFSET(B1224,-1,0)+1,OFFSET(B1224,-1,0)))</f>
        <v>16</v>
      </c>
      <c r="C1224" s="457">
        <f ca="1">IF(H1224="CÉLULA CONSTRUTIVA",0,IF(H1224="ETAPA",OFFSET(C1224,-1,0)+1,OFFSET(C1224,-1,0)))</f>
        <v>4</v>
      </c>
      <c r="D1224" s="458">
        <f ca="1">IF(H1224="ETAPA",0,IF(H1224="SUBETAPA",OFFSET(D1224,-1,0)+1,OFFSET(D1224,-1,0)))</f>
        <v>2</v>
      </c>
      <c r="E1224" s="458">
        <f ca="1">IF(H1224="Subetapa",0,IF(H1224="serviço",OFFSET(E1224,-1,0)+1,OFFSET(E1224,-1,0)))</f>
        <v>1</v>
      </c>
      <c r="G1224" s="206"/>
      <c r="H1224" s="207" t="s">
        <v>212</v>
      </c>
      <c r="I1224" s="208" t="str">
        <f t="shared" ca="1" si="289"/>
        <v>16.004.002.001</v>
      </c>
      <c r="J1224" s="209" t="s">
        <v>4226</v>
      </c>
      <c r="K1224" s="210" t="s">
        <v>3</v>
      </c>
      <c r="L1224" s="472">
        <f>Arquitetura!H1402</f>
        <v>5.45</v>
      </c>
      <c r="M1224" s="472">
        <f>'PRECIFICAÇÃO ESQUADRIAS'!D2</f>
        <v>107.91</v>
      </c>
      <c r="N1224" s="285">
        <f t="shared" si="294"/>
        <v>588.10950000000003</v>
      </c>
      <c r="O1224" s="462"/>
      <c r="P1224" s="213" t="s">
        <v>518</v>
      </c>
      <c r="Q1224" s="35"/>
      <c r="R1224" s="35"/>
      <c r="S1224" s="35"/>
    </row>
    <row r="1225" spans="1:19" s="34" customFormat="1" ht="13.9" hidden="1" customHeight="1" outlineLevel="2" x14ac:dyDescent="0.2">
      <c r="A1225" s="457">
        <f ca="1">IF($H1225="UNIDADE CONSTRUTIVA",OFFSET(A1225,-1,0)+1,LARGE(A$3:A1224,1))</f>
        <v>0</v>
      </c>
      <c r="B1225" s="457">
        <f t="shared" ca="1" si="255"/>
        <v>16</v>
      </c>
      <c r="C1225" s="457">
        <f t="shared" ca="1" si="256"/>
        <v>4</v>
      </c>
      <c r="D1225" s="458">
        <f t="shared" ca="1" si="257"/>
        <v>3</v>
      </c>
      <c r="E1225" s="458">
        <f t="shared" ca="1" si="258"/>
        <v>0</v>
      </c>
      <c r="G1225" s="206"/>
      <c r="H1225" s="207" t="s">
        <v>211</v>
      </c>
      <c r="I1225" s="208" t="str">
        <f t="shared" ca="1" si="289"/>
        <v>16.004.003</v>
      </c>
      <c r="J1225" s="209" t="s">
        <v>144</v>
      </c>
      <c r="K1225" s="210"/>
      <c r="L1225" s="455"/>
      <c r="M1225" s="472"/>
      <c r="N1225" s="285">
        <f t="shared" ca="1" si="294"/>
        <v>20342.16063063921</v>
      </c>
      <c r="O1225" s="462"/>
      <c r="P1225" s="213"/>
      <c r="Q1225" s="35"/>
      <c r="R1225" s="35"/>
      <c r="S1225" s="35"/>
    </row>
    <row r="1226" spans="1:19" s="34" customFormat="1" ht="13.9" hidden="1" customHeight="1" outlineLevel="3" x14ac:dyDescent="0.2">
      <c r="A1226" s="457">
        <f ca="1">IF($H1226="UNIDADE CONSTRUTIVA",OFFSET(A1226,-1,0)+1,LARGE(A$3:A1225,1))</f>
        <v>0</v>
      </c>
      <c r="B1226" s="457">
        <f t="shared" ca="1" si="255"/>
        <v>16</v>
      </c>
      <c r="C1226" s="457">
        <f t="shared" ca="1" si="256"/>
        <v>4</v>
      </c>
      <c r="D1226" s="458">
        <f t="shared" ca="1" si="257"/>
        <v>3</v>
      </c>
      <c r="E1226" s="458">
        <f t="shared" ca="1" si="258"/>
        <v>1</v>
      </c>
      <c r="G1226" s="206"/>
      <c r="H1226" s="207" t="s">
        <v>212</v>
      </c>
      <c r="I1226" s="208" t="str">
        <f t="shared" ca="1" si="289"/>
        <v>16.004.003.001</v>
      </c>
      <c r="J1226" s="209" t="s">
        <v>1198</v>
      </c>
      <c r="K1226" s="210" t="s">
        <v>1</v>
      </c>
      <c r="L1226" s="472">
        <f>Arquitetura!H1404</f>
        <v>14.46</v>
      </c>
      <c r="M1226" s="472">
        <f>'PRECIFICAÇÃO ESQUADRIAS'!D18</f>
        <v>1406.7884253554087</v>
      </c>
      <c r="N1226" s="285">
        <f t="shared" si="294"/>
        <v>20342.16063063921</v>
      </c>
      <c r="O1226" s="462"/>
      <c r="P1226" s="213" t="s">
        <v>518</v>
      </c>
      <c r="Q1226" s="35"/>
      <c r="R1226" s="35"/>
      <c r="S1226" s="35"/>
    </row>
    <row r="1227" spans="1:19" s="34" customFormat="1" ht="13.9" hidden="1" customHeight="1" outlineLevel="2" x14ac:dyDescent="0.2">
      <c r="A1227" s="457">
        <f ca="1">IF($H1227="UNIDADE CONSTRUTIVA",OFFSET(A1227,-1,0)+1,LARGE(A$3:A1226,1))</f>
        <v>0</v>
      </c>
      <c r="B1227" s="457">
        <f t="shared" ref="B1227:B1233" ca="1" si="301">IF(H1227="UNIDADE CONSTRUTIVA",0,IF(H1227="CÉLULA CONSTRUTIVA",OFFSET(B1227,-1,0)+1,OFFSET(B1227,-1,0)))</f>
        <v>16</v>
      </c>
      <c r="C1227" s="457">
        <f t="shared" ref="C1227:C1233" ca="1" si="302">IF(H1227="CÉLULA CONSTRUTIVA",0,IF(H1227="ETAPA",OFFSET(C1227,-1,0)+1,OFFSET(C1227,-1,0)))</f>
        <v>4</v>
      </c>
      <c r="D1227" s="458">
        <f t="shared" ref="D1227:D1233" ca="1" si="303">IF(H1227="ETAPA",0,IF(H1227="SUBETAPA",OFFSET(D1227,-1,0)+1,OFFSET(D1227,-1,0)))</f>
        <v>4</v>
      </c>
      <c r="E1227" s="458">
        <f t="shared" ref="E1227:E1233" ca="1" si="304">IF(H1227="Subetapa",0,IF(H1227="serviço",OFFSET(E1227,-1,0)+1,OFFSET(E1227,-1,0)))</f>
        <v>0</v>
      </c>
      <c r="G1227" s="206"/>
      <c r="H1227" s="207" t="s">
        <v>211</v>
      </c>
      <c r="I1227" s="208" t="str">
        <f t="shared" ref="I1227:I1233" ca="1" si="305">IF(H1227="Unidade Construtiva",TEXT(A1227,"00"),IF(H1227="Célula Construtiva",TEXT(B1227,"00"),IF(H1227="Etapa",CONCATENATE(TEXT(B1227,"00"),".",TEXT(C1227,"000")),IF(H1227="Subetapa",CONCATENATE(TEXT(B1227,"00"),".",TEXT(C1227,"000"),".",TEXT(D1227,"000")),IF(H1227="Serviço",CONCATENATE(TEXT(B1227,"00"),".",TEXT(C1227,"000"),".",TEXT(D1227,"000"),".",TEXT(E1227,"000")),"")))))</f>
        <v>16.004.004</v>
      </c>
      <c r="J1227" s="209" t="s">
        <v>145</v>
      </c>
      <c r="K1227" s="210"/>
      <c r="L1227" s="455"/>
      <c r="M1227" s="455"/>
      <c r="N1227" s="285">
        <f t="shared" ca="1" si="294"/>
        <v>7003.7000000000007</v>
      </c>
      <c r="O1227" s="462"/>
      <c r="P1227" s="213"/>
      <c r="Q1227" s="35"/>
      <c r="R1227" s="35"/>
      <c r="S1227" s="35"/>
    </row>
    <row r="1228" spans="1:19" s="34" customFormat="1" ht="13.9" hidden="1" customHeight="1" outlineLevel="3" x14ac:dyDescent="0.2">
      <c r="A1228" s="457">
        <f ca="1">IF($H1228="UNIDADE CONSTRUTIVA",OFFSET(A1228,-1,0)+1,LARGE(A$3:A1227,1))</f>
        <v>0</v>
      </c>
      <c r="B1228" s="457">
        <f t="shared" ca="1" si="301"/>
        <v>16</v>
      </c>
      <c r="C1228" s="457">
        <f t="shared" ca="1" si="302"/>
        <v>4</v>
      </c>
      <c r="D1228" s="458">
        <f t="shared" ca="1" si="303"/>
        <v>4</v>
      </c>
      <c r="E1228" s="458">
        <f t="shared" ca="1" si="304"/>
        <v>1</v>
      </c>
      <c r="G1228" s="206"/>
      <c r="H1228" s="207" t="s">
        <v>212</v>
      </c>
      <c r="I1228" s="208" t="str">
        <f t="shared" ca="1" si="305"/>
        <v>16.004.004.001</v>
      </c>
      <c r="J1228" s="209" t="s">
        <v>565</v>
      </c>
      <c r="K1228" s="210" t="s">
        <v>2</v>
      </c>
      <c r="L1228" s="455">
        <f>Arquitetura!D1730</f>
        <v>3</v>
      </c>
      <c r="M1228" s="455">
        <f>1087*1.02+292</f>
        <v>1400.74</v>
      </c>
      <c r="N1228" s="285">
        <f t="shared" si="294"/>
        <v>4202.22</v>
      </c>
      <c r="O1228" s="462"/>
      <c r="P1228" s="213" t="s">
        <v>518</v>
      </c>
      <c r="Q1228" s="35"/>
      <c r="R1228" s="35"/>
      <c r="S1228" s="35"/>
    </row>
    <row r="1229" spans="1:19" s="34" customFormat="1" ht="12.75" hidden="1" customHeight="1" outlineLevel="3" x14ac:dyDescent="0.2">
      <c r="A1229" s="457">
        <f ca="1">IF($H1229="UNIDADE CONSTRUTIVA",OFFSET(A1229,-1,0)+1,LARGE(A$3:A1228,1))</f>
        <v>0</v>
      </c>
      <c r="B1229" s="457">
        <f t="shared" ca="1" si="301"/>
        <v>16</v>
      </c>
      <c r="C1229" s="457">
        <f t="shared" ca="1" si="302"/>
        <v>4</v>
      </c>
      <c r="D1229" s="458">
        <f t="shared" ca="1" si="303"/>
        <v>4</v>
      </c>
      <c r="E1229" s="458">
        <f t="shared" ca="1" si="304"/>
        <v>2</v>
      </c>
      <c r="G1229" s="206"/>
      <c r="H1229" s="207" t="s">
        <v>212</v>
      </c>
      <c r="I1229" s="208" t="str">
        <f t="shared" ca="1" si="305"/>
        <v>16.004.004.002</v>
      </c>
      <c r="J1229" s="209" t="s">
        <v>1207</v>
      </c>
      <c r="K1229" s="210" t="s">
        <v>2</v>
      </c>
      <c r="L1229" s="455">
        <f>Arquitetura!D1731</f>
        <v>2</v>
      </c>
      <c r="M1229" s="455">
        <f>1087*1.02+292</f>
        <v>1400.74</v>
      </c>
      <c r="N1229" s="285">
        <f t="shared" si="294"/>
        <v>2801.48</v>
      </c>
      <c r="O1229" s="462"/>
      <c r="P1229" s="213" t="s">
        <v>518</v>
      </c>
      <c r="Q1229" s="35"/>
      <c r="R1229" s="35"/>
      <c r="S1229" s="35"/>
    </row>
    <row r="1230" spans="1:19" s="34" customFormat="1" ht="13.9" hidden="1" customHeight="1" outlineLevel="2" x14ac:dyDescent="0.2">
      <c r="A1230" s="457">
        <f ca="1">IF($H1230="UNIDADE CONSTRUTIVA",OFFSET(A1230,-1,0)+1,LARGE(A$3:A1229,1))</f>
        <v>0</v>
      </c>
      <c r="B1230" s="457">
        <f t="shared" ca="1" si="301"/>
        <v>16</v>
      </c>
      <c r="C1230" s="457">
        <f t="shared" ca="1" si="302"/>
        <v>4</v>
      </c>
      <c r="D1230" s="458">
        <f t="shared" ca="1" si="303"/>
        <v>5</v>
      </c>
      <c r="E1230" s="458">
        <f t="shared" ca="1" si="304"/>
        <v>0</v>
      </c>
      <c r="G1230" s="206"/>
      <c r="H1230" s="207" t="s">
        <v>211</v>
      </c>
      <c r="I1230" s="208" t="str">
        <f t="shared" ca="1" si="305"/>
        <v>16.004.005</v>
      </c>
      <c r="J1230" s="209" t="s">
        <v>146</v>
      </c>
      <c r="K1230" s="210"/>
      <c r="L1230" s="455"/>
      <c r="M1230" s="455"/>
      <c r="N1230" s="285">
        <f t="shared" ca="1" si="294"/>
        <v>803.80499999999995</v>
      </c>
      <c r="O1230" s="462"/>
      <c r="P1230" s="213"/>
      <c r="Q1230" s="35"/>
      <c r="R1230" s="35"/>
      <c r="S1230" s="35"/>
    </row>
    <row r="1231" spans="1:19" s="34" customFormat="1" ht="13.9" hidden="1" customHeight="1" outlineLevel="3" x14ac:dyDescent="0.2">
      <c r="A1231" s="457">
        <f ca="1">IF($H1231="UNIDADE CONSTRUTIVA",OFFSET(A1231,-1,0)+1,LARGE(A$3:A1230,1))</f>
        <v>0</v>
      </c>
      <c r="B1231" s="457">
        <f t="shared" ca="1" si="301"/>
        <v>16</v>
      </c>
      <c r="C1231" s="457">
        <f t="shared" ca="1" si="302"/>
        <v>4</v>
      </c>
      <c r="D1231" s="458">
        <f t="shared" ca="1" si="303"/>
        <v>5</v>
      </c>
      <c r="E1231" s="458">
        <f t="shared" ca="1" si="304"/>
        <v>1</v>
      </c>
      <c r="G1231" s="206"/>
      <c r="H1231" s="207" t="s">
        <v>212</v>
      </c>
      <c r="I1231" s="208" t="str">
        <f t="shared" ca="1" si="305"/>
        <v>16.004.005.001</v>
      </c>
      <c r="J1231" s="209" t="s">
        <v>1199</v>
      </c>
      <c r="K1231" s="210" t="s">
        <v>3</v>
      </c>
      <c r="L1231" s="455">
        <f>Arquitetura!D1728</f>
        <v>12.3</v>
      </c>
      <c r="M1231" s="455">
        <v>65.349999999999994</v>
      </c>
      <c r="N1231" s="285">
        <f t="shared" si="294"/>
        <v>803.80499999999995</v>
      </c>
      <c r="O1231" s="462"/>
      <c r="P1231" s="213" t="s">
        <v>518</v>
      </c>
      <c r="Q1231" s="35"/>
      <c r="R1231" s="35"/>
      <c r="S1231" s="35"/>
    </row>
    <row r="1232" spans="1:19" s="34" customFormat="1" ht="13.9" hidden="1" customHeight="1" outlineLevel="2" x14ac:dyDescent="0.2">
      <c r="A1232" s="457">
        <f ca="1">IF($H1232="UNIDADE CONSTRUTIVA",OFFSET(A1232,-1,0)+1,LARGE(A$3:A1231,1))</f>
        <v>0</v>
      </c>
      <c r="B1232" s="457">
        <f t="shared" ca="1" si="301"/>
        <v>16</v>
      </c>
      <c r="C1232" s="457">
        <f t="shared" ca="1" si="302"/>
        <v>4</v>
      </c>
      <c r="D1232" s="458">
        <f t="shared" ca="1" si="303"/>
        <v>6</v>
      </c>
      <c r="E1232" s="458">
        <f t="shared" ca="1" si="304"/>
        <v>0</v>
      </c>
      <c r="G1232" s="206"/>
      <c r="H1232" s="207" t="s">
        <v>211</v>
      </c>
      <c r="I1232" s="208" t="str">
        <f t="shared" ca="1" si="305"/>
        <v>16.004.006</v>
      </c>
      <c r="J1232" s="209" t="s">
        <v>130</v>
      </c>
      <c r="K1232" s="210"/>
      <c r="L1232" s="455"/>
      <c r="M1232" s="455"/>
      <c r="N1232" s="285">
        <f t="shared" ca="1" si="294"/>
        <v>1500</v>
      </c>
      <c r="O1232" s="462"/>
      <c r="P1232" s="213"/>
      <c r="Q1232" s="35"/>
      <c r="R1232" s="35"/>
      <c r="S1232" s="35"/>
    </row>
    <row r="1233" spans="1:19" s="34" customFormat="1" ht="13.9" hidden="1" customHeight="1" outlineLevel="3" x14ac:dyDescent="0.2">
      <c r="A1233" s="457">
        <f ca="1">IF($H1233="UNIDADE CONSTRUTIVA",OFFSET(A1233,-1,0)+1,LARGE(A$3:A1232,1))</f>
        <v>0</v>
      </c>
      <c r="B1233" s="457">
        <f t="shared" ca="1" si="301"/>
        <v>16</v>
      </c>
      <c r="C1233" s="457">
        <f t="shared" ca="1" si="302"/>
        <v>4</v>
      </c>
      <c r="D1233" s="458">
        <f t="shared" ca="1" si="303"/>
        <v>6</v>
      </c>
      <c r="E1233" s="458">
        <f t="shared" ca="1" si="304"/>
        <v>1</v>
      </c>
      <c r="G1233" s="206"/>
      <c r="H1233" s="207" t="s">
        <v>212</v>
      </c>
      <c r="I1233" s="208" t="str">
        <f t="shared" ca="1" si="305"/>
        <v>16.004.006.001</v>
      </c>
      <c r="J1233" s="209" t="s">
        <v>147</v>
      </c>
      <c r="K1233" s="210" t="s">
        <v>2</v>
      </c>
      <c r="L1233" s="455">
        <f>L1228+L1229</f>
        <v>5</v>
      </c>
      <c r="M1233" s="455">
        <v>300</v>
      </c>
      <c r="N1233" s="285">
        <f t="shared" si="294"/>
        <v>1500</v>
      </c>
      <c r="O1233" s="462"/>
      <c r="P1233" s="213" t="s">
        <v>518</v>
      </c>
      <c r="Q1233" s="35"/>
      <c r="R1233" s="35"/>
      <c r="S1233" s="35"/>
    </row>
    <row r="1234" spans="1:19" s="34" customFormat="1" ht="13.9" hidden="1" customHeight="1" outlineLevel="2" x14ac:dyDescent="0.2">
      <c r="A1234" s="457">
        <f ca="1">IF($H1234="UNIDADE CONSTRUTIVA",OFFSET(A1234,-1,0)+1,LARGE(A$3:A1233,1))</f>
        <v>0</v>
      </c>
      <c r="B1234" s="457">
        <f ca="1">IF(H1234="UNIDADE CONSTRUTIVA",0,IF(H1234="CÉLULA CONSTRUTIVA",OFFSET(B1234,-1,0)+1,OFFSET(B1234,-1,0)))</f>
        <v>16</v>
      </c>
      <c r="C1234" s="457">
        <f ca="1">IF(H1234="CÉLULA CONSTRUTIVA",0,IF(H1234="ETAPA",OFFSET(C1234,-1,0)+1,OFFSET(C1234,-1,0)))</f>
        <v>4</v>
      </c>
      <c r="D1234" s="458">
        <f ca="1">IF(H1234="ETAPA",0,IF(H1234="SUBETAPA",OFFSET(D1234,-1,0)+1,OFFSET(D1234,-1,0)))</f>
        <v>7</v>
      </c>
      <c r="E1234" s="458">
        <f ca="1">IF(H1234="Subetapa",0,IF(H1234="serviço",OFFSET(E1234,-1,0)+1,OFFSET(E1234,-1,0)))</f>
        <v>0</v>
      </c>
      <c r="G1234" s="206"/>
      <c r="H1234" s="207" t="s">
        <v>211</v>
      </c>
      <c r="I1234" s="208" t="str">
        <f t="shared" ref="I1234:I1248" ca="1" si="306">IF(H1234="Unidade Construtiva",TEXT(A1234,"00"),IF(H1234="Célula Construtiva",TEXT(B1234,"00"),IF(H1234="Etapa",CONCATENATE(TEXT(B1234,"00"),".",TEXT(C1234,"000")),IF(H1234="Subetapa",CONCATENATE(TEXT(B1234,"00"),".",TEXT(C1234,"000"),".",TEXT(D1234,"000")),IF(H1234="Serviço",CONCATENATE(TEXT(B1234,"00"),".",TEXT(C1234,"000"),".",TEXT(D1234,"000"),".",TEXT(E1234,"000")),"")))))</f>
        <v>16.004.007</v>
      </c>
      <c r="J1234" s="209" t="s">
        <v>148</v>
      </c>
      <c r="K1234" s="210"/>
      <c r="L1234" s="455"/>
      <c r="M1234" s="455"/>
      <c r="N1234" s="285">
        <f t="shared" ca="1" si="294"/>
        <v>3522</v>
      </c>
      <c r="O1234" s="462"/>
      <c r="P1234" s="213"/>
      <c r="Q1234" s="35"/>
      <c r="R1234" s="35"/>
      <c r="S1234" s="35"/>
    </row>
    <row r="1235" spans="1:19" s="34" customFormat="1" ht="13.9" hidden="1" customHeight="1" outlineLevel="3" x14ac:dyDescent="0.2">
      <c r="A1235" s="457">
        <f ca="1">IF($H1235="UNIDADE CONSTRUTIVA",OFFSET(A1235,-1,0)+1,LARGE(A$3:A1234,1))</f>
        <v>0</v>
      </c>
      <c r="B1235" s="457">
        <f ca="1">IF(H1235="UNIDADE CONSTRUTIVA",0,IF(H1235="CÉLULA CONSTRUTIVA",OFFSET(B1235,-1,0)+1,OFFSET(B1235,-1,0)))</f>
        <v>16</v>
      </c>
      <c r="C1235" s="457">
        <f ca="1">IF(H1235="CÉLULA CONSTRUTIVA",0,IF(H1235="ETAPA",OFFSET(C1235,-1,0)+1,OFFSET(C1235,-1,0)))</f>
        <v>4</v>
      </c>
      <c r="D1235" s="458">
        <f ca="1">IF(H1235="ETAPA",0,IF(H1235="SUBETAPA",OFFSET(D1235,-1,0)+1,OFFSET(D1235,-1,0)))</f>
        <v>7</v>
      </c>
      <c r="E1235" s="458">
        <f ca="1">IF(H1235="Subetapa",0,IF(H1235="serviço",OFFSET(E1235,-1,0)+1,OFFSET(E1235,-1,0)))</f>
        <v>1</v>
      </c>
      <c r="G1235" s="206"/>
      <c r="H1235" s="207" t="s">
        <v>212</v>
      </c>
      <c r="I1235" s="208" t="str">
        <f t="shared" ca="1" si="306"/>
        <v>16.004.007.001</v>
      </c>
      <c r="J1235" s="209" t="s">
        <v>1200</v>
      </c>
      <c r="K1235" s="210" t="s">
        <v>2</v>
      </c>
      <c r="L1235" s="455">
        <f>Arquitetura!D1869</f>
        <v>2</v>
      </c>
      <c r="M1235" s="455">
        <v>1761</v>
      </c>
      <c r="N1235" s="285">
        <f t="shared" si="294"/>
        <v>3522</v>
      </c>
      <c r="O1235" s="462"/>
      <c r="P1235" s="213" t="s">
        <v>518</v>
      </c>
      <c r="Q1235" s="35"/>
      <c r="R1235" s="35"/>
      <c r="S1235" s="35"/>
    </row>
    <row r="1236" spans="1:19" s="34" customFormat="1" ht="13.9" hidden="1" customHeight="1" outlineLevel="1" x14ac:dyDescent="0.2">
      <c r="A1236" s="457">
        <f ca="1">IF($H1236="UNIDADE CONSTRUTIVA",OFFSET(A1236,-1,0)+1,LARGE(A$3:A1235,1))</f>
        <v>0</v>
      </c>
      <c r="B1236" s="457">
        <f t="shared" ca="1" si="255"/>
        <v>16</v>
      </c>
      <c r="C1236" s="457">
        <f t="shared" ca="1" si="256"/>
        <v>5</v>
      </c>
      <c r="D1236" s="458">
        <f t="shared" ca="1" si="257"/>
        <v>0</v>
      </c>
      <c r="E1236" s="458">
        <f t="shared" ca="1" si="258"/>
        <v>1</v>
      </c>
      <c r="G1236" s="206"/>
      <c r="H1236" s="207" t="s">
        <v>210</v>
      </c>
      <c r="I1236" s="208" t="str">
        <f t="shared" ca="1" si="306"/>
        <v>16.005</v>
      </c>
      <c r="J1236" s="209" t="s">
        <v>4940</v>
      </c>
      <c r="K1236" s="210"/>
      <c r="L1236" s="455"/>
      <c r="M1236" s="455"/>
      <c r="N1236" s="285">
        <f t="shared" ca="1" si="294"/>
        <v>3115139.6580640427</v>
      </c>
      <c r="O1236" s="462"/>
      <c r="P1236" s="213"/>
      <c r="Q1236" s="35"/>
      <c r="R1236" s="35"/>
      <c r="S1236" s="35"/>
    </row>
    <row r="1237" spans="1:19" s="34" customFormat="1" ht="13.9" hidden="1" customHeight="1" outlineLevel="2" x14ac:dyDescent="0.2">
      <c r="A1237" s="457">
        <f ca="1">IF($H1237="UNIDADE CONSTRUTIVA",OFFSET(A1237,-1,0)+1,LARGE(A$3:A1236,1))</f>
        <v>0</v>
      </c>
      <c r="B1237" s="457">
        <f t="shared" ca="1" si="255"/>
        <v>16</v>
      </c>
      <c r="C1237" s="457">
        <f t="shared" ca="1" si="256"/>
        <v>5</v>
      </c>
      <c r="D1237" s="458">
        <f t="shared" ca="1" si="257"/>
        <v>1</v>
      </c>
      <c r="E1237" s="458">
        <f t="shared" ca="1" si="258"/>
        <v>0</v>
      </c>
      <c r="G1237" s="206"/>
      <c r="H1237" s="207" t="s">
        <v>211</v>
      </c>
      <c r="I1237" s="208" t="str">
        <f t="shared" ca="1" si="306"/>
        <v>16.005.001</v>
      </c>
      <c r="J1237" s="209" t="s">
        <v>142</v>
      </c>
      <c r="K1237" s="210"/>
      <c r="L1237" s="455"/>
      <c r="M1237" s="455"/>
      <c r="N1237" s="285">
        <f t="shared" ca="1" si="294"/>
        <v>1543054.6255845202</v>
      </c>
      <c r="O1237" s="462"/>
      <c r="P1237" s="213"/>
      <c r="Q1237" s="35"/>
      <c r="R1237" s="35"/>
      <c r="S1237" s="35"/>
    </row>
    <row r="1238" spans="1:19" s="34" customFormat="1" ht="13.9" hidden="1" customHeight="1" outlineLevel="3" x14ac:dyDescent="0.2">
      <c r="A1238" s="457">
        <f ca="1">IF($H1238="UNIDADE CONSTRUTIVA",OFFSET(A1238,-1,0)+1,LARGE(A$3:A1237,1))</f>
        <v>0</v>
      </c>
      <c r="B1238" s="457">
        <f t="shared" ca="1" si="255"/>
        <v>16</v>
      </c>
      <c r="C1238" s="457">
        <f t="shared" ca="1" si="256"/>
        <v>5</v>
      </c>
      <c r="D1238" s="458">
        <f t="shared" ca="1" si="257"/>
        <v>1</v>
      </c>
      <c r="E1238" s="458">
        <f t="shared" ca="1" si="258"/>
        <v>1</v>
      </c>
      <c r="G1238" s="206"/>
      <c r="H1238" s="207" t="s">
        <v>212</v>
      </c>
      <c r="I1238" s="208" t="str">
        <f t="shared" ca="1" si="306"/>
        <v>16.005.001.001</v>
      </c>
      <c r="J1238" s="209" t="s">
        <v>143</v>
      </c>
      <c r="K1238" s="210" t="s">
        <v>1</v>
      </c>
      <c r="L1238" s="472">
        <f>Arquitetura!H1427</f>
        <v>1239.1794999999997</v>
      </c>
      <c r="M1238" s="472">
        <f>'PRECIFICAÇÃO ESQUADRIAS'!E54</f>
        <v>1165.1569652213586</v>
      </c>
      <c r="N1238" s="285">
        <f t="shared" si="294"/>
        <v>1443838.6255845202</v>
      </c>
      <c r="O1238" s="462"/>
      <c r="P1238" s="213" t="s">
        <v>518</v>
      </c>
      <c r="Q1238" s="35"/>
      <c r="R1238" s="35"/>
      <c r="S1238" s="35"/>
    </row>
    <row r="1239" spans="1:19" s="34" customFormat="1" ht="13.9" hidden="1" customHeight="1" outlineLevel="3" x14ac:dyDescent="0.2">
      <c r="A1239" s="457">
        <f ca="1">IF($H1239="UNIDADE CONSTRUTIVA",OFFSET(A1239,-1,0)+1,LARGE(A$3:A1238,1))</f>
        <v>0</v>
      </c>
      <c r="B1239" s="457">
        <f t="shared" ca="1" si="255"/>
        <v>16</v>
      </c>
      <c r="C1239" s="457">
        <f t="shared" ca="1" si="256"/>
        <v>5</v>
      </c>
      <c r="D1239" s="458">
        <f t="shared" ca="1" si="257"/>
        <v>1</v>
      </c>
      <c r="E1239" s="458">
        <f t="shared" ca="1" si="258"/>
        <v>2</v>
      </c>
      <c r="G1239" s="1000"/>
      <c r="H1239" s="1001" t="s">
        <v>212</v>
      </c>
      <c r="I1239" s="1002" t="str">
        <f t="shared" ca="1" si="306"/>
        <v>16.005.001.002</v>
      </c>
      <c r="J1239" s="1003" t="s">
        <v>5105</v>
      </c>
      <c r="K1239" s="1004" t="s">
        <v>3</v>
      </c>
      <c r="L1239" s="1009">
        <f>(0.6*4)*6*13</f>
        <v>187.2</v>
      </c>
      <c r="M1239" s="1009">
        <v>530</v>
      </c>
      <c r="N1239" s="1006">
        <f t="shared" si="294"/>
        <v>99216</v>
      </c>
      <c r="O1239" s="1010" t="s">
        <v>5106</v>
      </c>
      <c r="P1239" s="213" t="s">
        <v>518</v>
      </c>
      <c r="Q1239" s="35"/>
      <c r="R1239" s="35"/>
      <c r="S1239" s="35"/>
    </row>
    <row r="1240" spans="1:19" s="34" customFormat="1" ht="11.25" hidden="1" customHeight="1" outlineLevel="2" x14ac:dyDescent="0.2">
      <c r="A1240" s="457">
        <f ca="1">IF($H1240="UNIDADE CONSTRUTIVA",OFFSET(A1240,-1,0)+1,LARGE(A$3:A1238,1))</f>
        <v>0</v>
      </c>
      <c r="B1240" s="457">
        <f t="shared" ca="1" si="255"/>
        <v>16</v>
      </c>
      <c r="C1240" s="457">
        <f t="shared" ca="1" si="256"/>
        <v>5</v>
      </c>
      <c r="D1240" s="458">
        <f t="shared" ca="1" si="257"/>
        <v>2</v>
      </c>
      <c r="E1240" s="458">
        <f t="shared" ca="1" si="258"/>
        <v>0</v>
      </c>
      <c r="G1240" s="206"/>
      <c r="H1240" s="207" t="s">
        <v>211</v>
      </c>
      <c r="I1240" s="208" t="str">
        <f t="shared" ca="1" si="306"/>
        <v>16.005.002</v>
      </c>
      <c r="J1240" s="209" t="s">
        <v>4226</v>
      </c>
      <c r="K1240" s="210"/>
      <c r="L1240" s="472"/>
      <c r="M1240" s="472"/>
      <c r="N1240" s="285">
        <f t="shared" ca="1" si="294"/>
        <v>7463.0555999999997</v>
      </c>
      <c r="O1240" s="462"/>
      <c r="P1240" s="213"/>
      <c r="Q1240" s="35"/>
      <c r="R1240" s="35"/>
      <c r="S1240" s="35"/>
    </row>
    <row r="1241" spans="1:19" s="34" customFormat="1" ht="11.25" hidden="1" outlineLevel="3" x14ac:dyDescent="0.2">
      <c r="A1241" s="457">
        <f ca="1">IF($H1241="UNIDADE CONSTRUTIVA",OFFSET(A1241,-1,0)+1,LARGE(A$3:A1240,1))</f>
        <v>0</v>
      </c>
      <c r="B1241" s="457">
        <f t="shared" ca="1" si="255"/>
        <v>16</v>
      </c>
      <c r="C1241" s="457">
        <f t="shared" ca="1" si="256"/>
        <v>5</v>
      </c>
      <c r="D1241" s="458">
        <f t="shared" ca="1" si="257"/>
        <v>2</v>
      </c>
      <c r="E1241" s="458">
        <f t="shared" ca="1" si="258"/>
        <v>1</v>
      </c>
      <c r="G1241" s="206"/>
      <c r="H1241" s="207" t="s">
        <v>212</v>
      </c>
      <c r="I1241" s="208" t="str">
        <f t="shared" ca="1" si="306"/>
        <v>16.005.002.001</v>
      </c>
      <c r="J1241" s="209" t="s">
        <v>4226</v>
      </c>
      <c r="K1241" s="210" t="s">
        <v>3</v>
      </c>
      <c r="L1241" s="472">
        <f>Arquitetura!H1426</f>
        <v>69.16</v>
      </c>
      <c r="M1241" s="472">
        <f>'PRECIFICAÇÃO ESQUADRIAS'!D2</f>
        <v>107.91</v>
      </c>
      <c r="N1241" s="285">
        <f t="shared" si="294"/>
        <v>7463.0555999999997</v>
      </c>
      <c r="O1241" s="462"/>
      <c r="P1241" s="213" t="s">
        <v>518</v>
      </c>
      <c r="Q1241" s="35"/>
      <c r="R1241" s="35"/>
      <c r="S1241" s="35"/>
    </row>
    <row r="1242" spans="1:19" s="34" customFormat="1" ht="13.9" hidden="1" customHeight="1" outlineLevel="2" x14ac:dyDescent="0.2">
      <c r="A1242" s="457">
        <f ca="1">IF($H1242="UNIDADE CONSTRUTIVA",OFFSET(A1242,-1,0)+1,LARGE(A$3:A1241,1))</f>
        <v>0</v>
      </c>
      <c r="B1242" s="457">
        <f t="shared" ca="1" si="255"/>
        <v>16</v>
      </c>
      <c r="C1242" s="457">
        <f t="shared" ca="1" si="256"/>
        <v>5</v>
      </c>
      <c r="D1242" s="458">
        <f t="shared" ca="1" si="257"/>
        <v>3</v>
      </c>
      <c r="E1242" s="458">
        <f t="shared" ca="1" si="258"/>
        <v>0</v>
      </c>
      <c r="G1242" s="206"/>
      <c r="H1242" s="207" t="s">
        <v>211</v>
      </c>
      <c r="I1242" s="208" t="str">
        <f t="shared" ca="1" si="306"/>
        <v>16.005.003</v>
      </c>
      <c r="J1242" s="209" t="s">
        <v>1197</v>
      </c>
      <c r="K1242" s="210"/>
      <c r="L1242" s="455"/>
      <c r="M1242" s="455"/>
      <c r="N1242" s="285">
        <f t="shared" ca="1" si="294"/>
        <v>360433.96585452207</v>
      </c>
      <c r="O1242" s="462"/>
      <c r="P1242" s="213"/>
      <c r="Q1242" s="35"/>
      <c r="R1242" s="35"/>
      <c r="S1242" s="35"/>
    </row>
    <row r="1243" spans="1:19" s="34" customFormat="1" ht="13.9" hidden="1" customHeight="1" outlineLevel="3" x14ac:dyDescent="0.2">
      <c r="A1243" s="457">
        <f ca="1">IF($H1243="UNIDADE CONSTRUTIVA",OFFSET(A1243,-1,0)+1,LARGE(A$3:A1242,1))</f>
        <v>0</v>
      </c>
      <c r="B1243" s="457">
        <f t="shared" ca="1" si="255"/>
        <v>16</v>
      </c>
      <c r="C1243" s="457">
        <f t="shared" ca="1" si="256"/>
        <v>5</v>
      </c>
      <c r="D1243" s="458">
        <f t="shared" ca="1" si="257"/>
        <v>3</v>
      </c>
      <c r="E1243" s="458">
        <f t="shared" ca="1" si="258"/>
        <v>1</v>
      </c>
      <c r="G1243" s="206"/>
      <c r="H1243" s="207" t="s">
        <v>212</v>
      </c>
      <c r="I1243" s="208" t="str">
        <f t="shared" ca="1" si="306"/>
        <v>16.005.003.001</v>
      </c>
      <c r="J1243" s="209" t="s">
        <v>1206</v>
      </c>
      <c r="K1243" s="210" t="s">
        <v>1</v>
      </c>
      <c r="L1243" s="472">
        <f>Arquitetura!H1428</f>
        <v>256.21050000000008</v>
      </c>
      <c r="M1243" s="472">
        <f>'PRECIFICAÇÃO ESQUADRIAS'!D36</f>
        <v>1406.7884253554087</v>
      </c>
      <c r="N1243" s="285">
        <f t="shared" si="294"/>
        <v>360433.96585452207</v>
      </c>
      <c r="O1243" s="462"/>
      <c r="P1243" s="213" t="s">
        <v>518</v>
      </c>
      <c r="Q1243" s="35"/>
      <c r="R1243" s="35"/>
      <c r="S1243" s="35"/>
    </row>
    <row r="1244" spans="1:19" s="34" customFormat="1" ht="13.9" hidden="1" customHeight="1" outlineLevel="2" x14ac:dyDescent="0.2">
      <c r="A1244" s="457">
        <f ca="1">IF($H1244="UNIDADE CONSTRUTIVA",OFFSET(A1244,-1,0)+1,LARGE(A$3:A1243,1))</f>
        <v>0</v>
      </c>
      <c r="B1244" s="457">
        <f ca="1">IF(H1244="UNIDADE CONSTRUTIVA",0,IF(H1244="CÉLULA CONSTRUTIVA",OFFSET(B1244,-1,0)+1,OFFSET(B1244,-1,0)))</f>
        <v>16</v>
      </c>
      <c r="C1244" s="457">
        <f ca="1">IF(H1244="CÉLULA CONSTRUTIVA",0,IF(H1244="ETAPA",OFFSET(C1244,-1,0)+1,OFFSET(C1244,-1,0)))</f>
        <v>5</v>
      </c>
      <c r="D1244" s="458">
        <f ca="1">IF(H1244="ETAPA",0,IF(H1244="SUBETAPA",OFFSET(D1244,-1,0)+1,OFFSET(D1244,-1,0)))</f>
        <v>4</v>
      </c>
      <c r="E1244" s="458">
        <f ca="1">IF(H1244="Subetapa",0,IF(H1244="serviço",OFFSET(E1244,-1,0)+1,OFFSET(E1244,-1,0)))</f>
        <v>0</v>
      </c>
      <c r="G1244" s="206"/>
      <c r="H1244" s="207" t="s">
        <v>211</v>
      </c>
      <c r="I1244" s="208" t="str">
        <f t="shared" ca="1" si="306"/>
        <v>16.005.004</v>
      </c>
      <c r="J1244" s="209" t="s">
        <v>145</v>
      </c>
      <c r="K1244" s="210"/>
      <c r="L1244" s="455"/>
      <c r="M1244" s="455"/>
      <c r="N1244" s="285">
        <f t="shared" ca="1" si="294"/>
        <v>691965.55999999994</v>
      </c>
      <c r="O1244" s="462"/>
      <c r="P1244" s="213"/>
      <c r="Q1244" s="35"/>
      <c r="R1244" s="35"/>
      <c r="S1244" s="35"/>
    </row>
    <row r="1245" spans="1:19" s="34" customFormat="1" ht="13.9" hidden="1" customHeight="1" outlineLevel="3" x14ac:dyDescent="0.2">
      <c r="A1245" s="457">
        <f ca="1">IF($H1245="UNIDADE CONSTRUTIVA",OFFSET(A1245,-1,0)+1,LARGE(A$3:A1244,1))</f>
        <v>0</v>
      </c>
      <c r="B1245" s="457">
        <f ca="1">IF(H1245="UNIDADE CONSTRUTIVA",0,IF(H1245="CÉLULA CONSTRUTIVA",OFFSET(B1245,-1,0)+1,OFFSET(B1245,-1,0)))</f>
        <v>16</v>
      </c>
      <c r="C1245" s="457">
        <f ca="1">IF(H1245="CÉLULA CONSTRUTIVA",0,IF(H1245="ETAPA",OFFSET(C1245,-1,0)+1,OFFSET(C1245,-1,0)))</f>
        <v>5</v>
      </c>
      <c r="D1245" s="458">
        <f ca="1">IF(H1245="ETAPA",0,IF(H1245="SUBETAPA",OFFSET(D1245,-1,0)+1,OFFSET(D1245,-1,0)))</f>
        <v>4</v>
      </c>
      <c r="E1245" s="458">
        <f ca="1">IF(H1245="Subetapa",0,IF(H1245="serviço",OFFSET(E1245,-1,0)+1,OFFSET(E1245,-1,0)))</f>
        <v>1</v>
      </c>
      <c r="G1245" s="206"/>
      <c r="H1245" s="207" t="s">
        <v>212</v>
      </c>
      <c r="I1245" s="208" t="str">
        <f t="shared" ca="1" si="306"/>
        <v>16.005.004.001</v>
      </c>
      <c r="J1245" s="209" t="s">
        <v>565</v>
      </c>
      <c r="K1245" s="210" t="s">
        <v>2</v>
      </c>
      <c r="L1245" s="455">
        <f>Arquitetura!H1735</f>
        <v>182</v>
      </c>
      <c r="M1245" s="455">
        <f>1087*1.02+292</f>
        <v>1400.74</v>
      </c>
      <c r="N1245" s="285">
        <f t="shared" si="294"/>
        <v>254934.68</v>
      </c>
      <c r="O1245" s="462"/>
      <c r="P1245" s="213" t="s">
        <v>518</v>
      </c>
      <c r="Q1245" s="35"/>
      <c r="R1245" s="35"/>
      <c r="S1245" s="35"/>
    </row>
    <row r="1246" spans="1:19" s="34" customFormat="1" ht="12.75" hidden="1" customHeight="1" outlineLevel="3" x14ac:dyDescent="0.2">
      <c r="A1246" s="457">
        <f ca="1">IF($H1246="UNIDADE CONSTRUTIVA",OFFSET(A1246,-1,0)+1,LARGE(A$3:A1245,1))</f>
        <v>0</v>
      </c>
      <c r="B1246" s="457">
        <f ca="1">IF(H1246="UNIDADE CONSTRUTIVA",0,IF(H1246="CÉLULA CONSTRUTIVA",OFFSET(B1246,-1,0)+1,OFFSET(B1246,-1,0)))</f>
        <v>16</v>
      </c>
      <c r="C1246" s="457">
        <f ca="1">IF(H1246="CÉLULA CONSTRUTIVA",0,IF(H1246="ETAPA",OFFSET(C1246,-1,0)+1,OFFSET(C1246,-1,0)))</f>
        <v>5</v>
      </c>
      <c r="D1246" s="458">
        <f ca="1">IF(H1246="ETAPA",0,IF(H1246="SUBETAPA",OFFSET(D1246,-1,0)+1,OFFSET(D1246,-1,0)))</f>
        <v>4</v>
      </c>
      <c r="E1246" s="458">
        <f ca="1">IF(H1246="Subetapa",0,IF(H1246="serviço",OFFSET(E1246,-1,0)+1,OFFSET(E1246,-1,0)))</f>
        <v>2</v>
      </c>
      <c r="G1246" s="206"/>
      <c r="H1246" s="207" t="s">
        <v>212</v>
      </c>
      <c r="I1246" s="208" t="str">
        <f t="shared" ca="1" si="306"/>
        <v>16.005.004.002</v>
      </c>
      <c r="J1246" s="209" t="s">
        <v>566</v>
      </c>
      <c r="K1246" s="210" t="s">
        <v>2</v>
      </c>
      <c r="L1246" s="455">
        <f>Arquitetura!H1736</f>
        <v>182</v>
      </c>
      <c r="M1246" s="455">
        <f>1087*1.02+292</f>
        <v>1400.74</v>
      </c>
      <c r="N1246" s="285">
        <f t="shared" si="294"/>
        <v>254934.68</v>
      </c>
      <c r="O1246" s="462"/>
      <c r="P1246" s="213" t="s">
        <v>518</v>
      </c>
      <c r="Q1246" s="35"/>
      <c r="R1246" s="35"/>
      <c r="S1246" s="35"/>
    </row>
    <row r="1247" spans="1:19" s="34" customFormat="1" ht="12.75" hidden="1" customHeight="1" outlineLevel="3" x14ac:dyDescent="0.2">
      <c r="A1247" s="457">
        <f ca="1">IF($H1247="UNIDADE CONSTRUTIVA",OFFSET(A1247,-1,0)+1,LARGE(A$3:A1246,1))</f>
        <v>0</v>
      </c>
      <c r="B1247" s="457">
        <f ca="1">IF(H1247="UNIDADE CONSTRUTIVA",0,IF(H1247="CÉLULA CONSTRUTIVA",OFFSET(B1247,-1,0)+1,OFFSET(B1247,-1,0)))</f>
        <v>16</v>
      </c>
      <c r="C1247" s="457">
        <f ca="1">IF(H1247="CÉLULA CONSTRUTIVA",0,IF(H1247="ETAPA",OFFSET(C1247,-1,0)+1,OFFSET(C1247,-1,0)))</f>
        <v>5</v>
      </c>
      <c r="D1247" s="458">
        <f ca="1">IF(H1247="ETAPA",0,IF(H1247="SUBETAPA",OFFSET(D1247,-1,0)+1,OFFSET(D1247,-1,0)))</f>
        <v>4</v>
      </c>
      <c r="E1247" s="458">
        <f ca="1">IF(H1247="Subetapa",0,IF(H1247="serviço",OFFSET(E1247,-1,0)+1,OFFSET(E1247,-1,0)))</f>
        <v>3</v>
      </c>
      <c r="G1247" s="206"/>
      <c r="H1247" s="207" t="s">
        <v>212</v>
      </c>
      <c r="I1247" s="208" t="str">
        <f t="shared" ca="1" si="306"/>
        <v>16.005.004.003</v>
      </c>
      <c r="J1247" s="209" t="s">
        <v>1207</v>
      </c>
      <c r="K1247" s="210" t="s">
        <v>2</v>
      </c>
      <c r="L1247" s="455">
        <f>Arquitetura!H1737</f>
        <v>78</v>
      </c>
      <c r="M1247" s="455">
        <f>1087*1.02+292</f>
        <v>1400.74</v>
      </c>
      <c r="N1247" s="285">
        <f t="shared" si="294"/>
        <v>109257.72</v>
      </c>
      <c r="O1247" s="462"/>
      <c r="P1247" s="213" t="s">
        <v>518</v>
      </c>
      <c r="Q1247" s="35"/>
      <c r="R1247" s="35"/>
      <c r="S1247" s="35"/>
    </row>
    <row r="1248" spans="1:19" s="34" customFormat="1" ht="12.75" hidden="1" customHeight="1" outlineLevel="3" x14ac:dyDescent="0.2">
      <c r="A1248" s="457">
        <f ca="1">IF($H1248="UNIDADE CONSTRUTIVA",OFFSET(A1248,-1,0)+1,LARGE(A$3:A1247,1))</f>
        <v>0</v>
      </c>
      <c r="B1248" s="457">
        <f ca="1">IF(H1248="UNIDADE CONSTRUTIVA",0,IF(H1248="CÉLULA CONSTRUTIVA",OFFSET(B1248,-1,0)+1,OFFSET(B1248,-1,0)))</f>
        <v>16</v>
      </c>
      <c r="C1248" s="457">
        <f ca="1">IF(H1248="CÉLULA CONSTRUTIVA",0,IF(H1248="ETAPA",OFFSET(C1248,-1,0)+1,OFFSET(C1248,-1,0)))</f>
        <v>5</v>
      </c>
      <c r="D1248" s="458">
        <f ca="1">IF(H1248="ETAPA",0,IF(H1248="SUBETAPA",OFFSET(D1248,-1,0)+1,OFFSET(D1248,-1,0)))</f>
        <v>4</v>
      </c>
      <c r="E1248" s="458">
        <f ca="1">IF(H1248="Subetapa",0,IF(H1248="serviço",OFFSET(E1248,-1,0)+1,OFFSET(E1248,-1,0)))</f>
        <v>4</v>
      </c>
      <c r="G1248" s="206"/>
      <c r="H1248" s="207" t="s">
        <v>212</v>
      </c>
      <c r="I1248" s="208" t="str">
        <f t="shared" ca="1" si="306"/>
        <v>16.005.004.004</v>
      </c>
      <c r="J1248" s="209" t="s">
        <v>4228</v>
      </c>
      <c r="K1248" s="210" t="s">
        <v>2</v>
      </c>
      <c r="L1248" s="455">
        <f>Arquitetura!H1738</f>
        <v>52</v>
      </c>
      <c r="M1248" s="455">
        <f>1087*1.02+292</f>
        <v>1400.74</v>
      </c>
      <c r="N1248" s="285">
        <f t="shared" si="294"/>
        <v>72838.48</v>
      </c>
      <c r="O1248" s="462"/>
      <c r="P1248" s="213" t="s">
        <v>518</v>
      </c>
      <c r="Q1248" s="35"/>
      <c r="R1248" s="35"/>
      <c r="S1248" s="35"/>
    </row>
    <row r="1249" spans="1:19" s="34" customFormat="1" ht="13.9" hidden="1" customHeight="1" outlineLevel="2" x14ac:dyDescent="0.2">
      <c r="A1249" s="457">
        <f ca="1">IF($H1249="UNIDADE CONSTRUTIVA",OFFSET(A1249,-1,0)+1,LARGE(A$3:A1248,1))</f>
        <v>0</v>
      </c>
      <c r="B1249" s="457">
        <f t="shared" ref="B1249:B1254" ca="1" si="307">IF(H1249="UNIDADE CONSTRUTIVA",0,IF(H1249="CÉLULA CONSTRUTIVA",OFFSET(B1249,-1,0)+1,OFFSET(B1249,-1,0)))</f>
        <v>16</v>
      </c>
      <c r="C1249" s="457">
        <f t="shared" ref="C1249:C1254" ca="1" si="308">IF(H1249="CÉLULA CONSTRUTIVA",0,IF(H1249="ETAPA",OFFSET(C1249,-1,0)+1,OFFSET(C1249,-1,0)))</f>
        <v>5</v>
      </c>
      <c r="D1249" s="458">
        <f t="shared" ref="D1249:D1254" ca="1" si="309">IF(H1249="ETAPA",0,IF(H1249="SUBETAPA",OFFSET(D1249,-1,0)+1,OFFSET(D1249,-1,0)))</f>
        <v>5</v>
      </c>
      <c r="E1249" s="458">
        <f t="shared" ref="E1249:E1254" ca="1" si="310">IF(H1249="Subetapa",0,IF(H1249="serviço",OFFSET(E1249,-1,0)+1,OFFSET(E1249,-1,0)))</f>
        <v>0</v>
      </c>
      <c r="G1249" s="206"/>
      <c r="H1249" s="207" t="s">
        <v>211</v>
      </c>
      <c r="I1249" s="208" t="str">
        <f t="shared" ref="I1249:I1254" ca="1" si="311">IF(H1249="Unidade Construtiva",TEXT(A1249,"00"),IF(H1249="Célula Construtiva",TEXT(B1249,"00"),IF(H1249="Etapa",CONCATENATE(TEXT(B1249,"00"),".",TEXT(C1249,"000")),IF(H1249="Subetapa",CONCATENATE(TEXT(B1249,"00"),".",TEXT(C1249,"000"),".",TEXT(D1249,"000")),IF(H1249="Serviço",CONCATENATE(TEXT(B1249,"00"),".",TEXT(C1249,"000"),".",TEXT(D1249,"000"),".",TEXT(E1249,"000")),"")))))</f>
        <v>16.005.005</v>
      </c>
      <c r="J1249" s="209" t="s">
        <v>146</v>
      </c>
      <c r="K1249" s="210"/>
      <c r="L1249" s="455"/>
      <c r="M1249" s="455"/>
      <c r="N1249" s="285">
        <f t="shared" ca="1" si="294"/>
        <v>10222.700499999995</v>
      </c>
      <c r="O1249" s="462"/>
      <c r="P1249" s="213"/>
      <c r="Q1249" s="35"/>
      <c r="R1249" s="35"/>
      <c r="S1249" s="35"/>
    </row>
    <row r="1250" spans="1:19" s="34" customFormat="1" ht="13.9" hidden="1" customHeight="1" outlineLevel="3" x14ac:dyDescent="0.2">
      <c r="A1250" s="457">
        <f ca="1">IF($H1250="UNIDADE CONSTRUTIVA",OFFSET(A1250,-1,0)+1,LARGE(A$3:A1249,1))</f>
        <v>0</v>
      </c>
      <c r="B1250" s="457">
        <f t="shared" ca="1" si="307"/>
        <v>16</v>
      </c>
      <c r="C1250" s="457">
        <f t="shared" ca="1" si="308"/>
        <v>5</v>
      </c>
      <c r="D1250" s="458">
        <f t="shared" ca="1" si="309"/>
        <v>5</v>
      </c>
      <c r="E1250" s="458">
        <f t="shared" ca="1" si="310"/>
        <v>1</v>
      </c>
      <c r="G1250" s="206"/>
      <c r="H1250" s="207" t="s">
        <v>212</v>
      </c>
      <c r="I1250" s="208" t="str">
        <f t="shared" ca="1" si="311"/>
        <v>16.005.005.001</v>
      </c>
      <c r="J1250" s="209" t="s">
        <v>436</v>
      </c>
      <c r="K1250" s="210" t="s">
        <v>3</v>
      </c>
      <c r="L1250" s="455">
        <f>Arquitetura!H1733</f>
        <v>156.42999999999995</v>
      </c>
      <c r="M1250" s="455">
        <v>65.349999999999994</v>
      </c>
      <c r="N1250" s="285">
        <f t="shared" si="294"/>
        <v>10222.700499999995</v>
      </c>
      <c r="O1250" s="462"/>
      <c r="P1250" s="213" t="s">
        <v>518</v>
      </c>
      <c r="Q1250" s="35"/>
      <c r="R1250" s="35"/>
      <c r="S1250" s="35"/>
    </row>
    <row r="1251" spans="1:19" s="34" customFormat="1" ht="13.9" hidden="1" customHeight="1" outlineLevel="2" x14ac:dyDescent="0.2">
      <c r="A1251" s="457">
        <f ca="1">IF($H1251="UNIDADE CONSTRUTIVA",OFFSET(A1251,-1,0)+1,LARGE(A$3:A1250,1))</f>
        <v>0</v>
      </c>
      <c r="B1251" s="457">
        <f t="shared" ca="1" si="307"/>
        <v>16</v>
      </c>
      <c r="C1251" s="457">
        <f t="shared" ca="1" si="308"/>
        <v>5</v>
      </c>
      <c r="D1251" s="458">
        <f t="shared" ca="1" si="309"/>
        <v>6</v>
      </c>
      <c r="E1251" s="458">
        <f t="shared" ca="1" si="310"/>
        <v>0</v>
      </c>
      <c r="G1251" s="206"/>
      <c r="H1251" s="207" t="s">
        <v>211</v>
      </c>
      <c r="I1251" s="208" t="str">
        <f t="shared" ca="1" si="311"/>
        <v>16.005.006</v>
      </c>
      <c r="J1251" s="209" t="s">
        <v>567</v>
      </c>
      <c r="K1251" s="210"/>
      <c r="L1251" s="455"/>
      <c r="M1251" s="455"/>
      <c r="N1251" s="285">
        <f t="shared" ca="1" si="294"/>
        <v>63180</v>
      </c>
      <c r="O1251" s="462"/>
      <c r="P1251" s="213"/>
      <c r="Q1251" s="35"/>
      <c r="R1251" s="35"/>
      <c r="S1251" s="35"/>
    </row>
    <row r="1252" spans="1:19" s="34" customFormat="1" ht="13.9" hidden="1" customHeight="1" outlineLevel="3" x14ac:dyDescent="0.2">
      <c r="A1252" s="457">
        <f ca="1">IF($H1252="UNIDADE CONSTRUTIVA",OFFSET(A1252,-1,0)+1,LARGE(A$3:A1251,1))</f>
        <v>0</v>
      </c>
      <c r="B1252" s="457">
        <f t="shared" ca="1" si="307"/>
        <v>16</v>
      </c>
      <c r="C1252" s="457">
        <f t="shared" ca="1" si="308"/>
        <v>5</v>
      </c>
      <c r="D1252" s="458">
        <f t="shared" ca="1" si="309"/>
        <v>6</v>
      </c>
      <c r="E1252" s="458">
        <f t="shared" ca="1" si="310"/>
        <v>1</v>
      </c>
      <c r="G1252" s="206"/>
      <c r="H1252" s="207" t="s">
        <v>212</v>
      </c>
      <c r="I1252" s="208" t="str">
        <f t="shared" ca="1" si="311"/>
        <v>16.005.006.001</v>
      </c>
      <c r="J1252" s="209" t="s">
        <v>568</v>
      </c>
      <c r="K1252" s="210" t="s">
        <v>2</v>
      </c>
      <c r="L1252" s="455">
        <f>6*13</f>
        <v>78</v>
      </c>
      <c r="M1252" s="455">
        <v>810</v>
      </c>
      <c r="N1252" s="285">
        <f t="shared" ref="N1252:N1284" si="312">IF(H1252="Serviço",M1252*L1252,IF(H1252="CÉLULA CONSTRUTIVA",SUMIFS($N$8:$N$1314,$B$8:$B$1314,B1252,$H$8:$H$1314,"Serviço"),IF(H1252="ETAPA",SUMIFS($N$8:$N$1314,$B$8:$B$1314,B1252,$C$8:$C$1314,C1252,$H$8:$H$1314,"Serviço"),IF(H1252="SUBETAPA",SUMIFS($N$8:$N$1314,$B$8:$B$1314,B1252,$C$8:$C$1314,C1252,$D$8:$D$1314,D1252,$H$8:$H$1314,"Serviço"),0))))</f>
        <v>63180</v>
      </c>
      <c r="O1252" s="462" t="s">
        <v>569</v>
      </c>
      <c r="P1252" s="213" t="s">
        <v>518</v>
      </c>
      <c r="Q1252" s="35"/>
      <c r="R1252" s="35"/>
      <c r="S1252" s="35"/>
    </row>
    <row r="1253" spans="1:19" s="34" customFormat="1" ht="13.9" hidden="1" customHeight="1" outlineLevel="2" x14ac:dyDescent="0.2">
      <c r="A1253" s="457">
        <f ca="1">IF($H1253="UNIDADE CONSTRUTIVA",OFFSET(A1253,-1,0)+1,LARGE(A$3:A1252,1))</f>
        <v>0</v>
      </c>
      <c r="B1253" s="457">
        <f t="shared" ca="1" si="307"/>
        <v>16</v>
      </c>
      <c r="C1253" s="457">
        <f t="shared" ca="1" si="308"/>
        <v>5</v>
      </c>
      <c r="D1253" s="458">
        <f t="shared" ca="1" si="309"/>
        <v>7</v>
      </c>
      <c r="E1253" s="458">
        <f t="shared" ca="1" si="310"/>
        <v>0</v>
      </c>
      <c r="G1253" s="206"/>
      <c r="H1253" s="207" t="s">
        <v>211</v>
      </c>
      <c r="I1253" s="208" t="str">
        <f t="shared" ca="1" si="311"/>
        <v>16.005.007</v>
      </c>
      <c r="J1253" s="209" t="s">
        <v>130</v>
      </c>
      <c r="K1253" s="210"/>
      <c r="L1253" s="455"/>
      <c r="M1253" s="455"/>
      <c r="N1253" s="285">
        <f t="shared" ca="1" si="312"/>
        <v>148200</v>
      </c>
      <c r="O1253" s="462"/>
      <c r="P1253" s="213"/>
      <c r="Q1253" s="35"/>
      <c r="R1253" s="35"/>
      <c r="S1253" s="35"/>
    </row>
    <row r="1254" spans="1:19" s="34" customFormat="1" ht="13.9" hidden="1" customHeight="1" outlineLevel="3" x14ac:dyDescent="0.2">
      <c r="A1254" s="457">
        <f ca="1">IF($H1254="UNIDADE CONSTRUTIVA",OFFSET(A1254,-1,0)+1,LARGE(A$3:A1253,1))</f>
        <v>0</v>
      </c>
      <c r="B1254" s="457">
        <f t="shared" ca="1" si="307"/>
        <v>16</v>
      </c>
      <c r="C1254" s="457">
        <f t="shared" ca="1" si="308"/>
        <v>5</v>
      </c>
      <c r="D1254" s="458">
        <f t="shared" ca="1" si="309"/>
        <v>7</v>
      </c>
      <c r="E1254" s="458">
        <f t="shared" ca="1" si="310"/>
        <v>1</v>
      </c>
      <c r="G1254" s="206"/>
      <c r="H1254" s="207" t="s">
        <v>212</v>
      </c>
      <c r="I1254" s="208" t="str">
        <f t="shared" ca="1" si="311"/>
        <v>16.005.007.001</v>
      </c>
      <c r="J1254" s="209" t="s">
        <v>147</v>
      </c>
      <c r="K1254" s="210" t="s">
        <v>2</v>
      </c>
      <c r="L1254" s="455">
        <f>SUM(L1245:L1248)</f>
        <v>494</v>
      </c>
      <c r="M1254" s="455">
        <v>300</v>
      </c>
      <c r="N1254" s="285">
        <f t="shared" si="312"/>
        <v>148200</v>
      </c>
      <c r="O1254" s="462"/>
      <c r="P1254" s="213" t="s">
        <v>518</v>
      </c>
      <c r="Q1254" s="35"/>
      <c r="R1254" s="35"/>
      <c r="S1254" s="35"/>
    </row>
    <row r="1255" spans="1:19" s="34" customFormat="1" ht="13.9" hidden="1" customHeight="1" outlineLevel="2" x14ac:dyDescent="0.2">
      <c r="A1255" s="457">
        <f ca="1">IF($H1255="UNIDADE CONSTRUTIVA",OFFSET(A1255,-1,0)+1,LARGE(A$3:A1254,1))</f>
        <v>0</v>
      </c>
      <c r="B1255" s="457">
        <f ca="1">IF(H1255="UNIDADE CONSTRUTIVA",0,IF(H1255="CÉLULA CONSTRUTIVA",OFFSET(B1255,-1,0)+1,OFFSET(B1255,-1,0)))</f>
        <v>16</v>
      </c>
      <c r="C1255" s="457">
        <f ca="1">IF(H1255="CÉLULA CONSTRUTIVA",0,IF(H1255="ETAPA",OFFSET(C1255,-1,0)+1,OFFSET(C1255,-1,0)))</f>
        <v>5</v>
      </c>
      <c r="D1255" s="458">
        <f ca="1">IF(H1255="ETAPA",0,IF(H1255="SUBETAPA",OFFSET(D1255,-1,0)+1,OFFSET(D1255,-1,0)))</f>
        <v>8</v>
      </c>
      <c r="E1255" s="458">
        <f ca="1">IF(H1255="Subetapa",0,IF(H1255="serviço",OFFSET(E1255,-1,0)+1,OFFSET(E1255,-1,0)))</f>
        <v>0</v>
      </c>
      <c r="G1255" s="206"/>
      <c r="H1255" s="207" t="s">
        <v>211</v>
      </c>
      <c r="I1255" s="208" t="str">
        <f t="shared" ref="I1255:I1271" ca="1" si="313">IF(H1255="Unidade Construtiva",TEXT(A1255,"00"),IF(H1255="Célula Construtiva",TEXT(B1255,"00"),IF(H1255="Etapa",CONCATENATE(TEXT(B1255,"00"),".",TEXT(C1255,"000")),IF(H1255="Subetapa",CONCATENATE(TEXT(B1255,"00"),".",TEXT(C1255,"000"),".",TEXT(D1255,"000")),IF(H1255="Serviço",CONCATENATE(TEXT(B1255,"00"),".",TEXT(C1255,"000"),".",TEXT(D1255,"000"),".",TEXT(E1255,"000")),"")))))</f>
        <v>16.005.008</v>
      </c>
      <c r="J1255" s="209" t="s">
        <v>148</v>
      </c>
      <c r="K1255" s="210"/>
      <c r="L1255" s="455"/>
      <c r="M1255" s="455"/>
      <c r="N1255" s="285">
        <f t="shared" ca="1" si="312"/>
        <v>45786</v>
      </c>
      <c r="O1255" s="462"/>
      <c r="P1255" s="213"/>
      <c r="Q1255" s="35"/>
      <c r="R1255" s="35"/>
      <c r="S1255" s="35"/>
    </row>
    <row r="1256" spans="1:19" s="34" customFormat="1" ht="13.9" hidden="1" customHeight="1" outlineLevel="3" x14ac:dyDescent="0.2">
      <c r="A1256" s="457">
        <f ca="1">IF($H1256="UNIDADE CONSTRUTIVA",OFFSET(A1256,-1,0)+1,LARGE(A$3:A1255,1))</f>
        <v>0</v>
      </c>
      <c r="B1256" s="457">
        <f ca="1">IF(H1256="UNIDADE CONSTRUTIVA",0,IF(H1256="CÉLULA CONSTRUTIVA",OFFSET(B1256,-1,0)+1,OFFSET(B1256,-1,0)))</f>
        <v>16</v>
      </c>
      <c r="C1256" s="457">
        <f ca="1">IF(H1256="CÉLULA CONSTRUTIVA",0,IF(H1256="ETAPA",OFFSET(C1256,-1,0)+1,OFFSET(C1256,-1,0)))</f>
        <v>5</v>
      </c>
      <c r="D1256" s="458">
        <f ca="1">IF(H1256="ETAPA",0,IF(H1256="SUBETAPA",OFFSET(D1256,-1,0)+1,OFFSET(D1256,-1,0)))</f>
        <v>8</v>
      </c>
      <c r="E1256" s="458">
        <f ca="1">IF(H1256="Subetapa",0,IF(H1256="serviço",OFFSET(E1256,-1,0)+1,OFFSET(E1256,-1,0)))</f>
        <v>1</v>
      </c>
      <c r="G1256" s="206"/>
      <c r="H1256" s="207" t="s">
        <v>212</v>
      </c>
      <c r="I1256" s="208" t="str">
        <f t="shared" ca="1" si="313"/>
        <v>16.005.008.001</v>
      </c>
      <c r="J1256" s="209" t="s">
        <v>1200</v>
      </c>
      <c r="K1256" s="210" t="s">
        <v>2</v>
      </c>
      <c r="L1256" s="455">
        <f>Arquitetura!H1874</f>
        <v>26</v>
      </c>
      <c r="M1256" s="455">
        <v>1761</v>
      </c>
      <c r="N1256" s="285">
        <f t="shared" si="312"/>
        <v>45786</v>
      </c>
      <c r="O1256" s="462"/>
      <c r="P1256" s="213" t="s">
        <v>518</v>
      </c>
      <c r="Q1256" s="35"/>
      <c r="R1256" s="35"/>
      <c r="S1256" s="35"/>
    </row>
    <row r="1257" spans="1:19" s="34" customFormat="1" ht="13.9" hidden="1" customHeight="1" outlineLevel="2" x14ac:dyDescent="0.2">
      <c r="A1257" s="457">
        <f ca="1">IF($H1257="UNIDADE CONSTRUTIVA",OFFSET(A1257,-1,0)+1,LARGE(A$3:A1256,1))</f>
        <v>0</v>
      </c>
      <c r="B1257" s="457">
        <f ca="1">IF(H1257="UNIDADE CONSTRUTIVA",0,IF(H1257="CÉLULA CONSTRUTIVA",OFFSET(B1257,-1,0)+1,OFFSET(B1257,-1,0)))</f>
        <v>16</v>
      </c>
      <c r="C1257" s="457">
        <f ca="1">IF(H1257="CÉLULA CONSTRUTIVA",0,IF(H1257="ETAPA",OFFSET(C1257,-1,0)+1,OFFSET(C1257,-1,0)))</f>
        <v>5</v>
      </c>
      <c r="D1257" s="458">
        <f ca="1">IF(H1257="ETAPA",0,IF(H1257="SUBETAPA",OFFSET(D1257,-1,0)+1,OFFSET(D1257,-1,0)))</f>
        <v>9</v>
      </c>
      <c r="E1257" s="458">
        <f ca="1">IF(H1257="Subetapa",0,IF(H1257="serviço",OFFSET(E1257,-1,0)+1,OFFSET(E1257,-1,0)))</f>
        <v>0</v>
      </c>
      <c r="G1257" s="206"/>
      <c r="H1257" s="207" t="s">
        <v>211</v>
      </c>
      <c r="I1257" s="208" t="str">
        <f t="shared" ca="1" si="313"/>
        <v>16.005.009</v>
      </c>
      <c r="J1257" s="209" t="s">
        <v>4230</v>
      </c>
      <c r="K1257" s="210"/>
      <c r="L1257" s="455"/>
      <c r="M1257" s="455"/>
      <c r="N1257" s="285">
        <f t="shared" ca="1" si="312"/>
        <v>244833.75052500007</v>
      </c>
      <c r="O1257" s="462"/>
      <c r="P1257" s="213"/>
      <c r="Q1257" s="35"/>
      <c r="R1257" s="35"/>
      <c r="S1257" s="35"/>
    </row>
    <row r="1258" spans="1:19" s="34" customFormat="1" ht="13.9" hidden="1" customHeight="1" outlineLevel="3" x14ac:dyDescent="0.2">
      <c r="A1258" s="457">
        <f ca="1">IF($H1258="UNIDADE CONSTRUTIVA",OFFSET(A1258,-1,0)+1,LARGE(A$3:A1257,1))</f>
        <v>0</v>
      </c>
      <c r="B1258" s="457">
        <f ca="1">IF(H1258="UNIDADE CONSTRUTIVA",0,IF(H1258="CÉLULA CONSTRUTIVA",OFFSET(B1258,-1,0)+1,OFFSET(B1258,-1,0)))</f>
        <v>16</v>
      </c>
      <c r="C1258" s="457">
        <f ca="1">IF(H1258="CÉLULA CONSTRUTIVA",0,IF(H1258="ETAPA",OFFSET(C1258,-1,0)+1,OFFSET(C1258,-1,0)))</f>
        <v>5</v>
      </c>
      <c r="D1258" s="458">
        <f ca="1">IF(H1258="ETAPA",0,IF(H1258="SUBETAPA",OFFSET(D1258,-1,0)+1,OFFSET(D1258,-1,0)))</f>
        <v>9</v>
      </c>
      <c r="E1258" s="458">
        <f ca="1">IF(H1258="Subetapa",0,IF(H1258="serviço",OFFSET(E1258,-1,0)+1,OFFSET(E1258,-1,0)))</f>
        <v>1</v>
      </c>
      <c r="G1258" s="206"/>
      <c r="H1258" s="207" t="s">
        <v>212</v>
      </c>
      <c r="I1258" s="208" t="str">
        <f t="shared" ca="1" si="313"/>
        <v>16.005.009.001</v>
      </c>
      <c r="J1258" s="209" t="s">
        <v>4231</v>
      </c>
      <c r="K1258" s="210" t="s">
        <v>1</v>
      </c>
      <c r="L1258" s="455">
        <f>Arquitetura!H1872*1.05</f>
        <v>266.85750000000007</v>
      </c>
      <c r="M1258" s="455">
        <v>917.47</v>
      </c>
      <c r="N1258" s="285">
        <f t="shared" si="312"/>
        <v>244833.75052500007</v>
      </c>
      <c r="O1258" s="462"/>
      <c r="P1258" s="213" t="s">
        <v>518</v>
      </c>
      <c r="Q1258" s="35"/>
      <c r="R1258" s="35"/>
      <c r="S1258" s="35"/>
    </row>
    <row r="1259" spans="1:19" s="34" customFormat="1" ht="13.9" hidden="1" customHeight="1" outlineLevel="1" x14ac:dyDescent="0.2">
      <c r="A1259" s="457">
        <f ca="1">IF($H1259="UNIDADE CONSTRUTIVA",OFFSET(A1259,-1,0)+1,LARGE(A$3:A1258,1))</f>
        <v>0</v>
      </c>
      <c r="B1259" s="457">
        <f t="shared" ca="1" si="255"/>
        <v>16</v>
      </c>
      <c r="C1259" s="457">
        <f t="shared" ca="1" si="256"/>
        <v>6</v>
      </c>
      <c r="D1259" s="458">
        <f t="shared" ca="1" si="257"/>
        <v>0</v>
      </c>
      <c r="E1259" s="458">
        <f t="shared" ca="1" si="258"/>
        <v>1</v>
      </c>
      <c r="G1259" s="206"/>
      <c r="H1259" s="207" t="s">
        <v>210</v>
      </c>
      <c r="I1259" s="208" t="str">
        <f t="shared" ca="1" si="313"/>
        <v>16.006</v>
      </c>
      <c r="J1259" s="209" t="s">
        <v>4941</v>
      </c>
      <c r="K1259" s="210"/>
      <c r="L1259" s="455"/>
      <c r="M1259" s="455"/>
      <c r="N1259" s="285">
        <f t="shared" ca="1" si="312"/>
        <v>252503.38975112484</v>
      </c>
      <c r="O1259" s="462"/>
      <c r="P1259" s="213"/>
      <c r="Q1259" s="35"/>
      <c r="R1259" s="35"/>
      <c r="S1259" s="35"/>
    </row>
    <row r="1260" spans="1:19" s="34" customFormat="1" ht="13.9" hidden="1" customHeight="1" outlineLevel="2" x14ac:dyDescent="0.2">
      <c r="A1260" s="457">
        <f ca="1">IF($H1260="UNIDADE CONSTRUTIVA",OFFSET(A1260,-1,0)+1,LARGE(A$3:A1259,1))</f>
        <v>0</v>
      </c>
      <c r="B1260" s="457">
        <f t="shared" ca="1" si="255"/>
        <v>16</v>
      </c>
      <c r="C1260" s="457">
        <f t="shared" ca="1" si="256"/>
        <v>6</v>
      </c>
      <c r="D1260" s="458">
        <f t="shared" ca="1" si="257"/>
        <v>1</v>
      </c>
      <c r="E1260" s="458">
        <f t="shared" ca="1" si="258"/>
        <v>0</v>
      </c>
      <c r="G1260" s="206"/>
      <c r="H1260" s="207" t="s">
        <v>211</v>
      </c>
      <c r="I1260" s="208" t="str">
        <f t="shared" ca="1" si="313"/>
        <v>16.006.001</v>
      </c>
      <c r="J1260" s="209" t="s">
        <v>142</v>
      </c>
      <c r="K1260" s="210"/>
      <c r="L1260" s="455"/>
      <c r="M1260" s="455"/>
      <c r="N1260" s="285">
        <f t="shared" ca="1" si="312"/>
        <v>112876.67085262788</v>
      </c>
      <c r="O1260" s="462"/>
      <c r="P1260" s="213"/>
      <c r="Q1260" s="35"/>
      <c r="R1260" s="35"/>
      <c r="S1260" s="35"/>
    </row>
    <row r="1261" spans="1:19" s="34" customFormat="1" ht="13.9" hidden="1" customHeight="1" outlineLevel="3" x14ac:dyDescent="0.2">
      <c r="A1261" s="457">
        <f ca="1">IF($H1261="UNIDADE CONSTRUTIVA",OFFSET(A1261,-1,0)+1,LARGE(A$3:A1260,1))</f>
        <v>0</v>
      </c>
      <c r="B1261" s="457">
        <f t="shared" ca="1" si="255"/>
        <v>16</v>
      </c>
      <c r="C1261" s="457">
        <f t="shared" ca="1" si="256"/>
        <v>6</v>
      </c>
      <c r="D1261" s="458">
        <f t="shared" ca="1" si="257"/>
        <v>1</v>
      </c>
      <c r="E1261" s="458">
        <f t="shared" ca="1" si="258"/>
        <v>1</v>
      </c>
      <c r="G1261" s="206"/>
      <c r="H1261" s="207" t="s">
        <v>212</v>
      </c>
      <c r="I1261" s="208" t="str">
        <f t="shared" ca="1" si="313"/>
        <v>16.006.001.001</v>
      </c>
      <c r="J1261" s="209" t="s">
        <v>143</v>
      </c>
      <c r="K1261" s="210" t="s">
        <v>1</v>
      </c>
      <c r="L1261" s="472">
        <f>Arquitetura!H1674</f>
        <v>92.509999999999991</v>
      </c>
      <c r="M1261" s="472">
        <f>'PRECIFICAÇÃO ESQUADRIAS'!E54</f>
        <v>1165.1569652213586</v>
      </c>
      <c r="N1261" s="285">
        <f t="shared" si="312"/>
        <v>107788.67085262788</v>
      </c>
      <c r="O1261" s="462"/>
      <c r="P1261" s="213" t="s">
        <v>518</v>
      </c>
      <c r="Q1261" s="35"/>
      <c r="R1261" s="35"/>
      <c r="S1261" s="35"/>
    </row>
    <row r="1262" spans="1:19" s="34" customFormat="1" ht="13.9" hidden="1" customHeight="1" outlineLevel="3" x14ac:dyDescent="0.2">
      <c r="A1262" s="457">
        <f ca="1">IF($H1262="UNIDADE CONSTRUTIVA",OFFSET(A1262,-1,0)+1,LARGE(A$3:A1261,1))</f>
        <v>0</v>
      </c>
      <c r="B1262" s="457">
        <f t="shared" ref="B1262" ca="1" si="314">IF(H1262="UNIDADE CONSTRUTIVA",0,IF(H1262="CÉLULA CONSTRUTIVA",OFFSET(B1262,-1,0)+1,OFFSET(B1262,-1,0)))</f>
        <v>16</v>
      </c>
      <c r="C1262" s="457">
        <f t="shared" ref="C1262" ca="1" si="315">IF(H1262="CÉLULA CONSTRUTIVA",0,IF(H1262="ETAPA",OFFSET(C1262,-1,0)+1,OFFSET(C1262,-1,0)))</f>
        <v>6</v>
      </c>
      <c r="D1262" s="458">
        <f t="shared" ref="D1262" ca="1" si="316">IF(H1262="ETAPA",0,IF(H1262="SUBETAPA",OFFSET(D1262,-1,0)+1,OFFSET(D1262,-1,0)))</f>
        <v>1</v>
      </c>
      <c r="E1262" s="458">
        <f t="shared" ref="E1262" ca="1" si="317">IF(H1262="Subetapa",0,IF(H1262="serviço",OFFSET(E1262,-1,0)+1,OFFSET(E1262,-1,0)))</f>
        <v>2</v>
      </c>
      <c r="G1262" s="1000"/>
      <c r="H1262" s="1001" t="s">
        <v>212</v>
      </c>
      <c r="I1262" s="1002" t="str">
        <f t="shared" ca="1" si="313"/>
        <v>16.006.001.002</v>
      </c>
      <c r="J1262" s="1003" t="s">
        <v>5105</v>
      </c>
      <c r="K1262" s="1004" t="s">
        <v>3</v>
      </c>
      <c r="L1262" s="1009">
        <f>(0.6*4)*4</f>
        <v>9.6</v>
      </c>
      <c r="M1262" s="1009">
        <v>530</v>
      </c>
      <c r="N1262" s="1006">
        <f t="shared" si="312"/>
        <v>5088</v>
      </c>
      <c r="O1262" s="1010" t="s">
        <v>5106</v>
      </c>
      <c r="P1262" s="213" t="s">
        <v>518</v>
      </c>
      <c r="Q1262" s="35"/>
      <c r="R1262" s="35"/>
      <c r="S1262" s="35"/>
    </row>
    <row r="1263" spans="1:19" s="34" customFormat="1" ht="11.25" hidden="1" customHeight="1" outlineLevel="2" x14ac:dyDescent="0.2">
      <c r="A1263" s="457">
        <f ca="1">IF($H1263="UNIDADE CONSTRUTIVA",OFFSET(A1263,-1,0)+1,LARGE(A$3:A1261,1))</f>
        <v>0</v>
      </c>
      <c r="B1263" s="457">
        <f ca="1">IF(H1263="UNIDADE CONSTRUTIVA",0,IF(H1263="CÉLULA CONSTRUTIVA",OFFSET(B1263,-1,0)+1,OFFSET(B1263,-1,0)))</f>
        <v>16</v>
      </c>
      <c r="C1263" s="457">
        <f ca="1">IF(H1263="CÉLULA CONSTRUTIVA",0,IF(H1263="ETAPA",OFFSET(C1263,-1,0)+1,OFFSET(C1263,-1,0)))</f>
        <v>6</v>
      </c>
      <c r="D1263" s="458">
        <f ca="1">IF(H1263="ETAPA",0,IF(H1263="SUBETAPA",OFFSET(D1263,-1,0)+1,OFFSET(D1263,-1,0)))</f>
        <v>2</v>
      </c>
      <c r="E1263" s="458">
        <f ca="1">IF(H1263="Subetapa",0,IF(H1263="serviço",OFFSET(E1263,-1,0)+1,OFFSET(E1263,-1,0)))</f>
        <v>0</v>
      </c>
      <c r="G1263" s="206"/>
      <c r="H1263" s="207" t="s">
        <v>211</v>
      </c>
      <c r="I1263" s="208" t="str">
        <f t="shared" ca="1" si="313"/>
        <v>16.006.002</v>
      </c>
      <c r="J1263" s="209" t="s">
        <v>4226</v>
      </c>
      <c r="K1263" s="210"/>
      <c r="L1263" s="472"/>
      <c r="M1263" s="472"/>
      <c r="N1263" s="285">
        <f t="shared" ca="1" si="312"/>
        <v>582.71400000000006</v>
      </c>
      <c r="O1263" s="462"/>
      <c r="P1263" s="213"/>
      <c r="Q1263" s="35"/>
      <c r="R1263" s="35"/>
      <c r="S1263" s="35"/>
    </row>
    <row r="1264" spans="1:19" s="34" customFormat="1" ht="11.25" hidden="1" outlineLevel="3" x14ac:dyDescent="0.2">
      <c r="A1264" s="457">
        <f ca="1">IF($H1264="UNIDADE CONSTRUTIVA",OFFSET(A1264,-1,0)+1,LARGE(A$3:A1263,1))</f>
        <v>0</v>
      </c>
      <c r="B1264" s="457">
        <f ca="1">IF(H1264="UNIDADE CONSTRUTIVA",0,IF(H1264="CÉLULA CONSTRUTIVA",OFFSET(B1264,-1,0)+1,OFFSET(B1264,-1,0)))</f>
        <v>16</v>
      </c>
      <c r="C1264" s="457">
        <f ca="1">IF(H1264="CÉLULA CONSTRUTIVA",0,IF(H1264="ETAPA",OFFSET(C1264,-1,0)+1,OFFSET(C1264,-1,0)))</f>
        <v>6</v>
      </c>
      <c r="D1264" s="458">
        <f ca="1">IF(H1264="ETAPA",0,IF(H1264="SUBETAPA",OFFSET(D1264,-1,0)+1,OFFSET(D1264,-1,0)))</f>
        <v>2</v>
      </c>
      <c r="E1264" s="458">
        <f ca="1">IF(H1264="Subetapa",0,IF(H1264="serviço",OFFSET(E1264,-1,0)+1,OFFSET(E1264,-1,0)))</f>
        <v>1</v>
      </c>
      <c r="G1264" s="206"/>
      <c r="H1264" s="207" t="s">
        <v>212</v>
      </c>
      <c r="I1264" s="208" t="str">
        <f t="shared" ca="1" si="313"/>
        <v>16.006.002.001</v>
      </c>
      <c r="J1264" s="209" t="s">
        <v>4226</v>
      </c>
      <c r="K1264" s="210" t="s">
        <v>3</v>
      </c>
      <c r="L1264" s="472">
        <f>Arquitetura!H1673</f>
        <v>5.4</v>
      </c>
      <c r="M1264" s="472">
        <f>'PRECIFICAÇÃO ESQUADRIAS'!D2</f>
        <v>107.91</v>
      </c>
      <c r="N1264" s="285">
        <f t="shared" si="312"/>
        <v>582.71400000000006</v>
      </c>
      <c r="O1264" s="462"/>
      <c r="P1264" s="213" t="s">
        <v>518</v>
      </c>
      <c r="Q1264" s="35"/>
      <c r="R1264" s="35"/>
      <c r="S1264" s="35"/>
    </row>
    <row r="1265" spans="1:19" s="34" customFormat="1" ht="13.9" hidden="1" customHeight="1" outlineLevel="2" x14ac:dyDescent="0.2">
      <c r="A1265" s="457">
        <f ca="1">IF($H1265="UNIDADE CONSTRUTIVA",OFFSET(A1265,-1,0)+1,LARGE(A$3:A1264,1))</f>
        <v>0</v>
      </c>
      <c r="B1265" s="457">
        <f t="shared" ca="1" si="255"/>
        <v>16</v>
      </c>
      <c r="C1265" s="457">
        <f t="shared" ca="1" si="256"/>
        <v>6</v>
      </c>
      <c r="D1265" s="458">
        <f t="shared" ca="1" si="257"/>
        <v>3</v>
      </c>
      <c r="E1265" s="458">
        <f t="shared" ca="1" si="258"/>
        <v>0</v>
      </c>
      <c r="G1265" s="206"/>
      <c r="H1265" s="207" t="s">
        <v>211</v>
      </c>
      <c r="I1265" s="208" t="str">
        <f t="shared" ca="1" si="313"/>
        <v>16.006.003</v>
      </c>
      <c r="J1265" s="209" t="s">
        <v>144</v>
      </c>
      <c r="K1265" s="210"/>
      <c r="L1265" s="455"/>
      <c r="M1265" s="455"/>
      <c r="N1265" s="285">
        <f t="shared" ca="1" si="312"/>
        <v>42117.135272502906</v>
      </c>
      <c r="O1265" s="462"/>
      <c r="P1265" s="213"/>
      <c r="Q1265" s="35"/>
      <c r="R1265" s="35"/>
      <c r="S1265" s="35"/>
    </row>
    <row r="1266" spans="1:19" s="34" customFormat="1" ht="13.9" hidden="1" customHeight="1" outlineLevel="3" x14ac:dyDescent="0.2">
      <c r="A1266" s="457">
        <f ca="1">IF($H1266="UNIDADE CONSTRUTIVA",OFFSET(A1266,-1,0)+1,LARGE(A$3:A1265,1))</f>
        <v>0</v>
      </c>
      <c r="B1266" s="457">
        <f t="shared" ca="1" si="255"/>
        <v>16</v>
      </c>
      <c r="C1266" s="457">
        <f t="shared" ca="1" si="256"/>
        <v>6</v>
      </c>
      <c r="D1266" s="458">
        <f t="shared" ca="1" si="257"/>
        <v>3</v>
      </c>
      <c r="E1266" s="458">
        <f t="shared" ca="1" si="258"/>
        <v>1</v>
      </c>
      <c r="G1266" s="206"/>
      <c r="H1266" s="207" t="s">
        <v>212</v>
      </c>
      <c r="I1266" s="208" t="str">
        <f t="shared" ca="1" si="313"/>
        <v>16.006.003.001</v>
      </c>
      <c r="J1266" s="209" t="s">
        <v>1206</v>
      </c>
      <c r="K1266" s="210" t="s">
        <v>1</v>
      </c>
      <c r="L1266" s="472">
        <f>Arquitetura!H1675</f>
        <v>29.938500000000001</v>
      </c>
      <c r="M1266" s="472">
        <f>'PRECIFICAÇÃO ESQUADRIAS'!D18</f>
        <v>1406.7884253554087</v>
      </c>
      <c r="N1266" s="285">
        <f t="shared" si="312"/>
        <v>42117.135272502906</v>
      </c>
      <c r="O1266" s="462"/>
      <c r="P1266" s="213" t="s">
        <v>518</v>
      </c>
      <c r="Q1266" s="35"/>
      <c r="R1266" s="35"/>
      <c r="S1266" s="35"/>
    </row>
    <row r="1267" spans="1:19" s="34" customFormat="1" ht="13.9" hidden="1" customHeight="1" outlineLevel="2" x14ac:dyDescent="0.2">
      <c r="A1267" s="457">
        <f ca="1">IF($H1267="UNIDADE CONSTRUTIVA",OFFSET(A1267,-1,0)+1,LARGE(A$3:A1266,1))</f>
        <v>0</v>
      </c>
      <c r="B1267" s="457">
        <f ca="1">IF(H1267="UNIDADE CONSTRUTIVA",0,IF(H1267="CÉLULA CONSTRUTIVA",OFFSET(B1267,-1,0)+1,OFFSET(B1267,-1,0)))</f>
        <v>16</v>
      </c>
      <c r="C1267" s="457">
        <f ca="1">IF(H1267="CÉLULA CONSTRUTIVA",0,IF(H1267="ETAPA",OFFSET(C1267,-1,0)+1,OFFSET(C1267,-1,0)))</f>
        <v>6</v>
      </c>
      <c r="D1267" s="458">
        <f ca="1">IF(H1267="ETAPA",0,IF(H1267="SUBETAPA",OFFSET(D1267,-1,0)+1,OFFSET(D1267,-1,0)))</f>
        <v>4</v>
      </c>
      <c r="E1267" s="458">
        <f ca="1">IF(H1267="Subetapa",0,IF(H1267="serviço",OFFSET(E1267,-1,0)+1,OFFSET(E1267,-1,0)))</f>
        <v>0</v>
      </c>
      <c r="G1267" s="206"/>
      <c r="H1267" s="207" t="s">
        <v>211</v>
      </c>
      <c r="I1267" s="208" t="str">
        <f t="shared" ca="1" si="313"/>
        <v>16.006.004</v>
      </c>
      <c r="J1267" s="209" t="s">
        <v>145</v>
      </c>
      <c r="K1267" s="210"/>
      <c r="L1267" s="455"/>
      <c r="M1267" s="455"/>
      <c r="N1267" s="285">
        <f t="shared" ca="1" si="312"/>
        <v>56029.599999999999</v>
      </c>
      <c r="O1267" s="462"/>
      <c r="P1267" s="213"/>
      <c r="Q1267" s="35"/>
      <c r="R1267" s="35"/>
      <c r="S1267" s="35"/>
    </row>
    <row r="1268" spans="1:19" s="34" customFormat="1" ht="13.9" hidden="1" customHeight="1" outlineLevel="3" x14ac:dyDescent="0.2">
      <c r="A1268" s="457">
        <f ca="1">IF($H1268="UNIDADE CONSTRUTIVA",OFFSET(A1268,-1,0)+1,LARGE(A$3:A1267,1))</f>
        <v>0</v>
      </c>
      <c r="B1268" s="457">
        <f ca="1">IF(H1268="UNIDADE CONSTRUTIVA",0,IF(H1268="CÉLULA CONSTRUTIVA",OFFSET(B1268,-1,0)+1,OFFSET(B1268,-1,0)))</f>
        <v>16</v>
      </c>
      <c r="C1268" s="457">
        <f ca="1">IF(H1268="CÉLULA CONSTRUTIVA",0,IF(H1268="ETAPA",OFFSET(C1268,-1,0)+1,OFFSET(C1268,-1,0)))</f>
        <v>6</v>
      </c>
      <c r="D1268" s="458">
        <f ca="1">IF(H1268="ETAPA",0,IF(H1268="SUBETAPA",OFFSET(D1268,-1,0)+1,OFFSET(D1268,-1,0)))</f>
        <v>4</v>
      </c>
      <c r="E1268" s="458">
        <f ca="1">IF(H1268="Subetapa",0,IF(H1268="serviço",OFFSET(E1268,-1,0)+1,OFFSET(E1268,-1,0)))</f>
        <v>1</v>
      </c>
      <c r="G1268" s="206"/>
      <c r="H1268" s="207" t="s">
        <v>212</v>
      </c>
      <c r="I1268" s="208" t="str">
        <f t="shared" ca="1" si="313"/>
        <v>16.006.004.001</v>
      </c>
      <c r="J1268" s="209" t="s">
        <v>565</v>
      </c>
      <c r="K1268" s="210" t="s">
        <v>2</v>
      </c>
      <c r="L1268" s="455">
        <f>Arquitetura!D1840</f>
        <v>14</v>
      </c>
      <c r="M1268" s="455">
        <f>1087*1.02+292</f>
        <v>1400.74</v>
      </c>
      <c r="N1268" s="285">
        <f t="shared" si="312"/>
        <v>19610.36</v>
      </c>
      <c r="O1268" s="462"/>
      <c r="P1268" s="213" t="s">
        <v>518</v>
      </c>
      <c r="Q1268" s="35"/>
      <c r="R1268" s="35"/>
      <c r="S1268" s="35"/>
    </row>
    <row r="1269" spans="1:19" s="34" customFormat="1" ht="12.75" hidden="1" customHeight="1" outlineLevel="3" x14ac:dyDescent="0.2">
      <c r="A1269" s="457">
        <f ca="1">IF($H1269="UNIDADE CONSTRUTIVA",OFFSET(A1269,-1,0)+1,LARGE(A$3:A1268,1))</f>
        <v>0</v>
      </c>
      <c r="B1269" s="457">
        <f ca="1">IF(H1269="UNIDADE CONSTRUTIVA",0,IF(H1269="CÉLULA CONSTRUTIVA",OFFSET(B1269,-1,0)+1,OFFSET(B1269,-1,0)))</f>
        <v>16</v>
      </c>
      <c r="C1269" s="457">
        <f ca="1">IF(H1269="CÉLULA CONSTRUTIVA",0,IF(H1269="ETAPA",OFFSET(C1269,-1,0)+1,OFFSET(C1269,-1,0)))</f>
        <v>6</v>
      </c>
      <c r="D1269" s="458">
        <f ca="1">IF(H1269="ETAPA",0,IF(H1269="SUBETAPA",OFFSET(D1269,-1,0)+1,OFFSET(D1269,-1,0)))</f>
        <v>4</v>
      </c>
      <c r="E1269" s="458">
        <f ca="1">IF(H1269="Subetapa",0,IF(H1269="serviço",OFFSET(E1269,-1,0)+1,OFFSET(E1269,-1,0)))</f>
        <v>2</v>
      </c>
      <c r="G1269" s="206"/>
      <c r="H1269" s="207" t="s">
        <v>212</v>
      </c>
      <c r="I1269" s="208" t="str">
        <f t="shared" ca="1" si="313"/>
        <v>16.006.004.002</v>
      </c>
      <c r="J1269" s="209" t="s">
        <v>566</v>
      </c>
      <c r="K1269" s="210" t="s">
        <v>2</v>
      </c>
      <c r="L1269" s="455">
        <f>Arquitetura!D1841</f>
        <v>16</v>
      </c>
      <c r="M1269" s="455">
        <f>1087*1.02+292</f>
        <v>1400.74</v>
      </c>
      <c r="N1269" s="285">
        <f t="shared" si="312"/>
        <v>22411.84</v>
      </c>
      <c r="O1269" s="462"/>
      <c r="P1269" s="213" t="s">
        <v>518</v>
      </c>
      <c r="Q1269" s="35"/>
      <c r="R1269" s="35"/>
      <c r="S1269" s="35"/>
    </row>
    <row r="1270" spans="1:19" s="34" customFormat="1" ht="12.75" hidden="1" customHeight="1" outlineLevel="3" x14ac:dyDescent="0.2">
      <c r="A1270" s="457">
        <f ca="1">IF($H1270="UNIDADE CONSTRUTIVA",OFFSET(A1270,-1,0)+1,LARGE(A$3:A1269,1))</f>
        <v>0</v>
      </c>
      <c r="B1270" s="457">
        <f ca="1">IF(H1270="UNIDADE CONSTRUTIVA",0,IF(H1270="CÉLULA CONSTRUTIVA",OFFSET(B1270,-1,0)+1,OFFSET(B1270,-1,0)))</f>
        <v>16</v>
      </c>
      <c r="C1270" s="457">
        <f ca="1">IF(H1270="CÉLULA CONSTRUTIVA",0,IF(H1270="ETAPA",OFFSET(C1270,-1,0)+1,OFFSET(C1270,-1,0)))</f>
        <v>6</v>
      </c>
      <c r="D1270" s="458">
        <f ca="1">IF(H1270="ETAPA",0,IF(H1270="SUBETAPA",OFFSET(D1270,-1,0)+1,OFFSET(D1270,-1,0)))</f>
        <v>4</v>
      </c>
      <c r="E1270" s="458">
        <f ca="1">IF(H1270="Subetapa",0,IF(H1270="serviço",OFFSET(E1270,-1,0)+1,OFFSET(E1270,-1,0)))</f>
        <v>3</v>
      </c>
      <c r="G1270" s="206"/>
      <c r="H1270" s="207" t="s">
        <v>212</v>
      </c>
      <c r="I1270" s="208" t="str">
        <f t="shared" ca="1" si="313"/>
        <v>16.006.004.003</v>
      </c>
      <c r="J1270" s="209" t="s">
        <v>1207</v>
      </c>
      <c r="K1270" s="210" t="s">
        <v>2</v>
      </c>
      <c r="L1270" s="455">
        <f>Arquitetura!D1842</f>
        <v>6</v>
      </c>
      <c r="M1270" s="455">
        <f>1087*1.02+292</f>
        <v>1400.74</v>
      </c>
      <c r="N1270" s="285">
        <f t="shared" si="312"/>
        <v>8404.44</v>
      </c>
      <c r="O1270" s="462"/>
      <c r="P1270" s="213" t="s">
        <v>518</v>
      </c>
      <c r="Q1270" s="35"/>
      <c r="R1270" s="35"/>
      <c r="S1270" s="35"/>
    </row>
    <row r="1271" spans="1:19" s="34" customFormat="1" ht="12.75" hidden="1" customHeight="1" outlineLevel="3" x14ac:dyDescent="0.2">
      <c r="A1271" s="457">
        <f ca="1">IF($H1271="UNIDADE CONSTRUTIVA",OFFSET(A1271,-1,0)+1,LARGE(A$3:A1270,1))</f>
        <v>0</v>
      </c>
      <c r="B1271" s="457">
        <f ca="1">IF(H1271="UNIDADE CONSTRUTIVA",0,IF(H1271="CÉLULA CONSTRUTIVA",OFFSET(B1271,-1,0)+1,OFFSET(B1271,-1,0)))</f>
        <v>16</v>
      </c>
      <c r="C1271" s="457">
        <f ca="1">IF(H1271="CÉLULA CONSTRUTIVA",0,IF(H1271="ETAPA",OFFSET(C1271,-1,0)+1,OFFSET(C1271,-1,0)))</f>
        <v>6</v>
      </c>
      <c r="D1271" s="458">
        <f ca="1">IF(H1271="ETAPA",0,IF(H1271="SUBETAPA",OFFSET(D1271,-1,0)+1,OFFSET(D1271,-1,0)))</f>
        <v>4</v>
      </c>
      <c r="E1271" s="458">
        <f ca="1">IF(H1271="Subetapa",0,IF(H1271="serviço",OFFSET(E1271,-1,0)+1,OFFSET(E1271,-1,0)))</f>
        <v>4</v>
      </c>
      <c r="G1271" s="206"/>
      <c r="H1271" s="207" t="s">
        <v>212</v>
      </c>
      <c r="I1271" s="208" t="str">
        <f t="shared" ca="1" si="313"/>
        <v>16.006.004.004</v>
      </c>
      <c r="J1271" s="209" t="s">
        <v>4228</v>
      </c>
      <c r="K1271" s="210" t="s">
        <v>2</v>
      </c>
      <c r="L1271" s="455">
        <f>Arquitetura!D1843</f>
        <v>4</v>
      </c>
      <c r="M1271" s="455">
        <f>1087*1.02+292</f>
        <v>1400.74</v>
      </c>
      <c r="N1271" s="285">
        <f t="shared" si="312"/>
        <v>5602.96</v>
      </c>
      <c r="O1271" s="462"/>
      <c r="P1271" s="213" t="s">
        <v>518</v>
      </c>
      <c r="Q1271" s="35"/>
      <c r="R1271" s="35"/>
      <c r="S1271" s="35"/>
    </row>
    <row r="1272" spans="1:19" s="34" customFormat="1" ht="13.9" hidden="1" customHeight="1" outlineLevel="2" x14ac:dyDescent="0.2">
      <c r="A1272" s="457">
        <f ca="1">IF($H1272="UNIDADE CONSTRUTIVA",OFFSET(A1272,-1,0)+1,LARGE(A$3:A1271,1))</f>
        <v>0</v>
      </c>
      <c r="B1272" s="457">
        <f t="shared" ref="B1272:B1277" ca="1" si="318">IF(H1272="UNIDADE CONSTRUTIVA",0,IF(H1272="CÉLULA CONSTRUTIVA",OFFSET(B1272,-1,0)+1,OFFSET(B1272,-1,0)))</f>
        <v>16</v>
      </c>
      <c r="C1272" s="457">
        <f t="shared" ref="C1272:C1277" ca="1" si="319">IF(H1272="CÉLULA CONSTRUTIVA",0,IF(H1272="ETAPA",OFFSET(C1272,-1,0)+1,OFFSET(C1272,-1,0)))</f>
        <v>6</v>
      </c>
      <c r="D1272" s="458">
        <f t="shared" ref="D1272:D1277" ca="1" si="320">IF(H1272="ETAPA",0,IF(H1272="SUBETAPA",OFFSET(D1272,-1,0)+1,OFFSET(D1272,-1,0)))</f>
        <v>5</v>
      </c>
      <c r="E1272" s="458">
        <f t="shared" ref="E1272:E1277" ca="1" si="321">IF(H1272="Subetapa",0,IF(H1272="serviço",OFFSET(E1272,-1,0)+1,OFFSET(E1272,-1,0)))</f>
        <v>0</v>
      </c>
      <c r="G1272" s="206"/>
      <c r="H1272" s="207" t="s">
        <v>211</v>
      </c>
      <c r="I1272" s="208" t="str">
        <f t="shared" ref="I1272:I1277" ca="1" si="322">IF(H1272="Unidade Construtiva",TEXT(A1272,"00"),IF(H1272="Célula Construtiva",TEXT(B1272,"00"),IF(H1272="Etapa",CONCATENATE(TEXT(B1272,"00"),".",TEXT(C1272,"000")),IF(H1272="Subetapa",CONCATENATE(TEXT(B1272,"00"),".",TEXT(C1272,"000"),".",TEXT(D1272,"000")),IF(H1272="Serviço",CONCATENATE(TEXT(B1272,"00"),".",TEXT(C1272,"000"),".",TEXT(D1272,"000"),".",TEXT(E1272,"000")),"")))))</f>
        <v>16.006.005</v>
      </c>
      <c r="J1272" s="209" t="s">
        <v>146</v>
      </c>
      <c r="K1272" s="210"/>
      <c r="L1272" s="455"/>
      <c r="M1272" s="455"/>
      <c r="N1272" s="285">
        <f t="shared" ca="1" si="312"/>
        <v>2086.5084709940284</v>
      </c>
      <c r="O1272" s="462"/>
      <c r="P1272" s="213"/>
      <c r="Q1272" s="35"/>
      <c r="R1272" s="35"/>
      <c r="S1272" s="35"/>
    </row>
    <row r="1273" spans="1:19" s="34" customFormat="1" ht="13.9" hidden="1" customHeight="1" outlineLevel="3" x14ac:dyDescent="0.2">
      <c r="A1273" s="457">
        <f ca="1">IF($H1273="UNIDADE CONSTRUTIVA",OFFSET(A1273,-1,0)+1,LARGE(A$3:A1272,1))</f>
        <v>0</v>
      </c>
      <c r="B1273" s="457">
        <f t="shared" ca="1" si="318"/>
        <v>16</v>
      </c>
      <c r="C1273" s="457">
        <f t="shared" ca="1" si="319"/>
        <v>6</v>
      </c>
      <c r="D1273" s="458">
        <f t="shared" ca="1" si="320"/>
        <v>5</v>
      </c>
      <c r="E1273" s="458">
        <f t="shared" ca="1" si="321"/>
        <v>1</v>
      </c>
      <c r="G1273" s="206"/>
      <c r="H1273" s="207" t="s">
        <v>212</v>
      </c>
      <c r="I1273" s="208" t="str">
        <f t="shared" ca="1" si="322"/>
        <v>16.006.005.001</v>
      </c>
      <c r="J1273" s="209" t="s">
        <v>436</v>
      </c>
      <c r="K1273" s="210" t="s">
        <v>3</v>
      </c>
      <c r="L1273" s="455">
        <f>Complementares!I84</f>
        <v>31.928209196542138</v>
      </c>
      <c r="M1273" s="455">
        <v>65.349999999999994</v>
      </c>
      <c r="N1273" s="285">
        <f t="shared" si="312"/>
        <v>2086.5084709940284</v>
      </c>
      <c r="O1273" s="462"/>
      <c r="P1273" s="213" t="s">
        <v>518</v>
      </c>
      <c r="Q1273" s="35"/>
      <c r="R1273" s="35"/>
      <c r="S1273" s="35"/>
    </row>
    <row r="1274" spans="1:19" s="34" customFormat="1" ht="13.9" hidden="1" customHeight="1" outlineLevel="2" x14ac:dyDescent="0.2">
      <c r="A1274" s="457">
        <f ca="1">IF($H1274="UNIDADE CONSTRUTIVA",OFFSET(A1274,-1,0)+1,LARGE(A$3:A1273,1))</f>
        <v>0</v>
      </c>
      <c r="B1274" s="457">
        <f t="shared" ca="1" si="318"/>
        <v>16</v>
      </c>
      <c r="C1274" s="457">
        <f t="shared" ca="1" si="319"/>
        <v>6</v>
      </c>
      <c r="D1274" s="458">
        <f t="shared" ca="1" si="320"/>
        <v>6</v>
      </c>
      <c r="E1274" s="458">
        <f t="shared" ca="1" si="321"/>
        <v>0</v>
      </c>
      <c r="G1274" s="206"/>
      <c r="H1274" s="207" t="s">
        <v>211</v>
      </c>
      <c r="I1274" s="208" t="str">
        <f t="shared" ca="1" si="322"/>
        <v>16.006.006</v>
      </c>
      <c r="J1274" s="209" t="s">
        <v>567</v>
      </c>
      <c r="K1274" s="210"/>
      <c r="L1274" s="455"/>
      <c r="M1274" s="455"/>
      <c r="N1274" s="285">
        <f t="shared" ca="1" si="312"/>
        <v>4860</v>
      </c>
      <c r="O1274" s="462"/>
      <c r="P1274" s="213"/>
      <c r="Q1274" s="35"/>
      <c r="R1274" s="35"/>
      <c r="S1274" s="35"/>
    </row>
    <row r="1275" spans="1:19" s="34" customFormat="1" ht="13.9" hidden="1" customHeight="1" outlineLevel="3" x14ac:dyDescent="0.2">
      <c r="A1275" s="457">
        <f ca="1">IF($H1275="UNIDADE CONSTRUTIVA",OFFSET(A1275,-1,0)+1,LARGE(A$3:A1274,1))</f>
        <v>0</v>
      </c>
      <c r="B1275" s="457">
        <f t="shared" ca="1" si="318"/>
        <v>16</v>
      </c>
      <c r="C1275" s="457">
        <f t="shared" ca="1" si="319"/>
        <v>6</v>
      </c>
      <c r="D1275" s="458">
        <f t="shared" ca="1" si="320"/>
        <v>6</v>
      </c>
      <c r="E1275" s="458">
        <f t="shared" ca="1" si="321"/>
        <v>1</v>
      </c>
      <c r="G1275" s="206"/>
      <c r="H1275" s="207" t="s">
        <v>212</v>
      </c>
      <c r="I1275" s="208" t="str">
        <f t="shared" ca="1" si="322"/>
        <v>16.006.006.001</v>
      </c>
      <c r="J1275" s="209" t="s">
        <v>568</v>
      </c>
      <c r="K1275" s="210" t="s">
        <v>2</v>
      </c>
      <c r="L1275" s="455">
        <v>6</v>
      </c>
      <c r="M1275" s="455">
        <v>810</v>
      </c>
      <c r="N1275" s="285">
        <f t="shared" si="312"/>
        <v>4860</v>
      </c>
      <c r="O1275" s="462" t="s">
        <v>1245</v>
      </c>
      <c r="P1275" s="213" t="s">
        <v>518</v>
      </c>
      <c r="Q1275" s="35"/>
      <c r="R1275" s="35"/>
      <c r="S1275" s="35"/>
    </row>
    <row r="1276" spans="1:19" s="34" customFormat="1" ht="13.9" hidden="1" customHeight="1" outlineLevel="2" x14ac:dyDescent="0.2">
      <c r="A1276" s="457">
        <f ca="1">IF($H1276="UNIDADE CONSTRUTIVA",OFFSET(A1276,-1,0)+1,LARGE(A$3:A1275,1))</f>
        <v>0</v>
      </c>
      <c r="B1276" s="457">
        <f t="shared" ca="1" si="318"/>
        <v>16</v>
      </c>
      <c r="C1276" s="457">
        <f t="shared" ca="1" si="319"/>
        <v>6</v>
      </c>
      <c r="D1276" s="458">
        <f t="shared" ca="1" si="320"/>
        <v>7</v>
      </c>
      <c r="E1276" s="458">
        <f t="shared" ca="1" si="321"/>
        <v>0</v>
      </c>
      <c r="G1276" s="206"/>
      <c r="H1276" s="207" t="s">
        <v>211</v>
      </c>
      <c r="I1276" s="208" t="str">
        <f t="shared" ca="1" si="322"/>
        <v>16.006.007</v>
      </c>
      <c r="J1276" s="209" t="s">
        <v>130</v>
      </c>
      <c r="K1276" s="210"/>
      <c r="L1276" s="455"/>
      <c r="M1276" s="455"/>
      <c r="N1276" s="285">
        <f t="shared" ca="1" si="312"/>
        <v>12000</v>
      </c>
      <c r="O1276" s="462"/>
      <c r="P1276" s="213"/>
      <c r="Q1276" s="35"/>
      <c r="R1276" s="35"/>
      <c r="S1276" s="35"/>
    </row>
    <row r="1277" spans="1:19" s="34" customFormat="1" ht="13.9" hidden="1" customHeight="1" outlineLevel="3" x14ac:dyDescent="0.2">
      <c r="A1277" s="457">
        <f ca="1">IF($H1277="UNIDADE CONSTRUTIVA",OFFSET(A1277,-1,0)+1,LARGE(A$3:A1276,1))</f>
        <v>0</v>
      </c>
      <c r="B1277" s="457">
        <f t="shared" ca="1" si="318"/>
        <v>16</v>
      </c>
      <c r="C1277" s="457">
        <f t="shared" ca="1" si="319"/>
        <v>6</v>
      </c>
      <c r="D1277" s="458">
        <f t="shared" ca="1" si="320"/>
        <v>7</v>
      </c>
      <c r="E1277" s="458">
        <f t="shared" ca="1" si="321"/>
        <v>1</v>
      </c>
      <c r="G1277" s="206"/>
      <c r="H1277" s="207" t="s">
        <v>212</v>
      </c>
      <c r="I1277" s="208" t="str">
        <f t="shared" ca="1" si="322"/>
        <v>16.006.007.001</v>
      </c>
      <c r="J1277" s="209" t="s">
        <v>147</v>
      </c>
      <c r="K1277" s="210" t="s">
        <v>2</v>
      </c>
      <c r="L1277" s="455">
        <f>SUM(L1268:L1271)</f>
        <v>40</v>
      </c>
      <c r="M1277" s="455">
        <v>300</v>
      </c>
      <c r="N1277" s="285">
        <f t="shared" si="312"/>
        <v>12000</v>
      </c>
      <c r="O1277" s="462"/>
      <c r="P1277" s="213" t="s">
        <v>518</v>
      </c>
      <c r="Q1277" s="35"/>
      <c r="R1277" s="35"/>
      <c r="S1277" s="35"/>
    </row>
    <row r="1278" spans="1:19" s="34" customFormat="1" ht="13.9" hidden="1" customHeight="1" outlineLevel="2" x14ac:dyDescent="0.2">
      <c r="A1278" s="457">
        <f ca="1">IF($H1278="UNIDADE CONSTRUTIVA",OFFSET(A1278,-1,0)+1,LARGE(A$3:A1277,1))</f>
        <v>0</v>
      </c>
      <c r="B1278" s="457">
        <f t="shared" ref="B1278:B1300" ca="1" si="323">IF(H1278="UNIDADE CONSTRUTIVA",0,IF(H1278="CÉLULA CONSTRUTIVA",OFFSET(B1278,-1,0)+1,OFFSET(B1278,-1,0)))</f>
        <v>16</v>
      </c>
      <c r="C1278" s="457">
        <f t="shared" ref="C1278:C1300" ca="1" si="324">IF(H1278="CÉLULA CONSTRUTIVA",0,IF(H1278="ETAPA",OFFSET(C1278,-1,0)+1,OFFSET(C1278,-1,0)))</f>
        <v>6</v>
      </c>
      <c r="D1278" s="458">
        <f t="shared" ref="D1278:D1300" ca="1" si="325">IF(H1278="ETAPA",0,IF(H1278="SUBETAPA",OFFSET(D1278,-1,0)+1,OFFSET(D1278,-1,0)))</f>
        <v>8</v>
      </c>
      <c r="E1278" s="458">
        <f t="shared" ref="E1278:E1300" ca="1" si="326">IF(H1278="Subetapa",0,IF(H1278="serviço",OFFSET(E1278,-1,0)+1,OFFSET(E1278,-1,0)))</f>
        <v>0</v>
      </c>
      <c r="G1278" s="206"/>
      <c r="H1278" s="207" t="s">
        <v>211</v>
      </c>
      <c r="I1278" s="208" t="str">
        <f t="shared" ref="I1278:I1307" ca="1" si="327">IF(H1278="Unidade Construtiva",TEXT(A1278,"00"),IF(H1278="Célula Construtiva",TEXT(B1278,"00"),IF(H1278="Etapa",CONCATENATE(TEXT(B1278,"00"),".",TEXT(C1278,"000")),IF(H1278="Subetapa",CONCATENATE(TEXT(B1278,"00"),".",TEXT(C1278,"000"),".",TEXT(D1278,"000")),IF(H1278="Serviço",CONCATENATE(TEXT(B1278,"00"),".",TEXT(C1278,"000"),".",TEXT(D1278,"000"),".",TEXT(E1278,"000")),"")))))</f>
        <v>16.006.008</v>
      </c>
      <c r="J1278" s="209" t="s">
        <v>148</v>
      </c>
      <c r="K1278" s="210"/>
      <c r="L1278" s="455"/>
      <c r="M1278" s="455"/>
      <c r="N1278" s="285">
        <f t="shared" ca="1" si="312"/>
        <v>3522</v>
      </c>
      <c r="O1278" s="462"/>
      <c r="P1278" s="213"/>
      <c r="Q1278" s="35"/>
      <c r="R1278" s="35"/>
      <c r="S1278" s="35"/>
    </row>
    <row r="1279" spans="1:19" s="34" customFormat="1" ht="13.9" hidden="1" customHeight="1" outlineLevel="3" x14ac:dyDescent="0.2">
      <c r="A1279" s="457">
        <f ca="1">IF($H1279="UNIDADE CONSTRUTIVA",OFFSET(A1279,-1,0)+1,LARGE(A$3:A1278,1))</f>
        <v>0</v>
      </c>
      <c r="B1279" s="457">
        <f t="shared" ca="1" si="323"/>
        <v>16</v>
      </c>
      <c r="C1279" s="457">
        <f t="shared" ca="1" si="324"/>
        <v>6</v>
      </c>
      <c r="D1279" s="458">
        <f t="shared" ca="1" si="325"/>
        <v>8</v>
      </c>
      <c r="E1279" s="458">
        <f t="shared" ca="1" si="326"/>
        <v>1</v>
      </c>
      <c r="G1279" s="206"/>
      <c r="H1279" s="207" t="s">
        <v>212</v>
      </c>
      <c r="I1279" s="208" t="str">
        <f t="shared" ca="1" si="327"/>
        <v>16.006.008.001</v>
      </c>
      <c r="J1279" s="209" t="s">
        <v>1200</v>
      </c>
      <c r="K1279" s="210" t="s">
        <v>2</v>
      </c>
      <c r="L1279" s="455">
        <f>Arquitetura!D1939</f>
        <v>2</v>
      </c>
      <c r="M1279" s="455">
        <v>1761</v>
      </c>
      <c r="N1279" s="285">
        <f t="shared" si="312"/>
        <v>3522</v>
      </c>
      <c r="O1279" s="462"/>
      <c r="P1279" s="213" t="s">
        <v>518</v>
      </c>
      <c r="Q1279" s="35"/>
      <c r="R1279" s="35"/>
      <c r="S1279" s="35"/>
    </row>
    <row r="1280" spans="1:19" s="34" customFormat="1" ht="13.9" hidden="1" customHeight="1" outlineLevel="2" x14ac:dyDescent="0.2">
      <c r="A1280" s="457">
        <f ca="1">IF($H1280="UNIDADE CONSTRUTIVA",OFFSET(A1280,-1,0)+1,LARGE(A$3:A1279,1))</f>
        <v>0</v>
      </c>
      <c r="B1280" s="457">
        <f t="shared" ca="1" si="323"/>
        <v>16</v>
      </c>
      <c r="C1280" s="457">
        <f t="shared" ca="1" si="324"/>
        <v>6</v>
      </c>
      <c r="D1280" s="458">
        <f t="shared" ca="1" si="325"/>
        <v>9</v>
      </c>
      <c r="E1280" s="458">
        <f t="shared" ca="1" si="326"/>
        <v>0</v>
      </c>
      <c r="G1280" s="206"/>
      <c r="H1280" s="207" t="s">
        <v>211</v>
      </c>
      <c r="I1280" s="208" t="str">
        <f t="shared" ca="1" si="327"/>
        <v>16.006.009</v>
      </c>
      <c r="J1280" s="209" t="s">
        <v>4230</v>
      </c>
      <c r="K1280" s="210"/>
      <c r="L1280" s="455"/>
      <c r="M1280" s="455"/>
      <c r="N1280" s="285">
        <f t="shared" ca="1" si="312"/>
        <v>18428.761155</v>
      </c>
      <c r="O1280" s="462"/>
      <c r="P1280" s="213"/>
      <c r="Q1280" s="35"/>
      <c r="R1280" s="35"/>
      <c r="S1280" s="35"/>
    </row>
    <row r="1281" spans="1:19" s="34" customFormat="1" ht="13.9" hidden="1" customHeight="1" outlineLevel="3" x14ac:dyDescent="0.2">
      <c r="A1281" s="457">
        <f ca="1">IF($H1281="UNIDADE CONSTRUTIVA",OFFSET(A1281,-1,0)+1,LARGE(A$3:A1280,1))</f>
        <v>0</v>
      </c>
      <c r="B1281" s="457">
        <f t="shared" ca="1" si="323"/>
        <v>16</v>
      </c>
      <c r="C1281" s="457">
        <f t="shared" ca="1" si="324"/>
        <v>6</v>
      </c>
      <c r="D1281" s="458">
        <f t="shared" ca="1" si="325"/>
        <v>9</v>
      </c>
      <c r="E1281" s="458">
        <f t="shared" ca="1" si="326"/>
        <v>1</v>
      </c>
      <c r="G1281" s="206"/>
      <c r="H1281" s="207" t="s">
        <v>212</v>
      </c>
      <c r="I1281" s="208" t="str">
        <f t="shared" ca="1" si="327"/>
        <v>16.006.009.001</v>
      </c>
      <c r="J1281" s="209" t="s">
        <v>4231</v>
      </c>
      <c r="K1281" s="210" t="s">
        <v>1</v>
      </c>
      <c r="L1281" s="455">
        <f>Arquitetura!D1937*1.05</f>
        <v>20.086500000000001</v>
      </c>
      <c r="M1281" s="455">
        <v>917.47</v>
      </c>
      <c r="N1281" s="285">
        <f t="shared" si="312"/>
        <v>18428.761155</v>
      </c>
      <c r="O1281" s="462"/>
      <c r="P1281" s="213" t="s">
        <v>518</v>
      </c>
      <c r="Q1281" s="35"/>
      <c r="R1281" s="35"/>
      <c r="S1281" s="35"/>
    </row>
    <row r="1282" spans="1:19" s="34" customFormat="1" ht="13.9" hidden="1" customHeight="1" outlineLevel="1" x14ac:dyDescent="0.2">
      <c r="A1282" s="457">
        <f ca="1">IF($H1282="UNIDADE CONSTRUTIVA",OFFSET(A1282,-1,0)+1,LARGE(A$3:A1281,1))</f>
        <v>0</v>
      </c>
      <c r="B1282" s="457">
        <f t="shared" ca="1" si="323"/>
        <v>16</v>
      </c>
      <c r="C1282" s="457">
        <f t="shared" ca="1" si="324"/>
        <v>7</v>
      </c>
      <c r="D1282" s="458">
        <f t="shared" ca="1" si="325"/>
        <v>0</v>
      </c>
      <c r="E1282" s="458">
        <f t="shared" ca="1" si="326"/>
        <v>1</v>
      </c>
      <c r="G1282" s="206"/>
      <c r="H1282" s="207" t="s">
        <v>210</v>
      </c>
      <c r="I1282" s="208" t="str">
        <f t="shared" ca="1" si="327"/>
        <v>16.007</v>
      </c>
      <c r="J1282" s="209" t="s">
        <v>4942</v>
      </c>
      <c r="K1282" s="210"/>
      <c r="L1282" s="455"/>
      <c r="M1282" s="455"/>
      <c r="N1282" s="285">
        <f t="shared" ca="1" si="312"/>
        <v>243820.23410138011</v>
      </c>
      <c r="O1282" s="462"/>
      <c r="P1282" s="213"/>
      <c r="Q1282" s="35"/>
      <c r="R1282" s="35"/>
      <c r="S1282" s="35"/>
    </row>
    <row r="1283" spans="1:19" s="34" customFormat="1" ht="13.9" hidden="1" customHeight="1" outlineLevel="2" x14ac:dyDescent="0.2">
      <c r="A1283" s="457">
        <f ca="1">IF($H1283="UNIDADE CONSTRUTIVA",OFFSET(A1283,-1,0)+1,LARGE(A$3:A1282,1))</f>
        <v>0</v>
      </c>
      <c r="B1283" s="457">
        <f t="shared" ca="1" si="323"/>
        <v>16</v>
      </c>
      <c r="C1283" s="457">
        <f t="shared" ca="1" si="324"/>
        <v>7</v>
      </c>
      <c r="D1283" s="458">
        <f t="shared" ca="1" si="325"/>
        <v>1</v>
      </c>
      <c r="E1283" s="458">
        <f t="shared" ca="1" si="326"/>
        <v>0</v>
      </c>
      <c r="G1283" s="206"/>
      <c r="H1283" s="207" t="s">
        <v>211</v>
      </c>
      <c r="I1283" s="208" t="str">
        <f t="shared" ca="1" si="327"/>
        <v>16.007.001</v>
      </c>
      <c r="J1283" s="209" t="s">
        <v>142</v>
      </c>
      <c r="K1283" s="210"/>
      <c r="L1283" s="455"/>
      <c r="M1283" s="455"/>
      <c r="N1283" s="285">
        <f t="shared" ca="1" si="312"/>
        <v>122722.24720874838</v>
      </c>
      <c r="O1283" s="462"/>
      <c r="P1283" s="213"/>
      <c r="Q1283" s="35"/>
      <c r="R1283" s="35"/>
      <c r="S1283" s="35"/>
    </row>
    <row r="1284" spans="1:19" s="34" customFormat="1" ht="13.9" hidden="1" customHeight="1" outlineLevel="3" x14ac:dyDescent="0.2">
      <c r="A1284" s="457">
        <f ca="1">IF($H1284="UNIDADE CONSTRUTIVA",OFFSET(A1284,-1,0)+1,LARGE(A$3:A1283,1))</f>
        <v>0</v>
      </c>
      <c r="B1284" s="457">
        <f t="shared" ca="1" si="323"/>
        <v>16</v>
      </c>
      <c r="C1284" s="457">
        <f t="shared" ca="1" si="324"/>
        <v>7</v>
      </c>
      <c r="D1284" s="458">
        <f t="shared" ca="1" si="325"/>
        <v>1</v>
      </c>
      <c r="E1284" s="458">
        <f t="shared" ca="1" si="326"/>
        <v>1</v>
      </c>
      <c r="G1284" s="206"/>
      <c r="H1284" s="207" t="s">
        <v>212</v>
      </c>
      <c r="I1284" s="208" t="str">
        <f t="shared" ca="1" si="327"/>
        <v>16.007.001.001</v>
      </c>
      <c r="J1284" s="209" t="s">
        <v>143</v>
      </c>
      <c r="K1284" s="210" t="s">
        <v>1</v>
      </c>
      <c r="L1284" s="472">
        <f>Arquitetura!H1693</f>
        <v>100.96000000000001</v>
      </c>
      <c r="M1284" s="472">
        <f>'PRECIFICAÇÃO ESQUADRIAS'!E54</f>
        <v>1165.1569652213586</v>
      </c>
      <c r="N1284" s="285">
        <f t="shared" si="312"/>
        <v>117634.24720874838</v>
      </c>
      <c r="O1284" s="462"/>
      <c r="P1284" s="213" t="s">
        <v>518</v>
      </c>
      <c r="Q1284" s="35"/>
      <c r="R1284" s="35"/>
      <c r="S1284" s="35"/>
    </row>
    <row r="1285" spans="1:19" s="34" customFormat="1" ht="13.9" hidden="1" customHeight="1" outlineLevel="3" x14ac:dyDescent="0.2">
      <c r="A1285" s="457">
        <f ca="1">IF($H1285="UNIDADE CONSTRUTIVA",OFFSET(A1285,-1,0)+1,LARGE(A$3:A1284,1))</f>
        <v>0</v>
      </c>
      <c r="B1285" s="457">
        <f t="shared" ca="1" si="323"/>
        <v>16</v>
      </c>
      <c r="C1285" s="457">
        <f t="shared" ca="1" si="324"/>
        <v>7</v>
      </c>
      <c r="D1285" s="458">
        <f t="shared" ca="1" si="325"/>
        <v>1</v>
      </c>
      <c r="E1285" s="458">
        <f t="shared" ca="1" si="326"/>
        <v>2</v>
      </c>
      <c r="G1285" s="1000"/>
      <c r="H1285" s="1001" t="s">
        <v>212</v>
      </c>
      <c r="I1285" s="1002" t="str">
        <f t="shared" ca="1" si="327"/>
        <v>16.007.001.002</v>
      </c>
      <c r="J1285" s="1003" t="s">
        <v>5105</v>
      </c>
      <c r="K1285" s="1004" t="s">
        <v>3</v>
      </c>
      <c r="L1285" s="1009">
        <f>(0.6*4)*4</f>
        <v>9.6</v>
      </c>
      <c r="M1285" s="1009">
        <v>530</v>
      </c>
      <c r="N1285" s="1006">
        <f t="shared" ref="N1285" si="328">IF(H1285="Serviço",M1285*L1285,IF(H1285="CÉLULA CONSTRUTIVA",SUMIFS($N$8:$N$1314,$B$8:$B$1314,B1285,$H$8:$H$1314,"Serviço"),IF(H1285="ETAPA",SUMIFS($N$8:$N$1314,$B$8:$B$1314,B1285,$C$8:$C$1314,C1285,$H$8:$H$1314,"Serviço"),IF(H1285="SUBETAPA",SUMIFS($N$8:$N$1314,$B$8:$B$1314,B1285,$C$8:$C$1314,C1285,$D$8:$D$1314,D1285,$H$8:$H$1314,"Serviço"),0))))</f>
        <v>5088</v>
      </c>
      <c r="O1285" s="1010" t="s">
        <v>5106</v>
      </c>
      <c r="P1285" s="213" t="s">
        <v>518</v>
      </c>
      <c r="Q1285" s="35"/>
      <c r="R1285" s="35"/>
      <c r="S1285" s="35"/>
    </row>
    <row r="1286" spans="1:19" s="34" customFormat="1" ht="13.9" hidden="1" customHeight="1" outlineLevel="2" x14ac:dyDescent="0.2">
      <c r="A1286" s="457">
        <f ca="1">IF($H1286="UNIDADE CONSTRUTIVA",OFFSET(A1286,-1,0)+1,LARGE(A$3:A1284,1))</f>
        <v>0</v>
      </c>
      <c r="B1286" s="457">
        <f t="shared" ca="1" si="323"/>
        <v>16</v>
      </c>
      <c r="C1286" s="457">
        <f t="shared" ca="1" si="324"/>
        <v>7</v>
      </c>
      <c r="D1286" s="458">
        <f t="shared" ca="1" si="325"/>
        <v>2</v>
      </c>
      <c r="E1286" s="458">
        <f t="shared" ca="1" si="326"/>
        <v>0</v>
      </c>
      <c r="G1286" s="206"/>
      <c r="H1286" s="207" t="s">
        <v>211</v>
      </c>
      <c r="I1286" s="208" t="str">
        <f t="shared" ca="1" si="327"/>
        <v>16.007.002</v>
      </c>
      <c r="J1286" s="209" t="s">
        <v>144</v>
      </c>
      <c r="K1286" s="210"/>
      <c r="L1286" s="455"/>
      <c r="M1286" s="455"/>
      <c r="N1286" s="285">
        <f t="shared" ref="N1286:N1307" ca="1" si="329">IF(H1286="Serviço",M1286*L1286,IF(H1286="CÉLULA CONSTRUTIVA",SUMIFS($N$8:$N$1314,$B$8:$B$1314,B1286,$H$8:$H$1314,"Serviço"),IF(H1286="ETAPA",SUMIFS($N$8:$N$1314,$B$8:$B$1314,B1286,$C$8:$C$1314,C1286,$H$8:$H$1314,"Serviço"),IF(H1286="SUBETAPA",SUMIFS($N$8:$N$1314,$B$8:$B$1314,B1286,$C$8:$C$1314,C1286,$D$8:$D$1314,D1286,$H$8:$H$1314,"Serviço"),0))))</f>
        <v>73649.594432631711</v>
      </c>
      <c r="O1286" s="462"/>
      <c r="P1286" s="213"/>
      <c r="Q1286" s="35"/>
      <c r="R1286" s="35"/>
      <c r="S1286" s="35"/>
    </row>
    <row r="1287" spans="1:19" s="34" customFormat="1" ht="13.9" hidden="1" customHeight="1" outlineLevel="3" x14ac:dyDescent="0.2">
      <c r="A1287" s="457">
        <f ca="1">IF($H1287="UNIDADE CONSTRUTIVA",OFFSET(A1287,-1,0)+1,LARGE(A$3:A1286,1))</f>
        <v>0</v>
      </c>
      <c r="B1287" s="457">
        <f t="shared" ca="1" si="323"/>
        <v>16</v>
      </c>
      <c r="C1287" s="457">
        <f t="shared" ca="1" si="324"/>
        <v>7</v>
      </c>
      <c r="D1287" s="458">
        <f t="shared" ca="1" si="325"/>
        <v>2</v>
      </c>
      <c r="E1287" s="458">
        <f t="shared" ca="1" si="326"/>
        <v>1</v>
      </c>
      <c r="G1287" s="206"/>
      <c r="H1287" s="207" t="s">
        <v>212</v>
      </c>
      <c r="I1287" s="208" t="str">
        <f t="shared" ca="1" si="327"/>
        <v>16.007.002.001</v>
      </c>
      <c r="J1287" s="209" t="s">
        <v>1206</v>
      </c>
      <c r="K1287" s="210" t="s">
        <v>1</v>
      </c>
      <c r="L1287" s="472">
        <f>Arquitetura!H1694</f>
        <v>52.353000000000002</v>
      </c>
      <c r="M1287" s="472">
        <f>'PRECIFICAÇÃO ESQUADRIAS'!D36</f>
        <v>1406.7884253554087</v>
      </c>
      <c r="N1287" s="285">
        <f t="shared" si="329"/>
        <v>73649.594432631711</v>
      </c>
      <c r="O1287" s="462"/>
      <c r="P1287" s="213" t="s">
        <v>518</v>
      </c>
      <c r="Q1287" s="35"/>
      <c r="R1287" s="35"/>
      <c r="S1287" s="35"/>
    </row>
    <row r="1288" spans="1:19" s="34" customFormat="1" ht="13.9" hidden="1" customHeight="1" outlineLevel="2" x14ac:dyDescent="0.2">
      <c r="A1288" s="457">
        <f ca="1">IF($H1288="UNIDADE CONSTRUTIVA",OFFSET(A1288,-1,0)+1,LARGE(A$3:A1287,1))</f>
        <v>0</v>
      </c>
      <c r="B1288" s="457">
        <f t="shared" ca="1" si="323"/>
        <v>16</v>
      </c>
      <c r="C1288" s="457">
        <f t="shared" ca="1" si="324"/>
        <v>7</v>
      </c>
      <c r="D1288" s="458">
        <f t="shared" ca="1" si="325"/>
        <v>3</v>
      </c>
      <c r="E1288" s="458">
        <f t="shared" ca="1" si="326"/>
        <v>0</v>
      </c>
      <c r="G1288" s="206"/>
      <c r="H1288" s="207" t="s">
        <v>211</v>
      </c>
      <c r="I1288" s="208" t="str">
        <f t="shared" ca="1" si="327"/>
        <v>16.007.003</v>
      </c>
      <c r="J1288" s="209" t="s">
        <v>145</v>
      </c>
      <c r="K1288" s="210"/>
      <c r="L1288" s="455"/>
      <c r="M1288" s="455"/>
      <c r="N1288" s="285">
        <f t="shared" ca="1" si="329"/>
        <v>29415.539999999997</v>
      </c>
      <c r="O1288" s="462"/>
      <c r="P1288" s="213"/>
      <c r="Q1288" s="35"/>
      <c r="R1288" s="35"/>
      <c r="S1288" s="35"/>
    </row>
    <row r="1289" spans="1:19" s="34" customFormat="1" ht="13.9" hidden="1" customHeight="1" outlineLevel="3" x14ac:dyDescent="0.2">
      <c r="A1289" s="457">
        <f ca="1">IF($H1289="UNIDADE CONSTRUTIVA",OFFSET(A1289,-1,0)+1,LARGE(A$3:A1288,1))</f>
        <v>0</v>
      </c>
      <c r="B1289" s="457">
        <f t="shared" ca="1" si="323"/>
        <v>16</v>
      </c>
      <c r="C1289" s="457">
        <f t="shared" ca="1" si="324"/>
        <v>7</v>
      </c>
      <c r="D1289" s="458">
        <f t="shared" ca="1" si="325"/>
        <v>3</v>
      </c>
      <c r="E1289" s="458">
        <f t="shared" ca="1" si="326"/>
        <v>1</v>
      </c>
      <c r="G1289" s="206"/>
      <c r="H1289" s="207" t="s">
        <v>212</v>
      </c>
      <c r="I1289" s="208" t="str">
        <f t="shared" ca="1" si="327"/>
        <v>16.007.003.001</v>
      </c>
      <c r="J1289" s="209" t="s">
        <v>565</v>
      </c>
      <c r="K1289" s="210" t="s">
        <v>2</v>
      </c>
      <c r="L1289" s="455">
        <f>Arquitetura!D1846</f>
        <v>8</v>
      </c>
      <c r="M1289" s="455">
        <f>1087*1.02+292</f>
        <v>1400.74</v>
      </c>
      <c r="N1289" s="285">
        <f t="shared" si="329"/>
        <v>11205.92</v>
      </c>
      <c r="O1289" s="462"/>
      <c r="P1289" s="213" t="s">
        <v>518</v>
      </c>
      <c r="Q1289" s="35"/>
      <c r="R1289" s="35"/>
      <c r="S1289" s="35"/>
    </row>
    <row r="1290" spans="1:19" s="34" customFormat="1" ht="12.75" hidden="1" customHeight="1" outlineLevel="3" x14ac:dyDescent="0.2">
      <c r="A1290" s="457">
        <f ca="1">IF($H1290="UNIDADE CONSTRUTIVA",OFFSET(A1290,-1,0)+1,LARGE(A$3:A1289,1))</f>
        <v>0</v>
      </c>
      <c r="B1290" s="457">
        <f t="shared" ca="1" si="323"/>
        <v>16</v>
      </c>
      <c r="C1290" s="457">
        <f t="shared" ca="1" si="324"/>
        <v>7</v>
      </c>
      <c r="D1290" s="458">
        <f t="shared" ca="1" si="325"/>
        <v>3</v>
      </c>
      <c r="E1290" s="458">
        <f t="shared" ca="1" si="326"/>
        <v>2</v>
      </c>
      <c r="G1290" s="206"/>
      <c r="H1290" s="207" t="s">
        <v>212</v>
      </c>
      <c r="I1290" s="208" t="str">
        <f t="shared" ca="1" si="327"/>
        <v>16.007.003.002</v>
      </c>
      <c r="J1290" s="209" t="s">
        <v>566</v>
      </c>
      <c r="K1290" s="210" t="s">
        <v>2</v>
      </c>
      <c r="L1290" s="455">
        <f>Arquitetura!D1847</f>
        <v>7</v>
      </c>
      <c r="M1290" s="455">
        <f>1087*1.02+292</f>
        <v>1400.74</v>
      </c>
      <c r="N1290" s="285">
        <f t="shared" si="329"/>
        <v>9805.18</v>
      </c>
      <c r="O1290" s="462"/>
      <c r="P1290" s="213" t="s">
        <v>518</v>
      </c>
      <c r="Q1290" s="35"/>
      <c r="R1290" s="35"/>
      <c r="S1290" s="35"/>
    </row>
    <row r="1291" spans="1:19" s="34" customFormat="1" ht="12.75" hidden="1" customHeight="1" outlineLevel="3" x14ac:dyDescent="0.2">
      <c r="A1291" s="457">
        <f ca="1">IF($H1291="UNIDADE CONSTRUTIVA",OFFSET(A1291,-1,0)+1,LARGE(A$3:A1290,1))</f>
        <v>0</v>
      </c>
      <c r="B1291" s="457">
        <f t="shared" ca="1" si="323"/>
        <v>16</v>
      </c>
      <c r="C1291" s="457">
        <f t="shared" ca="1" si="324"/>
        <v>7</v>
      </c>
      <c r="D1291" s="458">
        <f t="shared" ca="1" si="325"/>
        <v>3</v>
      </c>
      <c r="E1291" s="458">
        <f t="shared" ca="1" si="326"/>
        <v>3</v>
      </c>
      <c r="G1291" s="206"/>
      <c r="H1291" s="207" t="s">
        <v>212</v>
      </c>
      <c r="I1291" s="208" t="str">
        <f t="shared" ca="1" si="327"/>
        <v>16.007.003.003</v>
      </c>
      <c r="J1291" s="209" t="s">
        <v>1207</v>
      </c>
      <c r="K1291" s="210" t="s">
        <v>2</v>
      </c>
      <c r="L1291" s="455">
        <f>Arquitetura!D1848</f>
        <v>4</v>
      </c>
      <c r="M1291" s="455">
        <f>1087*1.02+292</f>
        <v>1400.74</v>
      </c>
      <c r="N1291" s="285">
        <f t="shared" si="329"/>
        <v>5602.96</v>
      </c>
      <c r="O1291" s="462"/>
      <c r="P1291" s="213" t="s">
        <v>518</v>
      </c>
      <c r="Q1291" s="35"/>
      <c r="R1291" s="35"/>
      <c r="S1291" s="35"/>
    </row>
    <row r="1292" spans="1:19" s="34" customFormat="1" ht="12.75" hidden="1" customHeight="1" outlineLevel="3" x14ac:dyDescent="0.2">
      <c r="A1292" s="457">
        <f ca="1">IF($H1292="UNIDADE CONSTRUTIVA",OFFSET(A1292,-1,0)+1,LARGE(A$3:A1291,1))</f>
        <v>0</v>
      </c>
      <c r="B1292" s="457">
        <f t="shared" ca="1" si="323"/>
        <v>16</v>
      </c>
      <c r="C1292" s="457">
        <f t="shared" ca="1" si="324"/>
        <v>7</v>
      </c>
      <c r="D1292" s="458">
        <f t="shared" ca="1" si="325"/>
        <v>3</v>
      </c>
      <c r="E1292" s="458">
        <f t="shared" ca="1" si="326"/>
        <v>4</v>
      </c>
      <c r="G1292" s="206"/>
      <c r="H1292" s="207" t="s">
        <v>212</v>
      </c>
      <c r="I1292" s="208" t="str">
        <f t="shared" ca="1" si="327"/>
        <v>16.007.003.004</v>
      </c>
      <c r="J1292" s="209" t="s">
        <v>4228</v>
      </c>
      <c r="K1292" s="210" t="s">
        <v>2</v>
      </c>
      <c r="L1292" s="455">
        <f>Arquitetura!D1849</f>
        <v>2</v>
      </c>
      <c r="M1292" s="455">
        <f>1087*1.02+292</f>
        <v>1400.74</v>
      </c>
      <c r="N1292" s="285">
        <f t="shared" si="329"/>
        <v>2801.48</v>
      </c>
      <c r="O1292" s="462"/>
      <c r="P1292" s="213" t="s">
        <v>518</v>
      </c>
      <c r="Q1292" s="35"/>
      <c r="R1292" s="35"/>
      <c r="S1292" s="35"/>
    </row>
    <row r="1293" spans="1:19" s="34" customFormat="1" ht="13.9" hidden="1" customHeight="1" outlineLevel="2" x14ac:dyDescent="0.2">
      <c r="A1293" s="457">
        <f ca="1">IF($H1293="UNIDADE CONSTRUTIVA",OFFSET(A1293,-1,0)+1,LARGE(A$3:A1292,1))</f>
        <v>0</v>
      </c>
      <c r="B1293" s="457">
        <f t="shared" ca="1" si="323"/>
        <v>16</v>
      </c>
      <c r="C1293" s="457">
        <f t="shared" ca="1" si="324"/>
        <v>7</v>
      </c>
      <c r="D1293" s="458">
        <f t="shared" ca="1" si="325"/>
        <v>4</v>
      </c>
      <c r="E1293" s="458">
        <f t="shared" ca="1" si="326"/>
        <v>0</v>
      </c>
      <c r="G1293" s="206"/>
      <c r="H1293" s="207" t="s">
        <v>211</v>
      </c>
      <c r="I1293" s="208" t="str">
        <f t="shared" ca="1" si="327"/>
        <v>16.007.004</v>
      </c>
      <c r="J1293" s="209" t="s">
        <v>567</v>
      </c>
      <c r="K1293" s="210"/>
      <c r="L1293" s="455"/>
      <c r="M1293" s="455"/>
      <c r="N1293" s="285">
        <f t="shared" ca="1" si="329"/>
        <v>3240</v>
      </c>
      <c r="O1293" s="462"/>
      <c r="P1293" s="213"/>
      <c r="Q1293" s="35"/>
      <c r="R1293" s="35"/>
      <c r="S1293" s="35"/>
    </row>
    <row r="1294" spans="1:19" s="34" customFormat="1" ht="13.9" hidden="1" customHeight="1" outlineLevel="3" x14ac:dyDescent="0.2">
      <c r="A1294" s="457">
        <f ca="1">IF($H1294="UNIDADE CONSTRUTIVA",OFFSET(A1294,-1,0)+1,LARGE(A$3:A1293,1))</f>
        <v>0</v>
      </c>
      <c r="B1294" s="457">
        <f t="shared" ca="1" si="323"/>
        <v>16</v>
      </c>
      <c r="C1294" s="457">
        <f t="shared" ca="1" si="324"/>
        <v>7</v>
      </c>
      <c r="D1294" s="458">
        <f t="shared" ca="1" si="325"/>
        <v>4</v>
      </c>
      <c r="E1294" s="458">
        <f t="shared" ca="1" si="326"/>
        <v>1</v>
      </c>
      <c r="G1294" s="206"/>
      <c r="H1294" s="207" t="s">
        <v>212</v>
      </c>
      <c r="I1294" s="208" t="str">
        <f t="shared" ca="1" si="327"/>
        <v>16.007.004.001</v>
      </c>
      <c r="J1294" s="209" t="s">
        <v>568</v>
      </c>
      <c r="K1294" s="210" t="s">
        <v>2</v>
      </c>
      <c r="L1294" s="455">
        <v>4</v>
      </c>
      <c r="M1294" s="455">
        <v>810</v>
      </c>
      <c r="N1294" s="285">
        <f t="shared" si="329"/>
        <v>3240</v>
      </c>
      <c r="O1294" s="462" t="s">
        <v>1245</v>
      </c>
      <c r="P1294" s="213" t="s">
        <v>518</v>
      </c>
      <c r="Q1294" s="35"/>
      <c r="R1294" s="35"/>
      <c r="S1294" s="35"/>
    </row>
    <row r="1295" spans="1:19" s="34" customFormat="1" ht="13.9" hidden="1" customHeight="1" outlineLevel="2" x14ac:dyDescent="0.2">
      <c r="A1295" s="457">
        <f ca="1">IF($H1295="UNIDADE CONSTRUTIVA",OFFSET(A1295,-1,0)+1,LARGE(A$3:A1294,1))</f>
        <v>0</v>
      </c>
      <c r="B1295" s="457">
        <f t="shared" ca="1" si="323"/>
        <v>16</v>
      </c>
      <c r="C1295" s="457">
        <f t="shared" ca="1" si="324"/>
        <v>7</v>
      </c>
      <c r="D1295" s="458">
        <f t="shared" ca="1" si="325"/>
        <v>5</v>
      </c>
      <c r="E1295" s="458">
        <f t="shared" ca="1" si="326"/>
        <v>0</v>
      </c>
      <c r="G1295" s="206"/>
      <c r="H1295" s="207" t="s">
        <v>211</v>
      </c>
      <c r="I1295" s="208" t="str">
        <f t="shared" ca="1" si="327"/>
        <v>16.007.005</v>
      </c>
      <c r="J1295" s="209" t="s">
        <v>130</v>
      </c>
      <c r="K1295" s="210"/>
      <c r="L1295" s="455"/>
      <c r="M1295" s="455"/>
      <c r="N1295" s="285">
        <f t="shared" ca="1" si="329"/>
        <v>6300</v>
      </c>
      <c r="O1295" s="462"/>
      <c r="P1295" s="213"/>
      <c r="Q1295" s="35"/>
      <c r="R1295" s="35"/>
      <c r="S1295" s="35"/>
    </row>
    <row r="1296" spans="1:19" s="34" customFormat="1" ht="13.9" hidden="1" customHeight="1" outlineLevel="3" x14ac:dyDescent="0.2">
      <c r="A1296" s="457">
        <f ca="1">IF($H1296="UNIDADE CONSTRUTIVA",OFFSET(A1296,-1,0)+1,LARGE(A$3:A1295,1))</f>
        <v>0</v>
      </c>
      <c r="B1296" s="457">
        <f t="shared" ca="1" si="323"/>
        <v>16</v>
      </c>
      <c r="C1296" s="457">
        <f t="shared" ca="1" si="324"/>
        <v>7</v>
      </c>
      <c r="D1296" s="458">
        <f t="shared" ca="1" si="325"/>
        <v>5</v>
      </c>
      <c r="E1296" s="458">
        <f t="shared" ca="1" si="326"/>
        <v>1</v>
      </c>
      <c r="G1296" s="206"/>
      <c r="H1296" s="207" t="s">
        <v>212</v>
      </c>
      <c r="I1296" s="208" t="str">
        <f t="shared" ca="1" si="327"/>
        <v>16.007.005.001</v>
      </c>
      <c r="J1296" s="209" t="s">
        <v>147</v>
      </c>
      <c r="K1296" s="210" t="s">
        <v>2</v>
      </c>
      <c r="L1296" s="455">
        <f>SUM(L1289:L1292)</f>
        <v>21</v>
      </c>
      <c r="M1296" s="455">
        <v>300</v>
      </c>
      <c r="N1296" s="285">
        <f t="shared" si="329"/>
        <v>6300</v>
      </c>
      <c r="O1296" s="462"/>
      <c r="P1296" s="213" t="s">
        <v>518</v>
      </c>
      <c r="Q1296" s="35"/>
      <c r="R1296" s="35"/>
      <c r="S1296" s="35"/>
    </row>
    <row r="1297" spans="1:19" s="34" customFormat="1" ht="13.9" hidden="1" customHeight="1" outlineLevel="2" x14ac:dyDescent="0.2">
      <c r="A1297" s="457">
        <f ca="1">IF($H1297="UNIDADE CONSTRUTIVA",OFFSET(A1297,-1,0)+1,LARGE(A$3:A1296,1))</f>
        <v>0</v>
      </c>
      <c r="B1297" s="457">
        <f t="shared" ca="1" si="323"/>
        <v>16</v>
      </c>
      <c r="C1297" s="457">
        <f t="shared" ca="1" si="324"/>
        <v>7</v>
      </c>
      <c r="D1297" s="458">
        <f t="shared" ca="1" si="325"/>
        <v>6</v>
      </c>
      <c r="E1297" s="458">
        <f t="shared" ca="1" si="326"/>
        <v>0</v>
      </c>
      <c r="G1297" s="206"/>
      <c r="H1297" s="207" t="s">
        <v>211</v>
      </c>
      <c r="I1297" s="208" t="str">
        <f t="shared" ca="1" si="327"/>
        <v>16.007.006</v>
      </c>
      <c r="J1297" s="209" t="s">
        <v>148</v>
      </c>
      <c r="K1297" s="210"/>
      <c r="L1297" s="455"/>
      <c r="M1297" s="455"/>
      <c r="N1297" s="285">
        <f t="shared" ca="1" si="329"/>
        <v>3522</v>
      </c>
      <c r="O1297" s="462"/>
      <c r="P1297" s="213"/>
      <c r="Q1297" s="35"/>
      <c r="R1297" s="35"/>
      <c r="S1297" s="35"/>
    </row>
    <row r="1298" spans="1:19" s="34" customFormat="1" ht="13.9" hidden="1" customHeight="1" outlineLevel="3" x14ac:dyDescent="0.2">
      <c r="A1298" s="457">
        <f ca="1">IF($H1298="UNIDADE CONSTRUTIVA",OFFSET(A1298,-1,0)+1,LARGE(A$3:A1297,1))</f>
        <v>0</v>
      </c>
      <c r="B1298" s="457">
        <f t="shared" ca="1" si="323"/>
        <v>16</v>
      </c>
      <c r="C1298" s="457">
        <f t="shared" ca="1" si="324"/>
        <v>7</v>
      </c>
      <c r="D1298" s="458">
        <f t="shared" ca="1" si="325"/>
        <v>6</v>
      </c>
      <c r="E1298" s="458">
        <f t="shared" ca="1" si="326"/>
        <v>1</v>
      </c>
      <c r="G1298" s="206"/>
      <c r="H1298" s="207" t="s">
        <v>212</v>
      </c>
      <c r="I1298" s="208" t="str">
        <f t="shared" ca="1" si="327"/>
        <v>16.007.006.001</v>
      </c>
      <c r="J1298" s="209" t="s">
        <v>1200</v>
      </c>
      <c r="K1298" s="210" t="s">
        <v>2</v>
      </c>
      <c r="L1298" s="455">
        <f>Arquitetura!D1944</f>
        <v>2</v>
      </c>
      <c r="M1298" s="455">
        <v>1761</v>
      </c>
      <c r="N1298" s="285">
        <f t="shared" si="329"/>
        <v>3522</v>
      </c>
      <c r="O1298" s="462"/>
      <c r="P1298" s="213" t="s">
        <v>518</v>
      </c>
      <c r="Q1298" s="35"/>
      <c r="R1298" s="35"/>
      <c r="S1298" s="35"/>
    </row>
    <row r="1299" spans="1:19" s="34" customFormat="1" ht="13.9" hidden="1" customHeight="1" outlineLevel="2" x14ac:dyDescent="0.2">
      <c r="A1299" s="457">
        <f ca="1">IF($H1299="UNIDADE CONSTRUTIVA",OFFSET(A1299,-1,0)+1,LARGE(A$3:A1298,1))</f>
        <v>0</v>
      </c>
      <c r="B1299" s="457">
        <f t="shared" ca="1" si="323"/>
        <v>16</v>
      </c>
      <c r="C1299" s="457">
        <f t="shared" ca="1" si="324"/>
        <v>7</v>
      </c>
      <c r="D1299" s="458">
        <f t="shared" ca="1" si="325"/>
        <v>7</v>
      </c>
      <c r="E1299" s="458">
        <f t="shared" ca="1" si="326"/>
        <v>0</v>
      </c>
      <c r="G1299" s="206"/>
      <c r="H1299" s="207" t="s">
        <v>211</v>
      </c>
      <c r="I1299" s="208" t="str">
        <f t="shared" ca="1" si="327"/>
        <v>16.007.007</v>
      </c>
      <c r="J1299" s="209" t="s">
        <v>4230</v>
      </c>
      <c r="K1299" s="210"/>
      <c r="L1299" s="455"/>
      <c r="M1299" s="455"/>
      <c r="N1299" s="285">
        <f t="shared" ca="1" si="329"/>
        <v>4970.8524600000001</v>
      </c>
      <c r="O1299" s="462"/>
      <c r="P1299" s="213"/>
      <c r="Q1299" s="35"/>
      <c r="R1299" s="35"/>
      <c r="S1299" s="35"/>
    </row>
    <row r="1300" spans="1:19" s="34" customFormat="1" ht="13.9" hidden="1" customHeight="1" outlineLevel="3" x14ac:dyDescent="0.2">
      <c r="A1300" s="457">
        <f ca="1">IF($H1300="UNIDADE CONSTRUTIVA",OFFSET(A1300,-1,0)+1,LARGE(A$3:A1299,1))</f>
        <v>0</v>
      </c>
      <c r="B1300" s="457">
        <f t="shared" ca="1" si="323"/>
        <v>16</v>
      </c>
      <c r="C1300" s="457">
        <f t="shared" ca="1" si="324"/>
        <v>7</v>
      </c>
      <c r="D1300" s="458">
        <f t="shared" ca="1" si="325"/>
        <v>7</v>
      </c>
      <c r="E1300" s="458">
        <f t="shared" ca="1" si="326"/>
        <v>1</v>
      </c>
      <c r="G1300" s="206"/>
      <c r="H1300" s="207" t="s">
        <v>212</v>
      </c>
      <c r="I1300" s="208" t="str">
        <f t="shared" ca="1" si="327"/>
        <v>16.007.007.001</v>
      </c>
      <c r="J1300" s="209" t="s">
        <v>4231</v>
      </c>
      <c r="K1300" s="210" t="s">
        <v>1</v>
      </c>
      <c r="L1300" s="455">
        <f>Arquitetura!D1942*1.05</f>
        <v>5.4180000000000001</v>
      </c>
      <c r="M1300" s="455">
        <v>917.47</v>
      </c>
      <c r="N1300" s="285">
        <f t="shared" si="329"/>
        <v>4970.8524600000001</v>
      </c>
      <c r="O1300" s="462"/>
      <c r="P1300" s="213" t="s">
        <v>518</v>
      </c>
      <c r="Q1300" s="35"/>
      <c r="R1300" s="35"/>
      <c r="S1300" s="35"/>
    </row>
    <row r="1301" spans="1:19" s="34" customFormat="1" ht="13.9" hidden="1" customHeight="1" outlineLevel="1" x14ac:dyDescent="0.2">
      <c r="A1301" s="457">
        <f ca="1">IF($H1301="UNIDADE CONSTRUTIVA",OFFSET(A1301,-1,0)+1,LARGE(A$3:A1300,1))</f>
        <v>0</v>
      </c>
      <c r="B1301" s="457">
        <f t="shared" ca="1" si="255"/>
        <v>16</v>
      </c>
      <c r="C1301" s="457">
        <f t="shared" ca="1" si="256"/>
        <v>8</v>
      </c>
      <c r="D1301" s="458">
        <f t="shared" ca="1" si="257"/>
        <v>0</v>
      </c>
      <c r="E1301" s="458">
        <f t="shared" ca="1" si="258"/>
        <v>1</v>
      </c>
      <c r="G1301" s="206"/>
      <c r="H1301" s="207" t="s">
        <v>210</v>
      </c>
      <c r="I1301" s="208" t="str">
        <f t="shared" ca="1" si="327"/>
        <v>16.008</v>
      </c>
      <c r="J1301" s="209" t="s">
        <v>4943</v>
      </c>
      <c r="K1301" s="210"/>
      <c r="L1301" s="455"/>
      <c r="M1301" s="455"/>
      <c r="N1301" s="285">
        <f t="shared" ca="1" si="329"/>
        <v>12925.958306002736</v>
      </c>
      <c r="O1301" s="462"/>
      <c r="P1301" s="213"/>
      <c r="Q1301" s="35"/>
      <c r="R1301" s="35"/>
      <c r="S1301" s="35"/>
    </row>
    <row r="1302" spans="1:19" s="34" customFormat="1" ht="13.9" hidden="1" customHeight="1" outlineLevel="2" x14ac:dyDescent="0.2">
      <c r="A1302" s="457">
        <f ca="1">IF($H1302="UNIDADE CONSTRUTIVA",OFFSET(A1302,-1,0)+1,LARGE(A$3:A1301,1))</f>
        <v>0</v>
      </c>
      <c r="B1302" s="457">
        <f t="shared" ca="1" si="255"/>
        <v>16</v>
      </c>
      <c r="C1302" s="457">
        <f t="shared" ca="1" si="256"/>
        <v>8</v>
      </c>
      <c r="D1302" s="458">
        <f t="shared" ca="1" si="257"/>
        <v>1</v>
      </c>
      <c r="E1302" s="458">
        <f t="shared" ca="1" si="258"/>
        <v>0</v>
      </c>
      <c r="G1302" s="206"/>
      <c r="H1302" s="207" t="s">
        <v>211</v>
      </c>
      <c r="I1302" s="208" t="str">
        <f t="shared" ca="1" si="327"/>
        <v>16.008.001</v>
      </c>
      <c r="J1302" s="209" t="s">
        <v>142</v>
      </c>
      <c r="K1302" s="210"/>
      <c r="L1302" s="455"/>
      <c r="M1302" s="455"/>
      <c r="N1302" s="285">
        <f t="shared" ca="1" si="329"/>
        <v>803.95830600273734</v>
      </c>
      <c r="O1302" s="462"/>
      <c r="P1302" s="213"/>
      <c r="Q1302" s="35"/>
      <c r="R1302" s="35"/>
      <c r="S1302" s="35"/>
    </row>
    <row r="1303" spans="1:19" s="34" customFormat="1" ht="13.9" hidden="1" customHeight="1" outlineLevel="3" x14ac:dyDescent="0.2">
      <c r="A1303" s="457">
        <f ca="1">IF($H1303="UNIDADE CONSTRUTIVA",OFFSET(A1303,-1,0)+1,LARGE(A$3:A1302,1))</f>
        <v>0</v>
      </c>
      <c r="B1303" s="457">
        <f t="shared" ca="1" si="255"/>
        <v>16</v>
      </c>
      <c r="C1303" s="457">
        <f t="shared" ca="1" si="256"/>
        <v>8</v>
      </c>
      <c r="D1303" s="458">
        <f t="shared" ca="1" si="257"/>
        <v>1</v>
      </c>
      <c r="E1303" s="458">
        <f t="shared" ca="1" si="258"/>
        <v>1</v>
      </c>
      <c r="G1303" s="206"/>
      <c r="H1303" s="207" t="s">
        <v>212</v>
      </c>
      <c r="I1303" s="208" t="str">
        <f t="shared" ca="1" si="327"/>
        <v>16.008.001.001</v>
      </c>
      <c r="J1303" s="209" t="s">
        <v>143</v>
      </c>
      <c r="K1303" s="210" t="s">
        <v>1</v>
      </c>
      <c r="L1303" s="472">
        <f>Arquitetura!H1709</f>
        <v>0.69</v>
      </c>
      <c r="M1303" s="472">
        <f>'PRECIFICAÇÃO ESQUADRIAS'!E54</f>
        <v>1165.1569652213586</v>
      </c>
      <c r="N1303" s="285">
        <f t="shared" si="329"/>
        <v>803.95830600273734</v>
      </c>
      <c r="O1303" s="462"/>
      <c r="P1303" s="213" t="s">
        <v>518</v>
      </c>
      <c r="Q1303" s="35"/>
      <c r="R1303" s="35"/>
      <c r="S1303" s="35"/>
    </row>
    <row r="1304" spans="1:19" s="34" customFormat="1" ht="13.9" hidden="1" customHeight="1" outlineLevel="2" x14ac:dyDescent="0.2">
      <c r="A1304" s="457">
        <f ca="1">IF($H1304="UNIDADE CONSTRUTIVA",OFFSET(A1304,-1,0)+1,LARGE(A$3:A1303,1))</f>
        <v>0</v>
      </c>
      <c r="B1304" s="457">
        <f ca="1">IF(H1304="UNIDADE CONSTRUTIVA",0,IF(H1304="CÉLULA CONSTRUTIVA",OFFSET(B1304,-1,0)+1,OFFSET(B1304,-1,0)))</f>
        <v>16</v>
      </c>
      <c r="C1304" s="457">
        <f ca="1">IF(H1304="CÉLULA CONSTRUTIVA",0,IF(H1304="ETAPA",OFFSET(C1304,-1,0)+1,OFFSET(C1304,-1,0)))</f>
        <v>8</v>
      </c>
      <c r="D1304" s="458">
        <f ca="1">IF(H1304="ETAPA",0,IF(H1304="SUBETAPA",OFFSET(D1304,-1,0)+1,OFFSET(D1304,-1,0)))</f>
        <v>2</v>
      </c>
      <c r="E1304" s="458">
        <f ca="1">IF(H1304="Subetapa",0,IF(H1304="serviço",OFFSET(E1304,-1,0)+1,OFFSET(E1304,-1,0)))</f>
        <v>0</v>
      </c>
      <c r="G1304" s="206"/>
      <c r="H1304" s="207" t="s">
        <v>211</v>
      </c>
      <c r="I1304" s="208" t="str">
        <f t="shared" ca="1" si="327"/>
        <v>16.008.002</v>
      </c>
      <c r="J1304" s="209" t="s">
        <v>148</v>
      </c>
      <c r="K1304" s="210"/>
      <c r="L1304" s="455"/>
      <c r="M1304" s="455"/>
      <c r="N1304" s="285">
        <f t="shared" ca="1" si="329"/>
        <v>3522</v>
      </c>
      <c r="O1304" s="462"/>
      <c r="P1304" s="213"/>
      <c r="Q1304" s="35"/>
      <c r="R1304" s="35"/>
      <c r="S1304" s="35"/>
    </row>
    <row r="1305" spans="1:19" s="34" customFormat="1" ht="13.9" hidden="1" customHeight="1" outlineLevel="3" x14ac:dyDescent="0.2">
      <c r="A1305" s="457">
        <f ca="1">IF($H1305="UNIDADE CONSTRUTIVA",OFFSET(A1305,-1,0)+1,LARGE(A$3:A1304,1))</f>
        <v>0</v>
      </c>
      <c r="B1305" s="457">
        <f ca="1">IF(H1305="UNIDADE CONSTRUTIVA",0,IF(H1305="CÉLULA CONSTRUTIVA",OFFSET(B1305,-1,0)+1,OFFSET(B1305,-1,0)))</f>
        <v>16</v>
      </c>
      <c r="C1305" s="457">
        <f ca="1">IF(H1305="CÉLULA CONSTRUTIVA",0,IF(H1305="ETAPA",OFFSET(C1305,-1,0)+1,OFFSET(C1305,-1,0)))</f>
        <v>8</v>
      </c>
      <c r="D1305" s="458">
        <f ca="1">IF(H1305="ETAPA",0,IF(H1305="SUBETAPA",OFFSET(D1305,-1,0)+1,OFFSET(D1305,-1,0)))</f>
        <v>2</v>
      </c>
      <c r="E1305" s="458">
        <f ca="1">IF(H1305="Subetapa",0,IF(H1305="serviço",OFFSET(E1305,-1,0)+1,OFFSET(E1305,-1,0)))</f>
        <v>1</v>
      </c>
      <c r="G1305" s="206"/>
      <c r="H1305" s="207" t="s">
        <v>212</v>
      </c>
      <c r="I1305" s="208" t="str">
        <f t="shared" ca="1" si="327"/>
        <v>16.008.002.001</v>
      </c>
      <c r="J1305" s="209" t="s">
        <v>1200</v>
      </c>
      <c r="K1305" s="210" t="s">
        <v>2</v>
      </c>
      <c r="L1305" s="455">
        <f>Arquitetura!D1947</f>
        <v>2</v>
      </c>
      <c r="M1305" s="455">
        <v>1761</v>
      </c>
      <c r="N1305" s="285">
        <f t="shared" si="329"/>
        <v>3522</v>
      </c>
      <c r="O1305" s="462"/>
      <c r="P1305" s="213" t="s">
        <v>518</v>
      </c>
      <c r="Q1305" s="35"/>
      <c r="R1305" s="35"/>
      <c r="S1305" s="35"/>
    </row>
    <row r="1306" spans="1:19" s="34" customFormat="1" ht="13.9" hidden="1" customHeight="1" outlineLevel="2" x14ac:dyDescent="0.2">
      <c r="A1306" s="457">
        <f ca="1">IF($H1306="UNIDADE CONSTRUTIVA",OFFSET(A1306,-1,0)+1,LARGE(A$3:A1305,1))</f>
        <v>0</v>
      </c>
      <c r="B1306" s="457">
        <f ca="1">IF(H1306="UNIDADE CONSTRUTIVA",0,IF(H1306="CÉLULA CONSTRUTIVA",OFFSET(B1306,-1,0)+1,OFFSET(B1306,-1,0)))</f>
        <v>16</v>
      </c>
      <c r="C1306" s="457">
        <f ca="1">IF(H1306="CÉLULA CONSTRUTIVA",0,IF(H1306="ETAPA",OFFSET(C1306,-1,0)+1,OFFSET(C1306,-1,0)))</f>
        <v>8</v>
      </c>
      <c r="D1306" s="458">
        <f ca="1">IF(H1306="ETAPA",0,IF(H1306="SUBETAPA",OFFSET(D1306,-1,0)+1,OFFSET(D1306,-1,0)))</f>
        <v>3</v>
      </c>
      <c r="E1306" s="458">
        <f ca="1">IF(H1306="Subetapa",0,IF(H1306="serviço",OFFSET(E1306,-1,0)+1,OFFSET(E1306,-1,0)))</f>
        <v>0</v>
      </c>
      <c r="G1306" s="206"/>
      <c r="H1306" s="207" t="s">
        <v>211</v>
      </c>
      <c r="I1306" s="208" t="str">
        <f t="shared" ca="1" si="327"/>
        <v>16.008.003</v>
      </c>
      <c r="J1306" s="209" t="s">
        <v>4998</v>
      </c>
      <c r="K1306" s="210"/>
      <c r="L1306" s="455"/>
      <c r="M1306" s="455"/>
      <c r="N1306" s="285">
        <f t="shared" ca="1" si="329"/>
        <v>8600</v>
      </c>
      <c r="O1306" s="462"/>
      <c r="P1306" s="213"/>
      <c r="Q1306" s="35"/>
      <c r="R1306" s="35"/>
      <c r="S1306" s="35"/>
    </row>
    <row r="1307" spans="1:19" s="34" customFormat="1" ht="13.9" hidden="1" customHeight="1" outlineLevel="3" x14ac:dyDescent="0.2">
      <c r="A1307" s="457">
        <f ca="1">IF($H1307="UNIDADE CONSTRUTIVA",OFFSET(A1307,-1,0)+1,LARGE(A$3:A1306,1))</f>
        <v>0</v>
      </c>
      <c r="B1307" s="457">
        <f ca="1">IF(H1307="UNIDADE CONSTRUTIVA",0,IF(H1307="CÉLULA CONSTRUTIVA",OFFSET(B1307,-1,0)+1,OFFSET(B1307,-1,0)))</f>
        <v>16</v>
      </c>
      <c r="C1307" s="457">
        <f ca="1">IF(H1307="CÉLULA CONSTRUTIVA",0,IF(H1307="ETAPA",OFFSET(C1307,-1,0)+1,OFFSET(C1307,-1,0)))</f>
        <v>8</v>
      </c>
      <c r="D1307" s="458">
        <f ca="1">IF(H1307="ETAPA",0,IF(H1307="SUBETAPA",OFFSET(D1307,-1,0)+1,OFFSET(D1307,-1,0)))</f>
        <v>3</v>
      </c>
      <c r="E1307" s="458">
        <f ca="1">IF(H1307="Subetapa",0,IF(H1307="serviço",OFFSET(E1307,-1,0)+1,OFFSET(E1307,-1,0)))</f>
        <v>1</v>
      </c>
      <c r="G1307" s="206"/>
      <c r="H1307" s="207" t="s">
        <v>212</v>
      </c>
      <c r="I1307" s="208" t="str">
        <f t="shared" ca="1" si="327"/>
        <v>16.008.003.001</v>
      </c>
      <c r="J1307" s="209" t="s">
        <v>4999</v>
      </c>
      <c r="K1307" s="210" t="s">
        <v>2</v>
      </c>
      <c r="L1307" s="455">
        <v>2</v>
      </c>
      <c r="M1307" s="455">
        <v>4300</v>
      </c>
      <c r="N1307" s="285">
        <f t="shared" si="329"/>
        <v>8600</v>
      </c>
      <c r="O1307" s="462"/>
      <c r="P1307" s="213" t="s">
        <v>518</v>
      </c>
      <c r="Q1307" s="35"/>
      <c r="R1307" s="35"/>
      <c r="S1307" s="35"/>
    </row>
    <row r="1308" spans="1:19" s="34" customFormat="1" ht="13.9" customHeight="1" collapsed="1" x14ac:dyDescent="0.2">
      <c r="A1308" s="457">
        <f ca="1">IF($H1308="UNIDADE CONSTRUTIVA",OFFSET(A1308,-1,0)+1,LARGE(A$3:A1305,1))</f>
        <v>0</v>
      </c>
      <c r="B1308" s="457">
        <f t="shared" ref="B1308:B1375" ca="1" si="330">IF(H1308="UNIDADE CONSTRUTIVA",0,IF(H1308="CÉLULA CONSTRUTIVA",OFFSET(B1308,-1,0)+1,OFFSET(B1308,-1,0)))</f>
        <v>17</v>
      </c>
      <c r="C1308" s="457">
        <f t="shared" ref="C1308:C1375" ca="1" si="331">IF(H1308="CÉLULA CONSTRUTIVA",0,IF(H1308="ETAPA",OFFSET(C1308,-1,0)+1,OFFSET(C1308,-1,0)))</f>
        <v>0</v>
      </c>
      <c r="D1308" s="458">
        <f t="shared" ref="D1308:D1375" ca="1" si="332">IF(H1308="ETAPA",0,IF(H1308="SUBETAPA",OFFSET(D1308,-1,0)+1,OFFSET(D1308,-1,0)))</f>
        <v>3</v>
      </c>
      <c r="E1308" s="458">
        <f t="shared" ref="E1308:E1375" ca="1" si="333">IF(H1308="Subetapa",0,IF(H1308="serviço",OFFSET(E1308,-1,0)+1,OFFSET(E1308,-1,0)))</f>
        <v>1</v>
      </c>
      <c r="G1308" s="206"/>
      <c r="H1308" s="207" t="s">
        <v>209</v>
      </c>
      <c r="I1308" s="208" t="str">
        <f t="shared" ref="I1308:I1375" ca="1" si="334">IF(H1308="Unidade Construtiva",TEXT(A1308,"00"),IF(H1308="Célula Construtiva",TEXT(B1308,"00"),IF(H1308="Etapa",CONCATENATE(TEXT(B1308,"00"),".",TEXT(C1308,"000")),IF(H1308="Subetapa",CONCATENATE(TEXT(B1308,"00"),".",TEXT(C1308,"000"),".",TEXT(D1308,"000")),IF(H1308="Serviço",CONCATENATE(TEXT(B1308,"00"),".",TEXT(C1308,"000"),".",TEXT(D1308,"000"),".",TEXT(E1308,"000")),"")))))</f>
        <v>17</v>
      </c>
      <c r="J1308" s="209" t="s">
        <v>149</v>
      </c>
      <c r="K1308" s="210"/>
      <c r="L1308" s="455"/>
      <c r="M1308" s="455"/>
      <c r="N1308" s="285">
        <f ca="1">IF(H1308="Serviço",M1308*L1308,IF(H1308="CÉLULA CONSTRUTIVA",SUMIFS($N$8:$N$1393,$B$8:$B$1393,B1308,$H$8:$H$1393,"Serviço"),IF(H1308="ETAPA",SUMIFS($N$8:$N$1393,$B$8:$B$1393,B1308,$C$8:$C$1393,C1308,$H$8:$H$1393,"Serviço"),IF(H1308="SUBETAPA",SUMIFS($N$8:$N$1393,$B$8:$B$1393,B1308,$C$8:$C$1393,C1308,$D$8:$D$1393,D1308,$H$8:$H$1393,"Serviço"),0))))</f>
        <v>390783.28</v>
      </c>
      <c r="O1308" s="462"/>
      <c r="P1308" s="213"/>
      <c r="Q1308" s="463"/>
      <c r="R1308" s="463"/>
      <c r="S1308" s="35"/>
    </row>
    <row r="1309" spans="1:19" s="34" customFormat="1" ht="13.9" hidden="1" customHeight="1" outlineLevel="1" x14ac:dyDescent="0.2">
      <c r="A1309" s="457">
        <f ca="1">IF($H1309="UNIDADE CONSTRUTIVA",OFFSET(A1309,-1,0)+1,LARGE(A$3:A1308,1))</f>
        <v>0</v>
      </c>
      <c r="B1309" s="457">
        <f t="shared" ca="1" si="330"/>
        <v>17</v>
      </c>
      <c r="C1309" s="457">
        <f t="shared" ca="1" si="331"/>
        <v>1</v>
      </c>
      <c r="D1309" s="458">
        <f t="shared" ca="1" si="332"/>
        <v>0</v>
      </c>
      <c r="E1309" s="458">
        <f t="shared" ca="1" si="333"/>
        <v>1</v>
      </c>
      <c r="G1309" s="206"/>
      <c r="H1309" s="207" t="s">
        <v>210</v>
      </c>
      <c r="I1309" s="208" t="str">
        <f t="shared" ca="1" si="334"/>
        <v>17.001</v>
      </c>
      <c r="J1309" s="209" t="s">
        <v>974</v>
      </c>
      <c r="K1309" s="210"/>
      <c r="L1309" s="455"/>
      <c r="M1309" s="455"/>
      <c r="N1309" s="285">
        <f t="shared" ref="N1309:N1334" ca="1" si="335">IF(H1309="Serviço",M1309*L1309,IF(H1309="CÉLULA CONSTRUTIVA",SUMIFS($N$8:$N$1734,$B$8:$B$1734,B1309,$H$8:$H$1734,"Serviço"),IF(H1309="ETAPA",SUMIFS($N$8:$N$1734,$B$8:$B$1734,B1309,$C$8:$C$1734,C1309,$H$8:$H$1734,"Serviço"),IF(H1309="SUBETAPA",SUMIFS($N$8:$N$1734,$B$8:$B$1734,B1309,$C$8:$C$1734,C1309,$D$8:$D$1734,D1309,$H$8:$H$1734,"Serviço"),0))))</f>
        <v>665</v>
      </c>
      <c r="O1309" s="462"/>
      <c r="P1309" s="213"/>
      <c r="Q1309" s="35"/>
      <c r="R1309" s="35"/>
      <c r="S1309" s="35"/>
    </row>
    <row r="1310" spans="1:19" s="34" customFormat="1" ht="13.9" hidden="1" customHeight="1" outlineLevel="1" x14ac:dyDescent="0.2">
      <c r="A1310" s="457">
        <f ca="1">IF($H1310="UNIDADE CONSTRUTIVA",OFFSET(A1310,-1,0)+1,LARGE(A$3:A1309,1))</f>
        <v>0</v>
      </c>
      <c r="B1310" s="457">
        <f t="shared" ca="1" si="330"/>
        <v>17</v>
      </c>
      <c r="C1310" s="457">
        <f t="shared" ca="1" si="331"/>
        <v>1</v>
      </c>
      <c r="D1310" s="458">
        <f t="shared" ca="1" si="332"/>
        <v>1</v>
      </c>
      <c r="E1310" s="458">
        <f t="shared" ca="1" si="333"/>
        <v>0</v>
      </c>
      <c r="G1310" s="206"/>
      <c r="H1310" s="207" t="s">
        <v>211</v>
      </c>
      <c r="I1310" s="208" t="str">
        <f t="shared" ca="1" si="334"/>
        <v>17.001.001</v>
      </c>
      <c r="J1310" s="209" t="s">
        <v>152</v>
      </c>
      <c r="K1310" s="210"/>
      <c r="L1310" s="455"/>
      <c r="M1310" s="455"/>
      <c r="N1310" s="285">
        <f t="shared" ca="1" si="335"/>
        <v>665</v>
      </c>
      <c r="O1310" s="462"/>
      <c r="P1310" s="213"/>
      <c r="Q1310" s="35"/>
      <c r="R1310" s="35"/>
      <c r="S1310" s="35"/>
    </row>
    <row r="1311" spans="1:19" s="34" customFormat="1" ht="13.9" hidden="1" customHeight="1" outlineLevel="2" x14ac:dyDescent="0.2">
      <c r="A1311" s="457">
        <f ca="1">IF($H1311="UNIDADE CONSTRUTIVA",OFFSET(A1311,-1,0)+1,LARGE(A$3:A1310,1))</f>
        <v>0</v>
      </c>
      <c r="B1311" s="457">
        <f t="shared" ca="1" si="330"/>
        <v>17</v>
      </c>
      <c r="C1311" s="457">
        <f t="shared" ca="1" si="331"/>
        <v>1</v>
      </c>
      <c r="D1311" s="458">
        <f t="shared" ca="1" si="332"/>
        <v>1</v>
      </c>
      <c r="E1311" s="458">
        <f t="shared" ca="1" si="333"/>
        <v>1</v>
      </c>
      <c r="G1311" s="206"/>
      <c r="H1311" s="207" t="s">
        <v>212</v>
      </c>
      <c r="I1311" s="208" t="str">
        <f t="shared" ca="1" si="334"/>
        <v>17.001.001.001</v>
      </c>
      <c r="J1311" s="209" t="s">
        <v>153</v>
      </c>
      <c r="K1311" s="210" t="s">
        <v>151</v>
      </c>
      <c r="L1311" s="455">
        <v>1</v>
      </c>
      <c r="M1311" s="455">
        <f>'Louças e metais'!F87</f>
        <v>665</v>
      </c>
      <c r="N1311" s="285">
        <f t="shared" si="335"/>
        <v>665</v>
      </c>
      <c r="O1311" s="462"/>
      <c r="P1311" s="213" t="s">
        <v>518</v>
      </c>
      <c r="Q1311" s="35"/>
      <c r="R1311" s="35"/>
      <c r="S1311" s="35"/>
    </row>
    <row r="1312" spans="1:19" s="34" customFormat="1" ht="13.9" hidden="1" customHeight="1" outlineLevel="1" x14ac:dyDescent="0.2">
      <c r="A1312" s="457">
        <f ca="1">IF($H1312="UNIDADE CONSTRUTIVA",OFFSET(A1312,-1,0)+1,LARGE(A$3:A1311,1))</f>
        <v>0</v>
      </c>
      <c r="B1312" s="457">
        <f t="shared" ca="1" si="330"/>
        <v>17</v>
      </c>
      <c r="C1312" s="457">
        <f t="shared" ca="1" si="331"/>
        <v>2</v>
      </c>
      <c r="D1312" s="458">
        <f t="shared" ca="1" si="332"/>
        <v>0</v>
      </c>
      <c r="E1312" s="458">
        <f t="shared" ca="1" si="333"/>
        <v>1</v>
      </c>
      <c r="G1312" s="206"/>
      <c r="H1312" s="207" t="s">
        <v>210</v>
      </c>
      <c r="I1312" s="208" t="str">
        <f t="shared" ca="1" si="334"/>
        <v>17.002</v>
      </c>
      <c r="J1312" s="209" t="s">
        <v>975</v>
      </c>
      <c r="K1312" s="210"/>
      <c r="L1312" s="455"/>
      <c r="M1312" s="455"/>
      <c r="N1312" s="285">
        <f t="shared" ca="1" si="335"/>
        <v>40229.270000000004</v>
      </c>
      <c r="O1312" s="462"/>
      <c r="P1312" s="213"/>
      <c r="Q1312" s="35"/>
      <c r="R1312" s="35"/>
      <c r="S1312" s="35"/>
    </row>
    <row r="1313" spans="1:19" s="34" customFormat="1" ht="13.5" hidden="1" customHeight="1" outlineLevel="1" x14ac:dyDescent="0.2">
      <c r="A1313" s="457">
        <f ca="1">IF($H1313="UNIDADE CONSTRUTIVA",OFFSET(A1313,-1,0)+1,LARGE(A$3:A1312,1))</f>
        <v>0</v>
      </c>
      <c r="B1313" s="457">
        <f t="shared" ca="1" si="330"/>
        <v>17</v>
      </c>
      <c r="C1313" s="457">
        <f t="shared" ca="1" si="331"/>
        <v>2</v>
      </c>
      <c r="D1313" s="458">
        <f t="shared" ca="1" si="332"/>
        <v>1</v>
      </c>
      <c r="E1313" s="458">
        <f t="shared" ca="1" si="333"/>
        <v>0</v>
      </c>
      <c r="G1313" s="206"/>
      <c r="H1313" s="207" t="s">
        <v>211</v>
      </c>
      <c r="I1313" s="208" t="str">
        <f t="shared" ca="1" si="334"/>
        <v>17.002.001</v>
      </c>
      <c r="J1313" s="209" t="s">
        <v>150</v>
      </c>
      <c r="K1313" s="210"/>
      <c r="L1313" s="455"/>
      <c r="M1313" s="455"/>
      <c r="N1313" s="285">
        <f t="shared" ca="1" si="335"/>
        <v>23264.52</v>
      </c>
      <c r="O1313" s="462"/>
      <c r="P1313" s="213"/>
      <c r="Q1313" s="35"/>
      <c r="R1313" s="35"/>
      <c r="S1313" s="35"/>
    </row>
    <row r="1314" spans="1:19" s="34" customFormat="1" ht="13.9" hidden="1" customHeight="1" outlineLevel="2" x14ac:dyDescent="0.2">
      <c r="A1314" s="457">
        <f ca="1">IF($H1314="UNIDADE CONSTRUTIVA",OFFSET(A1314,-1,0)+1,LARGE(A$3:A1313,1))</f>
        <v>0</v>
      </c>
      <c r="B1314" s="457">
        <f t="shared" ca="1" si="330"/>
        <v>17</v>
      </c>
      <c r="C1314" s="457">
        <f t="shared" ca="1" si="331"/>
        <v>2</v>
      </c>
      <c r="D1314" s="458">
        <f t="shared" ca="1" si="332"/>
        <v>1</v>
      </c>
      <c r="E1314" s="458">
        <f t="shared" ca="1" si="333"/>
        <v>1</v>
      </c>
      <c r="G1314" s="206"/>
      <c r="H1314" s="207" t="s">
        <v>212</v>
      </c>
      <c r="I1314" s="208" t="str">
        <f t="shared" ca="1" si="334"/>
        <v>17.002.001.001</v>
      </c>
      <c r="J1314" s="209" t="s">
        <v>570</v>
      </c>
      <c r="K1314" s="210" t="s">
        <v>151</v>
      </c>
      <c r="L1314" s="455">
        <v>1</v>
      </c>
      <c r="M1314" s="455">
        <f>'Louças e metais'!F96</f>
        <v>23264.52</v>
      </c>
      <c r="N1314" s="285">
        <f t="shared" si="335"/>
        <v>23264.52</v>
      </c>
      <c r="O1314" s="462"/>
      <c r="P1314" s="213" t="s">
        <v>518</v>
      </c>
      <c r="Q1314" s="35"/>
      <c r="R1314" s="35"/>
      <c r="S1314" s="35"/>
    </row>
    <row r="1315" spans="1:19" s="34" customFormat="1" ht="13.9" hidden="1" customHeight="1" outlineLevel="1" x14ac:dyDescent="0.2">
      <c r="A1315" s="457">
        <f ca="1">IF($H1315="UNIDADE CONSTRUTIVA",OFFSET(A1315,-1,0)+1,LARGE(A$3:A1314,1))</f>
        <v>0</v>
      </c>
      <c r="B1315" s="457">
        <f t="shared" ca="1" si="330"/>
        <v>17</v>
      </c>
      <c r="C1315" s="457">
        <f t="shared" ca="1" si="331"/>
        <v>2</v>
      </c>
      <c r="D1315" s="458">
        <f t="shared" ca="1" si="332"/>
        <v>2</v>
      </c>
      <c r="E1315" s="458">
        <f t="shared" ca="1" si="333"/>
        <v>0</v>
      </c>
      <c r="G1315" s="206"/>
      <c r="H1315" s="207" t="s">
        <v>211</v>
      </c>
      <c r="I1315" s="208" t="str">
        <f t="shared" ca="1" si="334"/>
        <v>17.002.002</v>
      </c>
      <c r="J1315" s="209" t="s">
        <v>152</v>
      </c>
      <c r="K1315" s="210"/>
      <c r="L1315" s="455"/>
      <c r="M1315" s="455"/>
      <c r="N1315" s="285">
        <f t="shared" ca="1" si="335"/>
        <v>5577.5199999999995</v>
      </c>
      <c r="O1315" s="462"/>
      <c r="P1315" s="213"/>
      <c r="Q1315" s="35"/>
      <c r="R1315" s="35"/>
      <c r="S1315" s="35"/>
    </row>
    <row r="1316" spans="1:19" s="34" customFormat="1" ht="13.9" hidden="1" customHeight="1" outlineLevel="2" x14ac:dyDescent="0.2">
      <c r="A1316" s="457">
        <f ca="1">IF($H1316="UNIDADE CONSTRUTIVA",OFFSET(A1316,-1,0)+1,LARGE(A$3:A1315,1))</f>
        <v>0</v>
      </c>
      <c r="B1316" s="457">
        <f t="shared" ca="1" si="330"/>
        <v>17</v>
      </c>
      <c r="C1316" s="457">
        <f t="shared" ca="1" si="331"/>
        <v>2</v>
      </c>
      <c r="D1316" s="458">
        <f t="shared" ca="1" si="332"/>
        <v>2</v>
      </c>
      <c r="E1316" s="458">
        <f t="shared" ca="1" si="333"/>
        <v>1</v>
      </c>
      <c r="G1316" s="206"/>
      <c r="H1316" s="207" t="s">
        <v>212</v>
      </c>
      <c r="I1316" s="208" t="str">
        <f t="shared" ca="1" si="334"/>
        <v>17.002.002.001</v>
      </c>
      <c r="J1316" s="209" t="s">
        <v>153</v>
      </c>
      <c r="K1316" s="210" t="s">
        <v>151</v>
      </c>
      <c r="L1316" s="455">
        <v>1</v>
      </c>
      <c r="M1316" s="455">
        <f>'Louças e metais'!F108</f>
        <v>5577.5199999999995</v>
      </c>
      <c r="N1316" s="285">
        <f t="shared" si="335"/>
        <v>5577.5199999999995</v>
      </c>
      <c r="O1316" s="462"/>
      <c r="P1316" s="213" t="s">
        <v>518</v>
      </c>
      <c r="Q1316" s="35"/>
      <c r="R1316" s="35"/>
      <c r="S1316" s="35"/>
    </row>
    <row r="1317" spans="1:19" s="34" customFormat="1" ht="13.9" hidden="1" customHeight="1" outlineLevel="1" x14ac:dyDescent="0.2">
      <c r="A1317" s="457">
        <f ca="1">IF($H1317="UNIDADE CONSTRUTIVA",OFFSET(A1317,-1,0)+1,LARGE(A$3:A1316,1))</f>
        <v>0</v>
      </c>
      <c r="B1317" s="457">
        <f t="shared" ca="1" si="330"/>
        <v>17</v>
      </c>
      <c r="C1317" s="457">
        <f t="shared" ca="1" si="331"/>
        <v>2</v>
      </c>
      <c r="D1317" s="458">
        <f t="shared" ca="1" si="332"/>
        <v>3</v>
      </c>
      <c r="E1317" s="458">
        <f t="shared" ca="1" si="333"/>
        <v>0</v>
      </c>
      <c r="G1317" s="206"/>
      <c r="H1317" s="207" t="s">
        <v>211</v>
      </c>
      <c r="I1317" s="208" t="str">
        <f t="shared" ca="1" si="334"/>
        <v>17.002.003</v>
      </c>
      <c r="J1317" s="209" t="s">
        <v>154</v>
      </c>
      <c r="K1317" s="210"/>
      <c r="L1317" s="455"/>
      <c r="M1317" s="455"/>
      <c r="N1317" s="285">
        <f t="shared" ca="1" si="335"/>
        <v>8996.2900000000009</v>
      </c>
      <c r="O1317" s="462"/>
      <c r="P1317" s="213"/>
      <c r="Q1317" s="35"/>
      <c r="R1317" s="35"/>
      <c r="S1317" s="35"/>
    </row>
    <row r="1318" spans="1:19" s="34" customFormat="1" ht="13.9" hidden="1" customHeight="1" outlineLevel="2" x14ac:dyDescent="0.2">
      <c r="A1318" s="457">
        <f ca="1">IF($H1318="UNIDADE CONSTRUTIVA",OFFSET(A1318,-1,0)+1,LARGE(A$3:A1317,1))</f>
        <v>0</v>
      </c>
      <c r="B1318" s="457">
        <f t="shared" ca="1" si="330"/>
        <v>17</v>
      </c>
      <c r="C1318" s="457">
        <f t="shared" ca="1" si="331"/>
        <v>2</v>
      </c>
      <c r="D1318" s="458">
        <f t="shared" ca="1" si="332"/>
        <v>3</v>
      </c>
      <c r="E1318" s="458">
        <f t="shared" ca="1" si="333"/>
        <v>1</v>
      </c>
      <c r="G1318" s="206"/>
      <c r="H1318" s="207" t="s">
        <v>212</v>
      </c>
      <c r="I1318" s="208" t="str">
        <f t="shared" ca="1" si="334"/>
        <v>17.002.003.001</v>
      </c>
      <c r="J1318" s="209" t="s">
        <v>155</v>
      </c>
      <c r="K1318" s="210" t="s">
        <v>151</v>
      </c>
      <c r="L1318" s="455">
        <v>1</v>
      </c>
      <c r="M1318" s="455">
        <f>'Louças e metais'!F110</f>
        <v>8996.2900000000009</v>
      </c>
      <c r="N1318" s="285">
        <f t="shared" si="335"/>
        <v>8996.2900000000009</v>
      </c>
      <c r="O1318" s="462"/>
      <c r="P1318" s="213" t="s">
        <v>518</v>
      </c>
      <c r="Q1318" s="35"/>
      <c r="R1318" s="35"/>
      <c r="S1318" s="35"/>
    </row>
    <row r="1319" spans="1:19" s="34" customFormat="1" ht="13.9" hidden="1" customHeight="1" outlineLevel="1" x14ac:dyDescent="0.2">
      <c r="A1319" s="457">
        <f ca="1">IF($H1319="UNIDADE CONSTRUTIVA",OFFSET(A1319,-1,0)+1,LARGE(A$3:A1318,1))</f>
        <v>0</v>
      </c>
      <c r="B1319" s="457">
        <f t="shared" ca="1" si="330"/>
        <v>17</v>
      </c>
      <c r="C1319" s="457">
        <f t="shared" ca="1" si="331"/>
        <v>2</v>
      </c>
      <c r="D1319" s="458">
        <f t="shared" ca="1" si="332"/>
        <v>4</v>
      </c>
      <c r="E1319" s="458">
        <f t="shared" ca="1" si="333"/>
        <v>0</v>
      </c>
      <c r="G1319" s="206"/>
      <c r="H1319" s="207" t="s">
        <v>211</v>
      </c>
      <c r="I1319" s="208" t="str">
        <f t="shared" ca="1" si="334"/>
        <v>17.002.004</v>
      </c>
      <c r="J1319" s="209" t="s">
        <v>130</v>
      </c>
      <c r="K1319" s="210"/>
      <c r="L1319" s="455"/>
      <c r="M1319" s="455"/>
      <c r="N1319" s="285">
        <f t="shared" ca="1" si="335"/>
        <v>2390.94</v>
      </c>
      <c r="O1319" s="462"/>
      <c r="P1319" s="213"/>
      <c r="Q1319" s="35"/>
      <c r="R1319" s="35"/>
      <c r="S1319" s="35"/>
    </row>
    <row r="1320" spans="1:19" s="34" customFormat="1" ht="13.9" hidden="1" customHeight="1" outlineLevel="2" x14ac:dyDescent="0.2">
      <c r="A1320" s="457">
        <f ca="1">IF($H1320="UNIDADE CONSTRUTIVA",OFFSET(A1320,-1,0)+1,LARGE(A$3:A1319,1))</f>
        <v>0</v>
      </c>
      <c r="B1320" s="457">
        <f t="shared" ca="1" si="330"/>
        <v>17</v>
      </c>
      <c r="C1320" s="457">
        <f t="shared" ca="1" si="331"/>
        <v>2</v>
      </c>
      <c r="D1320" s="458">
        <f t="shared" ca="1" si="332"/>
        <v>4</v>
      </c>
      <c r="E1320" s="458">
        <f t="shared" ca="1" si="333"/>
        <v>1</v>
      </c>
      <c r="G1320" s="206"/>
      <c r="H1320" s="207" t="s">
        <v>212</v>
      </c>
      <c r="I1320" s="208" t="str">
        <f t="shared" ca="1" si="334"/>
        <v>17.002.004.001</v>
      </c>
      <c r="J1320" s="209" t="s">
        <v>156</v>
      </c>
      <c r="K1320" s="210" t="s">
        <v>151</v>
      </c>
      <c r="L1320" s="455">
        <v>1</v>
      </c>
      <c r="M1320" s="455">
        <f>'Obra '!E20*3</f>
        <v>2390.94</v>
      </c>
      <c r="N1320" s="285">
        <f t="shared" si="335"/>
        <v>2390.94</v>
      </c>
      <c r="O1320" s="462"/>
      <c r="P1320" s="213" t="s">
        <v>518</v>
      </c>
      <c r="Q1320" s="35"/>
      <c r="R1320" s="35"/>
      <c r="S1320" s="35"/>
    </row>
    <row r="1321" spans="1:19" s="34" customFormat="1" ht="13.9" hidden="1" customHeight="1" outlineLevel="1" x14ac:dyDescent="0.2">
      <c r="A1321" s="457">
        <f ca="1">IF($H1321="UNIDADE CONSTRUTIVA",OFFSET(A1321,-1,0)+1,LARGE(A$3:A1320,1))</f>
        <v>0</v>
      </c>
      <c r="B1321" s="457">
        <f t="shared" ca="1" si="330"/>
        <v>17</v>
      </c>
      <c r="C1321" s="457">
        <f t="shared" ca="1" si="331"/>
        <v>3</v>
      </c>
      <c r="D1321" s="458">
        <f t="shared" ca="1" si="332"/>
        <v>0</v>
      </c>
      <c r="E1321" s="458">
        <f t="shared" ca="1" si="333"/>
        <v>1</v>
      </c>
      <c r="G1321" s="206"/>
      <c r="H1321" s="207" t="s">
        <v>210</v>
      </c>
      <c r="I1321" s="208" t="str">
        <f t="shared" ca="1" si="334"/>
        <v>17.003</v>
      </c>
      <c r="J1321" s="209" t="s">
        <v>976</v>
      </c>
      <c r="K1321" s="210"/>
      <c r="L1321" s="455"/>
      <c r="M1321" s="455"/>
      <c r="N1321" s="285">
        <f t="shared" ca="1" si="335"/>
        <v>313063.92</v>
      </c>
      <c r="O1321" s="462"/>
      <c r="P1321" s="213"/>
      <c r="Q1321" s="35"/>
      <c r="R1321" s="35"/>
      <c r="S1321" s="35"/>
    </row>
    <row r="1322" spans="1:19" s="34" customFormat="1" ht="13.9" hidden="1" customHeight="1" outlineLevel="1" x14ac:dyDescent="0.2">
      <c r="A1322" s="457">
        <f ca="1">IF($H1322="UNIDADE CONSTRUTIVA",OFFSET(A1322,-1,0)+1,LARGE(A$3:A1321,1))</f>
        <v>0</v>
      </c>
      <c r="B1322" s="457">
        <f t="shared" ca="1" si="330"/>
        <v>17</v>
      </c>
      <c r="C1322" s="457">
        <f t="shared" ca="1" si="331"/>
        <v>3</v>
      </c>
      <c r="D1322" s="458">
        <f t="shared" ca="1" si="332"/>
        <v>1</v>
      </c>
      <c r="E1322" s="458">
        <f t="shared" ca="1" si="333"/>
        <v>0</v>
      </c>
      <c r="G1322" s="206"/>
      <c r="H1322" s="207" t="s">
        <v>211</v>
      </c>
      <c r="I1322" s="208" t="str">
        <f t="shared" ca="1" si="334"/>
        <v>17.003.001</v>
      </c>
      <c r="J1322" s="209" t="s">
        <v>150</v>
      </c>
      <c r="K1322" s="210"/>
      <c r="L1322" s="455"/>
      <c r="M1322" s="455"/>
      <c r="N1322" s="285">
        <f t="shared" ca="1" si="335"/>
        <v>249579.2</v>
      </c>
      <c r="O1322" s="462"/>
      <c r="P1322" s="213"/>
      <c r="Q1322" s="35"/>
      <c r="R1322" s="35"/>
      <c r="S1322" s="35"/>
    </row>
    <row r="1323" spans="1:19" s="34" customFormat="1" ht="13.9" hidden="1" customHeight="1" outlineLevel="2" x14ac:dyDescent="0.2">
      <c r="A1323" s="457">
        <f ca="1">IF($H1323="UNIDADE CONSTRUTIVA",OFFSET(A1323,-1,0)+1,LARGE(A$3:A1322,1))</f>
        <v>0</v>
      </c>
      <c r="B1323" s="457">
        <f t="shared" ca="1" si="330"/>
        <v>17</v>
      </c>
      <c r="C1323" s="457">
        <f t="shared" ca="1" si="331"/>
        <v>3</v>
      </c>
      <c r="D1323" s="458">
        <f t="shared" ca="1" si="332"/>
        <v>1</v>
      </c>
      <c r="E1323" s="458">
        <f t="shared" ca="1" si="333"/>
        <v>1</v>
      </c>
      <c r="G1323" s="206"/>
      <c r="H1323" s="207" t="s">
        <v>212</v>
      </c>
      <c r="I1323" s="208" t="str">
        <f t="shared" ca="1" si="334"/>
        <v>17.003.001.001</v>
      </c>
      <c r="J1323" s="209" t="s">
        <v>570</v>
      </c>
      <c r="K1323" s="210" t="s">
        <v>151</v>
      </c>
      <c r="L1323" s="455">
        <v>1</v>
      </c>
      <c r="M1323" s="455">
        <f>'Louças e metais'!F115</f>
        <v>249579.2</v>
      </c>
      <c r="N1323" s="285">
        <f t="shared" si="335"/>
        <v>249579.2</v>
      </c>
      <c r="O1323" s="462"/>
      <c r="P1323" s="213" t="s">
        <v>518</v>
      </c>
      <c r="Q1323" s="35"/>
      <c r="R1323" s="35"/>
      <c r="S1323" s="35"/>
    </row>
    <row r="1324" spans="1:19" s="34" customFormat="1" ht="13.9" hidden="1" customHeight="1" outlineLevel="1" x14ac:dyDescent="0.2">
      <c r="A1324" s="457">
        <f ca="1">IF($H1324="UNIDADE CONSTRUTIVA",OFFSET(A1324,-1,0)+1,LARGE(A$3:A1323,1))</f>
        <v>0</v>
      </c>
      <c r="B1324" s="457">
        <f ca="1">IF(H1324="UNIDADE CONSTRUTIVA",0,IF(H1324="CÉLULA CONSTRUTIVA",OFFSET(B1324,-1,0)+1,OFFSET(B1324,-1,0)))</f>
        <v>17</v>
      </c>
      <c r="C1324" s="457">
        <f ca="1">IF(H1324="CÉLULA CONSTRUTIVA",0,IF(H1324="ETAPA",OFFSET(C1324,-1,0)+1,OFFSET(C1324,-1,0)))</f>
        <v>3</v>
      </c>
      <c r="D1324" s="458">
        <f ca="1">IF(H1324="ETAPA",0,IF(H1324="SUBETAPA",OFFSET(D1324,-1,0)+1,OFFSET(D1324,-1,0)))</f>
        <v>2</v>
      </c>
      <c r="E1324" s="458">
        <f ca="1">IF(H1324="Subetapa",0,IF(H1324="serviço",OFFSET(E1324,-1,0)+1,OFFSET(E1324,-1,0)))</f>
        <v>0</v>
      </c>
      <c r="G1324" s="206"/>
      <c r="H1324" s="207" t="s">
        <v>211</v>
      </c>
      <c r="I1324" s="208" t="str">
        <f ca="1">IF(H1324="Unidade Construtiva",TEXT(A1324,"00"),IF(H1324="Célula Construtiva",TEXT(B1324,"00"),IF(H1324="Etapa",CONCATENATE(TEXT(B1324,"00"),".",TEXT(C1324,"000")),IF(H1324="Subetapa",CONCATENATE(TEXT(B1324,"00"),".",TEXT(C1324,"000"),".",TEXT(D1324,"000")),IF(H1324="Serviço",CONCATENATE(TEXT(B1324,"00"),".",TEXT(C1324,"000"),".",TEXT(D1324,"000"),".",TEXT(E1324,"000")),"")))))</f>
        <v>17.003.002</v>
      </c>
      <c r="J1324" s="209" t="s">
        <v>152</v>
      </c>
      <c r="K1324" s="210"/>
      <c r="L1324" s="455"/>
      <c r="M1324" s="455"/>
      <c r="N1324" s="285">
        <f t="shared" ca="1" si="335"/>
        <v>42147.040000000001</v>
      </c>
      <c r="O1324" s="462"/>
      <c r="P1324" s="213"/>
      <c r="Q1324" s="35"/>
      <c r="R1324" s="35"/>
      <c r="S1324" s="35"/>
    </row>
    <row r="1325" spans="1:19" s="34" customFormat="1" ht="13.9" hidden="1" customHeight="1" outlineLevel="2" x14ac:dyDescent="0.2">
      <c r="A1325" s="457">
        <f ca="1">IF($H1325="UNIDADE CONSTRUTIVA",OFFSET(A1325,-1,0)+1,LARGE(A$3:A1324,1))</f>
        <v>0</v>
      </c>
      <c r="B1325" s="457">
        <f ca="1">IF(H1325="UNIDADE CONSTRUTIVA",0,IF(H1325="CÉLULA CONSTRUTIVA",OFFSET(B1325,-1,0)+1,OFFSET(B1325,-1,0)))</f>
        <v>17</v>
      </c>
      <c r="C1325" s="457">
        <f ca="1">IF(H1325="CÉLULA CONSTRUTIVA",0,IF(H1325="ETAPA",OFFSET(C1325,-1,0)+1,OFFSET(C1325,-1,0)))</f>
        <v>3</v>
      </c>
      <c r="D1325" s="458">
        <f ca="1">IF(H1325="ETAPA",0,IF(H1325="SUBETAPA",OFFSET(D1325,-1,0)+1,OFFSET(D1325,-1,0)))</f>
        <v>2</v>
      </c>
      <c r="E1325" s="458">
        <f ca="1">IF(H1325="Subetapa",0,IF(H1325="serviço",OFFSET(E1325,-1,0)+1,OFFSET(E1325,-1,0)))</f>
        <v>1</v>
      </c>
      <c r="G1325" s="206"/>
      <c r="H1325" s="207" t="s">
        <v>212</v>
      </c>
      <c r="I1325" s="208" t="str">
        <f ca="1">IF(H1325="Unidade Construtiva",TEXT(A1325,"00"),IF(H1325="Célula Construtiva",TEXT(B1325,"00"),IF(H1325="Etapa",CONCATENATE(TEXT(B1325,"00"),".",TEXT(C1325,"000")),IF(H1325="Subetapa",CONCATENATE(TEXT(B1325,"00"),".",TEXT(C1325,"000"),".",TEXT(D1325,"000")),IF(H1325="Serviço",CONCATENATE(TEXT(B1325,"00"),".",TEXT(C1325,"000"),".",TEXT(D1325,"000"),".",TEXT(E1325,"000")),"")))))</f>
        <v>17.003.002.001</v>
      </c>
      <c r="J1325" s="209" t="s">
        <v>153</v>
      </c>
      <c r="K1325" s="210" t="s">
        <v>151</v>
      </c>
      <c r="L1325" s="455">
        <v>1</v>
      </c>
      <c r="M1325" s="455">
        <f>'Louças e metais'!F120</f>
        <v>42147.040000000001</v>
      </c>
      <c r="N1325" s="285">
        <f t="shared" si="335"/>
        <v>42147.040000000001</v>
      </c>
      <c r="O1325" s="462"/>
      <c r="P1325" s="213" t="s">
        <v>518</v>
      </c>
      <c r="Q1325" s="35"/>
      <c r="R1325" s="35"/>
      <c r="S1325" s="35"/>
    </row>
    <row r="1326" spans="1:19" s="34" customFormat="1" ht="13.9" hidden="1" customHeight="1" outlineLevel="1" x14ac:dyDescent="0.2">
      <c r="A1326" s="457">
        <f ca="1">IF($H1326="UNIDADE CONSTRUTIVA",OFFSET(A1326,-1,0)+1,LARGE(A$3:A1323,1))</f>
        <v>0</v>
      </c>
      <c r="B1326" s="457">
        <f t="shared" ca="1" si="330"/>
        <v>17</v>
      </c>
      <c r="C1326" s="457">
        <f t="shared" ca="1" si="331"/>
        <v>3</v>
      </c>
      <c r="D1326" s="458">
        <f t="shared" ca="1" si="332"/>
        <v>3</v>
      </c>
      <c r="E1326" s="458">
        <f t="shared" ca="1" si="333"/>
        <v>0</v>
      </c>
      <c r="G1326" s="206"/>
      <c r="H1326" s="207" t="s">
        <v>211</v>
      </c>
      <c r="I1326" s="208" t="str">
        <f t="shared" ca="1" si="334"/>
        <v>17.003.003</v>
      </c>
      <c r="J1326" s="209" t="s">
        <v>130</v>
      </c>
      <c r="K1326" s="210"/>
      <c r="L1326" s="455"/>
      <c r="M1326" s="455"/>
      <c r="N1326" s="285">
        <f t="shared" ca="1" si="335"/>
        <v>21337.68</v>
      </c>
      <c r="O1326" s="462"/>
      <c r="P1326" s="213"/>
      <c r="Q1326" s="35"/>
      <c r="R1326" s="35"/>
      <c r="S1326" s="35"/>
    </row>
    <row r="1327" spans="1:19" s="34" customFormat="1" ht="13.9" hidden="1" customHeight="1" outlineLevel="2" x14ac:dyDescent="0.2">
      <c r="A1327" s="457">
        <f ca="1">IF($H1327="UNIDADE CONSTRUTIVA",OFFSET(A1327,-1,0)+1,LARGE(A$3:A1326,1))</f>
        <v>0</v>
      </c>
      <c r="B1327" s="457">
        <f t="shared" ca="1" si="330"/>
        <v>17</v>
      </c>
      <c r="C1327" s="457">
        <f t="shared" ca="1" si="331"/>
        <v>3</v>
      </c>
      <c r="D1327" s="458">
        <f t="shared" ca="1" si="332"/>
        <v>3</v>
      </c>
      <c r="E1327" s="458">
        <f t="shared" ca="1" si="333"/>
        <v>1</v>
      </c>
      <c r="G1327" s="206"/>
      <c r="H1327" s="207" t="s">
        <v>212</v>
      </c>
      <c r="I1327" s="208" t="str">
        <f t="shared" ca="1" si="334"/>
        <v>17.003.003.001</v>
      </c>
      <c r="J1327" s="209" t="s">
        <v>156</v>
      </c>
      <c r="K1327" s="210" t="s">
        <v>151</v>
      </c>
      <c r="L1327" s="455">
        <v>1</v>
      </c>
      <c r="M1327" s="455">
        <f>'Obra '!E21*3</f>
        <v>21337.68</v>
      </c>
      <c r="N1327" s="285">
        <f t="shared" si="335"/>
        <v>21337.68</v>
      </c>
      <c r="O1327" s="462"/>
      <c r="P1327" s="213" t="s">
        <v>518</v>
      </c>
      <c r="Q1327" s="35"/>
      <c r="R1327" s="35"/>
      <c r="S1327" s="35"/>
    </row>
    <row r="1328" spans="1:19" s="34" customFormat="1" ht="13.9" hidden="1" customHeight="1" outlineLevel="1" x14ac:dyDescent="0.2">
      <c r="A1328" s="457">
        <f ca="1">IF($H1328="UNIDADE CONSTRUTIVA",OFFSET(A1328,-1,0)+1,LARGE(A$3:A1327,1))</f>
        <v>0</v>
      </c>
      <c r="B1328" s="457">
        <f t="shared" ca="1" si="330"/>
        <v>17</v>
      </c>
      <c r="C1328" s="457">
        <f t="shared" ca="1" si="331"/>
        <v>4</v>
      </c>
      <c r="D1328" s="458">
        <f t="shared" ca="1" si="332"/>
        <v>0</v>
      </c>
      <c r="E1328" s="458">
        <f t="shared" ca="1" si="333"/>
        <v>1</v>
      </c>
      <c r="G1328" s="206"/>
      <c r="H1328" s="207" t="s">
        <v>210</v>
      </c>
      <c r="I1328" s="208" t="str">
        <f t="shared" ca="1" si="334"/>
        <v>17.004</v>
      </c>
      <c r="J1328" s="209" t="s">
        <v>977</v>
      </c>
      <c r="K1328" s="210"/>
      <c r="L1328" s="455"/>
      <c r="M1328" s="455"/>
      <c r="N1328" s="285">
        <f t="shared" ca="1" si="335"/>
        <v>24081.840000000004</v>
      </c>
      <c r="O1328" s="462"/>
      <c r="P1328" s="213"/>
      <c r="Q1328" s="35"/>
      <c r="R1328" s="35"/>
      <c r="S1328" s="35"/>
    </row>
    <row r="1329" spans="1:19" s="34" customFormat="1" ht="13.9" hidden="1" customHeight="1" outlineLevel="1" x14ac:dyDescent="0.2">
      <c r="A1329" s="457">
        <f ca="1">IF($H1329="UNIDADE CONSTRUTIVA",OFFSET(A1329,-1,0)+1,LARGE(A$3:A1328,1))</f>
        <v>0</v>
      </c>
      <c r="B1329" s="457">
        <f t="shared" ca="1" si="330"/>
        <v>17</v>
      </c>
      <c r="C1329" s="457">
        <f t="shared" ca="1" si="331"/>
        <v>4</v>
      </c>
      <c r="D1329" s="458">
        <f t="shared" ca="1" si="332"/>
        <v>1</v>
      </c>
      <c r="E1329" s="458">
        <f t="shared" ca="1" si="333"/>
        <v>0</v>
      </c>
      <c r="G1329" s="206"/>
      <c r="H1329" s="207" t="s">
        <v>211</v>
      </c>
      <c r="I1329" s="208" t="str">
        <f t="shared" ca="1" si="334"/>
        <v>17.004.001</v>
      </c>
      <c r="J1329" s="209" t="s">
        <v>150</v>
      </c>
      <c r="K1329" s="210"/>
      <c r="L1329" s="455"/>
      <c r="M1329" s="455"/>
      <c r="N1329" s="285">
        <f t="shared" ca="1" si="335"/>
        <v>19198.400000000001</v>
      </c>
      <c r="O1329" s="462"/>
      <c r="P1329" s="213"/>
      <c r="Q1329" s="35"/>
      <c r="R1329" s="35"/>
      <c r="S1329" s="35"/>
    </row>
    <row r="1330" spans="1:19" s="34" customFormat="1" ht="13.9" hidden="1" customHeight="1" outlineLevel="2" x14ac:dyDescent="0.2">
      <c r="A1330" s="457">
        <f ca="1">IF($H1330="UNIDADE CONSTRUTIVA",OFFSET(A1330,-1,0)+1,LARGE(A$3:A1329,1))</f>
        <v>0</v>
      </c>
      <c r="B1330" s="457">
        <f t="shared" ca="1" si="330"/>
        <v>17</v>
      </c>
      <c r="C1330" s="457">
        <f t="shared" ca="1" si="331"/>
        <v>4</v>
      </c>
      <c r="D1330" s="458">
        <f t="shared" ca="1" si="332"/>
        <v>1</v>
      </c>
      <c r="E1330" s="458">
        <f t="shared" ca="1" si="333"/>
        <v>1</v>
      </c>
      <c r="G1330" s="206"/>
      <c r="H1330" s="207" t="s">
        <v>212</v>
      </c>
      <c r="I1330" s="208" t="str">
        <f t="shared" ca="1" si="334"/>
        <v>17.004.001.001</v>
      </c>
      <c r="J1330" s="209" t="s">
        <v>570</v>
      </c>
      <c r="K1330" s="210" t="s">
        <v>151</v>
      </c>
      <c r="L1330" s="455">
        <v>1</v>
      </c>
      <c r="M1330" s="455">
        <f>'Louças e metais'!F125</f>
        <v>19198.400000000001</v>
      </c>
      <c r="N1330" s="285">
        <f t="shared" si="335"/>
        <v>19198.400000000001</v>
      </c>
      <c r="O1330" s="462"/>
      <c r="P1330" s="213" t="s">
        <v>518</v>
      </c>
      <c r="Q1330" s="35"/>
      <c r="R1330" s="35"/>
      <c r="S1330" s="35"/>
    </row>
    <row r="1331" spans="1:19" s="34" customFormat="1" ht="13.9" hidden="1" customHeight="1" outlineLevel="1" x14ac:dyDescent="0.2">
      <c r="A1331" s="457">
        <f ca="1">IF($H1331="UNIDADE CONSTRUTIVA",OFFSET(A1331,-1,0)+1,LARGE(A$3:A1330,1))</f>
        <v>0</v>
      </c>
      <c r="B1331" s="457">
        <f t="shared" ca="1" si="330"/>
        <v>17</v>
      </c>
      <c r="C1331" s="457">
        <f t="shared" ca="1" si="331"/>
        <v>4</v>
      </c>
      <c r="D1331" s="458">
        <f t="shared" ca="1" si="332"/>
        <v>2</v>
      </c>
      <c r="E1331" s="458">
        <f t="shared" ca="1" si="333"/>
        <v>0</v>
      </c>
      <c r="G1331" s="206"/>
      <c r="H1331" s="207" t="s">
        <v>211</v>
      </c>
      <c r="I1331" s="208" t="str">
        <f t="shared" ca="1" si="334"/>
        <v>17.004.002</v>
      </c>
      <c r="J1331" s="209" t="s">
        <v>152</v>
      </c>
      <c r="K1331" s="210"/>
      <c r="L1331" s="455"/>
      <c r="M1331" s="455"/>
      <c r="N1331" s="285">
        <f t="shared" ca="1" si="335"/>
        <v>3242.0800000000004</v>
      </c>
      <c r="O1331" s="462"/>
      <c r="P1331" s="213"/>
      <c r="Q1331" s="35"/>
      <c r="R1331" s="35"/>
      <c r="S1331" s="35"/>
    </row>
    <row r="1332" spans="1:19" s="34" customFormat="1" ht="13.9" hidden="1" customHeight="1" outlineLevel="2" x14ac:dyDescent="0.2">
      <c r="A1332" s="457">
        <f ca="1">IF($H1332="UNIDADE CONSTRUTIVA",OFFSET(A1332,-1,0)+1,LARGE(A$3:A1331,1))</f>
        <v>0</v>
      </c>
      <c r="B1332" s="457">
        <f t="shared" ca="1" si="330"/>
        <v>17</v>
      </c>
      <c r="C1332" s="457">
        <f t="shared" ca="1" si="331"/>
        <v>4</v>
      </c>
      <c r="D1332" s="458">
        <f t="shared" ca="1" si="332"/>
        <v>2</v>
      </c>
      <c r="E1332" s="458">
        <f t="shared" ca="1" si="333"/>
        <v>1</v>
      </c>
      <c r="G1332" s="206"/>
      <c r="H1332" s="207" t="s">
        <v>212</v>
      </c>
      <c r="I1332" s="208" t="str">
        <f t="shared" ca="1" si="334"/>
        <v>17.004.002.001</v>
      </c>
      <c r="J1332" s="209" t="s">
        <v>153</v>
      </c>
      <c r="K1332" s="210" t="s">
        <v>151</v>
      </c>
      <c r="L1332" s="455">
        <v>1</v>
      </c>
      <c r="M1332" s="455">
        <f>'Louças e metais'!F130</f>
        <v>3242.0800000000004</v>
      </c>
      <c r="N1332" s="285">
        <f t="shared" si="335"/>
        <v>3242.0800000000004</v>
      </c>
      <c r="O1332" s="462"/>
      <c r="P1332" s="213" t="s">
        <v>518</v>
      </c>
      <c r="Q1332" s="35"/>
      <c r="R1332" s="35"/>
      <c r="S1332" s="35"/>
    </row>
    <row r="1333" spans="1:19" s="34" customFormat="1" ht="13.9" hidden="1" customHeight="1" outlineLevel="1" x14ac:dyDescent="0.2">
      <c r="A1333" s="457">
        <f ca="1">IF($H1333="UNIDADE CONSTRUTIVA",OFFSET(A1333,-1,0)+1,LARGE(A$3:A1330,1))</f>
        <v>0</v>
      </c>
      <c r="B1333" s="457">
        <f t="shared" ca="1" si="330"/>
        <v>17</v>
      </c>
      <c r="C1333" s="457">
        <f t="shared" ca="1" si="331"/>
        <v>4</v>
      </c>
      <c r="D1333" s="458">
        <f t="shared" ca="1" si="332"/>
        <v>3</v>
      </c>
      <c r="E1333" s="458">
        <f t="shared" ca="1" si="333"/>
        <v>0</v>
      </c>
      <c r="G1333" s="206"/>
      <c r="H1333" s="207" t="s">
        <v>211</v>
      </c>
      <c r="I1333" s="208" t="str">
        <f t="shared" ca="1" si="334"/>
        <v>17.004.003</v>
      </c>
      <c r="J1333" s="209" t="s">
        <v>130</v>
      </c>
      <c r="K1333" s="210"/>
      <c r="L1333" s="455"/>
      <c r="M1333" s="455"/>
      <c r="N1333" s="285">
        <f t="shared" ca="1" si="335"/>
        <v>1641.3600000000001</v>
      </c>
      <c r="O1333" s="462"/>
      <c r="P1333" s="213"/>
      <c r="Q1333" s="35"/>
      <c r="R1333" s="35"/>
      <c r="S1333" s="35"/>
    </row>
    <row r="1334" spans="1:19" s="34" customFormat="1" ht="13.9" hidden="1" customHeight="1" outlineLevel="2" x14ac:dyDescent="0.2">
      <c r="A1334" s="457">
        <f ca="1">IF($H1334="UNIDADE CONSTRUTIVA",OFFSET(A1334,-1,0)+1,LARGE(A$3:A1333,1))</f>
        <v>0</v>
      </c>
      <c r="B1334" s="457">
        <f t="shared" ca="1" si="330"/>
        <v>17</v>
      </c>
      <c r="C1334" s="457">
        <f t="shared" ca="1" si="331"/>
        <v>4</v>
      </c>
      <c r="D1334" s="458">
        <f t="shared" ca="1" si="332"/>
        <v>3</v>
      </c>
      <c r="E1334" s="458">
        <f t="shared" ca="1" si="333"/>
        <v>1</v>
      </c>
      <c r="G1334" s="206"/>
      <c r="H1334" s="207" t="s">
        <v>212</v>
      </c>
      <c r="I1334" s="208" t="str">
        <f t="shared" ca="1" si="334"/>
        <v>17.004.003.001</v>
      </c>
      <c r="J1334" s="209" t="s">
        <v>156</v>
      </c>
      <c r="K1334" s="210" t="s">
        <v>151</v>
      </c>
      <c r="L1334" s="455">
        <v>1</v>
      </c>
      <c r="M1334" s="455">
        <f>'Obra '!E22*3</f>
        <v>1641.3600000000001</v>
      </c>
      <c r="N1334" s="285">
        <f t="shared" si="335"/>
        <v>1641.3600000000001</v>
      </c>
      <c r="O1334" s="462"/>
      <c r="P1334" s="213" t="s">
        <v>518</v>
      </c>
      <c r="Q1334" s="35"/>
      <c r="R1334" s="35"/>
      <c r="S1334" s="35"/>
    </row>
    <row r="1335" spans="1:19" s="34" customFormat="1" ht="13.9" hidden="1" customHeight="1" outlineLevel="1" x14ac:dyDescent="0.2">
      <c r="A1335" s="457">
        <f ca="1">IF($H1335="UNIDADE CONSTRUTIVA",OFFSET(A1335,-1,0)+1,LARGE(A$3:A1334,1))</f>
        <v>0</v>
      </c>
      <c r="B1335" s="457">
        <f t="shared" ca="1" si="330"/>
        <v>17</v>
      </c>
      <c r="C1335" s="457">
        <f t="shared" ca="1" si="331"/>
        <v>5</v>
      </c>
      <c r="D1335" s="458">
        <f t="shared" ca="1" si="332"/>
        <v>0</v>
      </c>
      <c r="E1335" s="458">
        <f t="shared" ca="1" si="333"/>
        <v>1</v>
      </c>
      <c r="G1335" s="206"/>
      <c r="H1335" s="207" t="s">
        <v>210</v>
      </c>
      <c r="I1335" s="208" t="str">
        <f t="shared" ca="1" si="334"/>
        <v>17.005</v>
      </c>
      <c r="J1335" s="209" t="s">
        <v>978</v>
      </c>
      <c r="K1335" s="210"/>
      <c r="L1335" s="455"/>
      <c r="M1335" s="455"/>
      <c r="N1335" s="285">
        <f ca="1">IF(H1335="Serviço",M1335*L1335,IF(H1335="CÉLULA CONSTRUTIVA",SUMIFS($N$8:$N$1393,$B$8:$B$1393,B1335,$H$8:$H$1393,"Serviço"),IF(H1335="ETAPA",SUMIFS($N$8:$N$1393,$B$8:$B$1393,B1335,$C$8:$C$1393,C1335,$H$8:$H$1393,"Serviço"),IF(H1335="SUBETAPA",SUMIFS($N$8:$N$1393,$B$8:$B$1393,B1335,$C$8:$C$1393,C1335,$D$8:$D$1393,D1335,$H$8:$H$1393,"Serviço"),0))))</f>
        <v>12743.250000000002</v>
      </c>
      <c r="O1335" s="462"/>
      <c r="P1335" s="213"/>
      <c r="Q1335" s="35"/>
      <c r="R1335" s="35"/>
      <c r="S1335" s="35"/>
    </row>
    <row r="1336" spans="1:19" s="34" customFormat="1" ht="13.9" hidden="1" customHeight="1" outlineLevel="1" x14ac:dyDescent="0.2">
      <c r="A1336" s="457">
        <f ca="1">IF($H1336="UNIDADE CONSTRUTIVA",OFFSET(A1336,-1,0)+1,LARGE(A$3:A1335,1))</f>
        <v>0</v>
      </c>
      <c r="B1336" s="457">
        <f t="shared" ca="1" si="330"/>
        <v>17</v>
      </c>
      <c r="C1336" s="457">
        <f t="shared" ca="1" si="331"/>
        <v>5</v>
      </c>
      <c r="D1336" s="458">
        <f t="shared" ca="1" si="332"/>
        <v>1</v>
      </c>
      <c r="E1336" s="458">
        <f t="shared" ca="1" si="333"/>
        <v>0</v>
      </c>
      <c r="G1336" s="206"/>
      <c r="H1336" s="207" t="s">
        <v>211</v>
      </c>
      <c r="I1336" s="208" t="str">
        <f t="shared" ca="1" si="334"/>
        <v>17.005.001</v>
      </c>
      <c r="J1336" s="209" t="s">
        <v>150</v>
      </c>
      <c r="K1336" s="210"/>
      <c r="L1336" s="455"/>
      <c r="M1336" s="455"/>
      <c r="N1336" s="285">
        <f ca="1">IF(H1336="Serviço",M1336*L1336,IF(H1336="CÉLULA CONSTRUTIVA",SUMIFS($N$8:$N$1393,$B$8:$B$1393,B1336,$H$8:$H$1393,"Serviço"),IF(H1336="ETAPA",SUMIFS($N$8:$N$1393,$B$8:$B$1393,B1336,$C$8:$C$1393,C1336,$H$8:$H$1393,"Serviço"),IF(H1336="SUBETAPA",SUMIFS($N$8:$N$1393,$B$8:$B$1393,B1336,$C$8:$C$1393,C1336,$D$8:$D$1393,D1336,$H$8:$H$1393,"Serviço"),0))))</f>
        <v>9599.2000000000007</v>
      </c>
      <c r="O1336" s="462"/>
      <c r="P1336" s="213"/>
      <c r="Q1336" s="35"/>
      <c r="R1336" s="35"/>
      <c r="S1336" s="35"/>
    </row>
    <row r="1337" spans="1:19" s="34" customFormat="1" ht="13.9" hidden="1" customHeight="1" outlineLevel="2" x14ac:dyDescent="0.2">
      <c r="A1337" s="457">
        <f ca="1">IF($H1337="UNIDADE CONSTRUTIVA",OFFSET(A1337,-1,0)+1,LARGE(A$3:A1336,1))</f>
        <v>0</v>
      </c>
      <c r="B1337" s="457">
        <f t="shared" ca="1" si="330"/>
        <v>17</v>
      </c>
      <c r="C1337" s="457">
        <f t="shared" ca="1" si="331"/>
        <v>5</v>
      </c>
      <c r="D1337" s="458">
        <f t="shared" ca="1" si="332"/>
        <v>1</v>
      </c>
      <c r="E1337" s="458">
        <f t="shared" ca="1" si="333"/>
        <v>1</v>
      </c>
      <c r="G1337" s="206"/>
      <c r="H1337" s="207" t="s">
        <v>212</v>
      </c>
      <c r="I1337" s="208" t="str">
        <f t="shared" ca="1" si="334"/>
        <v>17.005.001.001</v>
      </c>
      <c r="J1337" s="209" t="s">
        <v>570</v>
      </c>
      <c r="K1337" s="210" t="s">
        <v>151</v>
      </c>
      <c r="L1337" s="455">
        <v>1</v>
      </c>
      <c r="M1337" s="455">
        <f>'Louças e metais'!F135</f>
        <v>9599.2000000000007</v>
      </c>
      <c r="N1337" s="285">
        <f>IF(H1337="Serviço",M1337*L1337,IF(H1337="CÉLULA CONSTRUTIVA",SUMIFS($N$8:$N$1393,$B$8:$B$1393,B1337,$H$8:$H$1393,"Serviço"),IF(H1337="ETAPA",SUMIFS($N$8:$N$1393,$B$8:$B$1393,B1337,$C$8:$C$1393,C1337,$H$8:$H$1393,"Serviço"),IF(H1337="SUBETAPA",SUMIFS($N$8:$N$1393,$B$8:$B$1393,B1337,$C$8:$C$1393,C1337,$D$8:$D$1393,D1337,$H$8:$H$1393,"Serviço"),0))))</f>
        <v>9599.2000000000007</v>
      </c>
      <c r="O1337" s="462"/>
      <c r="P1337" s="213" t="s">
        <v>518</v>
      </c>
      <c r="Q1337" s="35"/>
      <c r="R1337" s="35"/>
      <c r="S1337" s="35"/>
    </row>
    <row r="1338" spans="1:19" s="34" customFormat="1" ht="13.9" hidden="1" customHeight="1" outlineLevel="1" x14ac:dyDescent="0.2">
      <c r="A1338" s="457">
        <f ca="1">IF($H1338="UNIDADE CONSTRUTIVA",OFFSET(A1338,-1,0)+1,LARGE(A$3:A1337,1))</f>
        <v>0</v>
      </c>
      <c r="B1338" s="457">
        <f ca="1">IF(H1338="UNIDADE CONSTRUTIVA",0,IF(H1338="CÉLULA CONSTRUTIVA",OFFSET(B1338,-1,0)+1,OFFSET(B1338,-1,0)))</f>
        <v>17</v>
      </c>
      <c r="C1338" s="457">
        <f ca="1">IF(H1338="CÉLULA CONSTRUTIVA",0,IF(H1338="ETAPA",OFFSET(C1338,-1,0)+1,OFFSET(C1338,-1,0)))</f>
        <v>5</v>
      </c>
      <c r="D1338" s="458">
        <f ca="1">IF(H1338="ETAPA",0,IF(H1338="SUBETAPA",OFFSET(D1338,-1,0)+1,OFFSET(D1338,-1,0)))</f>
        <v>2</v>
      </c>
      <c r="E1338" s="458">
        <f ca="1">IF(H1338="Subetapa",0,IF(H1338="serviço",OFFSET(E1338,-1,0)+1,OFFSET(E1338,-1,0)))</f>
        <v>0</v>
      </c>
      <c r="G1338" s="206"/>
      <c r="H1338" s="207" t="s">
        <v>211</v>
      </c>
      <c r="I1338" s="208" t="str">
        <f ca="1">IF(H1338="Unidade Construtiva",TEXT(A1338,"00"),IF(H1338="Célula Construtiva",TEXT(B1338,"00"),IF(H1338="Etapa",CONCATENATE(TEXT(B1338,"00"),".",TEXT(C1338,"000")),IF(H1338="Subetapa",CONCATENATE(TEXT(B1338,"00"),".",TEXT(C1338,"000"),".",TEXT(D1338,"000")),IF(H1338="Serviço",CONCATENATE(TEXT(B1338,"00"),".",TEXT(C1338,"000"),".",TEXT(D1338,"000"),".",TEXT(E1338,"000")),"")))))</f>
        <v>17.005.002</v>
      </c>
      <c r="J1338" s="209" t="s">
        <v>152</v>
      </c>
      <c r="K1338" s="210"/>
      <c r="L1338" s="455"/>
      <c r="M1338" s="455"/>
      <c r="N1338" s="285">
        <f ca="1">IF(H1338="Serviço",M1338*L1338,IF(H1338="CÉLULA CONSTRUTIVA",SUMIFS($N$8:$N$1734,$B$8:$B$1734,B1338,$H$8:$H$1734,"Serviço"),IF(H1338="ETAPA",SUMIFS($N$8:$N$1734,$B$8:$B$1734,B1338,$C$8:$C$1734,C1338,$H$8:$H$1734,"Serviço"),IF(H1338="SUBETAPA",SUMIFS($N$8:$N$1734,$B$8:$B$1734,B1338,$C$8:$C$1734,C1338,$D$8:$D$1734,D1338,$H$8:$H$1734,"Serviço"),0))))</f>
        <v>1745.7200000000003</v>
      </c>
      <c r="O1338" s="462"/>
      <c r="P1338" s="213"/>
      <c r="Q1338" s="35"/>
      <c r="R1338" s="35"/>
      <c r="S1338" s="35"/>
    </row>
    <row r="1339" spans="1:19" s="34" customFormat="1" ht="13.9" hidden="1" customHeight="1" outlineLevel="2" x14ac:dyDescent="0.2">
      <c r="A1339" s="457">
        <f ca="1">IF($H1339="UNIDADE CONSTRUTIVA",OFFSET(A1339,-1,0)+1,LARGE(A$3:A1338,1))</f>
        <v>0</v>
      </c>
      <c r="B1339" s="457">
        <f ca="1">IF(H1339="UNIDADE CONSTRUTIVA",0,IF(H1339="CÉLULA CONSTRUTIVA",OFFSET(B1339,-1,0)+1,OFFSET(B1339,-1,0)))</f>
        <v>17</v>
      </c>
      <c r="C1339" s="457">
        <f ca="1">IF(H1339="CÉLULA CONSTRUTIVA",0,IF(H1339="ETAPA",OFFSET(C1339,-1,0)+1,OFFSET(C1339,-1,0)))</f>
        <v>5</v>
      </c>
      <c r="D1339" s="458">
        <f ca="1">IF(H1339="ETAPA",0,IF(H1339="SUBETAPA",OFFSET(D1339,-1,0)+1,OFFSET(D1339,-1,0)))</f>
        <v>2</v>
      </c>
      <c r="E1339" s="458">
        <f ca="1">IF(H1339="Subetapa",0,IF(H1339="serviço",OFFSET(E1339,-1,0)+1,OFFSET(E1339,-1,0)))</f>
        <v>1</v>
      </c>
      <c r="G1339" s="206"/>
      <c r="H1339" s="207" t="s">
        <v>212</v>
      </c>
      <c r="I1339" s="208" t="str">
        <f ca="1">IF(H1339="Unidade Construtiva",TEXT(A1339,"00"),IF(H1339="Célula Construtiva",TEXT(B1339,"00"),IF(H1339="Etapa",CONCATENATE(TEXT(B1339,"00"),".",TEXT(C1339,"000")),IF(H1339="Subetapa",CONCATENATE(TEXT(B1339,"00"),".",TEXT(C1339,"000"),".",TEXT(D1339,"000")),IF(H1339="Serviço",CONCATENATE(TEXT(B1339,"00"),".",TEXT(C1339,"000"),".",TEXT(D1339,"000"),".",TEXT(E1339,"000")),"")))))</f>
        <v>17.005.002.001</v>
      </c>
      <c r="J1339" s="209" t="s">
        <v>153</v>
      </c>
      <c r="K1339" s="210" t="s">
        <v>151</v>
      </c>
      <c r="L1339" s="455">
        <v>1</v>
      </c>
      <c r="M1339" s="455">
        <f>'Louças e metais'!F140</f>
        <v>1745.7200000000003</v>
      </c>
      <c r="N1339" s="285">
        <f>IF(H1339="Serviço",M1339*L1339,IF(H1339="CÉLULA CONSTRUTIVA",SUMIFS($N$8:$N$1734,$B$8:$B$1734,B1339,$H$8:$H$1734,"Serviço"),IF(H1339="ETAPA",SUMIFS($N$8:$N$1734,$B$8:$B$1734,B1339,$C$8:$C$1734,C1339,$H$8:$H$1734,"Serviço"),IF(H1339="SUBETAPA",SUMIFS($N$8:$N$1734,$B$8:$B$1734,B1339,$C$8:$C$1734,C1339,$D$8:$D$1734,D1339,$H$8:$H$1734,"Serviço"),0))))</f>
        <v>1745.7200000000003</v>
      </c>
      <c r="O1339" s="462"/>
      <c r="P1339" s="213" t="s">
        <v>518</v>
      </c>
      <c r="Q1339" s="35"/>
      <c r="R1339" s="35"/>
      <c r="S1339" s="35"/>
    </row>
    <row r="1340" spans="1:19" s="34" customFormat="1" ht="13.9" hidden="1" customHeight="1" outlineLevel="1" x14ac:dyDescent="0.2">
      <c r="A1340" s="457">
        <f ca="1">IF($H1340="UNIDADE CONSTRUTIVA",OFFSET(A1340,-1,0)+1,LARGE(A$3:A1337,1))</f>
        <v>0</v>
      </c>
      <c r="B1340" s="457">
        <f t="shared" ca="1" si="330"/>
        <v>17</v>
      </c>
      <c r="C1340" s="457">
        <f t="shared" ca="1" si="331"/>
        <v>5</v>
      </c>
      <c r="D1340" s="458">
        <f t="shared" ca="1" si="332"/>
        <v>3</v>
      </c>
      <c r="E1340" s="458">
        <f t="shared" ca="1" si="333"/>
        <v>0</v>
      </c>
      <c r="G1340" s="206"/>
      <c r="H1340" s="207" t="s">
        <v>211</v>
      </c>
      <c r="I1340" s="208" t="str">
        <f t="shared" ca="1" si="334"/>
        <v>17.005.003</v>
      </c>
      <c r="J1340" s="209" t="s">
        <v>130</v>
      </c>
      <c r="K1340" s="210"/>
      <c r="L1340" s="455"/>
      <c r="M1340" s="455"/>
      <c r="N1340" s="285">
        <f ca="1">IF(H1340="Serviço",M1340*L1340,IF(H1340="CÉLULA CONSTRUTIVA",SUMIFS($N$8:$N$1393,$B$8:$B$1393,B1340,$H$8:$H$1393,"Serviço"),IF(H1340="ETAPA",SUMIFS($N$8:$N$1393,$B$8:$B$1393,B1340,$C$8:$C$1393,C1340,$H$8:$H$1393,"Serviço"),IF(H1340="SUBETAPA",SUMIFS($N$8:$N$1393,$B$8:$B$1393,B1340,$C$8:$C$1393,C1340,$D$8:$D$1393,D1340,$H$8:$H$1393,"Serviço"),0))))</f>
        <v>1398.33</v>
      </c>
      <c r="O1340" s="462"/>
      <c r="P1340" s="213"/>
      <c r="Q1340" s="35"/>
      <c r="R1340" s="35"/>
      <c r="S1340" s="35"/>
    </row>
    <row r="1341" spans="1:19" s="34" customFormat="1" ht="13.9" hidden="1" customHeight="1" outlineLevel="2" x14ac:dyDescent="0.2">
      <c r="A1341" s="457">
        <f ca="1">IF($H1341="UNIDADE CONSTRUTIVA",OFFSET(A1341,-1,0)+1,LARGE(A$3:A1340,1))</f>
        <v>0</v>
      </c>
      <c r="B1341" s="457">
        <f t="shared" ca="1" si="330"/>
        <v>17</v>
      </c>
      <c r="C1341" s="457">
        <f t="shared" ca="1" si="331"/>
        <v>5</v>
      </c>
      <c r="D1341" s="458">
        <f t="shared" ca="1" si="332"/>
        <v>3</v>
      </c>
      <c r="E1341" s="458">
        <f t="shared" ca="1" si="333"/>
        <v>1</v>
      </c>
      <c r="G1341" s="206"/>
      <c r="H1341" s="207" t="s">
        <v>212</v>
      </c>
      <c r="I1341" s="208" t="str">
        <f t="shared" ca="1" si="334"/>
        <v>17.005.003.001</v>
      </c>
      <c r="J1341" s="209" t="s">
        <v>156</v>
      </c>
      <c r="K1341" s="210" t="s">
        <v>151</v>
      </c>
      <c r="L1341" s="455">
        <v>1</v>
      </c>
      <c r="M1341" s="455">
        <f>'Obra '!E23*3</f>
        <v>1398.33</v>
      </c>
      <c r="N1341" s="285">
        <f>IF(H1341="Serviço",M1341*L1341,IF(H1341="CÉLULA CONSTRUTIVA",SUMIFS($N$8:$N$1393,$B$8:$B$1393,B1341,$H$8:$H$1393,"Serviço"),IF(H1341="ETAPA",SUMIFS($N$8:$N$1393,$B$8:$B$1393,B1341,$C$8:$C$1393,C1341,$H$8:$H$1393,"Serviço"),IF(H1341="SUBETAPA",SUMIFS($N$8:$N$1393,$B$8:$B$1393,B1341,$C$8:$C$1393,C1341,$D$8:$D$1393,D1341,$H$8:$H$1393,"Serviço"),0))))</f>
        <v>1398.33</v>
      </c>
      <c r="O1341" s="462"/>
      <c r="P1341" s="213" t="s">
        <v>518</v>
      </c>
      <c r="Q1341" s="35"/>
      <c r="R1341" s="35"/>
      <c r="S1341" s="35"/>
    </row>
    <row r="1342" spans="1:19" s="34" customFormat="1" ht="13.9" customHeight="1" collapsed="1" x14ac:dyDescent="0.2">
      <c r="A1342" s="457">
        <f ca="1">IF($H1342="UNIDADE CONSTRUTIVA",OFFSET(A1342,-1,0)+1,LARGE(A$3:A1341,1))</f>
        <v>0</v>
      </c>
      <c r="B1342" s="457">
        <f t="shared" ca="1" si="330"/>
        <v>18</v>
      </c>
      <c r="C1342" s="457">
        <f t="shared" ca="1" si="331"/>
        <v>0</v>
      </c>
      <c r="D1342" s="458">
        <f t="shared" ca="1" si="332"/>
        <v>3</v>
      </c>
      <c r="E1342" s="458">
        <f t="shared" ca="1" si="333"/>
        <v>1</v>
      </c>
      <c r="G1342" s="206"/>
      <c r="H1342" s="207" t="s">
        <v>209</v>
      </c>
      <c r="I1342" s="208" t="str">
        <f t="shared" ca="1" si="334"/>
        <v>18</v>
      </c>
      <c r="J1342" s="209" t="s">
        <v>44</v>
      </c>
      <c r="K1342" s="210"/>
      <c r="L1342" s="455"/>
      <c r="M1342" s="455"/>
      <c r="N1342" s="285">
        <f ca="1">IF(H1342="Serviço",M1342*L1342,IF(H1342="CÉLULA CONSTRUTIVA",SUMIFS($N$8:$N$1393,$B$8:$B$1393,B1342,$H$8:$H$1393,"Serviço"),IF(H1342="ETAPA",SUMIFS($N$8:$N$1393,$B$8:$B$1393,B1342,$C$8:$C$1393,C1342,$H$8:$H$1393,"Serviço"),IF(H1342="SUBETAPA",SUMIFS($N$8:$N$1393,$B$8:$B$1393,B1342,$C$8:$C$1393,C1342,$D$8:$D$1393,D1342,$H$8:$H$1393,"Serviço"),0))))</f>
        <v>163256.76154899999</v>
      </c>
      <c r="O1342" s="462" t="s">
        <v>5059</v>
      </c>
      <c r="P1342" s="213"/>
      <c r="Q1342" s="463"/>
      <c r="R1342" s="463"/>
      <c r="S1342" s="35"/>
    </row>
    <row r="1343" spans="1:19" s="34" customFormat="1" ht="13.9" hidden="1" customHeight="1" outlineLevel="1" x14ac:dyDescent="0.2">
      <c r="A1343" s="457">
        <f ca="1">IF($H1343="UNIDADE CONSTRUTIVA",OFFSET(A1343,-1,0)+1,LARGE(A$3:A1342,1))</f>
        <v>0</v>
      </c>
      <c r="B1343" s="457">
        <f t="shared" ca="1" si="330"/>
        <v>18</v>
      </c>
      <c r="C1343" s="457">
        <f t="shared" ca="1" si="331"/>
        <v>1</v>
      </c>
      <c r="D1343" s="458">
        <f t="shared" ca="1" si="332"/>
        <v>0</v>
      </c>
      <c r="E1343" s="458">
        <f t="shared" ca="1" si="333"/>
        <v>1</v>
      </c>
      <c r="G1343" s="206"/>
      <c r="H1343" s="207" t="s">
        <v>210</v>
      </c>
      <c r="I1343" s="208" t="str">
        <f t="shared" ca="1" si="334"/>
        <v>18.001</v>
      </c>
      <c r="J1343" s="209" t="s">
        <v>44</v>
      </c>
      <c r="K1343" s="210"/>
      <c r="L1343" s="455"/>
      <c r="M1343" s="455"/>
      <c r="N1343" s="285">
        <f ca="1">IF(H1343="Serviço",M1343*L1343,IF(H1343="CÉLULA CONSTRUTIVA",SUMIFS($N$8:$N$1349,$B$8:$B$1349,B1343,$H$8:$H$1349,"Serviço"),IF(H1343="ETAPA",SUMIFS($N$8:$N$1349,$B$8:$B$1349,B1343,$C$8:$C$1349,C1343,$H$8:$H$1349,"Serviço"),IF(H1343="SUBETAPA",SUMIFS($N$8:$N$1349,$B$8:$B$1349,B1343,$C$8:$C$1349,C1343,$D$8:$D$1349,D1343,$H$8:$H$1349,"Serviço"),0))))</f>
        <v>35870.279248999999</v>
      </c>
      <c r="O1343" s="462"/>
      <c r="P1343" s="213"/>
      <c r="Q1343" s="35"/>
      <c r="R1343" s="35"/>
      <c r="S1343" s="35"/>
    </row>
    <row r="1344" spans="1:19" s="34" customFormat="1" ht="13.9" hidden="1" customHeight="1" outlineLevel="1" x14ac:dyDescent="0.2">
      <c r="A1344" s="457">
        <f ca="1">IF($H1344="UNIDADE CONSTRUTIVA",OFFSET(A1344,-1,0)+1,LARGE(A$3:A1343,1))</f>
        <v>0</v>
      </c>
      <c r="B1344" s="457">
        <f t="shared" ca="1" si="330"/>
        <v>18</v>
      </c>
      <c r="C1344" s="457">
        <f t="shared" ca="1" si="331"/>
        <v>1</v>
      </c>
      <c r="D1344" s="458">
        <f t="shared" ca="1" si="332"/>
        <v>1</v>
      </c>
      <c r="E1344" s="458">
        <f t="shared" ca="1" si="333"/>
        <v>0</v>
      </c>
      <c r="G1344" s="206"/>
      <c r="H1344" s="207" t="s">
        <v>211</v>
      </c>
      <c r="I1344" s="208" t="str">
        <f t="shared" ca="1" si="334"/>
        <v>18.001.001</v>
      </c>
      <c r="J1344" s="209" t="s">
        <v>5055</v>
      </c>
      <c r="K1344" s="210"/>
      <c r="L1344" s="455"/>
      <c r="M1344" s="455"/>
      <c r="N1344" s="285">
        <f ca="1">IF(H1344="Serviço",M1344*L1344,IF(H1344="CÉLULA CONSTRUTIVA",SUMIFS($N$8:$N$1401,$B$8:$B$1401,B1344,$H$8:$H$1401,"Serviço"),IF(H1344="ETAPA",SUMIFS($N$8:$N$1401,$B$8:$B$1401,B1344,$C$8:$C$1401,C1344,$H$8:$H$1401,"Serviço"),IF(H1344="SUBETAPA",SUMIFS($N$8:$N$1401,$B$8:$B$1401,B1344,$C$8:$C$1401,C1344,$D$8:$D$1401,D1344,$H$8:$H$1401,"Serviço"),0))))</f>
        <v>16510.876753</v>
      </c>
      <c r="O1344" s="462"/>
      <c r="P1344" s="213"/>
      <c r="Q1344" s="35"/>
      <c r="R1344" s="35"/>
      <c r="S1344" s="35"/>
    </row>
    <row r="1345" spans="1:19" s="34" customFormat="1" ht="13.9" hidden="1" customHeight="1" outlineLevel="2" x14ac:dyDescent="0.2">
      <c r="A1345" s="457">
        <f ca="1">IF($H1345="UNIDADE CONSTRUTIVA",OFFSET(A1345,-1,0)+1,LARGE(A$3:A1344,1))</f>
        <v>0</v>
      </c>
      <c r="B1345" s="457">
        <f t="shared" ca="1" si="330"/>
        <v>18</v>
      </c>
      <c r="C1345" s="457">
        <f t="shared" ca="1" si="331"/>
        <v>1</v>
      </c>
      <c r="D1345" s="458">
        <f t="shared" ca="1" si="332"/>
        <v>1</v>
      </c>
      <c r="E1345" s="458">
        <f t="shared" ca="1" si="333"/>
        <v>1</v>
      </c>
      <c r="G1345" s="1000"/>
      <c r="H1345" s="1001" t="s">
        <v>212</v>
      </c>
      <c r="I1345" s="1002" t="str">
        <f t="shared" ca="1" si="334"/>
        <v>18.001.001.001</v>
      </c>
      <c r="J1345" s="1003" t="s">
        <v>5056</v>
      </c>
      <c r="K1345" s="1004" t="s">
        <v>1</v>
      </c>
      <c r="L1345" s="1009">
        <f>Arquitetura!D2771</f>
        <v>393.61</v>
      </c>
      <c r="M1345" s="1009">
        <v>41.947299999999998</v>
      </c>
      <c r="N1345" s="1006">
        <f>IF(H1345="Serviço",M1345*L1345,IF(H1345="CÉLULA CONSTRUTIVA",SUMIFS($N$8:$N$1408,$B$8:$B$1408,B1345,$H$8:$H$1408,"Serviço"),IF(H1345="ETAPA",SUMIFS($N$8:$N$1408,$B$8:$B$1408,B1345,$C$8:$C$1408,C1345,$H$8:$H$1408,"Serviço"),IF(H1345="SUBETAPA",SUMIFS($N$8:$N$1408,$B$8:$B$1408,B1345,$C$8:$C$1408,C1345,$D$8:$D$1408,D1345,$H$8:$H$1408,"Serviço"),0))))</f>
        <v>16510.876753</v>
      </c>
      <c r="O1345" s="1010"/>
      <c r="P1345" s="213" t="s">
        <v>518</v>
      </c>
      <c r="Q1345" s="35"/>
      <c r="R1345" s="35"/>
      <c r="S1345" s="35"/>
    </row>
    <row r="1346" spans="1:19" s="34" customFormat="1" ht="13.9" hidden="1" customHeight="1" outlineLevel="1" x14ac:dyDescent="0.2">
      <c r="A1346" s="457">
        <f ca="1">IF($H1346="UNIDADE CONSTRUTIVA",OFFSET(A1346,-1,0)+1,LARGE(A$3:A1345,1))</f>
        <v>0</v>
      </c>
      <c r="B1346" s="457">
        <f t="shared" ca="1" si="330"/>
        <v>18</v>
      </c>
      <c r="C1346" s="457">
        <f t="shared" ca="1" si="331"/>
        <v>1</v>
      </c>
      <c r="D1346" s="458">
        <f t="shared" ca="1" si="332"/>
        <v>2</v>
      </c>
      <c r="E1346" s="458">
        <f t="shared" ca="1" si="333"/>
        <v>0</v>
      </c>
      <c r="G1346" s="206"/>
      <c r="H1346" s="207" t="s">
        <v>211</v>
      </c>
      <c r="I1346" s="208" t="str">
        <f t="shared" ca="1" si="334"/>
        <v>18.001.002</v>
      </c>
      <c r="J1346" s="209" t="s">
        <v>5057</v>
      </c>
      <c r="K1346" s="210"/>
      <c r="L1346" s="455"/>
      <c r="M1346" s="455"/>
      <c r="N1346" s="285">
        <f ca="1">IF(H1346="Serviço",M1346*L1346,IF(H1346="CÉLULA CONSTRUTIVA",SUMIFS($N$8:$N$1401,$B$8:$B$1401,B1346,$H$8:$H$1401,"Serviço"),IF(H1346="ETAPA",SUMIFS($N$8:$N$1401,$B$8:$B$1401,B1346,$C$8:$C$1401,C1346,$H$8:$H$1401,"Serviço"),IF(H1346="SUBETAPA",SUMIFS($N$8:$N$1401,$B$8:$B$1401,B1346,$C$8:$C$1401,C1346,$D$8:$D$1401,D1346,$H$8:$H$1401,"Serviço"),0))))</f>
        <v>13285.754496</v>
      </c>
      <c r="O1346" s="462"/>
      <c r="P1346" s="213"/>
      <c r="Q1346" s="35"/>
      <c r="R1346" s="35"/>
      <c r="S1346" s="35"/>
    </row>
    <row r="1347" spans="1:19" s="34" customFormat="1" ht="13.9" hidden="1" customHeight="1" outlineLevel="2" x14ac:dyDescent="0.2">
      <c r="A1347" s="457">
        <f ca="1">IF($H1347="UNIDADE CONSTRUTIVA",OFFSET(A1347,-1,0)+1,LARGE(A$3:A1346,1))</f>
        <v>0</v>
      </c>
      <c r="B1347" s="457">
        <f t="shared" ca="1" si="330"/>
        <v>18</v>
      </c>
      <c r="C1347" s="457">
        <f t="shared" ca="1" si="331"/>
        <v>1</v>
      </c>
      <c r="D1347" s="458">
        <f t="shared" ca="1" si="332"/>
        <v>2</v>
      </c>
      <c r="E1347" s="458">
        <f t="shared" ca="1" si="333"/>
        <v>1</v>
      </c>
      <c r="G1347" s="1000"/>
      <c r="H1347" s="1001" t="s">
        <v>212</v>
      </c>
      <c r="I1347" s="1002" t="str">
        <f t="shared" ca="1" si="334"/>
        <v>18.001.002.001</v>
      </c>
      <c r="J1347" s="1003" t="s">
        <v>5057</v>
      </c>
      <c r="K1347" s="1004" t="s">
        <v>1</v>
      </c>
      <c r="L1347" s="1009">
        <f>L1345</f>
        <v>393.61</v>
      </c>
      <c r="M1347" s="1009">
        <v>33.753599999999999</v>
      </c>
      <c r="N1347" s="1006">
        <f>IF(H1347="Serviço",M1347*L1347,IF(H1347="CÉLULA CONSTRUTIVA",SUMIFS($N$8:$N$1408,$B$8:$B$1408,B1347,$H$8:$H$1408,"Serviço"),IF(H1347="ETAPA",SUMIFS($N$8:$N$1408,$B$8:$B$1408,B1347,$C$8:$C$1408,C1347,$H$8:$H$1408,"Serviço"),IF(H1347="SUBETAPA",SUMIFS($N$8:$N$1408,$B$8:$B$1408,B1347,$C$8:$C$1408,C1347,$D$8:$D$1408,D1347,$H$8:$H$1408,"Serviço"),0))))</f>
        <v>13285.754496</v>
      </c>
      <c r="O1347" s="1010"/>
      <c r="P1347" s="213" t="s">
        <v>518</v>
      </c>
      <c r="Q1347" s="35"/>
      <c r="R1347" s="35"/>
      <c r="S1347" s="35"/>
    </row>
    <row r="1348" spans="1:19" s="34" customFormat="1" ht="13.9" hidden="1" customHeight="1" outlineLevel="1" x14ac:dyDescent="0.2">
      <c r="A1348" s="457">
        <f ca="1">IF($H1348="UNIDADE CONSTRUTIVA",OFFSET(A1348,-1,0)+1,LARGE(A$3:A1343,1))</f>
        <v>0</v>
      </c>
      <c r="B1348" s="457">
        <f t="shared" ca="1" si="330"/>
        <v>18</v>
      </c>
      <c r="C1348" s="457">
        <f t="shared" ca="1" si="331"/>
        <v>1</v>
      </c>
      <c r="D1348" s="458">
        <f t="shared" ca="1" si="332"/>
        <v>3</v>
      </c>
      <c r="E1348" s="458">
        <f t="shared" ca="1" si="333"/>
        <v>0</v>
      </c>
      <c r="G1348" s="206"/>
      <c r="H1348" s="207" t="s">
        <v>211</v>
      </c>
      <c r="I1348" s="208" t="str">
        <f t="shared" ca="1" si="334"/>
        <v>18.001.003</v>
      </c>
      <c r="J1348" s="209" t="s">
        <v>157</v>
      </c>
      <c r="K1348" s="210"/>
      <c r="L1348" s="455"/>
      <c r="M1348" s="455"/>
      <c r="N1348" s="285">
        <f ca="1">IF(H1348="Serviço",M1348*L1348,IF(H1348="CÉLULA CONSTRUTIVA",SUMIFS($N$8:$N$1349,$B$8:$B$1349,B1348,$H$8:$H$1349,"Serviço"),IF(H1348="ETAPA",SUMIFS($N$8:$N$1349,$B$8:$B$1349,B1348,$C$8:$C$1349,C1348,$H$8:$H$1349,"Serviço"),IF(H1348="SUBETAPA",SUMIFS($N$8:$N$1349,$B$8:$B$1349,B1348,$C$8:$C$1349,C1348,$D$8:$D$1349,D1348,$H$8:$H$1349,"Serviço"),0))))</f>
        <v>6073.648000000001</v>
      </c>
      <c r="O1348" s="462"/>
      <c r="P1348" s="213"/>
      <c r="Q1348" s="35"/>
      <c r="R1348" s="35"/>
      <c r="S1348" s="35"/>
    </row>
    <row r="1349" spans="1:19" s="34" customFormat="1" ht="13.9" hidden="1" customHeight="1" outlineLevel="2" x14ac:dyDescent="0.2">
      <c r="A1349" s="457">
        <f ca="1">IF($H1349="UNIDADE CONSTRUTIVA",OFFSET(A1349,-1,0)+1,LARGE(A$3:A1348,1))</f>
        <v>0</v>
      </c>
      <c r="B1349" s="457">
        <f t="shared" ca="1" si="330"/>
        <v>18</v>
      </c>
      <c r="C1349" s="457">
        <f t="shared" ca="1" si="331"/>
        <v>1</v>
      </c>
      <c r="D1349" s="458">
        <f t="shared" ca="1" si="332"/>
        <v>3</v>
      </c>
      <c r="E1349" s="458">
        <f t="shared" ca="1" si="333"/>
        <v>1</v>
      </c>
      <c r="G1349" s="1000"/>
      <c r="H1349" s="1001" t="s">
        <v>212</v>
      </c>
      <c r="I1349" s="1002" t="str">
        <f t="shared" ca="1" si="334"/>
        <v>18.001.003.001</v>
      </c>
      <c r="J1349" s="1003" t="s">
        <v>571</v>
      </c>
      <c r="K1349" s="1004" t="s">
        <v>3</v>
      </c>
      <c r="L1349" s="1009">
        <f>Arquitetura!D14+Arquitetura!D16+27.31*2+2.78*2+36.27+4.37*2</f>
        <v>149.45000000000002</v>
      </c>
      <c r="M1349" s="1009">
        <v>40.64</v>
      </c>
      <c r="N1349" s="1006">
        <f>IF(H1349="Serviço",M1349*L1349,IF(H1349="CÉLULA CONSTRUTIVA",SUMIFS($N$8:$N$1408,$B$8:$B$1408,B1349,$H$8:$H$1408,"Serviço"),IF(H1349="ETAPA",SUMIFS($N$8:$N$1408,$B$8:$B$1408,B1349,$C$8:$C$1408,C1349,$H$8:$H$1408,"Serviço"),IF(H1349="SUBETAPA",SUMIFS($N$8:$N$1408,$B$8:$B$1408,B1349,$C$8:$C$1408,C1349,$D$8:$D$1408,D1349,$H$8:$H$1408,"Serviço"),0))))</f>
        <v>6073.648000000001</v>
      </c>
      <c r="O1349" s="1010"/>
      <c r="P1349" s="213" t="s">
        <v>518</v>
      </c>
      <c r="Q1349" s="35"/>
      <c r="R1349" s="35"/>
      <c r="S1349" s="35"/>
    </row>
    <row r="1350" spans="1:19" s="34" customFormat="1" ht="13.9" hidden="1" customHeight="1" outlineLevel="2" x14ac:dyDescent="0.2">
      <c r="A1350" s="457">
        <f ca="1">IF($H1350="UNIDADE CONSTRUTIVA",OFFSET(A1350,-1,0)+1,LARGE(A$3:A1349,1))</f>
        <v>0</v>
      </c>
      <c r="B1350" s="457">
        <f ca="1">IF(H1350="UNIDADE CONSTRUTIVA",0,IF(H1350="CÉLULA CONSTRUTIVA",OFFSET(B1350,-1,0)+1,OFFSET(B1350,-1,0)))</f>
        <v>18</v>
      </c>
      <c r="C1350" s="457">
        <f ca="1">IF(H1350="CÉLULA CONSTRUTIVA",0,IF(H1350="ETAPA",OFFSET(C1350,-1,0)+1,OFFSET(C1350,-1,0)))</f>
        <v>1</v>
      </c>
      <c r="D1350" s="458">
        <f ca="1">IF(H1350="ETAPA",0,IF(H1350="SUBETAPA",OFFSET(D1350,-1,0)+1,OFFSET(D1350,-1,0)))</f>
        <v>3</v>
      </c>
      <c r="E1350" s="458">
        <f ca="1">IF(H1350="Subetapa",0,IF(H1350="serviço",OFFSET(E1350,-1,0)+1,OFFSET(E1350,-1,0)))</f>
        <v>2</v>
      </c>
      <c r="G1350" s="1000"/>
      <c r="H1350" s="1001" t="s">
        <v>212</v>
      </c>
      <c r="I1350" s="1002" t="str">
        <f t="shared" ca="1" si="334"/>
        <v>18.001.003.002</v>
      </c>
      <c r="J1350" s="1003" t="s">
        <v>5062</v>
      </c>
      <c r="K1350" s="1004" t="s">
        <v>3</v>
      </c>
      <c r="L1350" s="1009">
        <f>15.67+17.7</f>
        <v>33.369999999999997</v>
      </c>
      <c r="M1350" s="1009">
        <f>21.63/0.6</f>
        <v>36.049999999999997</v>
      </c>
      <c r="N1350" s="1006">
        <f>IF(H1350="Serviço",M1350*L1350,IF(H1350="CÉLULA CONSTRUTIVA",SUMIFS($N$8:$N$1408,$B$8:$B$1408,B1350,$H$8:$H$1408,"Serviço"),IF(H1350="ETAPA",SUMIFS($N$8:$N$1408,$B$8:$B$1408,B1350,$C$8:$C$1408,C1350,$H$8:$H$1408,"Serviço"),IF(H1350="SUBETAPA",SUMIFS($N$8:$N$1408,$B$8:$B$1408,B1350,$C$8:$C$1408,C1350,$D$8:$D$1408,D1350,$H$8:$H$1408,"Serviço"),0))))</f>
        <v>1202.9884999999997</v>
      </c>
      <c r="O1350" s="1010"/>
      <c r="P1350" s="213" t="s">
        <v>518</v>
      </c>
      <c r="Q1350" s="35"/>
      <c r="R1350" s="35"/>
      <c r="S1350" s="35"/>
    </row>
    <row r="1351" spans="1:19" s="34" customFormat="1" ht="13.9" hidden="1" customHeight="1" outlineLevel="1" x14ac:dyDescent="0.2">
      <c r="A1351" s="457">
        <f ca="1">IF($H1351="UNIDADE CONSTRUTIVA",OFFSET(A1351,-1,0)+1,LARGE(A$3:A1350,1))</f>
        <v>0</v>
      </c>
      <c r="B1351" s="457">
        <f t="shared" ref="B1351:B1352" ca="1" si="336">IF(H1351="UNIDADE CONSTRUTIVA",0,IF(H1351="CÉLULA CONSTRUTIVA",OFFSET(B1351,-1,0)+1,OFFSET(B1351,-1,0)))</f>
        <v>18</v>
      </c>
      <c r="C1351" s="457">
        <f t="shared" ref="C1351:C1352" ca="1" si="337">IF(H1351="CÉLULA CONSTRUTIVA",0,IF(H1351="ETAPA",OFFSET(C1351,-1,0)+1,OFFSET(C1351,-1,0)))</f>
        <v>1</v>
      </c>
      <c r="D1351" s="458">
        <f t="shared" ref="D1351:D1352" ca="1" si="338">IF(H1351="ETAPA",0,IF(H1351="SUBETAPA",OFFSET(D1351,-1,0)+1,OFFSET(D1351,-1,0)))</f>
        <v>4</v>
      </c>
      <c r="E1351" s="458">
        <f t="shared" ref="E1351:E1352" ca="1" si="339">IF(H1351="Subetapa",0,IF(H1351="serviço",OFFSET(E1351,-1,0)+1,OFFSET(E1351,-1,0)))</f>
        <v>0</v>
      </c>
      <c r="G1351" s="206"/>
      <c r="H1351" s="207" t="s">
        <v>211</v>
      </c>
      <c r="I1351" s="208" t="str">
        <f t="shared" ca="1" si="334"/>
        <v>18.001.004</v>
      </c>
      <c r="J1351" s="209" t="s">
        <v>130</v>
      </c>
      <c r="K1351" s="210"/>
      <c r="L1351" s="455"/>
      <c r="M1351" s="455"/>
      <c r="N1351" s="285">
        <f ca="1">IF(H1351="Serviço",M1351*L1351,IF(H1351="CÉLULA CONSTRUTIVA",SUMIFS($N$8:$N$1399,$B$8:$B$1399,B1351,$H$8:$H$1399,"Serviço"),IF(H1351="ETAPA",SUMIFS($N$8:$N$1399,$B$8:$B$1399,B1351,$C$8:$C$1399,C1351,$H$8:$H$1399,"Serviço"),IF(H1351="SUBETAPA",SUMIFS($N$8:$N$1399,$B$8:$B$1399,B1351,$C$8:$C$1399,C1351,$D$8:$D$1399,D1351,$H$8:$H$1399,"Serviço"),0))))</f>
        <v>126183.4938</v>
      </c>
      <c r="O1351" s="462"/>
      <c r="P1351" s="213"/>
      <c r="Q1351" s="35"/>
      <c r="R1351" s="35"/>
      <c r="S1351" s="35"/>
    </row>
    <row r="1352" spans="1:19" s="34" customFormat="1" ht="13.9" hidden="1" customHeight="1" outlineLevel="2" x14ac:dyDescent="0.2">
      <c r="A1352" s="457">
        <f ca="1">IF($H1352="UNIDADE CONSTRUTIVA",OFFSET(A1352,-1,0)+1,LARGE(A$3:A1351,1))</f>
        <v>0</v>
      </c>
      <c r="B1352" s="457">
        <f t="shared" ca="1" si="336"/>
        <v>18</v>
      </c>
      <c r="C1352" s="457">
        <f t="shared" ca="1" si="337"/>
        <v>1</v>
      </c>
      <c r="D1352" s="458">
        <f t="shared" ca="1" si="338"/>
        <v>4</v>
      </c>
      <c r="E1352" s="458">
        <f t="shared" ca="1" si="339"/>
        <v>1</v>
      </c>
      <c r="G1352" s="1000"/>
      <c r="H1352" s="1001" t="s">
        <v>212</v>
      </c>
      <c r="I1352" s="1002" t="str">
        <f t="shared" ca="1" si="334"/>
        <v>18.001.004.001</v>
      </c>
      <c r="J1352" s="1003" t="s">
        <v>5058</v>
      </c>
      <c r="K1352" s="1004" t="s">
        <v>1</v>
      </c>
      <c r="L1352" s="1009">
        <f>L1347</f>
        <v>393.61</v>
      </c>
      <c r="M1352" s="1009">
        <v>320.58</v>
      </c>
      <c r="N1352" s="1006">
        <f>IF(H1352="Serviço",M1352*L1352,IF(H1352="CÉLULA CONSTRUTIVA",SUMIFS($N$8:$N$1408,$B$8:$B$1408,B1352,$H$8:$H$1408,"Serviço"),IF(H1352="ETAPA",SUMIFS($N$8:$N$1408,$B$8:$B$1408,B1352,$C$8:$C$1408,C1352,$H$8:$H$1408,"Serviço"),IF(H1352="SUBETAPA",SUMIFS($N$8:$N$1408,$B$8:$B$1408,B1352,$C$8:$C$1408,C1352,$D$8:$D$1408,D1352,$H$8:$H$1408,"Serviço"),0))))</f>
        <v>126183.4938</v>
      </c>
      <c r="O1352" s="1010"/>
      <c r="P1352" s="213" t="s">
        <v>518</v>
      </c>
      <c r="Q1352" s="35"/>
      <c r="R1352" s="35"/>
      <c r="S1352" s="35"/>
    </row>
    <row r="1353" spans="1:19" s="34" customFormat="1" ht="13.9" customHeight="1" collapsed="1" x14ac:dyDescent="0.2">
      <c r="A1353" s="457">
        <f ca="1">IF($H1353="UNIDADE CONSTRUTIVA",OFFSET(A1353,-1,0)+1,LARGE(A$3:A1349,1))</f>
        <v>0</v>
      </c>
      <c r="B1353" s="457">
        <f t="shared" ca="1" si="330"/>
        <v>19</v>
      </c>
      <c r="C1353" s="457">
        <f t="shared" ca="1" si="331"/>
        <v>0</v>
      </c>
      <c r="D1353" s="458">
        <f t="shared" ca="1" si="332"/>
        <v>4</v>
      </c>
      <c r="E1353" s="458">
        <f t="shared" ca="1" si="333"/>
        <v>1</v>
      </c>
      <c r="G1353" s="206"/>
      <c r="H1353" s="207" t="s">
        <v>209</v>
      </c>
      <c r="I1353" s="208" t="str">
        <f t="shared" ca="1" si="334"/>
        <v>19</v>
      </c>
      <c r="J1353" s="209" t="s">
        <v>158</v>
      </c>
      <c r="K1353" s="210"/>
      <c r="L1353" s="455"/>
      <c r="M1353" s="455"/>
      <c r="N1353" s="285">
        <f ca="1">IF(H1353="Serviço",M1353*L1353,IF(H1353="CÉLULA CONSTRUTIVA",SUMIFS($N$8:$N$1393,$B$8:$B$1393,B1353,$H$8:$H$1393,"Serviço"),IF(H1353="ETAPA",SUMIFS($N$8:$N$1393,$B$8:$B$1393,B1353,$C$8:$C$1393,C1353,$H$8:$H$1393,"Serviço"),IF(H1353="SUBETAPA",SUMIFS($N$8:$N$1393,$B$8:$B$1393,B1353,$C$8:$C$1393,C1353,$D$8:$D$1393,D1353,$H$8:$H$1393,"Serviço"),0))))</f>
        <v>1305274.0690964113</v>
      </c>
      <c r="O1353" s="462"/>
      <c r="P1353" s="213"/>
      <c r="Q1353" s="463"/>
      <c r="R1353" s="463"/>
      <c r="S1353" s="35"/>
    </row>
    <row r="1354" spans="1:19" s="34" customFormat="1" ht="13.9" hidden="1" customHeight="1" outlineLevel="1" x14ac:dyDescent="0.2">
      <c r="A1354" s="457">
        <f ca="1">IF($H1354="UNIDADE CONSTRUTIVA",OFFSET(A1354,-1,0)+1,LARGE(A$3:A1353,1))</f>
        <v>0</v>
      </c>
      <c r="B1354" s="457">
        <f t="shared" ca="1" si="330"/>
        <v>19</v>
      </c>
      <c r="C1354" s="457">
        <f t="shared" ca="1" si="331"/>
        <v>1</v>
      </c>
      <c r="D1354" s="458">
        <f t="shared" ca="1" si="332"/>
        <v>0</v>
      </c>
      <c r="E1354" s="458">
        <f t="shared" ca="1" si="333"/>
        <v>1</v>
      </c>
      <c r="G1354" s="206"/>
      <c r="H1354" s="207" t="s">
        <v>210</v>
      </c>
      <c r="I1354" s="208" t="str">
        <f t="shared" ca="1" si="334"/>
        <v>19.001</v>
      </c>
      <c r="J1354" s="209" t="s">
        <v>158</v>
      </c>
      <c r="K1354" s="210"/>
      <c r="L1354" s="455"/>
      <c r="M1354" s="455"/>
      <c r="N1354" s="285">
        <f ca="1">N1355+N1358+N1360+N1364</f>
        <v>1305274.0690964116</v>
      </c>
      <c r="O1354" s="462"/>
      <c r="P1354" s="213"/>
      <c r="Q1354" s="35"/>
      <c r="R1354" s="35"/>
      <c r="S1354" s="35"/>
    </row>
    <row r="1355" spans="1:19" s="34" customFormat="1" ht="13.9" hidden="1" customHeight="1" outlineLevel="1" x14ac:dyDescent="0.2">
      <c r="A1355" s="457">
        <f ca="1">IF($H1355="UNIDADE CONSTRUTIVA",OFFSET(A1355,-1,0)+1,LARGE(A$3:A1354,1))</f>
        <v>0</v>
      </c>
      <c r="B1355" s="457">
        <f t="shared" ca="1" si="330"/>
        <v>19</v>
      </c>
      <c r="C1355" s="457">
        <f t="shared" ca="1" si="331"/>
        <v>1</v>
      </c>
      <c r="D1355" s="458">
        <f t="shared" ca="1" si="332"/>
        <v>1</v>
      </c>
      <c r="E1355" s="458">
        <f t="shared" ca="1" si="333"/>
        <v>0</v>
      </c>
      <c r="G1355" s="206"/>
      <c r="H1355" s="207" t="s">
        <v>211</v>
      </c>
      <c r="I1355" s="208" t="str">
        <f t="shared" ca="1" si="334"/>
        <v>19.001.001</v>
      </c>
      <c r="J1355" s="209" t="s">
        <v>159</v>
      </c>
      <c r="K1355" s="210"/>
      <c r="L1355" s="455"/>
      <c r="M1355" s="455"/>
      <c r="N1355" s="285">
        <f t="shared" ref="N1355:N1363" ca="1" si="340">IF(H1355="Serviço",M1355*L1355,IF(H1355="CÉLULA CONSTRUTIVA",SUMIFS($N$8:$N$1363,$B$8:$B$1363,B1355,$H$8:$H$1363,"Serviço"),IF(H1355="ETAPA",SUMIFS($N$8:$N$1363,$B$8:$B$1363,B1355,$C$8:$C$1363,C1355,$H$8:$H$1363,"Serviço"),IF(H1355="SUBETAPA",SUMIFS($N$8:$N$1363,$B$8:$B$1363,B1355,$C$8:$C$1363,C1355,$D$8:$D$1363,D1355,$H$8:$H$1363,"Serviço"),0))))</f>
        <v>265030.74077999993</v>
      </c>
      <c r="O1355" s="462"/>
      <c r="P1355" s="213"/>
      <c r="Q1355" s="35"/>
      <c r="R1355" s="35"/>
      <c r="S1355" s="35"/>
    </row>
    <row r="1356" spans="1:19" s="34" customFormat="1" ht="13.9" hidden="1" customHeight="1" outlineLevel="2" x14ac:dyDescent="0.2">
      <c r="A1356" s="457">
        <f ca="1">IF($H1356="UNIDADE CONSTRUTIVA",OFFSET(A1356,-1,0)+1,LARGE(A$3:A1355,1))</f>
        <v>0</v>
      </c>
      <c r="B1356" s="457">
        <f t="shared" ca="1" si="330"/>
        <v>19</v>
      </c>
      <c r="C1356" s="457">
        <f t="shared" ca="1" si="331"/>
        <v>1</v>
      </c>
      <c r="D1356" s="458">
        <f t="shared" ca="1" si="332"/>
        <v>1</v>
      </c>
      <c r="E1356" s="458">
        <f t="shared" ca="1" si="333"/>
        <v>1</v>
      </c>
      <c r="G1356" s="206"/>
      <c r="H1356" s="207" t="s">
        <v>212</v>
      </c>
      <c r="I1356" s="208" t="str">
        <f t="shared" ca="1" si="334"/>
        <v>19.001.001.001</v>
      </c>
      <c r="J1356" s="209" t="s">
        <v>572</v>
      </c>
      <c r="K1356" s="210" t="s">
        <v>1</v>
      </c>
      <c r="L1356" s="455">
        <f>SUM(Arquitetura!D1950:D2014)</f>
        <v>6998.6199999999972</v>
      </c>
      <c r="M1356" s="455">
        <v>21.969000000000001</v>
      </c>
      <c r="N1356" s="285">
        <f t="shared" si="340"/>
        <v>153752.68277999994</v>
      </c>
      <c r="O1356" s="462" t="s">
        <v>4232</v>
      </c>
      <c r="P1356" s="213" t="s">
        <v>518</v>
      </c>
      <c r="Q1356" s="35"/>
      <c r="R1356" s="35"/>
      <c r="S1356" s="35"/>
    </row>
    <row r="1357" spans="1:19" s="34" customFormat="1" ht="13.9" hidden="1" customHeight="1" outlineLevel="2" x14ac:dyDescent="0.2">
      <c r="A1357" s="457">
        <f ca="1">IF($H1357="UNIDADE CONSTRUTIVA",OFFSET(A1357,-1,0)+1,LARGE(A$3:A1356,1))</f>
        <v>0</v>
      </c>
      <c r="B1357" s="457">
        <f t="shared" ca="1" si="330"/>
        <v>19</v>
      </c>
      <c r="C1357" s="457">
        <f t="shared" ca="1" si="331"/>
        <v>1</v>
      </c>
      <c r="D1357" s="458">
        <f t="shared" ca="1" si="332"/>
        <v>1</v>
      </c>
      <c r="E1357" s="458">
        <f t="shared" ca="1" si="333"/>
        <v>2</v>
      </c>
      <c r="G1357" s="206"/>
      <c r="H1357" s="207" t="s">
        <v>212</v>
      </c>
      <c r="I1357" s="208" t="str">
        <f t="shared" ca="1" si="334"/>
        <v>19.001.001.002</v>
      </c>
      <c r="J1357" s="209" t="s">
        <v>573</v>
      </c>
      <c r="K1357" s="210" t="s">
        <v>1</v>
      </c>
      <c r="L1357" s="455">
        <f>SUM(Arquitetura!D2017:D2061)</f>
        <v>6998.6199999999981</v>
      </c>
      <c r="M1357" s="455">
        <v>15.9</v>
      </c>
      <c r="N1357" s="285">
        <f t="shared" si="340"/>
        <v>111278.05799999998</v>
      </c>
      <c r="O1357" s="462"/>
      <c r="P1357" s="213" t="s">
        <v>518</v>
      </c>
      <c r="Q1357" s="35"/>
      <c r="R1357" s="35"/>
      <c r="S1357" s="35"/>
    </row>
    <row r="1358" spans="1:19" s="34" customFormat="1" ht="13.9" hidden="1" customHeight="1" outlineLevel="1" x14ac:dyDescent="0.2">
      <c r="A1358" s="457">
        <f ca="1">IF($H1358="UNIDADE CONSTRUTIVA",OFFSET(A1358,-1,0)+1,LARGE(A$3:A1357,1))</f>
        <v>0</v>
      </c>
      <c r="B1358" s="457">
        <f t="shared" ca="1" si="330"/>
        <v>19</v>
      </c>
      <c r="C1358" s="457">
        <f t="shared" ca="1" si="331"/>
        <v>1</v>
      </c>
      <c r="D1358" s="458">
        <f t="shared" ca="1" si="332"/>
        <v>2</v>
      </c>
      <c r="E1358" s="458">
        <f t="shared" ca="1" si="333"/>
        <v>0</v>
      </c>
      <c r="G1358" s="206"/>
      <c r="H1358" s="207" t="s">
        <v>211</v>
      </c>
      <c r="I1358" s="208" t="str">
        <f t="shared" ca="1" si="334"/>
        <v>19.001.002</v>
      </c>
      <c r="J1358" s="209" t="s">
        <v>574</v>
      </c>
      <c r="K1358" s="210"/>
      <c r="L1358" s="758" t="s">
        <v>1272</v>
      </c>
      <c r="M1358" s="455"/>
      <c r="N1358" s="285">
        <f t="shared" ca="1" si="340"/>
        <v>34123.796910411613</v>
      </c>
      <c r="O1358" s="462"/>
      <c r="P1358" s="213"/>
      <c r="Q1358" s="35"/>
      <c r="R1358" s="35"/>
      <c r="S1358" s="35"/>
    </row>
    <row r="1359" spans="1:19" s="34" customFormat="1" ht="13.9" hidden="1" customHeight="1" outlineLevel="2" x14ac:dyDescent="0.2">
      <c r="A1359" s="457">
        <f ca="1">IF($H1359="UNIDADE CONSTRUTIVA",OFFSET(A1359,-1,0)+1,LARGE(A$3:A1358,1))</f>
        <v>0</v>
      </c>
      <c r="B1359" s="457">
        <f t="shared" ca="1" si="330"/>
        <v>19</v>
      </c>
      <c r="C1359" s="457">
        <f t="shared" ca="1" si="331"/>
        <v>1</v>
      </c>
      <c r="D1359" s="458">
        <f t="shared" ca="1" si="332"/>
        <v>2</v>
      </c>
      <c r="E1359" s="458">
        <f t="shared" ca="1" si="333"/>
        <v>1</v>
      </c>
      <c r="G1359" s="206"/>
      <c r="H1359" s="207" t="s">
        <v>212</v>
      </c>
      <c r="I1359" s="208" t="str">
        <f t="shared" ca="1" si="334"/>
        <v>19.001.002.001</v>
      </c>
      <c r="J1359" s="468" t="s">
        <v>575</v>
      </c>
      <c r="K1359" s="210" t="s">
        <v>3</v>
      </c>
      <c r="L1359" s="455">
        <f>SUM(EPCs!M6:M27)</f>
        <v>2265.8714141801479</v>
      </c>
      <c r="M1359" s="455">
        <v>15.059900000000001</v>
      </c>
      <c r="N1359" s="285">
        <f t="shared" si="340"/>
        <v>34123.796910411613</v>
      </c>
      <c r="O1359" s="462" t="s">
        <v>576</v>
      </c>
      <c r="P1359" s="213" t="s">
        <v>518</v>
      </c>
      <c r="Q1359" s="35"/>
      <c r="R1359" s="35"/>
      <c r="S1359" s="35"/>
    </row>
    <row r="1360" spans="1:19" s="34" customFormat="1" ht="13.9" hidden="1" customHeight="1" outlineLevel="1" x14ac:dyDescent="0.2">
      <c r="A1360" s="457">
        <f ca="1">IF($H1360="UNIDADE CONSTRUTIVA",OFFSET(A1360,-1,0)+1,LARGE(A$3:A1359,1))</f>
        <v>0</v>
      </c>
      <c r="B1360" s="457">
        <f t="shared" ca="1" si="330"/>
        <v>19</v>
      </c>
      <c r="C1360" s="457">
        <f t="shared" ca="1" si="331"/>
        <v>1</v>
      </c>
      <c r="D1360" s="458">
        <f t="shared" ca="1" si="332"/>
        <v>3</v>
      </c>
      <c r="E1360" s="458">
        <f t="shared" ca="1" si="333"/>
        <v>0</v>
      </c>
      <c r="G1360" s="206"/>
      <c r="H1360" s="207" t="s">
        <v>211</v>
      </c>
      <c r="I1360" s="208" t="str">
        <f t="shared" ca="1" si="334"/>
        <v>19.001.003</v>
      </c>
      <c r="J1360" s="209" t="s">
        <v>160</v>
      </c>
      <c r="K1360" s="210"/>
      <c r="L1360" s="455"/>
      <c r="M1360" s="455"/>
      <c r="N1360" s="285">
        <f t="shared" ca="1" si="340"/>
        <v>285257.62140599999</v>
      </c>
      <c r="O1360" s="462"/>
      <c r="P1360" s="213"/>
      <c r="Q1360" s="35"/>
      <c r="R1360" s="35"/>
      <c r="S1360" s="35"/>
    </row>
    <row r="1361" spans="1:19" s="34" customFormat="1" ht="13.9" hidden="1" customHeight="1" outlineLevel="2" x14ac:dyDescent="0.2">
      <c r="A1361" s="457">
        <f ca="1">IF($H1361="UNIDADE CONSTRUTIVA",OFFSET(A1361,-1,0)+1,LARGE(A$3:A1360,1))</f>
        <v>0</v>
      </c>
      <c r="B1361" s="457">
        <f t="shared" ca="1" si="330"/>
        <v>19</v>
      </c>
      <c r="C1361" s="457">
        <f t="shared" ca="1" si="331"/>
        <v>1</v>
      </c>
      <c r="D1361" s="458">
        <f t="shared" ca="1" si="332"/>
        <v>3</v>
      </c>
      <c r="E1361" s="458">
        <f t="shared" ca="1" si="333"/>
        <v>1</v>
      </c>
      <c r="G1361" s="206"/>
      <c r="H1361" s="207" t="s">
        <v>212</v>
      </c>
      <c r="I1361" s="208" t="str">
        <f t="shared" ca="1" si="334"/>
        <v>19.001.003.001</v>
      </c>
      <c r="J1361" s="209" t="s">
        <v>161</v>
      </c>
      <c r="K1361" s="210" t="s">
        <v>1</v>
      </c>
      <c r="L1361" s="455">
        <f>SUM(Arquitetura!D2064:D2212)</f>
        <v>6998.71</v>
      </c>
      <c r="M1361" s="455">
        <v>2.7789000000000001</v>
      </c>
      <c r="N1361" s="285">
        <f t="shared" si="340"/>
        <v>19448.715219000002</v>
      </c>
      <c r="O1361" s="462"/>
      <c r="P1361" s="213" t="s">
        <v>518</v>
      </c>
      <c r="Q1361" s="35"/>
      <c r="R1361" s="35"/>
      <c r="S1361" s="35"/>
    </row>
    <row r="1362" spans="1:19" s="34" customFormat="1" ht="13.9" hidden="1" customHeight="1" outlineLevel="2" x14ac:dyDescent="0.2">
      <c r="A1362" s="457">
        <f ca="1">IF($H1362="UNIDADE CONSTRUTIVA",OFFSET(A1362,-1,0)+1,LARGE(A$3:A1361,1))</f>
        <v>0</v>
      </c>
      <c r="B1362" s="457">
        <f t="shared" ca="1" si="330"/>
        <v>19</v>
      </c>
      <c r="C1362" s="457">
        <f t="shared" ca="1" si="331"/>
        <v>1</v>
      </c>
      <c r="D1362" s="458">
        <f t="shared" ca="1" si="332"/>
        <v>3</v>
      </c>
      <c r="E1362" s="458">
        <f t="shared" ca="1" si="333"/>
        <v>2</v>
      </c>
      <c r="G1362" s="206"/>
      <c r="H1362" s="207" t="s">
        <v>212</v>
      </c>
      <c r="I1362" s="208" t="str">
        <f t="shared" ca="1" si="334"/>
        <v>19.001.003.002</v>
      </c>
      <c r="J1362" s="209" t="s">
        <v>1208</v>
      </c>
      <c r="K1362" s="210" t="s">
        <v>1</v>
      </c>
      <c r="L1362" s="455">
        <f>L1361</f>
        <v>6998.71</v>
      </c>
      <c r="M1362" s="455">
        <v>13.6198</v>
      </c>
      <c r="N1362" s="285">
        <f t="shared" si="340"/>
        <v>95321.030457999994</v>
      </c>
      <c r="O1362" s="462"/>
      <c r="P1362" s="213" t="s">
        <v>518</v>
      </c>
      <c r="Q1362" s="35"/>
      <c r="R1362" s="35"/>
      <c r="S1362" s="35"/>
    </row>
    <row r="1363" spans="1:19" s="34" customFormat="1" ht="13.9" hidden="1" customHeight="1" outlineLevel="2" x14ac:dyDescent="0.2">
      <c r="A1363" s="457">
        <f ca="1">IF($H1363="UNIDADE CONSTRUTIVA",OFFSET(A1363,-1,0)+1,LARGE(A$3:A1362,1))</f>
        <v>0</v>
      </c>
      <c r="B1363" s="457">
        <f t="shared" ca="1" si="330"/>
        <v>19</v>
      </c>
      <c r="C1363" s="457">
        <f t="shared" ca="1" si="331"/>
        <v>1</v>
      </c>
      <c r="D1363" s="458">
        <f t="shared" ca="1" si="332"/>
        <v>3</v>
      </c>
      <c r="E1363" s="458">
        <f t="shared" ca="1" si="333"/>
        <v>3</v>
      </c>
      <c r="G1363" s="206"/>
      <c r="H1363" s="207" t="s">
        <v>212</v>
      </c>
      <c r="I1363" s="208" t="str">
        <f t="shared" ca="1" si="334"/>
        <v>19.001.003.003</v>
      </c>
      <c r="J1363" s="209" t="s">
        <v>1209</v>
      </c>
      <c r="K1363" s="210" t="s">
        <v>1</v>
      </c>
      <c r="L1363" s="455">
        <f>L1361</f>
        <v>6998.71</v>
      </c>
      <c r="M1363" s="455">
        <v>24.3599</v>
      </c>
      <c r="N1363" s="285">
        <f t="shared" si="340"/>
        <v>170487.87572899999</v>
      </c>
      <c r="O1363" s="462"/>
      <c r="P1363" s="213" t="s">
        <v>518</v>
      </c>
      <c r="Q1363" s="35"/>
      <c r="R1363" s="35"/>
      <c r="S1363" s="35"/>
    </row>
    <row r="1364" spans="1:19" s="34" customFormat="1" ht="13.9" hidden="1" customHeight="1" outlineLevel="1" x14ac:dyDescent="0.2">
      <c r="A1364" s="457">
        <f ca="1">IF($H1364="UNIDADE CONSTRUTIVA",OFFSET(A1364,-1,0)+1,LARGE(A$3:A1363,1))</f>
        <v>0</v>
      </c>
      <c r="B1364" s="457">
        <f t="shared" ca="1" si="330"/>
        <v>19</v>
      </c>
      <c r="C1364" s="457">
        <f t="shared" ca="1" si="331"/>
        <v>1</v>
      </c>
      <c r="D1364" s="458">
        <f t="shared" ca="1" si="332"/>
        <v>4</v>
      </c>
      <c r="E1364" s="458">
        <f t="shared" ca="1" si="333"/>
        <v>0</v>
      </c>
      <c r="G1364" s="206"/>
      <c r="H1364" s="207" t="s">
        <v>211</v>
      </c>
      <c r="I1364" s="208" t="str">
        <f t="shared" ca="1" si="334"/>
        <v>19.001.004</v>
      </c>
      <c r="J1364" s="209" t="s">
        <v>130</v>
      </c>
      <c r="K1364" s="210"/>
      <c r="L1364" s="455"/>
      <c r="M1364" s="455"/>
      <c r="N1364" s="285">
        <f>SUM(N1365:N1366)</f>
        <v>720861.90999999992</v>
      </c>
      <c r="O1364" s="462"/>
      <c r="P1364" s="213"/>
      <c r="Q1364" s="35"/>
      <c r="R1364" s="35"/>
      <c r="S1364" s="35"/>
    </row>
    <row r="1365" spans="1:19" s="34" customFormat="1" ht="13.9" hidden="1" customHeight="1" outlineLevel="2" x14ac:dyDescent="0.2">
      <c r="A1365" s="457">
        <f ca="1">IF($H1365="UNIDADE CONSTRUTIVA",OFFSET(A1365,-1,0)+1,LARGE(A$3:A1364,1))</f>
        <v>0</v>
      </c>
      <c r="B1365" s="457">
        <f t="shared" ca="1" si="330"/>
        <v>19</v>
      </c>
      <c r="C1365" s="457">
        <f t="shared" ca="1" si="331"/>
        <v>1</v>
      </c>
      <c r="D1365" s="458">
        <f t="shared" ca="1" si="332"/>
        <v>4</v>
      </c>
      <c r="E1365" s="458">
        <f t="shared" ca="1" si="333"/>
        <v>1</v>
      </c>
      <c r="G1365" s="206"/>
      <c r="H1365" s="207" t="s">
        <v>212</v>
      </c>
      <c r="I1365" s="208" t="str">
        <f t="shared" ca="1" si="334"/>
        <v>19.001.004.001</v>
      </c>
      <c r="J1365" s="209" t="s">
        <v>162</v>
      </c>
      <c r="K1365" s="210" t="s">
        <v>1</v>
      </c>
      <c r="L1365" s="455">
        <f>L1357</f>
        <v>6998.6199999999981</v>
      </c>
      <c r="M1365" s="455">
        <v>58</v>
      </c>
      <c r="N1365" s="285">
        <f>IF(H1365="Serviço",M1365*L1365,IF(H1365="CÉLULA CONSTRUTIVA",SUMIFS($N$8:$N$1363,$B$8:$B$1363,B1365,$H$8:$H$1363,"Serviço"),IF(H1365="ETAPA",SUMIFS($N$8:$N$1363,$B$8:$B$1363,B1365,$C$8:$C$1363,C1365,$H$8:$H$1363,"Serviço"),IF(H1365="SUBETAPA",SUMIFS($N$8:$N$1363,$B$8:$B$1363,B1365,$C$8:$C$1363,C1365,$D$8:$D$1363,D1365,$H$8:$H$1363,"Serviço"),0))))</f>
        <v>405919.9599999999</v>
      </c>
      <c r="O1365" s="462"/>
      <c r="P1365" s="213" t="s">
        <v>518</v>
      </c>
      <c r="Q1365" s="35"/>
      <c r="R1365" s="35"/>
      <c r="S1365" s="35"/>
    </row>
    <row r="1366" spans="1:19" s="34" customFormat="1" ht="13.9" hidden="1" customHeight="1" outlineLevel="2" x14ac:dyDescent="0.2">
      <c r="A1366" s="457">
        <f ca="1">IF($H1366="UNIDADE CONSTRUTIVA",OFFSET(A1366,-1,0)+1,LARGE(A$3:A1365,1))</f>
        <v>0</v>
      </c>
      <c r="B1366" s="457">
        <f t="shared" ca="1" si="330"/>
        <v>19</v>
      </c>
      <c r="C1366" s="457">
        <f t="shared" ca="1" si="331"/>
        <v>1</v>
      </c>
      <c r="D1366" s="458">
        <f t="shared" ca="1" si="332"/>
        <v>4</v>
      </c>
      <c r="E1366" s="458">
        <f t="shared" ca="1" si="333"/>
        <v>2</v>
      </c>
      <c r="G1366" s="206"/>
      <c r="H1366" s="207" t="s">
        <v>212</v>
      </c>
      <c r="I1366" s="208" t="str">
        <f t="shared" ca="1" si="334"/>
        <v>19.001.004.002</v>
      </c>
      <c r="J1366" s="209" t="s">
        <v>1210</v>
      </c>
      <c r="K1366" s="210" t="s">
        <v>1</v>
      </c>
      <c r="L1366" s="455">
        <f>L1363</f>
        <v>6998.71</v>
      </c>
      <c r="M1366" s="455">
        <v>45</v>
      </c>
      <c r="N1366" s="285">
        <f>IF(H1366="Serviço",M1366*L1366,IF(H1366="CÉLULA CONSTRUTIVA",SUMIFS($N$8:$N$1363,$B$8:$B$1363,B1366,$H$8:$H$1363,"Serviço"),IF(H1366="ETAPA",SUMIFS($N$8:$N$1363,$B$8:$B$1363,B1366,$C$8:$C$1363,C1366,$H$8:$H$1363,"Serviço"),IF(H1366="SUBETAPA",SUMIFS($N$8:$N$1363,$B$8:$B$1363,B1366,$C$8:$C$1363,C1366,$D$8:$D$1363,D1366,$H$8:$H$1363,"Serviço"),0))))</f>
        <v>314941.95</v>
      </c>
      <c r="O1366" s="462"/>
      <c r="P1366" s="213" t="s">
        <v>518</v>
      </c>
      <c r="Q1366" s="35"/>
      <c r="R1366" s="35"/>
      <c r="S1366" s="35"/>
    </row>
    <row r="1367" spans="1:19" s="34" customFormat="1" ht="13.9" customHeight="1" collapsed="1" x14ac:dyDescent="0.2">
      <c r="A1367" s="457">
        <f ca="1">IF($H1367="UNIDADE CONSTRUTIVA",OFFSET(A1367,-1,0)+1,LARGE(A$3:A1366,1))</f>
        <v>0</v>
      </c>
      <c r="B1367" s="457">
        <f t="shared" ca="1" si="330"/>
        <v>20</v>
      </c>
      <c r="C1367" s="457">
        <f t="shared" ca="1" si="331"/>
        <v>0</v>
      </c>
      <c r="D1367" s="458">
        <f t="shared" ca="1" si="332"/>
        <v>4</v>
      </c>
      <c r="E1367" s="458">
        <f t="shared" ca="1" si="333"/>
        <v>2</v>
      </c>
      <c r="G1367" s="206"/>
      <c r="H1367" s="207" t="s">
        <v>209</v>
      </c>
      <c r="I1367" s="208" t="str">
        <f t="shared" ca="1" si="334"/>
        <v>20</v>
      </c>
      <c r="J1367" s="209" t="s">
        <v>163</v>
      </c>
      <c r="K1367" s="210"/>
      <c r="L1367" s="455"/>
      <c r="M1367" s="455"/>
      <c r="N1367" s="285">
        <f ca="1">IF(H1367="Serviço",M1367*L1367,IF(H1367="CÉLULA CONSTRUTIVA",SUMIFS($N$8:$N$1393,$B$8:$B$1393,B1367,$H$8:$H$1393,"Serviço"),IF(H1367="ETAPA",SUMIFS($N$8:$N$1393,$B$8:$B$1393,B1367,$C$8:$C$1393,C1367,$H$8:$H$1393,"Serviço"),IF(H1367="SUBETAPA",SUMIFS($N$8:$N$1393,$B$8:$B$1393,B1367,$C$8:$C$1393,C1367,$D$8:$D$1393,D1367,$H$8:$H$1393,"Serviço"),0))))</f>
        <v>1521120.0970764481</v>
      </c>
      <c r="O1367" s="462"/>
      <c r="P1367" s="213"/>
      <c r="Q1367" s="463"/>
      <c r="R1367" s="463"/>
      <c r="S1367" s="35"/>
    </row>
    <row r="1368" spans="1:19" s="34" customFormat="1" ht="13.9" hidden="1" customHeight="1" outlineLevel="1" x14ac:dyDescent="0.2">
      <c r="A1368" s="457">
        <f ca="1">IF($H1368="UNIDADE CONSTRUTIVA",OFFSET(A1368,-1,0)+1,LARGE(A$3:A1367,1))</f>
        <v>0</v>
      </c>
      <c r="B1368" s="457">
        <f t="shared" ca="1" si="330"/>
        <v>20</v>
      </c>
      <c r="C1368" s="457">
        <f t="shared" ca="1" si="331"/>
        <v>1</v>
      </c>
      <c r="D1368" s="458">
        <f t="shared" ca="1" si="332"/>
        <v>0</v>
      </c>
      <c r="E1368" s="458">
        <f t="shared" ca="1" si="333"/>
        <v>2</v>
      </c>
      <c r="G1368" s="206"/>
      <c r="H1368" s="207" t="s">
        <v>210</v>
      </c>
      <c r="I1368" s="208" t="str">
        <f t="shared" ca="1" si="334"/>
        <v>20.001</v>
      </c>
      <c r="J1368" s="209" t="s">
        <v>164</v>
      </c>
      <c r="K1368" s="210"/>
      <c r="L1368" s="455"/>
      <c r="M1368" s="455"/>
      <c r="N1368" s="285">
        <f ca="1">IF(H1368="Serviço",M1368*L1368,IF(H1368="CÉLULA CONSTRUTIVA",SUMIFS($N$8:$N$1393,$B$8:$B$1393,B1368,$H$8:$H$1393,"Serviço"),IF(H1368="ETAPA",SUMIFS($N$8:$N$1393,$B$8:$B$1393,B1368,$C$8:$C$1393,C1368,$H$8:$H$1393,"Serviço"),IF(H1368="SUBETAPA",SUMIFS($N$8:$N$1393,$B$8:$B$1393,B1368,$C$8:$C$1393,C1368,$D$8:$D$1393,D1368,$H$8:$H$1393,"Serviço"),0))))</f>
        <v>11297.032499999999</v>
      </c>
      <c r="O1368" s="462"/>
      <c r="P1368" s="213"/>
      <c r="Q1368" s="35"/>
      <c r="R1368" s="35"/>
      <c r="S1368" s="35"/>
    </row>
    <row r="1369" spans="1:19" s="34" customFormat="1" ht="13.9" hidden="1" customHeight="1" outlineLevel="1" x14ac:dyDescent="0.2">
      <c r="A1369" s="457">
        <f ca="1">IF($H1369="UNIDADE CONSTRUTIVA",OFFSET(A1369,-1,0)+1,LARGE(A$3:A1368,1))</f>
        <v>0</v>
      </c>
      <c r="B1369" s="457">
        <f t="shared" ca="1" si="330"/>
        <v>20</v>
      </c>
      <c r="C1369" s="457">
        <f t="shared" ca="1" si="331"/>
        <v>1</v>
      </c>
      <c r="D1369" s="458">
        <f t="shared" ca="1" si="332"/>
        <v>1</v>
      </c>
      <c r="E1369" s="458">
        <f t="shared" ca="1" si="333"/>
        <v>0</v>
      </c>
      <c r="G1369" s="206"/>
      <c r="H1369" s="207" t="s">
        <v>211</v>
      </c>
      <c r="I1369" s="208" t="str">
        <f t="shared" ca="1" si="334"/>
        <v>20.001.001</v>
      </c>
      <c r="J1369" s="209" t="s">
        <v>165</v>
      </c>
      <c r="K1369" s="210"/>
      <c r="L1369" s="455"/>
      <c r="M1369" s="455"/>
      <c r="N1369" s="285">
        <f ca="1">IF(H1369="Serviço",M1369*L1369,IF(H1369="CÉLULA CONSTRUTIVA",SUMIFS($N$8:$N$1393,$B$8:$B$1393,B1369,$H$8:$H$1393,"Serviço"),IF(H1369="ETAPA",SUMIFS($N$8:$N$1393,$B$8:$B$1393,B1369,$C$8:$C$1393,C1369,$H$8:$H$1393,"Serviço"),IF(H1369="SUBETAPA",SUMIFS($N$8:$N$1393,$B$8:$B$1393,B1369,$C$8:$C$1393,C1369,$D$8:$D$1393,D1369,$H$8:$H$1393,"Serviço"),0))))</f>
        <v>11297.032499999999</v>
      </c>
      <c r="O1369" s="462"/>
      <c r="P1369" s="213"/>
      <c r="Q1369" s="35"/>
      <c r="R1369" s="35"/>
      <c r="S1369" s="35"/>
    </row>
    <row r="1370" spans="1:19" s="34" customFormat="1" ht="13.9" hidden="1" customHeight="1" outlineLevel="3" x14ac:dyDescent="0.2">
      <c r="A1370" s="457">
        <f ca="1">IF($H1370="UNIDADE CONSTRUTIVA",OFFSET(A1370,-1,0)+1,LARGE(A$3:A1369,1))</f>
        <v>0</v>
      </c>
      <c r="B1370" s="457">
        <f ca="1">IF(H1370="UNIDADE CONSTRUTIVA",0,IF(H1370="CÉLULA CONSTRUTIVA",OFFSET(B1370,-1,0)+1,OFFSET(B1370,-1,0)))</f>
        <v>20</v>
      </c>
      <c r="C1370" s="457">
        <f ca="1">IF(H1370="CÉLULA CONSTRUTIVA",0,IF(H1370="ETAPA",OFFSET(C1370,-1,0)+1,OFFSET(C1370,-1,0)))</f>
        <v>1</v>
      </c>
      <c r="D1370" s="458">
        <f ca="1">IF(H1370="ETAPA",0,IF(H1370="SUBETAPA",OFFSET(D1370,-1,0)+1,OFFSET(D1370,-1,0)))</f>
        <v>1</v>
      </c>
      <c r="E1370" s="458">
        <f ca="1">IF(H1370="Subetapa",0,IF(H1370="serviço",OFFSET(E1370,-1,0)+1,OFFSET(E1370,-1,0)))</f>
        <v>1</v>
      </c>
      <c r="G1370" s="206"/>
      <c r="H1370" s="207" t="s">
        <v>212</v>
      </c>
      <c r="I1370" s="208" t="str">
        <f ca="1">IF(H1370="Unidade Construtiva",TEXT(A1370,"00"),IF(H1370="Célula Construtiva",TEXT(B1370,"00"),IF(H1370="Etapa",CONCATENATE(TEXT(B1370,"00"),".",TEXT(C1370,"000")),IF(H1370="Subetapa",CONCATENATE(TEXT(B1370,"00"),".",TEXT(C1370,"000"),".",TEXT(D1370,"000")),IF(H1370="Serviço",CONCATENATE(TEXT(B1370,"00"),".",TEXT(C1370,"000"),".",TEXT(D1370,"000"),".",TEXT(E1370,"000")),"")))))</f>
        <v>20.001.001.001</v>
      </c>
      <c r="J1370" s="471" t="s">
        <v>4203</v>
      </c>
      <c r="K1370" s="210" t="s">
        <v>1</v>
      </c>
      <c r="L1370" s="455">
        <f>Arquitetura!D761</f>
        <v>138.19</v>
      </c>
      <c r="M1370" s="455">
        <f>46.75+35</f>
        <v>81.75</v>
      </c>
      <c r="N1370" s="285">
        <f>IF(H1370="Serviço",M1370*L1370,IF(H1370="CÉLULA CONSTRUTIVA",SUMIFS($N$8:$N$1505,$B$8:$B$1505,B1370,$H$8:$H$1505,"Serviço"),IF(H1370="ETAPA",SUMIFS($N$8:$N$1505,$B$8:$B$1505,B1370,$C$8:$C$1505,C1370,$H$8:$H$1505,"Serviço"),IF(H1370="SUBETAPA",SUMIFS($N$8:$N$1505,$B$8:$B$1505,B1370,$C$8:$C$1505,C1370,$D$8:$D$1505,D1370,$H$8:$H$1505,"Serviço"),0))))</f>
        <v>11297.032499999999</v>
      </c>
      <c r="O1370" s="462" t="s">
        <v>4188</v>
      </c>
      <c r="P1370" s="213" t="s">
        <v>518</v>
      </c>
      <c r="Q1370" s="35"/>
      <c r="R1370" s="35"/>
      <c r="S1370" s="35"/>
    </row>
    <row r="1371" spans="1:19" s="34" customFormat="1" ht="13.9" hidden="1" customHeight="1" outlineLevel="1" x14ac:dyDescent="0.2">
      <c r="A1371" s="457">
        <f ca="1">IF($H1371="UNIDADE CONSTRUTIVA",OFFSET(A1371,-1,0)+1,LARGE(A$3:A1370,1))</f>
        <v>0</v>
      </c>
      <c r="B1371" s="457">
        <f t="shared" ca="1" si="330"/>
        <v>20</v>
      </c>
      <c r="C1371" s="457">
        <f t="shared" ca="1" si="331"/>
        <v>2</v>
      </c>
      <c r="D1371" s="458">
        <f t="shared" ca="1" si="332"/>
        <v>0</v>
      </c>
      <c r="E1371" s="458">
        <f t="shared" ca="1" si="333"/>
        <v>1</v>
      </c>
      <c r="G1371" s="206"/>
      <c r="H1371" s="207" t="s">
        <v>210</v>
      </c>
      <c r="I1371" s="208" t="str">
        <f t="shared" ca="1" si="334"/>
        <v>20.002</v>
      </c>
      <c r="J1371" s="209" t="s">
        <v>163</v>
      </c>
      <c r="K1371" s="210"/>
      <c r="L1371" s="455"/>
      <c r="M1371" s="455"/>
      <c r="N1371" s="285">
        <f t="shared" ref="N1371:N1388" ca="1" si="341">IF(H1371="Serviço",M1371*L1371,IF(H1371="CÉLULA CONSTRUTIVA",SUMIFS($N$8:$N$1393,$B$8:$B$1393,B1371,$H$8:$H$1393,"Serviço"),IF(H1371="ETAPA",SUMIFS($N$8:$N$1393,$B$8:$B$1393,B1371,$C$8:$C$1393,C1371,$H$8:$H$1393,"Serviço"),IF(H1371="SUBETAPA",SUMIFS($N$8:$N$1393,$B$8:$B$1393,B1371,$C$8:$C$1393,C1371,$D$8:$D$1393,D1371,$H$8:$H$1393,"Serviço"),0))))</f>
        <v>1509823.0645764482</v>
      </c>
      <c r="O1371" s="462"/>
      <c r="P1371" s="213"/>
      <c r="Q1371" s="35"/>
      <c r="R1371" s="35"/>
      <c r="S1371" s="35"/>
    </row>
    <row r="1372" spans="1:19" s="34" customFormat="1" ht="13.9" hidden="1" customHeight="1" outlineLevel="1" x14ac:dyDescent="0.2">
      <c r="A1372" s="457">
        <f ca="1">IF($H1372="UNIDADE CONSTRUTIVA",OFFSET(A1372,-1,0)+1,LARGE(A$3:A1371,1))</f>
        <v>0</v>
      </c>
      <c r="B1372" s="457">
        <f t="shared" ca="1" si="330"/>
        <v>20</v>
      </c>
      <c r="C1372" s="457">
        <f t="shared" ca="1" si="331"/>
        <v>2</v>
      </c>
      <c r="D1372" s="458">
        <f t="shared" ca="1" si="332"/>
        <v>1</v>
      </c>
      <c r="E1372" s="458">
        <f t="shared" ca="1" si="333"/>
        <v>0</v>
      </c>
      <c r="G1372" s="206"/>
      <c r="H1372" s="207" t="s">
        <v>211</v>
      </c>
      <c r="I1372" s="208" t="str">
        <f t="shared" ca="1" si="334"/>
        <v>20.002.001</v>
      </c>
      <c r="J1372" s="209" t="s">
        <v>166</v>
      </c>
      <c r="K1372" s="210"/>
      <c r="L1372" s="455"/>
      <c r="M1372" s="455"/>
      <c r="N1372" s="285">
        <f t="shared" ca="1" si="341"/>
        <v>766453.35085573315</v>
      </c>
      <c r="O1372" s="462"/>
      <c r="P1372" s="213"/>
      <c r="Q1372" s="35"/>
      <c r="R1372" s="35"/>
      <c r="S1372" s="35"/>
    </row>
    <row r="1373" spans="1:19" s="34" customFormat="1" ht="13.9" hidden="1" customHeight="1" outlineLevel="2" x14ac:dyDescent="0.2">
      <c r="A1373" s="457">
        <f ca="1">IF($H1373="UNIDADE CONSTRUTIVA",OFFSET(A1373,-1,0)+1,LARGE(A$3:A1372,1))</f>
        <v>0</v>
      </c>
      <c r="B1373" s="457">
        <f t="shared" ca="1" si="330"/>
        <v>20</v>
      </c>
      <c r="C1373" s="457">
        <f t="shared" ca="1" si="331"/>
        <v>2</v>
      </c>
      <c r="D1373" s="458">
        <f t="shared" ca="1" si="332"/>
        <v>1</v>
      </c>
      <c r="E1373" s="458">
        <f t="shared" ca="1" si="333"/>
        <v>1</v>
      </c>
      <c r="G1373" s="206"/>
      <c r="H1373" s="207" t="s">
        <v>212</v>
      </c>
      <c r="I1373" s="208" t="str">
        <f t="shared" ca="1" si="334"/>
        <v>20.002.001.001</v>
      </c>
      <c r="J1373" s="209" t="s">
        <v>167</v>
      </c>
      <c r="K1373" s="210" t="s">
        <v>151</v>
      </c>
      <c r="L1373" s="455">
        <v>1</v>
      </c>
      <c r="M1373" s="455">
        <f>Complementares!D91</f>
        <v>766453.35085573315</v>
      </c>
      <c r="N1373" s="285">
        <f t="shared" si="341"/>
        <v>766453.35085573315</v>
      </c>
      <c r="O1373" s="462"/>
      <c r="P1373" s="213" t="s">
        <v>518</v>
      </c>
      <c r="Q1373" s="35"/>
      <c r="R1373" s="35"/>
      <c r="S1373" s="35"/>
    </row>
    <row r="1374" spans="1:19" s="34" customFormat="1" ht="13.9" hidden="1" customHeight="1" outlineLevel="1" x14ac:dyDescent="0.2">
      <c r="A1374" s="457">
        <f ca="1">IF($H1374="UNIDADE CONSTRUTIVA",OFFSET(A1374,-1,0)+1,LARGE(A$3:A1373,1))</f>
        <v>0</v>
      </c>
      <c r="B1374" s="457">
        <f t="shared" ca="1" si="330"/>
        <v>20</v>
      </c>
      <c r="C1374" s="457">
        <f t="shared" ca="1" si="331"/>
        <v>2</v>
      </c>
      <c r="D1374" s="458">
        <f t="shared" ca="1" si="332"/>
        <v>2</v>
      </c>
      <c r="E1374" s="458">
        <f t="shared" ca="1" si="333"/>
        <v>0</v>
      </c>
      <c r="G1374" s="206"/>
      <c r="H1374" s="207" t="s">
        <v>211</v>
      </c>
      <c r="I1374" s="208" t="str">
        <f t="shared" ca="1" si="334"/>
        <v>20.002.002</v>
      </c>
      <c r="J1374" s="209" t="s">
        <v>168</v>
      </c>
      <c r="K1374" s="210"/>
      <c r="L1374" s="455"/>
      <c r="M1374" s="455"/>
      <c r="N1374" s="285">
        <f t="shared" ca="1" si="341"/>
        <v>134204.62786404521</v>
      </c>
      <c r="O1374" s="462"/>
      <c r="P1374" s="213"/>
      <c r="Q1374" s="35"/>
      <c r="R1374" s="35"/>
      <c r="S1374" s="35"/>
    </row>
    <row r="1375" spans="1:19" s="34" customFormat="1" ht="13.9" hidden="1" customHeight="1" outlineLevel="2" x14ac:dyDescent="0.2">
      <c r="A1375" s="457">
        <f ca="1">IF($H1375="UNIDADE CONSTRUTIVA",OFFSET(A1375,-1,0)+1,LARGE(A$3:A1374,1))</f>
        <v>0</v>
      </c>
      <c r="B1375" s="457">
        <f t="shared" ca="1" si="330"/>
        <v>20</v>
      </c>
      <c r="C1375" s="457">
        <f t="shared" ca="1" si="331"/>
        <v>2</v>
      </c>
      <c r="D1375" s="458">
        <f t="shared" ca="1" si="332"/>
        <v>2</v>
      </c>
      <c r="E1375" s="458">
        <f t="shared" ca="1" si="333"/>
        <v>1</v>
      </c>
      <c r="G1375" s="206"/>
      <c r="H1375" s="207" t="s">
        <v>212</v>
      </c>
      <c r="I1375" s="208" t="str">
        <f t="shared" ca="1" si="334"/>
        <v>20.002.002.001</v>
      </c>
      <c r="J1375" s="209" t="s">
        <v>169</v>
      </c>
      <c r="K1375" s="210" t="s">
        <v>151</v>
      </c>
      <c r="L1375" s="455">
        <v>1</v>
      </c>
      <c r="M1375" s="455">
        <f>Complementares!D92</f>
        <v>134204.62786404521</v>
      </c>
      <c r="N1375" s="285">
        <f t="shared" si="341"/>
        <v>134204.62786404521</v>
      </c>
      <c r="O1375" s="462"/>
      <c r="P1375" s="213" t="s">
        <v>518</v>
      </c>
      <c r="Q1375" s="35"/>
      <c r="R1375" s="35"/>
      <c r="S1375" s="35"/>
    </row>
    <row r="1376" spans="1:19" s="34" customFormat="1" ht="13.9" hidden="1" customHeight="1" outlineLevel="1" x14ac:dyDescent="0.2">
      <c r="A1376" s="457">
        <f ca="1">IF($H1376="UNIDADE CONSTRUTIVA",OFFSET(A1376,-1,0)+1,LARGE(A$3:A1375,1))</f>
        <v>0</v>
      </c>
      <c r="B1376" s="457">
        <f ca="1">IF(H1376="UNIDADE CONSTRUTIVA",0,IF(H1376="CÉLULA CONSTRUTIVA",OFFSET(B1376,-1,0)+1,OFFSET(B1376,-1,0)))</f>
        <v>20</v>
      </c>
      <c r="C1376" s="457">
        <f ca="1">IF(H1376="CÉLULA CONSTRUTIVA",0,IF(H1376="ETAPA",OFFSET(C1376,-1,0)+1,OFFSET(C1376,-1,0)))</f>
        <v>2</v>
      </c>
      <c r="D1376" s="458">
        <f ca="1">IF(H1376="ETAPA",0,IF(H1376="SUBETAPA",OFFSET(D1376,-1,0)+1,OFFSET(D1376,-1,0)))</f>
        <v>3</v>
      </c>
      <c r="E1376" s="458">
        <f ca="1">IF(H1376="Subetapa",0,IF(H1376="serviço",OFFSET(E1376,-1,0)+1,OFFSET(E1376,-1,0)))</f>
        <v>0</v>
      </c>
      <c r="G1376" s="206"/>
      <c r="H1376" s="207" t="s">
        <v>211</v>
      </c>
      <c r="I1376" s="208" t="str">
        <f ca="1">IF(H1376="Unidade Construtiva",TEXT(A1376,"00"),IF(H1376="Célula Construtiva",TEXT(B1376,"00"),IF(H1376="Etapa",CONCATENATE(TEXT(B1376,"00"),".",TEXT(C1376,"000")),IF(H1376="Subetapa",CONCATENATE(TEXT(B1376,"00"),".",TEXT(C1376,"000"),".",TEXT(D1376,"000")),IF(H1376="Serviço",CONCATENATE(TEXT(B1376,"00"),".",TEXT(C1376,"000"),".",TEXT(D1376,"000"),".",TEXT(E1376,"000")),"")))))</f>
        <v>20.002.003</v>
      </c>
      <c r="J1376" s="209" t="s">
        <v>1213</v>
      </c>
      <c r="K1376" s="210"/>
      <c r="L1376" s="455"/>
      <c r="M1376" s="455"/>
      <c r="N1376" s="285">
        <f t="shared" ca="1" si="341"/>
        <v>145976.18585666962</v>
      </c>
      <c r="O1376" s="462"/>
      <c r="P1376" s="213"/>
      <c r="Q1376" s="35"/>
      <c r="R1376" s="35"/>
      <c r="S1376" s="35"/>
    </row>
    <row r="1377" spans="1:21" s="34" customFormat="1" ht="13.9" hidden="1" customHeight="1" outlineLevel="2" x14ac:dyDescent="0.2">
      <c r="A1377" s="457">
        <f ca="1">IF($H1377="UNIDADE CONSTRUTIVA",OFFSET(A1377,-1,0)+1,LARGE(A$3:A1376,1))</f>
        <v>0</v>
      </c>
      <c r="B1377" s="457">
        <f ca="1">IF(H1377="UNIDADE CONSTRUTIVA",0,IF(H1377="CÉLULA CONSTRUTIVA",OFFSET(B1377,-1,0)+1,OFFSET(B1377,-1,0)))</f>
        <v>20</v>
      </c>
      <c r="C1377" s="457">
        <f ca="1">IF(H1377="CÉLULA CONSTRUTIVA",0,IF(H1377="ETAPA",OFFSET(C1377,-1,0)+1,OFFSET(C1377,-1,0)))</f>
        <v>2</v>
      </c>
      <c r="D1377" s="458">
        <f ca="1">IF(H1377="ETAPA",0,IF(H1377="SUBETAPA",OFFSET(D1377,-1,0)+1,OFFSET(D1377,-1,0)))</f>
        <v>3</v>
      </c>
      <c r="E1377" s="458">
        <f ca="1">IF(H1377="Subetapa",0,IF(H1377="serviço",OFFSET(E1377,-1,0)+1,OFFSET(E1377,-1,0)))</f>
        <v>1</v>
      </c>
      <c r="G1377" s="206"/>
      <c r="H1377" s="207" t="s">
        <v>212</v>
      </c>
      <c r="I1377" s="208" t="str">
        <f ca="1">IF(H1377="Unidade Construtiva",TEXT(A1377,"00"),IF(H1377="Célula Construtiva",TEXT(B1377,"00"),IF(H1377="Etapa",CONCATENATE(TEXT(B1377,"00"),".",TEXT(C1377,"000")),IF(H1377="Subetapa",CONCATENATE(TEXT(B1377,"00"),".",TEXT(C1377,"000"),".",TEXT(D1377,"000")),IF(H1377="Serviço",CONCATENATE(TEXT(B1377,"00"),".",TEXT(C1377,"000"),".",TEXT(D1377,"000"),".",TEXT(E1377,"000")),"")))))</f>
        <v>20.002.003.001</v>
      </c>
      <c r="J1377" s="209" t="s">
        <v>1213</v>
      </c>
      <c r="K1377" s="210" t="s">
        <v>151</v>
      </c>
      <c r="L1377" s="455">
        <v>1</v>
      </c>
      <c r="M1377" s="455">
        <f>Complementares!D93</f>
        <v>145976.18585666962</v>
      </c>
      <c r="N1377" s="285">
        <f t="shared" si="341"/>
        <v>145976.18585666962</v>
      </c>
      <c r="O1377" s="462"/>
      <c r="P1377" s="213" t="s">
        <v>518</v>
      </c>
      <c r="Q1377" s="35"/>
      <c r="R1377" s="35"/>
      <c r="S1377" s="35"/>
    </row>
    <row r="1378" spans="1:21" s="34" customFormat="1" ht="13.9" hidden="1" customHeight="1" outlineLevel="1" x14ac:dyDescent="0.2">
      <c r="A1378" s="457">
        <f ca="1">IF($H1378="UNIDADE CONSTRUTIVA",OFFSET(A1378,-1,0)+1,LARGE(A$3:A1377,1))</f>
        <v>0</v>
      </c>
      <c r="B1378" s="457">
        <f t="shared" ref="B1378:B1434" ca="1" si="342">IF(H1378="UNIDADE CONSTRUTIVA",0,IF(H1378="CÉLULA CONSTRUTIVA",OFFSET(B1378,-1,0)+1,OFFSET(B1378,-1,0)))</f>
        <v>20</v>
      </c>
      <c r="C1378" s="457">
        <f t="shared" ref="C1378:C1434" ca="1" si="343">IF(H1378="CÉLULA CONSTRUTIVA",0,IF(H1378="ETAPA",OFFSET(C1378,-1,0)+1,OFFSET(C1378,-1,0)))</f>
        <v>2</v>
      </c>
      <c r="D1378" s="458">
        <f t="shared" ref="D1378:D1434" ca="1" si="344">IF(H1378="ETAPA",0,IF(H1378="SUBETAPA",OFFSET(D1378,-1,0)+1,OFFSET(D1378,-1,0)))</f>
        <v>4</v>
      </c>
      <c r="E1378" s="458">
        <f t="shared" ref="E1378:E1434" ca="1" si="345">IF(H1378="Subetapa",0,IF(H1378="serviço",OFFSET(E1378,-1,0)+1,OFFSET(E1378,-1,0)))</f>
        <v>0</v>
      </c>
      <c r="G1378" s="206"/>
      <c r="H1378" s="207" t="s">
        <v>211</v>
      </c>
      <c r="I1378" s="208" t="str">
        <f t="shared" ref="I1378:I1388" ca="1" si="346">IF(H1378="Unidade Construtiva",TEXT(A1378,"00"),IF(H1378="Célula Construtiva",TEXT(B1378,"00"),IF(H1378="Etapa",CONCATENATE(TEXT(B1378,"00"),".",TEXT(C1378,"000")),IF(H1378="Subetapa",CONCATENATE(TEXT(B1378,"00"),".",TEXT(C1378,"000"),".",TEXT(D1378,"000")),IF(H1378="Serviço",CONCATENATE(TEXT(B1378,"00"),".",TEXT(C1378,"000"),".",TEXT(D1378,"000"),".",TEXT(E1378,"000")),"")))))</f>
        <v>20.002.004</v>
      </c>
      <c r="J1378" s="209" t="s">
        <v>220</v>
      </c>
      <c r="K1378" s="210"/>
      <c r="L1378" s="455"/>
      <c r="M1378" s="455"/>
      <c r="N1378" s="285">
        <f t="shared" ca="1" si="341"/>
        <v>137558.66250000001</v>
      </c>
      <c r="O1378" s="462"/>
      <c r="P1378" s="213"/>
      <c r="Q1378" s="35"/>
      <c r="R1378" s="35"/>
      <c r="S1378" s="35"/>
    </row>
    <row r="1379" spans="1:21" s="34" customFormat="1" ht="13.9" hidden="1" customHeight="1" outlineLevel="2" x14ac:dyDescent="0.2">
      <c r="A1379" s="457">
        <f ca="1">IF($H1379="UNIDADE CONSTRUTIVA",OFFSET(A1379,-1,0)+1,LARGE(A$3:A1378,1))</f>
        <v>0</v>
      </c>
      <c r="B1379" s="457">
        <f t="shared" ca="1" si="342"/>
        <v>20</v>
      </c>
      <c r="C1379" s="457">
        <f t="shared" ca="1" si="343"/>
        <v>2</v>
      </c>
      <c r="D1379" s="458">
        <f t="shared" ca="1" si="344"/>
        <v>4</v>
      </c>
      <c r="E1379" s="458">
        <f t="shared" ca="1" si="345"/>
        <v>1</v>
      </c>
      <c r="G1379" s="206"/>
      <c r="H1379" s="207" t="s">
        <v>212</v>
      </c>
      <c r="I1379" s="208" t="str">
        <f t="shared" ca="1" si="346"/>
        <v>20.002.004.001</v>
      </c>
      <c r="J1379" s="209" t="s">
        <v>220</v>
      </c>
      <c r="K1379" s="210" t="s">
        <v>151</v>
      </c>
      <c r="L1379" s="455">
        <v>1</v>
      </c>
      <c r="M1379" s="455">
        <f>Complementares!D94</f>
        <v>137558.66250000001</v>
      </c>
      <c r="N1379" s="285">
        <f t="shared" si="341"/>
        <v>137558.66250000001</v>
      </c>
      <c r="O1379" s="462"/>
      <c r="P1379" s="213" t="s">
        <v>518</v>
      </c>
      <c r="Q1379" s="35"/>
      <c r="R1379" s="35"/>
      <c r="S1379" s="35"/>
    </row>
    <row r="1380" spans="1:21" s="34" customFormat="1" ht="13.9" hidden="1" customHeight="1" outlineLevel="1" x14ac:dyDescent="0.2">
      <c r="A1380" s="457">
        <f ca="1">IF($H1380="UNIDADE CONSTRUTIVA",OFFSET(A1380,-1,0)+1,LARGE(A$3:A1379,1))</f>
        <v>0</v>
      </c>
      <c r="B1380" s="457">
        <f t="shared" ca="1" si="342"/>
        <v>20</v>
      </c>
      <c r="C1380" s="457">
        <f t="shared" ca="1" si="343"/>
        <v>2</v>
      </c>
      <c r="D1380" s="458">
        <f t="shared" ca="1" si="344"/>
        <v>5</v>
      </c>
      <c r="E1380" s="458">
        <f t="shared" ca="1" si="345"/>
        <v>0</v>
      </c>
      <c r="G1380" s="206"/>
      <c r="H1380" s="207" t="s">
        <v>211</v>
      </c>
      <c r="I1380" s="208" t="str">
        <f t="shared" ca="1" si="346"/>
        <v>20.002.005</v>
      </c>
      <c r="J1380" s="209" t="s">
        <v>170</v>
      </c>
      <c r="K1380" s="210"/>
      <c r="L1380" s="455"/>
      <c r="M1380" s="455"/>
      <c r="N1380" s="285">
        <f t="shared" ca="1" si="341"/>
        <v>264434.4375</v>
      </c>
      <c r="O1380" s="462"/>
      <c r="P1380" s="213"/>
      <c r="Q1380" s="35"/>
      <c r="R1380" s="35"/>
      <c r="S1380" s="35"/>
    </row>
    <row r="1381" spans="1:21" s="34" customFormat="1" ht="13.9" hidden="1" customHeight="1" outlineLevel="2" x14ac:dyDescent="0.2">
      <c r="A1381" s="457">
        <f ca="1">IF($H1381="UNIDADE CONSTRUTIVA",OFFSET(A1381,-1,0)+1,LARGE(A$3:A1380,1))</f>
        <v>0</v>
      </c>
      <c r="B1381" s="457">
        <f t="shared" ca="1" si="342"/>
        <v>20</v>
      </c>
      <c r="C1381" s="457">
        <f t="shared" ca="1" si="343"/>
        <v>2</v>
      </c>
      <c r="D1381" s="458">
        <f t="shared" ca="1" si="344"/>
        <v>5</v>
      </c>
      <c r="E1381" s="458">
        <f t="shared" ca="1" si="345"/>
        <v>1</v>
      </c>
      <c r="G1381" s="206"/>
      <c r="H1381" s="207" t="s">
        <v>212</v>
      </c>
      <c r="I1381" s="208" t="str">
        <f t="shared" ca="1" si="346"/>
        <v>20.002.005.001</v>
      </c>
      <c r="J1381" s="209" t="s">
        <v>171</v>
      </c>
      <c r="K1381" s="210" t="s">
        <v>151</v>
      </c>
      <c r="L1381" s="455">
        <v>1</v>
      </c>
      <c r="M1381" s="455">
        <f>Complementares!D95</f>
        <v>193347.07500000001</v>
      </c>
      <c r="N1381" s="285">
        <f t="shared" si="341"/>
        <v>193347.07500000001</v>
      </c>
      <c r="O1381" s="462"/>
      <c r="P1381" s="213" t="s">
        <v>518</v>
      </c>
      <c r="Q1381" s="35"/>
      <c r="R1381" s="35"/>
      <c r="S1381" s="35"/>
    </row>
    <row r="1382" spans="1:21" s="34" customFormat="1" ht="13.9" hidden="1" customHeight="1" outlineLevel="2" x14ac:dyDescent="0.2">
      <c r="A1382" s="457">
        <f ca="1">IF($H1382="UNIDADE CONSTRUTIVA",OFFSET(A1382,-1,0)+1,LARGE(A$3:A1381,1))</f>
        <v>0</v>
      </c>
      <c r="B1382" s="457">
        <f t="shared" ca="1" si="342"/>
        <v>20</v>
      </c>
      <c r="C1382" s="457">
        <f t="shared" ca="1" si="343"/>
        <v>2</v>
      </c>
      <c r="D1382" s="458">
        <f t="shared" ca="1" si="344"/>
        <v>5</v>
      </c>
      <c r="E1382" s="458">
        <f t="shared" ca="1" si="345"/>
        <v>2</v>
      </c>
      <c r="G1382" s="206"/>
      <c r="H1382" s="207" t="s">
        <v>212</v>
      </c>
      <c r="I1382" s="208" t="str">
        <f t="shared" ca="1" si="346"/>
        <v>20.002.005.002</v>
      </c>
      <c r="J1382" s="209" t="s">
        <v>172</v>
      </c>
      <c r="K1382" s="210" t="s">
        <v>151</v>
      </c>
      <c r="L1382" s="455">
        <v>1</v>
      </c>
      <c r="M1382" s="455">
        <f>Complementares!D96</f>
        <v>71087.362500000003</v>
      </c>
      <c r="N1382" s="285">
        <f t="shared" si="341"/>
        <v>71087.362500000003</v>
      </c>
      <c r="O1382" s="462"/>
      <c r="P1382" s="213" t="s">
        <v>518</v>
      </c>
      <c r="Q1382" s="35"/>
      <c r="R1382" s="35"/>
      <c r="S1382" s="35"/>
    </row>
    <row r="1383" spans="1:21" s="34" customFormat="1" ht="13.9" hidden="1" customHeight="1" outlineLevel="1" x14ac:dyDescent="0.2">
      <c r="A1383" s="457">
        <f ca="1">IF($H1383="UNIDADE CONSTRUTIVA",OFFSET(A1383,-1,0)+1,LARGE(A$3:A1382,1))</f>
        <v>0</v>
      </c>
      <c r="B1383" s="457">
        <f t="shared" ca="1" si="342"/>
        <v>20</v>
      </c>
      <c r="C1383" s="457">
        <f t="shared" ca="1" si="343"/>
        <v>2</v>
      </c>
      <c r="D1383" s="458">
        <f t="shared" ca="1" si="344"/>
        <v>6</v>
      </c>
      <c r="E1383" s="458">
        <f t="shared" ca="1" si="345"/>
        <v>0</v>
      </c>
      <c r="G1383" s="206"/>
      <c r="H1383" s="207" t="s">
        <v>211</v>
      </c>
      <c r="I1383" s="208" t="str">
        <f t="shared" ca="1" si="346"/>
        <v>20.002.006</v>
      </c>
      <c r="J1383" s="209" t="s">
        <v>173</v>
      </c>
      <c r="K1383" s="210"/>
      <c r="L1383" s="455"/>
      <c r="M1383" s="455"/>
      <c r="N1383" s="285">
        <f t="shared" ca="1" si="341"/>
        <v>61195.799999999996</v>
      </c>
      <c r="O1383" s="462"/>
      <c r="P1383" s="213"/>
      <c r="Q1383" s="35"/>
      <c r="R1383" s="35"/>
      <c r="S1383" s="21"/>
      <c r="T1383" s="15"/>
      <c r="U1383" s="15"/>
    </row>
    <row r="1384" spans="1:21" s="34" customFormat="1" ht="13.9" hidden="1" customHeight="1" outlineLevel="2" x14ac:dyDescent="0.2">
      <c r="A1384" s="457">
        <f ca="1">IF($H1384="UNIDADE CONSTRUTIVA",OFFSET(A1384,-1,0)+1,LARGE(A$3:A1383,1))</f>
        <v>0</v>
      </c>
      <c r="B1384" s="457">
        <f t="shared" ca="1" si="342"/>
        <v>20</v>
      </c>
      <c r="C1384" s="457">
        <f t="shared" ca="1" si="343"/>
        <v>2</v>
      </c>
      <c r="D1384" s="458">
        <f t="shared" ca="1" si="344"/>
        <v>6</v>
      </c>
      <c r="E1384" s="458">
        <f t="shared" ca="1" si="345"/>
        <v>1</v>
      </c>
      <c r="G1384" s="206"/>
      <c r="H1384" s="207" t="s">
        <v>212</v>
      </c>
      <c r="I1384" s="208" t="str">
        <f t="shared" ca="1" si="346"/>
        <v>20.002.006.001</v>
      </c>
      <c r="J1384" s="209" t="s">
        <v>173</v>
      </c>
      <c r="K1384" s="210" t="s">
        <v>151</v>
      </c>
      <c r="L1384" s="455">
        <v>1</v>
      </c>
      <c r="M1384" s="455">
        <f>Complementares!D97</f>
        <v>61195.799999999996</v>
      </c>
      <c r="N1384" s="285">
        <f t="shared" si="341"/>
        <v>61195.799999999996</v>
      </c>
      <c r="O1384" s="462"/>
      <c r="P1384" s="213" t="s">
        <v>518</v>
      </c>
      <c r="Q1384" s="35"/>
      <c r="R1384" s="35"/>
      <c r="S1384" s="21"/>
      <c r="T1384" s="15"/>
      <c r="U1384" s="15"/>
    </row>
    <row r="1385" spans="1:21" s="34" customFormat="1" ht="13.9" customHeight="1" collapsed="1" x14ac:dyDescent="0.2">
      <c r="A1385" s="457">
        <f ca="1">IF($H1385="UNIDADE CONSTRUTIVA",OFFSET(A1385,-1,0)+1,LARGE(A$3:A1384,1))</f>
        <v>0</v>
      </c>
      <c r="B1385" s="457">
        <f t="shared" ca="1" si="342"/>
        <v>21</v>
      </c>
      <c r="C1385" s="457">
        <f t="shared" ca="1" si="343"/>
        <v>0</v>
      </c>
      <c r="D1385" s="458">
        <f t="shared" ca="1" si="344"/>
        <v>6</v>
      </c>
      <c r="E1385" s="458">
        <f t="shared" ca="1" si="345"/>
        <v>1</v>
      </c>
      <c r="G1385" s="206"/>
      <c r="H1385" s="207" t="s">
        <v>209</v>
      </c>
      <c r="I1385" s="208" t="str">
        <f t="shared" ca="1" si="346"/>
        <v>21</v>
      </c>
      <c r="J1385" s="209" t="s">
        <v>174</v>
      </c>
      <c r="K1385" s="210"/>
      <c r="L1385" s="455"/>
      <c r="M1385" s="455"/>
      <c r="N1385" s="285">
        <f t="shared" ca="1" si="341"/>
        <v>635004.310405956</v>
      </c>
      <c r="O1385" s="462"/>
      <c r="P1385" s="213"/>
      <c r="Q1385" s="463"/>
      <c r="R1385" s="463"/>
      <c r="S1385" s="21"/>
      <c r="T1385" s="15"/>
      <c r="U1385" s="15"/>
    </row>
    <row r="1386" spans="1:21" s="34" customFormat="1" ht="13.9" hidden="1" customHeight="1" outlineLevel="1" x14ac:dyDescent="0.2">
      <c r="A1386" s="457">
        <f ca="1">IF($H1386="UNIDADE CONSTRUTIVA",OFFSET(A1386,-1,0)+1,LARGE(A$3:A1385,1))</f>
        <v>0</v>
      </c>
      <c r="B1386" s="457">
        <f t="shared" ca="1" si="342"/>
        <v>21</v>
      </c>
      <c r="C1386" s="457">
        <f t="shared" ca="1" si="343"/>
        <v>1</v>
      </c>
      <c r="D1386" s="458">
        <f t="shared" ca="1" si="344"/>
        <v>0</v>
      </c>
      <c r="E1386" s="458">
        <f t="shared" ca="1" si="345"/>
        <v>1</v>
      </c>
      <c r="G1386" s="206"/>
      <c r="H1386" s="207" t="s">
        <v>210</v>
      </c>
      <c r="I1386" s="208" t="str">
        <f t="shared" ca="1" si="346"/>
        <v>21.001</v>
      </c>
      <c r="J1386" s="209" t="s">
        <v>174</v>
      </c>
      <c r="K1386" s="210"/>
      <c r="L1386" s="455"/>
      <c r="M1386" s="455"/>
      <c r="N1386" s="285">
        <f t="shared" ca="1" si="341"/>
        <v>635004.310405956</v>
      </c>
      <c r="O1386" s="462"/>
      <c r="P1386" s="213"/>
      <c r="Q1386" s="35"/>
      <c r="R1386" s="35"/>
      <c r="S1386" s="21"/>
      <c r="T1386" s="15"/>
      <c r="U1386" s="15"/>
    </row>
    <row r="1387" spans="1:21" s="34" customFormat="1" ht="13.9" hidden="1" customHeight="1" outlineLevel="1" x14ac:dyDescent="0.2">
      <c r="A1387" s="457">
        <f ca="1">IF($H1387="UNIDADE CONSTRUTIVA",OFFSET(A1387,-1,0)+1,LARGE(A$3:A1386,1))</f>
        <v>0</v>
      </c>
      <c r="B1387" s="457">
        <f t="shared" ca="1" si="342"/>
        <v>21</v>
      </c>
      <c r="C1387" s="457">
        <f t="shared" ca="1" si="343"/>
        <v>1</v>
      </c>
      <c r="D1387" s="458">
        <f t="shared" ca="1" si="344"/>
        <v>1</v>
      </c>
      <c r="E1387" s="458">
        <f t="shared" ca="1" si="345"/>
        <v>0</v>
      </c>
      <c r="G1387" s="206"/>
      <c r="H1387" s="207" t="s">
        <v>211</v>
      </c>
      <c r="I1387" s="208" t="str">
        <f t="shared" ca="1" si="346"/>
        <v>21.001.001</v>
      </c>
      <c r="J1387" s="209" t="s">
        <v>175</v>
      </c>
      <c r="K1387" s="210"/>
      <c r="L1387" s="455"/>
      <c r="M1387" s="455"/>
      <c r="N1387" s="285">
        <f t="shared" ca="1" si="341"/>
        <v>635004.310405956</v>
      </c>
      <c r="O1387" s="462"/>
      <c r="P1387" s="213"/>
      <c r="Q1387" s="35"/>
      <c r="R1387" s="35"/>
      <c r="S1387" s="21"/>
      <c r="T1387" s="15"/>
      <c r="U1387" s="15"/>
    </row>
    <row r="1388" spans="1:21" s="34" customFormat="1" ht="11.25" hidden="1" outlineLevel="2" x14ac:dyDescent="0.2">
      <c r="A1388" s="457">
        <f ca="1">IF($H1388="UNIDADE CONSTRUTIVA",OFFSET(A1388,-1,0)+1,LARGE(A$3:A1387,1))</f>
        <v>0</v>
      </c>
      <c r="B1388" s="457">
        <f t="shared" ca="1" si="342"/>
        <v>21</v>
      </c>
      <c r="C1388" s="457">
        <f t="shared" ca="1" si="343"/>
        <v>1</v>
      </c>
      <c r="D1388" s="458">
        <f t="shared" ca="1" si="344"/>
        <v>1</v>
      </c>
      <c r="E1388" s="458">
        <f t="shared" ca="1" si="345"/>
        <v>1</v>
      </c>
      <c r="G1388" s="206"/>
      <c r="H1388" s="207" t="s">
        <v>212</v>
      </c>
      <c r="I1388" s="208" t="str">
        <f t="shared" ca="1" si="346"/>
        <v>21.001.001.001</v>
      </c>
      <c r="J1388" s="209" t="s">
        <v>175</v>
      </c>
      <c r="K1388" s="210" t="s">
        <v>151</v>
      </c>
      <c r="L1388" s="455">
        <v>1</v>
      </c>
      <c r="M1388" s="455">
        <f>SUMIFS(N7:N1384,H7:H1384,"serviço")*0.02</f>
        <v>635004.310405956</v>
      </c>
      <c r="N1388" s="285">
        <f t="shared" si="341"/>
        <v>635004.310405956</v>
      </c>
      <c r="O1388" s="462"/>
      <c r="P1388" s="213"/>
      <c r="Q1388" s="35"/>
      <c r="R1388" s="35"/>
      <c r="S1388" s="21"/>
      <c r="T1388" s="15"/>
      <c r="U1388" s="15"/>
    </row>
    <row r="1389" spans="1:21" ht="11.25" x14ac:dyDescent="0.2">
      <c r="A1389" s="457">
        <f ca="1">IF($H1389="UNIDADE CONSTRUTIVA",OFFSET(A1389,-1,0)+1,LARGE(A$3:A1388,1))</f>
        <v>0</v>
      </c>
      <c r="B1389" s="457">
        <f t="shared" ca="1" si="342"/>
        <v>21</v>
      </c>
      <c r="C1389" s="457">
        <f t="shared" ca="1" si="343"/>
        <v>1</v>
      </c>
      <c r="D1389" s="458">
        <f t="shared" ca="1" si="344"/>
        <v>1</v>
      </c>
      <c r="E1389" s="458">
        <f t="shared" ca="1" si="345"/>
        <v>1</v>
      </c>
      <c r="F1389" s="34"/>
      <c r="M1389" s="474">
        <f ca="1">SUMIFS($N$7:$N$1388,$H$7:$H$1388,N1389)</f>
        <v>32385219.830703773</v>
      </c>
      <c r="N1389" s="287" t="s">
        <v>209</v>
      </c>
    </row>
    <row r="1390" spans="1:21" ht="11.25" x14ac:dyDescent="0.2">
      <c r="A1390" s="457">
        <f ca="1">IF($H1390="UNIDADE CONSTRUTIVA",OFFSET(A1390,-1,0)+1,LARGE(A$3:A1389,1))</f>
        <v>0</v>
      </c>
      <c r="B1390" s="457">
        <f t="shared" ca="1" si="342"/>
        <v>21</v>
      </c>
      <c r="C1390" s="457">
        <f t="shared" ca="1" si="343"/>
        <v>1</v>
      </c>
      <c r="D1390" s="458">
        <f t="shared" ca="1" si="344"/>
        <v>1</v>
      </c>
      <c r="E1390" s="458">
        <f t="shared" ca="1" si="345"/>
        <v>1</v>
      </c>
      <c r="F1390" s="34"/>
      <c r="N1390" s="287"/>
    </row>
    <row r="1391" spans="1:21" ht="11.25" x14ac:dyDescent="0.2">
      <c r="A1391" s="457">
        <f ca="1">IF($H1391="UNIDADE CONSTRUTIVA",OFFSET(A1391,-1,0)+1,LARGE(A$3:A1390,1))</f>
        <v>0</v>
      </c>
      <c r="B1391" s="457">
        <f t="shared" ca="1" si="342"/>
        <v>21</v>
      </c>
      <c r="C1391" s="457">
        <f t="shared" ca="1" si="343"/>
        <v>1</v>
      </c>
      <c r="D1391" s="458">
        <f t="shared" ca="1" si="344"/>
        <v>1</v>
      </c>
      <c r="E1391" s="458">
        <f t="shared" ca="1" si="345"/>
        <v>1</v>
      </c>
      <c r="F1391" s="34"/>
      <c r="M1391" s="474"/>
      <c r="N1391" s="287"/>
    </row>
    <row r="1392" spans="1:21" ht="11.25" x14ac:dyDescent="0.2">
      <c r="A1392" s="457">
        <f ca="1">IF($H1392="UNIDADE CONSTRUTIVA",OFFSET(A1392,-1,0)+1,LARGE(A$3:A1391,1))</f>
        <v>0</v>
      </c>
      <c r="B1392" s="457">
        <f t="shared" ca="1" si="342"/>
        <v>21</v>
      </c>
      <c r="C1392" s="457">
        <f t="shared" ca="1" si="343"/>
        <v>1</v>
      </c>
      <c r="D1392" s="458">
        <f t="shared" ca="1" si="344"/>
        <v>1</v>
      </c>
      <c r="E1392" s="458">
        <f t="shared" ca="1" si="345"/>
        <v>1</v>
      </c>
      <c r="F1392" s="34"/>
      <c r="M1392" s="474"/>
      <c r="N1392" s="287"/>
    </row>
    <row r="1393" spans="1:14" ht="11.25" x14ac:dyDescent="0.2">
      <c r="A1393" s="457">
        <f ca="1">IF($H1393="UNIDADE CONSTRUTIVA",OFFSET(A1393,-1,0)+1,LARGE(A$3:A1392,1))</f>
        <v>0</v>
      </c>
      <c r="B1393" s="457">
        <f t="shared" ca="1" si="342"/>
        <v>21</v>
      </c>
      <c r="C1393" s="457">
        <f t="shared" ca="1" si="343"/>
        <v>1</v>
      </c>
      <c r="D1393" s="458">
        <f t="shared" ca="1" si="344"/>
        <v>1</v>
      </c>
      <c r="E1393" s="458">
        <f t="shared" ca="1" si="345"/>
        <v>1</v>
      </c>
      <c r="F1393" s="34"/>
      <c r="M1393" s="474"/>
      <c r="N1393" s="287"/>
    </row>
    <row r="1394" spans="1:14" ht="11.25" x14ac:dyDescent="0.2">
      <c r="A1394" s="457">
        <f ca="1">IF($H1394="UNIDADE CONSTRUTIVA",OFFSET(A1394,-1,0)+1,LARGE(A$3:A1393,1))</f>
        <v>0</v>
      </c>
      <c r="B1394" s="457">
        <f t="shared" ca="1" si="342"/>
        <v>21</v>
      </c>
      <c r="C1394" s="457">
        <f t="shared" ca="1" si="343"/>
        <v>1</v>
      </c>
      <c r="D1394" s="458">
        <f t="shared" ca="1" si="344"/>
        <v>1</v>
      </c>
      <c r="E1394" s="458">
        <f t="shared" ca="1" si="345"/>
        <v>1</v>
      </c>
      <c r="F1394" s="34"/>
    </row>
    <row r="1395" spans="1:14" ht="14.1" customHeight="1" x14ac:dyDescent="0.2">
      <c r="A1395" s="457">
        <f ca="1">IF($H1395="UNIDADE CONSTRUTIVA",OFFSET(A1395,-1,0)+1,LARGE(A$3:A1394,1))</f>
        <v>0</v>
      </c>
      <c r="B1395" s="457">
        <f t="shared" ca="1" si="342"/>
        <v>21</v>
      </c>
      <c r="C1395" s="457">
        <f t="shared" ca="1" si="343"/>
        <v>1</v>
      </c>
      <c r="D1395" s="458">
        <f t="shared" ca="1" si="344"/>
        <v>1</v>
      </c>
      <c r="E1395" s="458">
        <f t="shared" ca="1" si="345"/>
        <v>1</v>
      </c>
      <c r="F1395" s="34"/>
    </row>
    <row r="1396" spans="1:14" ht="14.1" customHeight="1" x14ac:dyDescent="0.2">
      <c r="A1396" s="457">
        <f ca="1">IF($H1396="UNIDADE CONSTRUTIVA",OFFSET(A1396,-1,0)+1,LARGE(A$3:A1395,1))</f>
        <v>0</v>
      </c>
      <c r="B1396" s="457">
        <f t="shared" ca="1" si="342"/>
        <v>21</v>
      </c>
      <c r="C1396" s="457">
        <f t="shared" ca="1" si="343"/>
        <v>1</v>
      </c>
      <c r="D1396" s="458">
        <f t="shared" ca="1" si="344"/>
        <v>1</v>
      </c>
      <c r="E1396" s="458">
        <f t="shared" ca="1" si="345"/>
        <v>1</v>
      </c>
      <c r="F1396" s="34"/>
    </row>
    <row r="1397" spans="1:14" ht="14.1" customHeight="1" x14ac:dyDescent="0.2">
      <c r="A1397" s="457">
        <f ca="1">IF($H1397="UNIDADE CONSTRUTIVA",OFFSET(A1397,-1,0)+1,LARGE(A$3:A1396,1))</f>
        <v>0</v>
      </c>
      <c r="B1397" s="457">
        <f t="shared" ca="1" si="342"/>
        <v>21</v>
      </c>
      <c r="C1397" s="457">
        <f t="shared" ca="1" si="343"/>
        <v>1</v>
      </c>
      <c r="D1397" s="458">
        <f t="shared" ca="1" si="344"/>
        <v>1</v>
      </c>
      <c r="E1397" s="458">
        <f t="shared" ca="1" si="345"/>
        <v>1</v>
      </c>
      <c r="F1397" s="34"/>
    </row>
    <row r="1398" spans="1:14" ht="14.1" customHeight="1" x14ac:dyDescent="0.2">
      <c r="A1398" s="457">
        <f ca="1">IF($H1398="UNIDADE CONSTRUTIVA",OFFSET(A1398,-1,0)+1,LARGE(A$3:A1397,1))</f>
        <v>0</v>
      </c>
      <c r="B1398" s="457">
        <f t="shared" ca="1" si="342"/>
        <v>21</v>
      </c>
      <c r="C1398" s="457">
        <f t="shared" ca="1" si="343"/>
        <v>1</v>
      </c>
      <c r="D1398" s="458">
        <f t="shared" ca="1" si="344"/>
        <v>1</v>
      </c>
      <c r="E1398" s="458">
        <f t="shared" ca="1" si="345"/>
        <v>1</v>
      </c>
      <c r="F1398" s="34"/>
    </row>
    <row r="1399" spans="1:14" ht="14.1" customHeight="1" x14ac:dyDescent="0.2">
      <c r="A1399" s="457">
        <f ca="1">IF($H1399="UNIDADE CONSTRUTIVA",OFFSET(A1399,-1,0)+1,LARGE(A$3:A1398,1))</f>
        <v>0</v>
      </c>
      <c r="B1399" s="457">
        <f t="shared" ca="1" si="342"/>
        <v>21</v>
      </c>
      <c r="C1399" s="457">
        <f t="shared" ca="1" si="343"/>
        <v>1</v>
      </c>
      <c r="D1399" s="458">
        <f t="shared" ca="1" si="344"/>
        <v>1</v>
      </c>
      <c r="E1399" s="458">
        <f t="shared" ca="1" si="345"/>
        <v>1</v>
      </c>
      <c r="F1399" s="34"/>
    </row>
    <row r="1400" spans="1:14" ht="14.1" customHeight="1" x14ac:dyDescent="0.2">
      <c r="A1400" s="457">
        <f ca="1">IF($H1400="UNIDADE CONSTRUTIVA",OFFSET(A1400,-1,0)+1,LARGE(A$3:A1399,1))</f>
        <v>0</v>
      </c>
      <c r="B1400" s="457">
        <f t="shared" ca="1" si="342"/>
        <v>21</v>
      </c>
      <c r="C1400" s="457">
        <f t="shared" ca="1" si="343"/>
        <v>1</v>
      </c>
      <c r="D1400" s="458">
        <f t="shared" ca="1" si="344"/>
        <v>1</v>
      </c>
      <c r="E1400" s="458">
        <f t="shared" ca="1" si="345"/>
        <v>1</v>
      </c>
      <c r="F1400" s="34"/>
    </row>
    <row r="1401" spans="1:14" ht="14.1" customHeight="1" x14ac:dyDescent="0.2">
      <c r="A1401" s="457">
        <f ca="1">IF($H1401="UNIDADE CONSTRUTIVA",OFFSET(A1401,-1,0)+1,LARGE(A$3:A1400,1))</f>
        <v>0</v>
      </c>
      <c r="B1401" s="457">
        <f t="shared" ca="1" si="342"/>
        <v>21</v>
      </c>
      <c r="C1401" s="457">
        <f t="shared" ca="1" si="343"/>
        <v>1</v>
      </c>
      <c r="D1401" s="458">
        <f t="shared" ca="1" si="344"/>
        <v>1</v>
      </c>
      <c r="E1401" s="458">
        <f t="shared" ca="1" si="345"/>
        <v>1</v>
      </c>
      <c r="F1401" s="34"/>
    </row>
    <row r="1402" spans="1:14" ht="14.1" customHeight="1" x14ac:dyDescent="0.2">
      <c r="A1402" s="457">
        <f ca="1">IF($H1402="UNIDADE CONSTRUTIVA",OFFSET(A1402,-1,0)+1,LARGE(A$3:A1401,1))</f>
        <v>0</v>
      </c>
      <c r="B1402" s="457">
        <f t="shared" ca="1" si="342"/>
        <v>21</v>
      </c>
      <c r="C1402" s="457">
        <f t="shared" ca="1" si="343"/>
        <v>1</v>
      </c>
      <c r="D1402" s="458">
        <f t="shared" ca="1" si="344"/>
        <v>1</v>
      </c>
      <c r="E1402" s="458">
        <f t="shared" ca="1" si="345"/>
        <v>1</v>
      </c>
      <c r="F1402" s="34"/>
    </row>
    <row r="1403" spans="1:14" ht="14.1" customHeight="1" x14ac:dyDescent="0.2">
      <c r="A1403" s="457">
        <f ca="1">IF($H1403="UNIDADE CONSTRUTIVA",OFFSET(A1403,-1,0)+1,LARGE(A$3:A1402,1))</f>
        <v>0</v>
      </c>
      <c r="B1403" s="457">
        <f t="shared" ca="1" si="342"/>
        <v>21</v>
      </c>
      <c r="C1403" s="457">
        <f t="shared" ca="1" si="343"/>
        <v>1</v>
      </c>
      <c r="D1403" s="458">
        <f t="shared" ca="1" si="344"/>
        <v>1</v>
      </c>
      <c r="E1403" s="458">
        <f t="shared" ca="1" si="345"/>
        <v>1</v>
      </c>
      <c r="F1403" s="34"/>
    </row>
    <row r="1404" spans="1:14" ht="14.1" customHeight="1" x14ac:dyDescent="0.2">
      <c r="A1404" s="457">
        <f ca="1">IF($H1404="UNIDADE CONSTRUTIVA",OFFSET(A1404,-1,0)+1,LARGE(A$3:A1403,1))</f>
        <v>0</v>
      </c>
      <c r="B1404" s="457">
        <f t="shared" ca="1" si="342"/>
        <v>21</v>
      </c>
      <c r="C1404" s="457">
        <f t="shared" ca="1" si="343"/>
        <v>1</v>
      </c>
      <c r="D1404" s="458">
        <f t="shared" ca="1" si="344"/>
        <v>1</v>
      </c>
      <c r="E1404" s="458">
        <f t="shared" ca="1" si="345"/>
        <v>1</v>
      </c>
      <c r="F1404" s="34"/>
    </row>
    <row r="1405" spans="1:14" ht="14.1" customHeight="1" x14ac:dyDescent="0.2">
      <c r="A1405" s="457">
        <f ca="1">IF($H1405="UNIDADE CONSTRUTIVA",OFFSET(A1405,-1,0)+1,LARGE(A$3:A1404,1))</f>
        <v>0</v>
      </c>
      <c r="B1405" s="457">
        <f t="shared" ca="1" si="342"/>
        <v>21</v>
      </c>
      <c r="C1405" s="457">
        <f t="shared" ca="1" si="343"/>
        <v>1</v>
      </c>
      <c r="D1405" s="458">
        <f t="shared" ca="1" si="344"/>
        <v>1</v>
      </c>
      <c r="E1405" s="458">
        <f t="shared" ca="1" si="345"/>
        <v>1</v>
      </c>
      <c r="F1405" s="34"/>
    </row>
    <row r="1406" spans="1:14" ht="14.1" customHeight="1" x14ac:dyDescent="0.2">
      <c r="A1406" s="457">
        <f ca="1">IF($H1406="UNIDADE CONSTRUTIVA",OFFSET(A1406,-1,0)+1,LARGE(A$3:A1405,1))</f>
        <v>0</v>
      </c>
      <c r="B1406" s="457">
        <f t="shared" ca="1" si="342"/>
        <v>21</v>
      </c>
      <c r="C1406" s="457">
        <f t="shared" ca="1" si="343"/>
        <v>1</v>
      </c>
      <c r="D1406" s="458">
        <f t="shared" ca="1" si="344"/>
        <v>1</v>
      </c>
      <c r="E1406" s="458">
        <f t="shared" ca="1" si="345"/>
        <v>1</v>
      </c>
      <c r="F1406" s="34"/>
    </row>
    <row r="1407" spans="1:14" ht="14.1" customHeight="1" x14ac:dyDescent="0.2">
      <c r="A1407" s="457">
        <f ca="1">IF($H1407="UNIDADE CONSTRUTIVA",OFFSET(A1407,-1,0)+1,LARGE(A$3:A1406,1))</f>
        <v>0</v>
      </c>
      <c r="B1407" s="457">
        <f t="shared" ca="1" si="342"/>
        <v>21</v>
      </c>
      <c r="C1407" s="457">
        <f t="shared" ca="1" si="343"/>
        <v>1</v>
      </c>
      <c r="D1407" s="458">
        <f t="shared" ca="1" si="344"/>
        <v>1</v>
      </c>
      <c r="E1407" s="458">
        <f t="shared" ca="1" si="345"/>
        <v>1</v>
      </c>
      <c r="F1407" s="34"/>
    </row>
    <row r="1408" spans="1:14" ht="14.1" customHeight="1" x14ac:dyDescent="0.2">
      <c r="A1408" s="457">
        <f ca="1">IF($H1408="UNIDADE CONSTRUTIVA",OFFSET(A1408,-1,0)+1,LARGE(A$3:A1407,1))</f>
        <v>0</v>
      </c>
      <c r="B1408" s="457">
        <f t="shared" ca="1" si="342"/>
        <v>21</v>
      </c>
      <c r="C1408" s="457">
        <f t="shared" ca="1" si="343"/>
        <v>1</v>
      </c>
      <c r="D1408" s="458">
        <f t="shared" ca="1" si="344"/>
        <v>1</v>
      </c>
      <c r="E1408" s="458">
        <f t="shared" ca="1" si="345"/>
        <v>1</v>
      </c>
      <c r="F1408" s="34"/>
    </row>
    <row r="1409" spans="1:6" ht="14.1" customHeight="1" x14ac:dyDescent="0.2">
      <c r="A1409" s="457">
        <f ca="1">IF($H1409="UNIDADE CONSTRUTIVA",OFFSET(A1409,-1,0)+1,LARGE(A$3:A1408,1))</f>
        <v>0</v>
      </c>
      <c r="B1409" s="457">
        <f t="shared" ca="1" si="342"/>
        <v>21</v>
      </c>
      <c r="C1409" s="457">
        <f t="shared" ca="1" si="343"/>
        <v>1</v>
      </c>
      <c r="D1409" s="458">
        <f t="shared" ca="1" si="344"/>
        <v>1</v>
      </c>
      <c r="E1409" s="458">
        <f t="shared" ca="1" si="345"/>
        <v>1</v>
      </c>
      <c r="F1409" s="34"/>
    </row>
    <row r="1410" spans="1:6" ht="14.1" customHeight="1" x14ac:dyDescent="0.2">
      <c r="A1410" s="457">
        <f ca="1">IF($H1410="UNIDADE CONSTRUTIVA",OFFSET(A1410,-1,0)+1,LARGE(A$3:A1409,1))</f>
        <v>0</v>
      </c>
      <c r="B1410" s="457">
        <f t="shared" ca="1" si="342"/>
        <v>21</v>
      </c>
      <c r="C1410" s="457">
        <f t="shared" ca="1" si="343"/>
        <v>1</v>
      </c>
      <c r="D1410" s="458">
        <f t="shared" ca="1" si="344"/>
        <v>1</v>
      </c>
      <c r="E1410" s="458">
        <f t="shared" ca="1" si="345"/>
        <v>1</v>
      </c>
      <c r="F1410" s="34"/>
    </row>
    <row r="1411" spans="1:6" ht="14.1" customHeight="1" x14ac:dyDescent="0.2">
      <c r="A1411" s="457">
        <f ca="1">IF($H1411="UNIDADE CONSTRUTIVA",OFFSET(A1411,-1,0)+1,LARGE(A$3:A1410,1))</f>
        <v>0</v>
      </c>
      <c r="B1411" s="457">
        <f t="shared" ca="1" si="342"/>
        <v>21</v>
      </c>
      <c r="C1411" s="457">
        <f t="shared" ca="1" si="343"/>
        <v>1</v>
      </c>
      <c r="D1411" s="458">
        <f t="shared" ca="1" si="344"/>
        <v>1</v>
      </c>
      <c r="E1411" s="458">
        <f t="shared" ca="1" si="345"/>
        <v>1</v>
      </c>
      <c r="F1411" s="34"/>
    </row>
    <row r="1412" spans="1:6" ht="14.1" customHeight="1" x14ac:dyDescent="0.2">
      <c r="A1412" s="457">
        <f ca="1">IF($H1412="UNIDADE CONSTRUTIVA",OFFSET(A1412,-1,0)+1,LARGE(A$3:A1411,1))</f>
        <v>0</v>
      </c>
      <c r="B1412" s="457">
        <f t="shared" ca="1" si="342"/>
        <v>21</v>
      </c>
      <c r="C1412" s="457">
        <f t="shared" ca="1" si="343"/>
        <v>1</v>
      </c>
      <c r="D1412" s="458">
        <f t="shared" ca="1" si="344"/>
        <v>1</v>
      </c>
      <c r="E1412" s="458">
        <f t="shared" ca="1" si="345"/>
        <v>1</v>
      </c>
      <c r="F1412" s="34"/>
    </row>
    <row r="1413" spans="1:6" ht="14.1" customHeight="1" x14ac:dyDescent="0.2">
      <c r="A1413" s="457">
        <f ca="1">IF($H1413="UNIDADE CONSTRUTIVA",OFFSET(A1413,-1,0)+1,LARGE(A$3:A1412,1))</f>
        <v>0</v>
      </c>
      <c r="B1413" s="457">
        <f t="shared" ca="1" si="342"/>
        <v>21</v>
      </c>
      <c r="C1413" s="457">
        <f t="shared" ca="1" si="343"/>
        <v>1</v>
      </c>
      <c r="D1413" s="458">
        <f t="shared" ca="1" si="344"/>
        <v>1</v>
      </c>
      <c r="E1413" s="458">
        <f t="shared" ca="1" si="345"/>
        <v>1</v>
      </c>
      <c r="F1413" s="34"/>
    </row>
    <row r="1414" spans="1:6" ht="14.1" customHeight="1" x14ac:dyDescent="0.2">
      <c r="A1414" s="457">
        <f ca="1">IF($H1414="UNIDADE CONSTRUTIVA",OFFSET(A1414,-1,0)+1,LARGE(A$3:A1413,1))</f>
        <v>0</v>
      </c>
      <c r="B1414" s="457">
        <f t="shared" ca="1" si="342"/>
        <v>21</v>
      </c>
      <c r="C1414" s="457">
        <f t="shared" ca="1" si="343"/>
        <v>1</v>
      </c>
      <c r="D1414" s="458">
        <f t="shared" ca="1" si="344"/>
        <v>1</v>
      </c>
      <c r="E1414" s="458">
        <f t="shared" ca="1" si="345"/>
        <v>1</v>
      </c>
      <c r="F1414" s="34"/>
    </row>
    <row r="1415" spans="1:6" ht="14.1" customHeight="1" x14ac:dyDescent="0.2">
      <c r="A1415" s="457">
        <f ca="1">IF($H1415="UNIDADE CONSTRUTIVA",OFFSET(A1415,-1,0)+1,LARGE(A$3:A1414,1))</f>
        <v>0</v>
      </c>
      <c r="B1415" s="457">
        <f t="shared" ca="1" si="342"/>
        <v>21</v>
      </c>
      <c r="C1415" s="457">
        <f t="shared" ca="1" si="343"/>
        <v>1</v>
      </c>
      <c r="D1415" s="458">
        <f t="shared" ca="1" si="344"/>
        <v>1</v>
      </c>
      <c r="E1415" s="458">
        <f t="shared" ca="1" si="345"/>
        <v>1</v>
      </c>
      <c r="F1415" s="34"/>
    </row>
    <row r="1416" spans="1:6" ht="14.1" customHeight="1" x14ac:dyDescent="0.2">
      <c r="A1416" s="457">
        <f ca="1">IF($H1416="UNIDADE CONSTRUTIVA",OFFSET(A1416,-1,0)+1,LARGE(A$3:A1415,1))</f>
        <v>0</v>
      </c>
      <c r="B1416" s="457">
        <f t="shared" ca="1" si="342"/>
        <v>21</v>
      </c>
      <c r="C1416" s="457">
        <f t="shared" ca="1" si="343"/>
        <v>1</v>
      </c>
      <c r="D1416" s="458">
        <f t="shared" ca="1" si="344"/>
        <v>1</v>
      </c>
      <c r="E1416" s="458">
        <f t="shared" ca="1" si="345"/>
        <v>1</v>
      </c>
      <c r="F1416" s="34"/>
    </row>
    <row r="1417" spans="1:6" ht="14.1" customHeight="1" x14ac:dyDescent="0.2">
      <c r="A1417" s="457">
        <f ca="1">IF($H1417="UNIDADE CONSTRUTIVA",OFFSET(A1417,-1,0)+1,LARGE(A$3:A1416,1))</f>
        <v>0</v>
      </c>
      <c r="B1417" s="457">
        <f t="shared" ca="1" si="342"/>
        <v>21</v>
      </c>
      <c r="C1417" s="457">
        <f t="shared" ca="1" si="343"/>
        <v>1</v>
      </c>
      <c r="D1417" s="458">
        <f t="shared" ca="1" si="344"/>
        <v>1</v>
      </c>
      <c r="E1417" s="458">
        <f t="shared" ca="1" si="345"/>
        <v>1</v>
      </c>
      <c r="F1417" s="34"/>
    </row>
    <row r="1418" spans="1:6" ht="14.1" customHeight="1" x14ac:dyDescent="0.2">
      <c r="A1418" s="457">
        <f ca="1">IF($H1418="UNIDADE CONSTRUTIVA",OFFSET(A1418,-1,0)+1,LARGE(A$3:A1417,1))</f>
        <v>0</v>
      </c>
      <c r="B1418" s="457">
        <f t="shared" ca="1" si="342"/>
        <v>21</v>
      </c>
      <c r="C1418" s="457">
        <f t="shared" ca="1" si="343"/>
        <v>1</v>
      </c>
      <c r="D1418" s="458">
        <f t="shared" ca="1" si="344"/>
        <v>1</v>
      </c>
      <c r="E1418" s="458">
        <f t="shared" ca="1" si="345"/>
        <v>1</v>
      </c>
      <c r="F1418" s="34"/>
    </row>
    <row r="1419" spans="1:6" ht="14.1" customHeight="1" x14ac:dyDescent="0.2">
      <c r="A1419" s="457">
        <f ca="1">IF($H1419="UNIDADE CONSTRUTIVA",OFFSET(A1419,-1,0)+1,LARGE(A$3:A1418,1))</f>
        <v>0</v>
      </c>
      <c r="B1419" s="457">
        <f t="shared" ca="1" si="342"/>
        <v>21</v>
      </c>
      <c r="C1419" s="457">
        <f t="shared" ca="1" si="343"/>
        <v>1</v>
      </c>
      <c r="D1419" s="458">
        <f t="shared" ca="1" si="344"/>
        <v>1</v>
      </c>
      <c r="E1419" s="458">
        <f t="shared" ca="1" si="345"/>
        <v>1</v>
      </c>
      <c r="F1419" s="34"/>
    </row>
    <row r="1420" spans="1:6" ht="14.1" customHeight="1" x14ac:dyDescent="0.2">
      <c r="A1420" s="457">
        <f ca="1">IF($H1420="UNIDADE CONSTRUTIVA",OFFSET(A1420,-1,0)+1,LARGE(A$3:A1419,1))</f>
        <v>0</v>
      </c>
      <c r="B1420" s="457">
        <f t="shared" ca="1" si="342"/>
        <v>21</v>
      </c>
      <c r="C1420" s="457">
        <f t="shared" ca="1" si="343"/>
        <v>1</v>
      </c>
      <c r="D1420" s="458">
        <f t="shared" ca="1" si="344"/>
        <v>1</v>
      </c>
      <c r="E1420" s="458">
        <f t="shared" ca="1" si="345"/>
        <v>1</v>
      </c>
      <c r="F1420" s="34"/>
    </row>
    <row r="1421" spans="1:6" ht="14.1" customHeight="1" x14ac:dyDescent="0.2">
      <c r="A1421" s="457">
        <f ca="1">IF($H1421="UNIDADE CONSTRUTIVA",OFFSET(A1421,-1,0)+1,LARGE(A$3:A1420,1))</f>
        <v>0</v>
      </c>
      <c r="B1421" s="457">
        <f t="shared" ca="1" si="342"/>
        <v>21</v>
      </c>
      <c r="C1421" s="457">
        <f t="shared" ca="1" si="343"/>
        <v>1</v>
      </c>
      <c r="D1421" s="458">
        <f t="shared" ca="1" si="344"/>
        <v>1</v>
      </c>
      <c r="E1421" s="458">
        <f t="shared" ca="1" si="345"/>
        <v>1</v>
      </c>
      <c r="F1421" s="34"/>
    </row>
    <row r="1422" spans="1:6" ht="14.1" customHeight="1" x14ac:dyDescent="0.2">
      <c r="A1422" s="457">
        <f ca="1">IF($H1422="UNIDADE CONSTRUTIVA",OFFSET(A1422,-1,0)+1,LARGE(A$3:A1421,1))</f>
        <v>0</v>
      </c>
      <c r="B1422" s="457">
        <f t="shared" ca="1" si="342"/>
        <v>21</v>
      </c>
      <c r="C1422" s="457">
        <f t="shared" ca="1" si="343"/>
        <v>1</v>
      </c>
      <c r="D1422" s="458">
        <f t="shared" ca="1" si="344"/>
        <v>1</v>
      </c>
      <c r="E1422" s="458">
        <f t="shared" ca="1" si="345"/>
        <v>1</v>
      </c>
      <c r="F1422" s="34"/>
    </row>
    <row r="1423" spans="1:6" ht="14.1" customHeight="1" x14ac:dyDescent="0.2">
      <c r="A1423" s="457">
        <f ca="1">IF($H1423="UNIDADE CONSTRUTIVA",OFFSET(A1423,-1,0)+1,LARGE(A$3:A1422,1))</f>
        <v>0</v>
      </c>
      <c r="B1423" s="457">
        <f t="shared" ca="1" si="342"/>
        <v>21</v>
      </c>
      <c r="C1423" s="457">
        <f t="shared" ca="1" si="343"/>
        <v>1</v>
      </c>
      <c r="D1423" s="458">
        <f t="shared" ca="1" si="344"/>
        <v>1</v>
      </c>
      <c r="E1423" s="458">
        <f t="shared" ca="1" si="345"/>
        <v>1</v>
      </c>
      <c r="F1423" s="34"/>
    </row>
    <row r="1424" spans="1:6" ht="14.1" customHeight="1" x14ac:dyDescent="0.2">
      <c r="A1424" s="457">
        <f ca="1">IF($H1424="UNIDADE CONSTRUTIVA",OFFSET(A1424,-1,0)+1,LARGE(A$3:A1423,1))</f>
        <v>0</v>
      </c>
      <c r="B1424" s="457">
        <f t="shared" ca="1" si="342"/>
        <v>21</v>
      </c>
      <c r="C1424" s="457">
        <f t="shared" ca="1" si="343"/>
        <v>1</v>
      </c>
      <c r="D1424" s="458">
        <f t="shared" ca="1" si="344"/>
        <v>1</v>
      </c>
      <c r="E1424" s="458">
        <f t="shared" ca="1" si="345"/>
        <v>1</v>
      </c>
      <c r="F1424" s="34"/>
    </row>
    <row r="1425" spans="1:6" ht="14.1" customHeight="1" x14ac:dyDescent="0.2">
      <c r="A1425" s="457">
        <f ca="1">IF($H1425="UNIDADE CONSTRUTIVA",OFFSET(A1425,-1,0)+1,LARGE(A$3:A1424,1))</f>
        <v>0</v>
      </c>
      <c r="B1425" s="457">
        <f t="shared" ca="1" si="342"/>
        <v>21</v>
      </c>
      <c r="C1425" s="457">
        <f t="shared" ca="1" si="343"/>
        <v>1</v>
      </c>
      <c r="D1425" s="458">
        <f t="shared" ca="1" si="344"/>
        <v>1</v>
      </c>
      <c r="E1425" s="458">
        <f t="shared" ca="1" si="345"/>
        <v>1</v>
      </c>
      <c r="F1425" s="34"/>
    </row>
    <row r="1426" spans="1:6" ht="14.1" customHeight="1" x14ac:dyDescent="0.2">
      <c r="A1426" s="457">
        <f ca="1">IF($H1426="UNIDADE CONSTRUTIVA",OFFSET(A1426,-1,0)+1,LARGE(A$3:A1425,1))</f>
        <v>0</v>
      </c>
      <c r="B1426" s="457">
        <f t="shared" ca="1" si="342"/>
        <v>21</v>
      </c>
      <c r="C1426" s="457">
        <f t="shared" ca="1" si="343"/>
        <v>1</v>
      </c>
      <c r="D1426" s="458">
        <f t="shared" ca="1" si="344"/>
        <v>1</v>
      </c>
      <c r="E1426" s="458">
        <f t="shared" ca="1" si="345"/>
        <v>1</v>
      </c>
      <c r="F1426" s="34"/>
    </row>
    <row r="1427" spans="1:6" ht="14.1" customHeight="1" x14ac:dyDescent="0.2">
      <c r="A1427" s="457">
        <f ca="1">IF($H1427="UNIDADE CONSTRUTIVA",OFFSET(A1427,-1,0)+1,LARGE(A$3:A1426,1))</f>
        <v>0</v>
      </c>
      <c r="B1427" s="457">
        <f t="shared" ca="1" si="342"/>
        <v>21</v>
      </c>
      <c r="C1427" s="457">
        <f t="shared" ca="1" si="343"/>
        <v>1</v>
      </c>
      <c r="D1427" s="458">
        <f t="shared" ca="1" si="344"/>
        <v>1</v>
      </c>
      <c r="E1427" s="458">
        <f t="shared" ca="1" si="345"/>
        <v>1</v>
      </c>
      <c r="F1427" s="34"/>
    </row>
    <row r="1428" spans="1:6" ht="14.1" customHeight="1" x14ac:dyDescent="0.2">
      <c r="A1428" s="457">
        <f ca="1">IF($H1428="UNIDADE CONSTRUTIVA",OFFSET(A1428,-1,0)+1,LARGE(A$3:A1427,1))</f>
        <v>0</v>
      </c>
      <c r="B1428" s="457">
        <f t="shared" ca="1" si="342"/>
        <v>21</v>
      </c>
      <c r="C1428" s="457">
        <f t="shared" ca="1" si="343"/>
        <v>1</v>
      </c>
      <c r="D1428" s="458">
        <f t="shared" ca="1" si="344"/>
        <v>1</v>
      </c>
      <c r="E1428" s="458">
        <f t="shared" ca="1" si="345"/>
        <v>1</v>
      </c>
      <c r="F1428" s="34"/>
    </row>
    <row r="1429" spans="1:6" ht="14.1" customHeight="1" x14ac:dyDescent="0.2">
      <c r="A1429" s="457">
        <f ca="1">IF($H1429="UNIDADE CONSTRUTIVA",OFFSET(A1429,-1,0)+1,LARGE(A$3:A1428,1))</f>
        <v>0</v>
      </c>
      <c r="B1429" s="457">
        <f t="shared" ca="1" si="342"/>
        <v>21</v>
      </c>
      <c r="C1429" s="457">
        <f t="shared" ca="1" si="343"/>
        <v>1</v>
      </c>
      <c r="D1429" s="458">
        <f t="shared" ca="1" si="344"/>
        <v>1</v>
      </c>
      <c r="E1429" s="458">
        <f t="shared" ca="1" si="345"/>
        <v>1</v>
      </c>
      <c r="F1429" s="34"/>
    </row>
    <row r="1430" spans="1:6" ht="14.1" customHeight="1" x14ac:dyDescent="0.2">
      <c r="A1430" s="457">
        <f ca="1">IF($H1430="UNIDADE CONSTRUTIVA",OFFSET(A1430,-1,0)+1,LARGE(A$3:A1429,1))</f>
        <v>0</v>
      </c>
      <c r="B1430" s="457">
        <f t="shared" ca="1" si="342"/>
        <v>21</v>
      </c>
      <c r="C1430" s="457">
        <f t="shared" ca="1" si="343"/>
        <v>1</v>
      </c>
      <c r="D1430" s="458">
        <f t="shared" ca="1" si="344"/>
        <v>1</v>
      </c>
      <c r="E1430" s="458">
        <f t="shared" ca="1" si="345"/>
        <v>1</v>
      </c>
      <c r="F1430" s="34"/>
    </row>
    <row r="1431" spans="1:6" ht="14.1" customHeight="1" x14ac:dyDescent="0.2">
      <c r="A1431" s="457">
        <f ca="1">IF($H1431="UNIDADE CONSTRUTIVA",OFFSET(A1431,-1,0)+1,LARGE(A$3:A1430,1))</f>
        <v>0</v>
      </c>
      <c r="B1431" s="457">
        <f t="shared" ca="1" si="342"/>
        <v>21</v>
      </c>
      <c r="C1431" s="457">
        <f t="shared" ca="1" si="343"/>
        <v>1</v>
      </c>
      <c r="D1431" s="458">
        <f t="shared" ca="1" si="344"/>
        <v>1</v>
      </c>
      <c r="E1431" s="458">
        <f t="shared" ca="1" si="345"/>
        <v>1</v>
      </c>
      <c r="F1431" s="34"/>
    </row>
    <row r="1432" spans="1:6" ht="14.1" customHeight="1" x14ac:dyDescent="0.2">
      <c r="A1432" s="457">
        <f ca="1">IF($H1432="UNIDADE CONSTRUTIVA",OFFSET(A1432,-1,0)+1,LARGE(A$3:A1431,1))</f>
        <v>0</v>
      </c>
      <c r="B1432" s="457">
        <f t="shared" ca="1" si="342"/>
        <v>21</v>
      </c>
      <c r="C1432" s="457">
        <f t="shared" ca="1" si="343"/>
        <v>1</v>
      </c>
      <c r="D1432" s="458">
        <f t="shared" ca="1" si="344"/>
        <v>1</v>
      </c>
      <c r="E1432" s="458">
        <f t="shared" ca="1" si="345"/>
        <v>1</v>
      </c>
      <c r="F1432" s="34"/>
    </row>
    <row r="1433" spans="1:6" ht="14.1" customHeight="1" x14ac:dyDescent="0.2">
      <c r="A1433" s="457">
        <f ca="1">IF($H1433="UNIDADE CONSTRUTIVA",OFFSET(A1433,-1,0)+1,LARGE(A$3:A1432,1))</f>
        <v>0</v>
      </c>
      <c r="B1433" s="457">
        <f t="shared" ca="1" si="342"/>
        <v>21</v>
      </c>
      <c r="C1433" s="457">
        <f t="shared" ca="1" si="343"/>
        <v>1</v>
      </c>
      <c r="D1433" s="458">
        <f t="shared" ca="1" si="344"/>
        <v>1</v>
      </c>
      <c r="E1433" s="458">
        <f t="shared" ca="1" si="345"/>
        <v>1</v>
      </c>
      <c r="F1433" s="34"/>
    </row>
    <row r="1434" spans="1:6" ht="14.1" customHeight="1" x14ac:dyDescent="0.2">
      <c r="A1434" s="457">
        <f ca="1">IF($H1434="UNIDADE CONSTRUTIVA",OFFSET(A1434,-1,0)+1,LARGE(A$3:A1433,1))</f>
        <v>0</v>
      </c>
      <c r="B1434" s="457">
        <f t="shared" ca="1" si="342"/>
        <v>21</v>
      </c>
      <c r="C1434" s="457">
        <f t="shared" ca="1" si="343"/>
        <v>1</v>
      </c>
      <c r="D1434" s="458">
        <f t="shared" ca="1" si="344"/>
        <v>1</v>
      </c>
      <c r="E1434" s="458">
        <f t="shared" ca="1" si="345"/>
        <v>1</v>
      </c>
      <c r="F1434" s="34"/>
    </row>
    <row r="1435" spans="1:6" ht="14.1" customHeight="1" x14ac:dyDescent="0.2">
      <c r="A1435" s="457">
        <f ca="1">IF($H1435="UNIDADE CONSTRUTIVA",OFFSET(A1435,-1,0)+1,LARGE(A$3:A1434,1))</f>
        <v>0</v>
      </c>
      <c r="B1435" s="457">
        <f t="shared" ref="B1435:B1498" ca="1" si="347">IF(H1435="UNIDADE CONSTRUTIVA",0,IF(H1435="CÉLULA CONSTRUTIVA",OFFSET(B1435,-1,0)+1,OFFSET(B1435,-1,0)))</f>
        <v>21</v>
      </c>
      <c r="C1435" s="457">
        <f t="shared" ref="C1435:C1498" ca="1" si="348">IF(H1435="CÉLULA CONSTRUTIVA",0,IF(H1435="ETAPA",OFFSET(C1435,-1,0)+1,OFFSET(C1435,-1,0)))</f>
        <v>1</v>
      </c>
      <c r="D1435" s="458">
        <f t="shared" ref="D1435:D1498" ca="1" si="349">IF(H1435="ETAPA",0,IF(H1435="SUBETAPA",OFFSET(D1435,-1,0)+1,OFFSET(D1435,-1,0)))</f>
        <v>1</v>
      </c>
      <c r="E1435" s="458">
        <f t="shared" ref="E1435:E1498" ca="1" si="350">IF(H1435="Subetapa",0,IF(H1435="serviço",OFFSET(E1435,-1,0)+1,OFFSET(E1435,-1,0)))</f>
        <v>1</v>
      </c>
      <c r="F1435" s="34"/>
    </row>
    <row r="1436" spans="1:6" ht="14.1" customHeight="1" x14ac:dyDescent="0.2">
      <c r="A1436" s="457">
        <f ca="1">IF($H1436="UNIDADE CONSTRUTIVA",OFFSET(A1436,-1,0)+1,LARGE(A$3:A1435,1))</f>
        <v>0</v>
      </c>
      <c r="B1436" s="457">
        <f t="shared" ca="1" si="347"/>
        <v>21</v>
      </c>
      <c r="C1436" s="457">
        <f t="shared" ca="1" si="348"/>
        <v>1</v>
      </c>
      <c r="D1436" s="458">
        <f t="shared" ca="1" si="349"/>
        <v>1</v>
      </c>
      <c r="E1436" s="458">
        <f t="shared" ca="1" si="350"/>
        <v>1</v>
      </c>
      <c r="F1436" s="34"/>
    </row>
    <row r="1437" spans="1:6" ht="14.1" customHeight="1" x14ac:dyDescent="0.2">
      <c r="A1437" s="457">
        <f ca="1">IF($H1437="UNIDADE CONSTRUTIVA",OFFSET(A1437,-1,0)+1,LARGE(A$3:A1436,1))</f>
        <v>0</v>
      </c>
      <c r="B1437" s="457">
        <f t="shared" ca="1" si="347"/>
        <v>21</v>
      </c>
      <c r="C1437" s="457">
        <f t="shared" ca="1" si="348"/>
        <v>1</v>
      </c>
      <c r="D1437" s="458">
        <f t="shared" ca="1" si="349"/>
        <v>1</v>
      </c>
      <c r="E1437" s="458">
        <f t="shared" ca="1" si="350"/>
        <v>1</v>
      </c>
      <c r="F1437" s="34"/>
    </row>
    <row r="1438" spans="1:6" ht="14.1" customHeight="1" x14ac:dyDescent="0.2">
      <c r="A1438" s="457">
        <f ca="1">IF($H1438="UNIDADE CONSTRUTIVA",OFFSET(A1438,-1,0)+1,LARGE(A$3:A1437,1))</f>
        <v>0</v>
      </c>
      <c r="B1438" s="457">
        <f t="shared" ca="1" si="347"/>
        <v>21</v>
      </c>
      <c r="C1438" s="457">
        <f t="shared" ca="1" si="348"/>
        <v>1</v>
      </c>
      <c r="D1438" s="458">
        <f t="shared" ca="1" si="349"/>
        <v>1</v>
      </c>
      <c r="E1438" s="458">
        <f t="shared" ca="1" si="350"/>
        <v>1</v>
      </c>
      <c r="F1438" s="34"/>
    </row>
    <row r="1439" spans="1:6" ht="14.1" customHeight="1" x14ac:dyDescent="0.2">
      <c r="A1439" s="457">
        <f ca="1">IF($H1439="UNIDADE CONSTRUTIVA",OFFSET(A1439,-1,0)+1,LARGE(A$3:A1438,1))</f>
        <v>0</v>
      </c>
      <c r="B1439" s="457">
        <f t="shared" ca="1" si="347"/>
        <v>21</v>
      </c>
      <c r="C1439" s="457">
        <f t="shared" ca="1" si="348"/>
        <v>1</v>
      </c>
      <c r="D1439" s="458">
        <f t="shared" ca="1" si="349"/>
        <v>1</v>
      </c>
      <c r="E1439" s="458">
        <f t="shared" ca="1" si="350"/>
        <v>1</v>
      </c>
      <c r="F1439" s="34"/>
    </row>
    <row r="1440" spans="1:6" ht="14.1" customHeight="1" x14ac:dyDescent="0.2">
      <c r="A1440" s="457">
        <f ca="1">IF($H1440="UNIDADE CONSTRUTIVA",OFFSET(A1440,-1,0)+1,LARGE(A$3:A1439,1))</f>
        <v>0</v>
      </c>
      <c r="B1440" s="457">
        <f t="shared" ca="1" si="347"/>
        <v>21</v>
      </c>
      <c r="C1440" s="457">
        <f t="shared" ca="1" si="348"/>
        <v>1</v>
      </c>
      <c r="D1440" s="458">
        <f t="shared" ca="1" si="349"/>
        <v>1</v>
      </c>
      <c r="E1440" s="458">
        <f t="shared" ca="1" si="350"/>
        <v>1</v>
      </c>
      <c r="F1440" s="34"/>
    </row>
    <row r="1441" spans="1:6" ht="14.1" customHeight="1" x14ac:dyDescent="0.2">
      <c r="A1441" s="457">
        <f ca="1">IF($H1441="UNIDADE CONSTRUTIVA",OFFSET(A1441,-1,0)+1,LARGE(A$3:A1440,1))</f>
        <v>0</v>
      </c>
      <c r="B1441" s="457">
        <f t="shared" ca="1" si="347"/>
        <v>21</v>
      </c>
      <c r="C1441" s="457">
        <f t="shared" ca="1" si="348"/>
        <v>1</v>
      </c>
      <c r="D1441" s="458">
        <f t="shared" ca="1" si="349"/>
        <v>1</v>
      </c>
      <c r="E1441" s="458">
        <f t="shared" ca="1" si="350"/>
        <v>1</v>
      </c>
      <c r="F1441" s="34"/>
    </row>
    <row r="1442" spans="1:6" ht="14.1" customHeight="1" x14ac:dyDescent="0.2">
      <c r="A1442" s="457">
        <f ca="1">IF($H1442="UNIDADE CONSTRUTIVA",OFFSET(A1442,-1,0)+1,LARGE(A$3:A1441,1))</f>
        <v>0</v>
      </c>
      <c r="B1442" s="457">
        <f t="shared" ca="1" si="347"/>
        <v>21</v>
      </c>
      <c r="C1442" s="457">
        <f t="shared" ca="1" si="348"/>
        <v>1</v>
      </c>
      <c r="D1442" s="458">
        <f t="shared" ca="1" si="349"/>
        <v>1</v>
      </c>
      <c r="E1442" s="458">
        <f t="shared" ca="1" si="350"/>
        <v>1</v>
      </c>
      <c r="F1442" s="34"/>
    </row>
    <row r="1443" spans="1:6" ht="14.1" customHeight="1" x14ac:dyDescent="0.2">
      <c r="A1443" s="457">
        <f ca="1">IF($H1443="UNIDADE CONSTRUTIVA",OFFSET(A1443,-1,0)+1,LARGE(A$3:A1442,1))</f>
        <v>0</v>
      </c>
      <c r="B1443" s="457">
        <f t="shared" ca="1" si="347"/>
        <v>21</v>
      </c>
      <c r="C1443" s="457">
        <f t="shared" ca="1" si="348"/>
        <v>1</v>
      </c>
      <c r="D1443" s="458">
        <f t="shared" ca="1" si="349"/>
        <v>1</v>
      </c>
      <c r="E1443" s="458">
        <f t="shared" ca="1" si="350"/>
        <v>1</v>
      </c>
      <c r="F1443" s="34"/>
    </row>
    <row r="1444" spans="1:6" ht="14.1" customHeight="1" x14ac:dyDescent="0.2">
      <c r="A1444" s="457">
        <f ca="1">IF($H1444="UNIDADE CONSTRUTIVA",OFFSET(A1444,-1,0)+1,LARGE(A$3:A1443,1))</f>
        <v>0</v>
      </c>
      <c r="B1444" s="457">
        <f t="shared" ca="1" si="347"/>
        <v>21</v>
      </c>
      <c r="C1444" s="457">
        <f t="shared" ca="1" si="348"/>
        <v>1</v>
      </c>
      <c r="D1444" s="458">
        <f t="shared" ca="1" si="349"/>
        <v>1</v>
      </c>
      <c r="E1444" s="458">
        <f t="shared" ca="1" si="350"/>
        <v>1</v>
      </c>
      <c r="F1444" s="34"/>
    </row>
    <row r="1445" spans="1:6" ht="14.1" customHeight="1" x14ac:dyDescent="0.2">
      <c r="A1445" s="457">
        <f ca="1">IF($H1445="UNIDADE CONSTRUTIVA",OFFSET(A1445,-1,0)+1,LARGE(A$3:A1444,1))</f>
        <v>0</v>
      </c>
      <c r="B1445" s="457">
        <f t="shared" ca="1" si="347"/>
        <v>21</v>
      </c>
      <c r="C1445" s="457">
        <f t="shared" ca="1" si="348"/>
        <v>1</v>
      </c>
      <c r="D1445" s="458">
        <f t="shared" ca="1" si="349"/>
        <v>1</v>
      </c>
      <c r="E1445" s="458">
        <f t="shared" ca="1" si="350"/>
        <v>1</v>
      </c>
      <c r="F1445" s="34"/>
    </row>
    <row r="1446" spans="1:6" ht="14.1" customHeight="1" x14ac:dyDescent="0.2">
      <c r="A1446" s="457">
        <f ca="1">IF($H1446="UNIDADE CONSTRUTIVA",OFFSET(A1446,-1,0)+1,LARGE(A$3:A1445,1))</f>
        <v>0</v>
      </c>
      <c r="B1446" s="457">
        <f t="shared" ca="1" si="347"/>
        <v>21</v>
      </c>
      <c r="C1446" s="457">
        <f t="shared" ca="1" si="348"/>
        <v>1</v>
      </c>
      <c r="D1446" s="458">
        <f t="shared" ca="1" si="349"/>
        <v>1</v>
      </c>
      <c r="E1446" s="458">
        <f t="shared" ca="1" si="350"/>
        <v>1</v>
      </c>
      <c r="F1446" s="34"/>
    </row>
    <row r="1447" spans="1:6" ht="14.1" customHeight="1" x14ac:dyDescent="0.2">
      <c r="A1447" s="457">
        <f ca="1">IF($H1447="UNIDADE CONSTRUTIVA",OFFSET(A1447,-1,0)+1,LARGE(A$3:A1446,1))</f>
        <v>0</v>
      </c>
      <c r="B1447" s="457">
        <f t="shared" ca="1" si="347"/>
        <v>21</v>
      </c>
      <c r="C1447" s="457">
        <f t="shared" ca="1" si="348"/>
        <v>1</v>
      </c>
      <c r="D1447" s="458">
        <f t="shared" ca="1" si="349"/>
        <v>1</v>
      </c>
      <c r="E1447" s="458">
        <f t="shared" ca="1" si="350"/>
        <v>1</v>
      </c>
      <c r="F1447" s="34"/>
    </row>
    <row r="1448" spans="1:6" ht="14.1" customHeight="1" x14ac:dyDescent="0.2">
      <c r="A1448" s="457">
        <f ca="1">IF($H1448="UNIDADE CONSTRUTIVA",OFFSET(A1448,-1,0)+1,LARGE(A$3:A1447,1))</f>
        <v>0</v>
      </c>
      <c r="B1448" s="457">
        <f t="shared" ca="1" si="347"/>
        <v>21</v>
      </c>
      <c r="C1448" s="457">
        <f t="shared" ca="1" si="348"/>
        <v>1</v>
      </c>
      <c r="D1448" s="458">
        <f t="shared" ca="1" si="349"/>
        <v>1</v>
      </c>
      <c r="E1448" s="458">
        <f t="shared" ca="1" si="350"/>
        <v>1</v>
      </c>
      <c r="F1448" s="34"/>
    </row>
    <row r="1449" spans="1:6" ht="14.1" customHeight="1" x14ac:dyDescent="0.2">
      <c r="A1449" s="457">
        <f ca="1">IF($H1449="UNIDADE CONSTRUTIVA",OFFSET(A1449,-1,0)+1,LARGE(A$3:A1448,1))</f>
        <v>0</v>
      </c>
      <c r="B1449" s="457">
        <f t="shared" ca="1" si="347"/>
        <v>21</v>
      </c>
      <c r="C1449" s="457">
        <f t="shared" ca="1" si="348"/>
        <v>1</v>
      </c>
      <c r="D1449" s="458">
        <f t="shared" ca="1" si="349"/>
        <v>1</v>
      </c>
      <c r="E1449" s="458">
        <f t="shared" ca="1" si="350"/>
        <v>1</v>
      </c>
      <c r="F1449" s="34"/>
    </row>
    <row r="1450" spans="1:6" ht="14.1" customHeight="1" x14ac:dyDescent="0.2">
      <c r="A1450" s="457">
        <f ca="1">IF($H1450="UNIDADE CONSTRUTIVA",OFFSET(A1450,-1,0)+1,LARGE(A$3:A1449,1))</f>
        <v>0</v>
      </c>
      <c r="B1450" s="457">
        <f t="shared" ca="1" si="347"/>
        <v>21</v>
      </c>
      <c r="C1450" s="457">
        <f t="shared" ca="1" si="348"/>
        <v>1</v>
      </c>
      <c r="D1450" s="458">
        <f t="shared" ca="1" si="349"/>
        <v>1</v>
      </c>
      <c r="E1450" s="458">
        <f t="shared" ca="1" si="350"/>
        <v>1</v>
      </c>
      <c r="F1450" s="34"/>
    </row>
    <row r="1451" spans="1:6" ht="14.1" customHeight="1" x14ac:dyDescent="0.2">
      <c r="A1451" s="457">
        <f ca="1">IF($H1451="UNIDADE CONSTRUTIVA",OFFSET(A1451,-1,0)+1,LARGE(A$3:A1450,1))</f>
        <v>0</v>
      </c>
      <c r="B1451" s="457">
        <f t="shared" ca="1" si="347"/>
        <v>21</v>
      </c>
      <c r="C1451" s="457">
        <f t="shared" ca="1" si="348"/>
        <v>1</v>
      </c>
      <c r="D1451" s="458">
        <f t="shared" ca="1" si="349"/>
        <v>1</v>
      </c>
      <c r="E1451" s="458">
        <f t="shared" ca="1" si="350"/>
        <v>1</v>
      </c>
      <c r="F1451" s="34"/>
    </row>
    <row r="1452" spans="1:6" ht="14.1" customHeight="1" x14ac:dyDescent="0.2">
      <c r="A1452" s="457">
        <f ca="1">IF($H1452="UNIDADE CONSTRUTIVA",OFFSET(A1452,-1,0)+1,LARGE(A$3:A1451,1))</f>
        <v>0</v>
      </c>
      <c r="B1452" s="457">
        <f t="shared" ca="1" si="347"/>
        <v>21</v>
      </c>
      <c r="C1452" s="457">
        <f t="shared" ca="1" si="348"/>
        <v>1</v>
      </c>
      <c r="D1452" s="458">
        <f t="shared" ca="1" si="349"/>
        <v>1</v>
      </c>
      <c r="E1452" s="458">
        <f t="shared" ca="1" si="350"/>
        <v>1</v>
      </c>
      <c r="F1452" s="34"/>
    </row>
    <row r="1453" spans="1:6" ht="14.1" customHeight="1" x14ac:dyDescent="0.2">
      <c r="A1453" s="457">
        <f ca="1">IF($H1453="UNIDADE CONSTRUTIVA",OFFSET(A1453,-1,0)+1,LARGE(A$3:A1452,1))</f>
        <v>0</v>
      </c>
      <c r="B1453" s="457">
        <f t="shared" ca="1" si="347"/>
        <v>21</v>
      </c>
      <c r="C1453" s="457">
        <f t="shared" ca="1" si="348"/>
        <v>1</v>
      </c>
      <c r="D1453" s="458">
        <f t="shared" ca="1" si="349"/>
        <v>1</v>
      </c>
      <c r="E1453" s="458">
        <f t="shared" ca="1" si="350"/>
        <v>1</v>
      </c>
      <c r="F1453" s="34"/>
    </row>
    <row r="1454" spans="1:6" ht="14.1" customHeight="1" x14ac:dyDescent="0.2">
      <c r="A1454" s="457">
        <f ca="1">IF($H1454="UNIDADE CONSTRUTIVA",OFFSET(A1454,-1,0)+1,LARGE(A$3:A1453,1))</f>
        <v>0</v>
      </c>
      <c r="B1454" s="457">
        <f t="shared" ca="1" si="347"/>
        <v>21</v>
      </c>
      <c r="C1454" s="457">
        <f t="shared" ca="1" si="348"/>
        <v>1</v>
      </c>
      <c r="D1454" s="458">
        <f t="shared" ca="1" si="349"/>
        <v>1</v>
      </c>
      <c r="E1454" s="458">
        <f t="shared" ca="1" si="350"/>
        <v>1</v>
      </c>
      <c r="F1454" s="34"/>
    </row>
    <row r="1455" spans="1:6" ht="14.1" customHeight="1" x14ac:dyDescent="0.2">
      <c r="A1455" s="457">
        <f ca="1">IF($H1455="UNIDADE CONSTRUTIVA",OFFSET(A1455,-1,0)+1,LARGE(A$3:A1454,1))</f>
        <v>0</v>
      </c>
      <c r="B1455" s="457">
        <f t="shared" ca="1" si="347"/>
        <v>21</v>
      </c>
      <c r="C1455" s="457">
        <f t="shared" ca="1" si="348"/>
        <v>1</v>
      </c>
      <c r="D1455" s="458">
        <f t="shared" ca="1" si="349"/>
        <v>1</v>
      </c>
      <c r="E1455" s="458">
        <f t="shared" ca="1" si="350"/>
        <v>1</v>
      </c>
      <c r="F1455" s="34"/>
    </row>
    <row r="1456" spans="1:6" ht="14.1" customHeight="1" x14ac:dyDescent="0.2">
      <c r="A1456" s="457">
        <f ca="1">IF($H1456="UNIDADE CONSTRUTIVA",OFFSET(A1456,-1,0)+1,LARGE(A$3:A1455,1))</f>
        <v>0</v>
      </c>
      <c r="B1456" s="457">
        <f t="shared" ca="1" si="347"/>
        <v>21</v>
      </c>
      <c r="C1456" s="457">
        <f t="shared" ca="1" si="348"/>
        <v>1</v>
      </c>
      <c r="D1456" s="458">
        <f t="shared" ca="1" si="349"/>
        <v>1</v>
      </c>
      <c r="E1456" s="458">
        <f t="shared" ca="1" si="350"/>
        <v>1</v>
      </c>
      <c r="F1456" s="34"/>
    </row>
    <row r="1457" spans="1:6" ht="14.1" customHeight="1" x14ac:dyDescent="0.2">
      <c r="A1457" s="457">
        <f ca="1">IF($H1457="UNIDADE CONSTRUTIVA",OFFSET(A1457,-1,0)+1,LARGE(A$3:A1456,1))</f>
        <v>0</v>
      </c>
      <c r="B1457" s="457">
        <f t="shared" ca="1" si="347"/>
        <v>21</v>
      </c>
      <c r="C1457" s="457">
        <f t="shared" ca="1" si="348"/>
        <v>1</v>
      </c>
      <c r="D1457" s="458">
        <f t="shared" ca="1" si="349"/>
        <v>1</v>
      </c>
      <c r="E1457" s="458">
        <f t="shared" ca="1" si="350"/>
        <v>1</v>
      </c>
      <c r="F1457" s="34"/>
    </row>
    <row r="1458" spans="1:6" ht="14.1" customHeight="1" x14ac:dyDescent="0.2">
      <c r="A1458" s="457">
        <f ca="1">IF($H1458="UNIDADE CONSTRUTIVA",OFFSET(A1458,-1,0)+1,LARGE(A$3:A1457,1))</f>
        <v>0</v>
      </c>
      <c r="B1458" s="457">
        <f t="shared" ca="1" si="347"/>
        <v>21</v>
      </c>
      <c r="C1458" s="457">
        <f t="shared" ca="1" si="348"/>
        <v>1</v>
      </c>
      <c r="D1458" s="458">
        <f t="shared" ca="1" si="349"/>
        <v>1</v>
      </c>
      <c r="E1458" s="458">
        <f t="shared" ca="1" si="350"/>
        <v>1</v>
      </c>
      <c r="F1458" s="34"/>
    </row>
    <row r="1459" spans="1:6" ht="14.1" customHeight="1" x14ac:dyDescent="0.2">
      <c r="A1459" s="457">
        <f ca="1">IF($H1459="UNIDADE CONSTRUTIVA",OFFSET(A1459,-1,0)+1,LARGE(A$3:A1458,1))</f>
        <v>0</v>
      </c>
      <c r="B1459" s="457">
        <f t="shared" ca="1" si="347"/>
        <v>21</v>
      </c>
      <c r="C1459" s="457">
        <f t="shared" ca="1" si="348"/>
        <v>1</v>
      </c>
      <c r="D1459" s="458">
        <f t="shared" ca="1" si="349"/>
        <v>1</v>
      </c>
      <c r="E1459" s="458">
        <f t="shared" ca="1" si="350"/>
        <v>1</v>
      </c>
      <c r="F1459" s="34"/>
    </row>
    <row r="1460" spans="1:6" ht="14.1" customHeight="1" x14ac:dyDescent="0.2">
      <c r="A1460" s="457">
        <f ca="1">IF($H1460="UNIDADE CONSTRUTIVA",OFFSET(A1460,-1,0)+1,LARGE(A$3:A1459,1))</f>
        <v>0</v>
      </c>
      <c r="B1460" s="457">
        <f t="shared" ca="1" si="347"/>
        <v>21</v>
      </c>
      <c r="C1460" s="457">
        <f t="shared" ca="1" si="348"/>
        <v>1</v>
      </c>
      <c r="D1460" s="458">
        <f t="shared" ca="1" si="349"/>
        <v>1</v>
      </c>
      <c r="E1460" s="458">
        <f t="shared" ca="1" si="350"/>
        <v>1</v>
      </c>
      <c r="F1460" s="34"/>
    </row>
    <row r="1461" spans="1:6" ht="14.1" customHeight="1" x14ac:dyDescent="0.2">
      <c r="A1461" s="457">
        <f ca="1">IF($H1461="UNIDADE CONSTRUTIVA",OFFSET(A1461,-1,0)+1,LARGE(A$3:A1460,1))</f>
        <v>0</v>
      </c>
      <c r="B1461" s="457">
        <f t="shared" ca="1" si="347"/>
        <v>21</v>
      </c>
      <c r="C1461" s="457">
        <f t="shared" ca="1" si="348"/>
        <v>1</v>
      </c>
      <c r="D1461" s="458">
        <f t="shared" ca="1" si="349"/>
        <v>1</v>
      </c>
      <c r="E1461" s="458">
        <f t="shared" ca="1" si="350"/>
        <v>1</v>
      </c>
      <c r="F1461" s="34"/>
    </row>
    <row r="1462" spans="1:6" ht="14.1" customHeight="1" x14ac:dyDescent="0.2">
      <c r="A1462" s="457">
        <f ca="1">IF($H1462="UNIDADE CONSTRUTIVA",OFFSET(A1462,-1,0)+1,LARGE(A$3:A1461,1))</f>
        <v>0</v>
      </c>
      <c r="B1462" s="457">
        <f t="shared" ca="1" si="347"/>
        <v>21</v>
      </c>
      <c r="C1462" s="457">
        <f t="shared" ca="1" si="348"/>
        <v>1</v>
      </c>
      <c r="D1462" s="458">
        <f t="shared" ca="1" si="349"/>
        <v>1</v>
      </c>
      <c r="E1462" s="458">
        <f t="shared" ca="1" si="350"/>
        <v>1</v>
      </c>
      <c r="F1462" s="34"/>
    </row>
    <row r="1463" spans="1:6" ht="14.1" customHeight="1" x14ac:dyDescent="0.2">
      <c r="A1463" s="457">
        <f ca="1">IF($H1463="UNIDADE CONSTRUTIVA",OFFSET(A1463,-1,0)+1,LARGE(A$3:A1462,1))</f>
        <v>0</v>
      </c>
      <c r="B1463" s="457">
        <f t="shared" ca="1" si="347"/>
        <v>21</v>
      </c>
      <c r="C1463" s="457">
        <f t="shared" ca="1" si="348"/>
        <v>1</v>
      </c>
      <c r="D1463" s="458">
        <f t="shared" ca="1" si="349"/>
        <v>1</v>
      </c>
      <c r="E1463" s="458">
        <f t="shared" ca="1" si="350"/>
        <v>1</v>
      </c>
      <c r="F1463" s="34"/>
    </row>
    <row r="1464" spans="1:6" ht="14.1" customHeight="1" x14ac:dyDescent="0.2">
      <c r="A1464" s="457">
        <f ca="1">IF($H1464="UNIDADE CONSTRUTIVA",OFFSET(A1464,-1,0)+1,LARGE(A$3:A1463,1))</f>
        <v>0</v>
      </c>
      <c r="B1464" s="457">
        <f t="shared" ca="1" si="347"/>
        <v>21</v>
      </c>
      <c r="C1464" s="457">
        <f t="shared" ca="1" si="348"/>
        <v>1</v>
      </c>
      <c r="D1464" s="458">
        <f t="shared" ca="1" si="349"/>
        <v>1</v>
      </c>
      <c r="E1464" s="458">
        <f t="shared" ca="1" si="350"/>
        <v>1</v>
      </c>
      <c r="F1464" s="34"/>
    </row>
    <row r="1465" spans="1:6" ht="14.1" customHeight="1" x14ac:dyDescent="0.2">
      <c r="A1465" s="457">
        <f ca="1">IF($H1465="UNIDADE CONSTRUTIVA",OFFSET(A1465,-1,0)+1,LARGE(A$3:A1464,1))</f>
        <v>0</v>
      </c>
      <c r="B1465" s="457">
        <f t="shared" ca="1" si="347"/>
        <v>21</v>
      </c>
      <c r="C1465" s="457">
        <f t="shared" ca="1" si="348"/>
        <v>1</v>
      </c>
      <c r="D1465" s="458">
        <f t="shared" ca="1" si="349"/>
        <v>1</v>
      </c>
      <c r="E1465" s="458">
        <f t="shared" ca="1" si="350"/>
        <v>1</v>
      </c>
      <c r="F1465" s="34"/>
    </row>
    <row r="1466" spans="1:6" ht="14.1" customHeight="1" x14ac:dyDescent="0.2">
      <c r="A1466" s="457">
        <f ca="1">IF($H1466="UNIDADE CONSTRUTIVA",OFFSET(A1466,-1,0)+1,LARGE(A$3:A1465,1))</f>
        <v>0</v>
      </c>
      <c r="B1466" s="457">
        <f t="shared" ca="1" si="347"/>
        <v>21</v>
      </c>
      <c r="C1466" s="457">
        <f t="shared" ca="1" si="348"/>
        <v>1</v>
      </c>
      <c r="D1466" s="458">
        <f t="shared" ca="1" si="349"/>
        <v>1</v>
      </c>
      <c r="E1466" s="458">
        <f t="shared" ca="1" si="350"/>
        <v>1</v>
      </c>
      <c r="F1466" s="34"/>
    </row>
    <row r="1467" spans="1:6" ht="14.1" customHeight="1" x14ac:dyDescent="0.2">
      <c r="A1467" s="457">
        <f ca="1">IF($H1467="UNIDADE CONSTRUTIVA",OFFSET(A1467,-1,0)+1,LARGE(A$3:A1466,1))</f>
        <v>0</v>
      </c>
      <c r="B1467" s="457">
        <f t="shared" ca="1" si="347"/>
        <v>21</v>
      </c>
      <c r="C1467" s="457">
        <f t="shared" ca="1" si="348"/>
        <v>1</v>
      </c>
      <c r="D1467" s="458">
        <f t="shared" ca="1" si="349"/>
        <v>1</v>
      </c>
      <c r="E1467" s="458">
        <f t="shared" ca="1" si="350"/>
        <v>1</v>
      </c>
      <c r="F1467" s="34"/>
    </row>
    <row r="1468" spans="1:6" ht="14.1" customHeight="1" x14ac:dyDescent="0.2">
      <c r="A1468" s="457">
        <f ca="1">IF($H1468="UNIDADE CONSTRUTIVA",OFFSET(A1468,-1,0)+1,LARGE(A$3:A1467,1))</f>
        <v>0</v>
      </c>
      <c r="B1468" s="457">
        <f t="shared" ca="1" si="347"/>
        <v>21</v>
      </c>
      <c r="C1468" s="457">
        <f t="shared" ca="1" si="348"/>
        <v>1</v>
      </c>
      <c r="D1468" s="458">
        <f t="shared" ca="1" si="349"/>
        <v>1</v>
      </c>
      <c r="E1468" s="458">
        <f t="shared" ca="1" si="350"/>
        <v>1</v>
      </c>
      <c r="F1468" s="34"/>
    </row>
    <row r="1469" spans="1:6" ht="14.1" customHeight="1" x14ac:dyDescent="0.2">
      <c r="A1469" s="457">
        <f ca="1">IF($H1469="UNIDADE CONSTRUTIVA",OFFSET(A1469,-1,0)+1,LARGE(A$3:A1468,1))</f>
        <v>0</v>
      </c>
      <c r="B1469" s="457">
        <f t="shared" ca="1" si="347"/>
        <v>21</v>
      </c>
      <c r="C1469" s="457">
        <f t="shared" ca="1" si="348"/>
        <v>1</v>
      </c>
      <c r="D1469" s="458">
        <f t="shared" ca="1" si="349"/>
        <v>1</v>
      </c>
      <c r="E1469" s="458">
        <f t="shared" ca="1" si="350"/>
        <v>1</v>
      </c>
      <c r="F1469" s="34"/>
    </row>
    <row r="1470" spans="1:6" ht="14.1" customHeight="1" x14ac:dyDescent="0.2">
      <c r="A1470" s="457">
        <f ca="1">IF($H1470="UNIDADE CONSTRUTIVA",OFFSET(A1470,-1,0)+1,LARGE(A$3:A1469,1))</f>
        <v>0</v>
      </c>
      <c r="B1470" s="457">
        <f t="shared" ca="1" si="347"/>
        <v>21</v>
      </c>
      <c r="C1470" s="457">
        <f t="shared" ca="1" si="348"/>
        <v>1</v>
      </c>
      <c r="D1470" s="458">
        <f t="shared" ca="1" si="349"/>
        <v>1</v>
      </c>
      <c r="E1470" s="458">
        <f t="shared" ca="1" si="350"/>
        <v>1</v>
      </c>
      <c r="F1470" s="34"/>
    </row>
    <row r="1471" spans="1:6" ht="14.1" customHeight="1" x14ac:dyDescent="0.2">
      <c r="A1471" s="457">
        <f ca="1">IF($H1471="UNIDADE CONSTRUTIVA",OFFSET(A1471,-1,0)+1,LARGE(A$3:A1470,1))</f>
        <v>0</v>
      </c>
      <c r="B1471" s="457">
        <f t="shared" ca="1" si="347"/>
        <v>21</v>
      </c>
      <c r="C1471" s="457">
        <f t="shared" ca="1" si="348"/>
        <v>1</v>
      </c>
      <c r="D1471" s="458">
        <f t="shared" ca="1" si="349"/>
        <v>1</v>
      </c>
      <c r="E1471" s="458">
        <f t="shared" ca="1" si="350"/>
        <v>1</v>
      </c>
      <c r="F1471" s="34"/>
    </row>
    <row r="1472" spans="1:6" ht="14.1" customHeight="1" x14ac:dyDescent="0.2">
      <c r="A1472" s="457">
        <f ca="1">IF($H1472="UNIDADE CONSTRUTIVA",OFFSET(A1472,-1,0)+1,LARGE(A$3:A1471,1))</f>
        <v>0</v>
      </c>
      <c r="B1472" s="457">
        <f t="shared" ca="1" si="347"/>
        <v>21</v>
      </c>
      <c r="C1472" s="457">
        <f t="shared" ca="1" si="348"/>
        <v>1</v>
      </c>
      <c r="D1472" s="458">
        <f t="shared" ca="1" si="349"/>
        <v>1</v>
      </c>
      <c r="E1472" s="458">
        <f t="shared" ca="1" si="350"/>
        <v>1</v>
      </c>
      <c r="F1472" s="34"/>
    </row>
    <row r="1473" spans="1:6" ht="14.1" customHeight="1" x14ac:dyDescent="0.2">
      <c r="A1473" s="457">
        <f ca="1">IF($H1473="UNIDADE CONSTRUTIVA",OFFSET(A1473,-1,0)+1,LARGE(A$3:A1472,1))</f>
        <v>0</v>
      </c>
      <c r="B1473" s="457">
        <f t="shared" ca="1" si="347"/>
        <v>21</v>
      </c>
      <c r="C1473" s="457">
        <f t="shared" ca="1" si="348"/>
        <v>1</v>
      </c>
      <c r="D1473" s="458">
        <f t="shared" ca="1" si="349"/>
        <v>1</v>
      </c>
      <c r="E1473" s="458">
        <f t="shared" ca="1" si="350"/>
        <v>1</v>
      </c>
      <c r="F1473" s="34"/>
    </row>
    <row r="1474" spans="1:6" ht="14.1" customHeight="1" x14ac:dyDescent="0.2">
      <c r="A1474" s="457">
        <f ca="1">IF($H1474="UNIDADE CONSTRUTIVA",OFFSET(A1474,-1,0)+1,LARGE(A$3:A1473,1))</f>
        <v>0</v>
      </c>
      <c r="B1474" s="457">
        <f t="shared" ca="1" si="347"/>
        <v>21</v>
      </c>
      <c r="C1474" s="457">
        <f t="shared" ca="1" si="348"/>
        <v>1</v>
      </c>
      <c r="D1474" s="458">
        <f t="shared" ca="1" si="349"/>
        <v>1</v>
      </c>
      <c r="E1474" s="458">
        <f t="shared" ca="1" si="350"/>
        <v>1</v>
      </c>
      <c r="F1474" s="34"/>
    </row>
    <row r="1475" spans="1:6" ht="14.1" customHeight="1" x14ac:dyDescent="0.2">
      <c r="A1475" s="457">
        <f ca="1">IF($H1475="UNIDADE CONSTRUTIVA",OFFSET(A1475,-1,0)+1,LARGE(A$3:A1474,1))</f>
        <v>0</v>
      </c>
      <c r="B1475" s="457">
        <f t="shared" ca="1" si="347"/>
        <v>21</v>
      </c>
      <c r="C1475" s="457">
        <f t="shared" ca="1" si="348"/>
        <v>1</v>
      </c>
      <c r="D1475" s="458">
        <f t="shared" ca="1" si="349"/>
        <v>1</v>
      </c>
      <c r="E1475" s="458">
        <f t="shared" ca="1" si="350"/>
        <v>1</v>
      </c>
      <c r="F1475" s="34"/>
    </row>
    <row r="1476" spans="1:6" ht="14.1" customHeight="1" x14ac:dyDescent="0.2">
      <c r="A1476" s="457">
        <f ca="1">IF($H1476="UNIDADE CONSTRUTIVA",OFFSET(A1476,-1,0)+1,LARGE(A$3:A1475,1))</f>
        <v>0</v>
      </c>
      <c r="B1476" s="457">
        <f t="shared" ca="1" si="347"/>
        <v>21</v>
      </c>
      <c r="C1476" s="457">
        <f t="shared" ca="1" si="348"/>
        <v>1</v>
      </c>
      <c r="D1476" s="458">
        <f t="shared" ca="1" si="349"/>
        <v>1</v>
      </c>
      <c r="E1476" s="458">
        <f t="shared" ca="1" si="350"/>
        <v>1</v>
      </c>
      <c r="F1476" s="34"/>
    </row>
    <row r="1477" spans="1:6" ht="14.1" customHeight="1" x14ac:dyDescent="0.2">
      <c r="A1477" s="457">
        <f ca="1">IF($H1477="UNIDADE CONSTRUTIVA",OFFSET(A1477,-1,0)+1,LARGE(A$3:A1476,1))</f>
        <v>0</v>
      </c>
      <c r="B1477" s="457">
        <f t="shared" ca="1" si="347"/>
        <v>21</v>
      </c>
      <c r="C1477" s="457">
        <f t="shared" ca="1" si="348"/>
        <v>1</v>
      </c>
      <c r="D1477" s="458">
        <f t="shared" ca="1" si="349"/>
        <v>1</v>
      </c>
      <c r="E1477" s="458">
        <f t="shared" ca="1" si="350"/>
        <v>1</v>
      </c>
      <c r="F1477" s="34"/>
    </row>
    <row r="1478" spans="1:6" ht="14.1" customHeight="1" x14ac:dyDescent="0.2">
      <c r="A1478" s="457">
        <f ca="1">IF($H1478="UNIDADE CONSTRUTIVA",OFFSET(A1478,-1,0)+1,LARGE(A$3:A1477,1))</f>
        <v>0</v>
      </c>
      <c r="B1478" s="457">
        <f t="shared" ca="1" si="347"/>
        <v>21</v>
      </c>
      <c r="C1478" s="457">
        <f t="shared" ca="1" si="348"/>
        <v>1</v>
      </c>
      <c r="D1478" s="458">
        <f t="shared" ca="1" si="349"/>
        <v>1</v>
      </c>
      <c r="E1478" s="458">
        <f t="shared" ca="1" si="350"/>
        <v>1</v>
      </c>
      <c r="F1478" s="34"/>
    </row>
    <row r="1479" spans="1:6" ht="14.1" customHeight="1" x14ac:dyDescent="0.2">
      <c r="A1479" s="457">
        <f ca="1">IF($H1479="UNIDADE CONSTRUTIVA",OFFSET(A1479,-1,0)+1,LARGE(A$3:A1478,1))</f>
        <v>0</v>
      </c>
      <c r="B1479" s="457">
        <f t="shared" ca="1" si="347"/>
        <v>21</v>
      </c>
      <c r="C1479" s="457">
        <f t="shared" ca="1" si="348"/>
        <v>1</v>
      </c>
      <c r="D1479" s="458">
        <f t="shared" ca="1" si="349"/>
        <v>1</v>
      </c>
      <c r="E1479" s="458">
        <f t="shared" ca="1" si="350"/>
        <v>1</v>
      </c>
      <c r="F1479" s="34"/>
    </row>
    <row r="1480" spans="1:6" ht="14.1" customHeight="1" x14ac:dyDescent="0.2">
      <c r="A1480" s="457">
        <f ca="1">IF($H1480="UNIDADE CONSTRUTIVA",OFFSET(A1480,-1,0)+1,LARGE(A$3:A1479,1))</f>
        <v>0</v>
      </c>
      <c r="B1480" s="457">
        <f t="shared" ca="1" si="347"/>
        <v>21</v>
      </c>
      <c r="C1480" s="457">
        <f t="shared" ca="1" si="348"/>
        <v>1</v>
      </c>
      <c r="D1480" s="458">
        <f t="shared" ca="1" si="349"/>
        <v>1</v>
      </c>
      <c r="E1480" s="458">
        <f t="shared" ca="1" si="350"/>
        <v>1</v>
      </c>
      <c r="F1480" s="34"/>
    </row>
    <row r="1481" spans="1:6" ht="14.1" customHeight="1" x14ac:dyDescent="0.2">
      <c r="A1481" s="457">
        <f ca="1">IF($H1481="UNIDADE CONSTRUTIVA",OFFSET(A1481,-1,0)+1,LARGE(A$3:A1480,1))</f>
        <v>0</v>
      </c>
      <c r="B1481" s="457">
        <f t="shared" ca="1" si="347"/>
        <v>21</v>
      </c>
      <c r="C1481" s="457">
        <f t="shared" ca="1" si="348"/>
        <v>1</v>
      </c>
      <c r="D1481" s="458">
        <f t="shared" ca="1" si="349"/>
        <v>1</v>
      </c>
      <c r="E1481" s="458">
        <f t="shared" ca="1" si="350"/>
        <v>1</v>
      </c>
      <c r="F1481" s="34"/>
    </row>
    <row r="1482" spans="1:6" ht="14.1" customHeight="1" x14ac:dyDescent="0.2">
      <c r="A1482" s="457">
        <f ca="1">IF($H1482="UNIDADE CONSTRUTIVA",OFFSET(A1482,-1,0)+1,LARGE(A$3:A1481,1))</f>
        <v>0</v>
      </c>
      <c r="B1482" s="457">
        <f t="shared" ca="1" si="347"/>
        <v>21</v>
      </c>
      <c r="C1482" s="457">
        <f t="shared" ca="1" si="348"/>
        <v>1</v>
      </c>
      <c r="D1482" s="458">
        <f t="shared" ca="1" si="349"/>
        <v>1</v>
      </c>
      <c r="E1482" s="458">
        <f t="shared" ca="1" si="350"/>
        <v>1</v>
      </c>
      <c r="F1482" s="34"/>
    </row>
    <row r="1483" spans="1:6" ht="14.1" customHeight="1" x14ac:dyDescent="0.2">
      <c r="A1483" s="457">
        <f ca="1">IF($H1483="UNIDADE CONSTRUTIVA",OFFSET(A1483,-1,0)+1,LARGE(A$3:A1482,1))</f>
        <v>0</v>
      </c>
      <c r="B1483" s="457">
        <f t="shared" ca="1" si="347"/>
        <v>21</v>
      </c>
      <c r="C1483" s="457">
        <f t="shared" ca="1" si="348"/>
        <v>1</v>
      </c>
      <c r="D1483" s="458">
        <f t="shared" ca="1" si="349"/>
        <v>1</v>
      </c>
      <c r="E1483" s="458">
        <f t="shared" ca="1" si="350"/>
        <v>1</v>
      </c>
      <c r="F1483" s="34"/>
    </row>
    <row r="1484" spans="1:6" ht="14.1" customHeight="1" x14ac:dyDescent="0.2">
      <c r="A1484" s="457">
        <f ca="1">IF($H1484="UNIDADE CONSTRUTIVA",OFFSET(A1484,-1,0)+1,LARGE(A$3:A1483,1))</f>
        <v>0</v>
      </c>
      <c r="B1484" s="457">
        <f t="shared" ca="1" si="347"/>
        <v>21</v>
      </c>
      <c r="C1484" s="457">
        <f t="shared" ca="1" si="348"/>
        <v>1</v>
      </c>
      <c r="D1484" s="458">
        <f t="shared" ca="1" si="349"/>
        <v>1</v>
      </c>
      <c r="E1484" s="458">
        <f t="shared" ca="1" si="350"/>
        <v>1</v>
      </c>
      <c r="F1484" s="34"/>
    </row>
    <row r="1485" spans="1:6" ht="14.1" customHeight="1" x14ac:dyDescent="0.2">
      <c r="A1485" s="457">
        <f ca="1">IF($H1485="UNIDADE CONSTRUTIVA",OFFSET(A1485,-1,0)+1,LARGE(A$3:A1484,1))</f>
        <v>0</v>
      </c>
      <c r="B1485" s="457">
        <f t="shared" ca="1" si="347"/>
        <v>21</v>
      </c>
      <c r="C1485" s="457">
        <f t="shared" ca="1" si="348"/>
        <v>1</v>
      </c>
      <c r="D1485" s="458">
        <f t="shared" ca="1" si="349"/>
        <v>1</v>
      </c>
      <c r="E1485" s="458">
        <f t="shared" ca="1" si="350"/>
        <v>1</v>
      </c>
      <c r="F1485" s="34"/>
    </row>
    <row r="1486" spans="1:6" ht="14.1" customHeight="1" x14ac:dyDescent="0.2">
      <c r="A1486" s="457">
        <f ca="1">IF($H1486="UNIDADE CONSTRUTIVA",OFFSET(A1486,-1,0)+1,LARGE(A$3:A1485,1))</f>
        <v>0</v>
      </c>
      <c r="B1486" s="457">
        <f t="shared" ca="1" si="347"/>
        <v>21</v>
      </c>
      <c r="C1486" s="457">
        <f t="shared" ca="1" si="348"/>
        <v>1</v>
      </c>
      <c r="D1486" s="458">
        <f t="shared" ca="1" si="349"/>
        <v>1</v>
      </c>
      <c r="E1486" s="458">
        <f t="shared" ca="1" si="350"/>
        <v>1</v>
      </c>
      <c r="F1486" s="34"/>
    </row>
    <row r="1487" spans="1:6" ht="14.1" customHeight="1" x14ac:dyDescent="0.2">
      <c r="A1487" s="457">
        <f ca="1">IF($H1487="UNIDADE CONSTRUTIVA",OFFSET(A1487,-1,0)+1,LARGE(A$3:A1486,1))</f>
        <v>0</v>
      </c>
      <c r="B1487" s="457">
        <f t="shared" ca="1" si="347"/>
        <v>21</v>
      </c>
      <c r="C1487" s="457">
        <f t="shared" ca="1" si="348"/>
        <v>1</v>
      </c>
      <c r="D1487" s="458">
        <f t="shared" ca="1" si="349"/>
        <v>1</v>
      </c>
      <c r="E1487" s="458">
        <f t="shared" ca="1" si="350"/>
        <v>1</v>
      </c>
      <c r="F1487" s="34"/>
    </row>
    <row r="1488" spans="1:6" ht="14.1" customHeight="1" x14ac:dyDescent="0.2">
      <c r="A1488" s="457">
        <f ca="1">IF($H1488="UNIDADE CONSTRUTIVA",OFFSET(A1488,-1,0)+1,LARGE(A$3:A1487,1))</f>
        <v>0</v>
      </c>
      <c r="B1488" s="457">
        <f t="shared" ca="1" si="347"/>
        <v>21</v>
      </c>
      <c r="C1488" s="457">
        <f t="shared" ca="1" si="348"/>
        <v>1</v>
      </c>
      <c r="D1488" s="458">
        <f t="shared" ca="1" si="349"/>
        <v>1</v>
      </c>
      <c r="E1488" s="458">
        <f t="shared" ca="1" si="350"/>
        <v>1</v>
      </c>
      <c r="F1488" s="34"/>
    </row>
    <row r="1489" spans="1:6" ht="14.1" customHeight="1" x14ac:dyDescent="0.2">
      <c r="A1489" s="457">
        <f ca="1">IF($H1489="UNIDADE CONSTRUTIVA",OFFSET(A1489,-1,0)+1,LARGE(A$3:A1488,1))</f>
        <v>0</v>
      </c>
      <c r="B1489" s="457">
        <f t="shared" ca="1" si="347"/>
        <v>21</v>
      </c>
      <c r="C1489" s="457">
        <f t="shared" ca="1" si="348"/>
        <v>1</v>
      </c>
      <c r="D1489" s="458">
        <f t="shared" ca="1" si="349"/>
        <v>1</v>
      </c>
      <c r="E1489" s="458">
        <f t="shared" ca="1" si="350"/>
        <v>1</v>
      </c>
      <c r="F1489" s="34"/>
    </row>
    <row r="1490" spans="1:6" ht="14.1" customHeight="1" x14ac:dyDescent="0.2">
      <c r="A1490" s="457">
        <f ca="1">IF($H1490="UNIDADE CONSTRUTIVA",OFFSET(A1490,-1,0)+1,LARGE(A$3:A1489,1))</f>
        <v>0</v>
      </c>
      <c r="B1490" s="457">
        <f t="shared" ca="1" si="347"/>
        <v>21</v>
      </c>
      <c r="C1490" s="457">
        <f t="shared" ca="1" si="348"/>
        <v>1</v>
      </c>
      <c r="D1490" s="458">
        <f t="shared" ca="1" si="349"/>
        <v>1</v>
      </c>
      <c r="E1490" s="458">
        <f t="shared" ca="1" si="350"/>
        <v>1</v>
      </c>
      <c r="F1490" s="34"/>
    </row>
    <row r="1491" spans="1:6" ht="14.1" customHeight="1" x14ac:dyDescent="0.2">
      <c r="A1491" s="457">
        <f ca="1">IF($H1491="UNIDADE CONSTRUTIVA",OFFSET(A1491,-1,0)+1,LARGE(A$3:A1490,1))</f>
        <v>0</v>
      </c>
      <c r="B1491" s="457">
        <f t="shared" ca="1" si="347"/>
        <v>21</v>
      </c>
      <c r="C1491" s="457">
        <f t="shared" ca="1" si="348"/>
        <v>1</v>
      </c>
      <c r="D1491" s="458">
        <f t="shared" ca="1" si="349"/>
        <v>1</v>
      </c>
      <c r="E1491" s="458">
        <f t="shared" ca="1" si="350"/>
        <v>1</v>
      </c>
      <c r="F1491" s="34"/>
    </row>
    <row r="1492" spans="1:6" ht="14.1" customHeight="1" x14ac:dyDescent="0.2">
      <c r="A1492" s="457">
        <f ca="1">IF($H1492="UNIDADE CONSTRUTIVA",OFFSET(A1492,-1,0)+1,LARGE(A$3:A1491,1))</f>
        <v>0</v>
      </c>
      <c r="B1492" s="457">
        <f t="shared" ca="1" si="347"/>
        <v>21</v>
      </c>
      <c r="C1492" s="457">
        <f t="shared" ca="1" si="348"/>
        <v>1</v>
      </c>
      <c r="D1492" s="458">
        <f t="shared" ca="1" si="349"/>
        <v>1</v>
      </c>
      <c r="E1492" s="458">
        <f t="shared" ca="1" si="350"/>
        <v>1</v>
      </c>
      <c r="F1492" s="34"/>
    </row>
    <row r="1493" spans="1:6" ht="14.1" customHeight="1" x14ac:dyDescent="0.2">
      <c r="A1493" s="457">
        <f ca="1">IF($H1493="UNIDADE CONSTRUTIVA",OFFSET(A1493,-1,0)+1,LARGE(A$3:A1492,1))</f>
        <v>0</v>
      </c>
      <c r="B1493" s="457">
        <f t="shared" ca="1" si="347"/>
        <v>21</v>
      </c>
      <c r="C1493" s="457">
        <f t="shared" ca="1" si="348"/>
        <v>1</v>
      </c>
      <c r="D1493" s="458">
        <f t="shared" ca="1" si="349"/>
        <v>1</v>
      </c>
      <c r="E1493" s="458">
        <f t="shared" ca="1" si="350"/>
        <v>1</v>
      </c>
      <c r="F1493" s="34"/>
    </row>
    <row r="1494" spans="1:6" ht="14.1" customHeight="1" x14ac:dyDescent="0.2">
      <c r="A1494" s="457">
        <f ca="1">IF($H1494="UNIDADE CONSTRUTIVA",OFFSET(A1494,-1,0)+1,LARGE(A$3:A1493,1))</f>
        <v>0</v>
      </c>
      <c r="B1494" s="457">
        <f t="shared" ca="1" si="347"/>
        <v>21</v>
      </c>
      <c r="C1494" s="457">
        <f t="shared" ca="1" si="348"/>
        <v>1</v>
      </c>
      <c r="D1494" s="458">
        <f t="shared" ca="1" si="349"/>
        <v>1</v>
      </c>
      <c r="E1494" s="458">
        <f t="shared" ca="1" si="350"/>
        <v>1</v>
      </c>
      <c r="F1494" s="34"/>
    </row>
    <row r="1495" spans="1:6" ht="14.1" customHeight="1" x14ac:dyDescent="0.2">
      <c r="A1495" s="457">
        <f ca="1">IF($H1495="UNIDADE CONSTRUTIVA",OFFSET(A1495,-1,0)+1,LARGE(A$3:A1494,1))</f>
        <v>0</v>
      </c>
      <c r="B1495" s="457">
        <f t="shared" ca="1" si="347"/>
        <v>21</v>
      </c>
      <c r="C1495" s="457">
        <f t="shared" ca="1" si="348"/>
        <v>1</v>
      </c>
      <c r="D1495" s="458">
        <f t="shared" ca="1" si="349"/>
        <v>1</v>
      </c>
      <c r="E1495" s="458">
        <f t="shared" ca="1" si="350"/>
        <v>1</v>
      </c>
      <c r="F1495" s="34"/>
    </row>
    <row r="1496" spans="1:6" ht="14.1" customHeight="1" x14ac:dyDescent="0.2">
      <c r="A1496" s="457">
        <f ca="1">IF($H1496="UNIDADE CONSTRUTIVA",OFFSET(A1496,-1,0)+1,LARGE(A$3:A1495,1))</f>
        <v>0</v>
      </c>
      <c r="B1496" s="457">
        <f t="shared" ca="1" si="347"/>
        <v>21</v>
      </c>
      <c r="C1496" s="457">
        <f t="shared" ca="1" si="348"/>
        <v>1</v>
      </c>
      <c r="D1496" s="458">
        <f t="shared" ca="1" si="349"/>
        <v>1</v>
      </c>
      <c r="E1496" s="458">
        <f t="shared" ca="1" si="350"/>
        <v>1</v>
      </c>
      <c r="F1496" s="34"/>
    </row>
    <row r="1497" spans="1:6" ht="14.1" customHeight="1" x14ac:dyDescent="0.2">
      <c r="A1497" s="457">
        <f ca="1">IF($H1497="UNIDADE CONSTRUTIVA",OFFSET(A1497,-1,0)+1,LARGE(A$3:A1496,1))</f>
        <v>0</v>
      </c>
      <c r="B1497" s="457">
        <f t="shared" ca="1" si="347"/>
        <v>21</v>
      </c>
      <c r="C1497" s="457">
        <f t="shared" ca="1" si="348"/>
        <v>1</v>
      </c>
      <c r="D1497" s="458">
        <f t="shared" ca="1" si="349"/>
        <v>1</v>
      </c>
      <c r="E1497" s="458">
        <f t="shared" ca="1" si="350"/>
        <v>1</v>
      </c>
      <c r="F1497" s="34"/>
    </row>
    <row r="1498" spans="1:6" ht="14.1" customHeight="1" x14ac:dyDescent="0.2">
      <c r="A1498" s="457">
        <f ca="1">IF($H1498="UNIDADE CONSTRUTIVA",OFFSET(A1498,-1,0)+1,LARGE(A$3:A1497,1))</f>
        <v>0</v>
      </c>
      <c r="B1498" s="457">
        <f t="shared" ca="1" si="347"/>
        <v>21</v>
      </c>
      <c r="C1498" s="457">
        <f t="shared" ca="1" si="348"/>
        <v>1</v>
      </c>
      <c r="D1498" s="458">
        <f t="shared" ca="1" si="349"/>
        <v>1</v>
      </c>
      <c r="E1498" s="458">
        <f t="shared" ca="1" si="350"/>
        <v>1</v>
      </c>
      <c r="F1498" s="34"/>
    </row>
    <row r="1499" spans="1:6" ht="14.1" customHeight="1" x14ac:dyDescent="0.2">
      <c r="A1499" s="457">
        <f ca="1">IF($H1499="UNIDADE CONSTRUTIVA",OFFSET(A1499,-1,0)+1,LARGE(A$3:A1498,1))</f>
        <v>0</v>
      </c>
      <c r="B1499" s="457">
        <f t="shared" ref="B1499:B1562" ca="1" si="351">IF(H1499="UNIDADE CONSTRUTIVA",0,IF(H1499="CÉLULA CONSTRUTIVA",OFFSET(B1499,-1,0)+1,OFFSET(B1499,-1,0)))</f>
        <v>21</v>
      </c>
      <c r="C1499" s="457">
        <f t="shared" ref="C1499:C1562" ca="1" si="352">IF(H1499="CÉLULA CONSTRUTIVA",0,IF(H1499="ETAPA",OFFSET(C1499,-1,0)+1,OFFSET(C1499,-1,0)))</f>
        <v>1</v>
      </c>
      <c r="D1499" s="458">
        <f t="shared" ref="D1499:D1562" ca="1" si="353">IF(H1499="ETAPA",0,IF(H1499="SUBETAPA",OFFSET(D1499,-1,0)+1,OFFSET(D1499,-1,0)))</f>
        <v>1</v>
      </c>
      <c r="E1499" s="458">
        <f t="shared" ref="E1499:E1562" ca="1" si="354">IF(H1499="Subetapa",0,IF(H1499="serviço",OFFSET(E1499,-1,0)+1,OFFSET(E1499,-1,0)))</f>
        <v>1</v>
      </c>
      <c r="F1499" s="34"/>
    </row>
    <row r="1500" spans="1:6" ht="14.1" customHeight="1" x14ac:dyDescent="0.2">
      <c r="A1500" s="457">
        <f ca="1">IF($H1500="UNIDADE CONSTRUTIVA",OFFSET(A1500,-1,0)+1,LARGE(A$3:A1499,1))</f>
        <v>0</v>
      </c>
      <c r="B1500" s="457">
        <f t="shared" ca="1" si="351"/>
        <v>21</v>
      </c>
      <c r="C1500" s="457">
        <f t="shared" ca="1" si="352"/>
        <v>1</v>
      </c>
      <c r="D1500" s="458">
        <f t="shared" ca="1" si="353"/>
        <v>1</v>
      </c>
      <c r="E1500" s="458">
        <f t="shared" ca="1" si="354"/>
        <v>1</v>
      </c>
      <c r="F1500" s="34"/>
    </row>
    <row r="1501" spans="1:6" ht="14.1" customHeight="1" x14ac:dyDescent="0.2">
      <c r="A1501" s="457">
        <f ca="1">IF($H1501="UNIDADE CONSTRUTIVA",OFFSET(A1501,-1,0)+1,LARGE(A$3:A1500,1))</f>
        <v>0</v>
      </c>
      <c r="B1501" s="457">
        <f t="shared" ca="1" si="351"/>
        <v>21</v>
      </c>
      <c r="C1501" s="457">
        <f t="shared" ca="1" si="352"/>
        <v>1</v>
      </c>
      <c r="D1501" s="458">
        <f t="shared" ca="1" si="353"/>
        <v>1</v>
      </c>
      <c r="E1501" s="458">
        <f t="shared" ca="1" si="354"/>
        <v>1</v>
      </c>
      <c r="F1501" s="34"/>
    </row>
    <row r="1502" spans="1:6" ht="14.1" customHeight="1" x14ac:dyDescent="0.2">
      <c r="A1502" s="457">
        <f ca="1">IF($H1502="UNIDADE CONSTRUTIVA",OFFSET(A1502,-1,0)+1,LARGE(A$3:A1501,1))</f>
        <v>0</v>
      </c>
      <c r="B1502" s="457">
        <f t="shared" ca="1" si="351"/>
        <v>21</v>
      </c>
      <c r="C1502" s="457">
        <f t="shared" ca="1" si="352"/>
        <v>1</v>
      </c>
      <c r="D1502" s="458">
        <f t="shared" ca="1" si="353"/>
        <v>1</v>
      </c>
      <c r="E1502" s="458">
        <f t="shared" ca="1" si="354"/>
        <v>1</v>
      </c>
      <c r="F1502" s="34"/>
    </row>
    <row r="1503" spans="1:6" ht="14.1" customHeight="1" x14ac:dyDescent="0.2">
      <c r="A1503" s="457">
        <f ca="1">IF($H1503="UNIDADE CONSTRUTIVA",OFFSET(A1503,-1,0)+1,LARGE(A$3:A1502,1))</f>
        <v>0</v>
      </c>
      <c r="B1503" s="457">
        <f t="shared" ca="1" si="351"/>
        <v>21</v>
      </c>
      <c r="C1503" s="457">
        <f t="shared" ca="1" si="352"/>
        <v>1</v>
      </c>
      <c r="D1503" s="458">
        <f t="shared" ca="1" si="353"/>
        <v>1</v>
      </c>
      <c r="E1503" s="458">
        <f t="shared" ca="1" si="354"/>
        <v>1</v>
      </c>
      <c r="F1503" s="34"/>
    </row>
    <row r="1504" spans="1:6" ht="14.1" customHeight="1" x14ac:dyDescent="0.2">
      <c r="A1504" s="457">
        <f ca="1">IF($H1504="UNIDADE CONSTRUTIVA",OFFSET(A1504,-1,0)+1,LARGE(A$3:A1503,1))</f>
        <v>0</v>
      </c>
      <c r="B1504" s="457">
        <f t="shared" ca="1" si="351"/>
        <v>21</v>
      </c>
      <c r="C1504" s="457">
        <f t="shared" ca="1" si="352"/>
        <v>1</v>
      </c>
      <c r="D1504" s="458">
        <f t="shared" ca="1" si="353"/>
        <v>1</v>
      </c>
      <c r="E1504" s="458">
        <f t="shared" ca="1" si="354"/>
        <v>1</v>
      </c>
      <c r="F1504" s="34"/>
    </row>
    <row r="1505" spans="1:6" ht="14.1" customHeight="1" x14ac:dyDescent="0.2">
      <c r="A1505" s="457">
        <f ca="1">IF($H1505="UNIDADE CONSTRUTIVA",OFFSET(A1505,-1,0)+1,LARGE(A$3:A1504,1))</f>
        <v>0</v>
      </c>
      <c r="B1505" s="457">
        <f t="shared" ca="1" si="351"/>
        <v>21</v>
      </c>
      <c r="C1505" s="457">
        <f t="shared" ca="1" si="352"/>
        <v>1</v>
      </c>
      <c r="D1505" s="458">
        <f t="shared" ca="1" si="353"/>
        <v>1</v>
      </c>
      <c r="E1505" s="458">
        <f t="shared" ca="1" si="354"/>
        <v>1</v>
      </c>
      <c r="F1505" s="34"/>
    </row>
    <row r="1506" spans="1:6" ht="14.1" customHeight="1" x14ac:dyDescent="0.2">
      <c r="A1506" s="457">
        <f ca="1">IF($H1506="UNIDADE CONSTRUTIVA",OFFSET(A1506,-1,0)+1,LARGE(A$3:A1505,1))</f>
        <v>0</v>
      </c>
      <c r="B1506" s="457">
        <f t="shared" ca="1" si="351"/>
        <v>21</v>
      </c>
      <c r="C1506" s="457">
        <f t="shared" ca="1" si="352"/>
        <v>1</v>
      </c>
      <c r="D1506" s="458">
        <f t="shared" ca="1" si="353"/>
        <v>1</v>
      </c>
      <c r="E1506" s="458">
        <f t="shared" ca="1" si="354"/>
        <v>1</v>
      </c>
      <c r="F1506" s="34"/>
    </row>
    <row r="1507" spans="1:6" ht="14.1" customHeight="1" x14ac:dyDescent="0.2">
      <c r="A1507" s="457">
        <f ca="1">IF($H1507="UNIDADE CONSTRUTIVA",OFFSET(A1507,-1,0)+1,LARGE(A$3:A1506,1))</f>
        <v>0</v>
      </c>
      <c r="B1507" s="457">
        <f t="shared" ca="1" si="351"/>
        <v>21</v>
      </c>
      <c r="C1507" s="457">
        <f t="shared" ca="1" si="352"/>
        <v>1</v>
      </c>
      <c r="D1507" s="458">
        <f t="shared" ca="1" si="353"/>
        <v>1</v>
      </c>
      <c r="E1507" s="458">
        <f t="shared" ca="1" si="354"/>
        <v>1</v>
      </c>
      <c r="F1507" s="34"/>
    </row>
    <row r="1508" spans="1:6" ht="14.1" customHeight="1" x14ac:dyDescent="0.2">
      <c r="A1508" s="457">
        <f ca="1">IF($H1508="UNIDADE CONSTRUTIVA",OFFSET(A1508,-1,0)+1,LARGE(A$3:A1507,1))</f>
        <v>0</v>
      </c>
      <c r="B1508" s="457">
        <f t="shared" ca="1" si="351"/>
        <v>21</v>
      </c>
      <c r="C1508" s="457">
        <f t="shared" ca="1" si="352"/>
        <v>1</v>
      </c>
      <c r="D1508" s="458">
        <f t="shared" ca="1" si="353"/>
        <v>1</v>
      </c>
      <c r="E1508" s="458">
        <f t="shared" ca="1" si="354"/>
        <v>1</v>
      </c>
      <c r="F1508" s="34"/>
    </row>
    <row r="1509" spans="1:6" ht="14.1" customHeight="1" x14ac:dyDescent="0.2">
      <c r="A1509" s="457">
        <f ca="1">IF($H1509="UNIDADE CONSTRUTIVA",OFFSET(A1509,-1,0)+1,LARGE(A$3:A1508,1))</f>
        <v>0</v>
      </c>
      <c r="B1509" s="457">
        <f t="shared" ca="1" si="351"/>
        <v>21</v>
      </c>
      <c r="C1509" s="457">
        <f t="shared" ca="1" si="352"/>
        <v>1</v>
      </c>
      <c r="D1509" s="458">
        <f t="shared" ca="1" si="353"/>
        <v>1</v>
      </c>
      <c r="E1509" s="458">
        <f t="shared" ca="1" si="354"/>
        <v>1</v>
      </c>
      <c r="F1509" s="34"/>
    </row>
    <row r="1510" spans="1:6" ht="14.1" customHeight="1" x14ac:dyDescent="0.2">
      <c r="A1510" s="457">
        <f ca="1">IF($H1510="UNIDADE CONSTRUTIVA",OFFSET(A1510,-1,0)+1,LARGE(A$3:A1509,1))</f>
        <v>0</v>
      </c>
      <c r="B1510" s="457">
        <f t="shared" ca="1" si="351"/>
        <v>21</v>
      </c>
      <c r="C1510" s="457">
        <f t="shared" ca="1" si="352"/>
        <v>1</v>
      </c>
      <c r="D1510" s="458">
        <f t="shared" ca="1" si="353"/>
        <v>1</v>
      </c>
      <c r="E1510" s="458">
        <f t="shared" ca="1" si="354"/>
        <v>1</v>
      </c>
      <c r="F1510" s="34"/>
    </row>
    <row r="1511" spans="1:6" ht="14.1" customHeight="1" x14ac:dyDescent="0.2">
      <c r="A1511" s="457">
        <f ca="1">IF($H1511="UNIDADE CONSTRUTIVA",OFFSET(A1511,-1,0)+1,LARGE(A$3:A1510,1))</f>
        <v>0</v>
      </c>
      <c r="B1511" s="457">
        <f t="shared" ca="1" si="351"/>
        <v>21</v>
      </c>
      <c r="C1511" s="457">
        <f t="shared" ca="1" si="352"/>
        <v>1</v>
      </c>
      <c r="D1511" s="458">
        <f t="shared" ca="1" si="353"/>
        <v>1</v>
      </c>
      <c r="E1511" s="458">
        <f t="shared" ca="1" si="354"/>
        <v>1</v>
      </c>
      <c r="F1511" s="34"/>
    </row>
    <row r="1512" spans="1:6" ht="14.1" customHeight="1" x14ac:dyDescent="0.2">
      <c r="A1512" s="457">
        <f ca="1">IF($H1512="UNIDADE CONSTRUTIVA",OFFSET(A1512,-1,0)+1,LARGE(A$3:A1511,1))</f>
        <v>0</v>
      </c>
      <c r="B1512" s="457">
        <f t="shared" ca="1" si="351"/>
        <v>21</v>
      </c>
      <c r="C1512" s="457">
        <f t="shared" ca="1" si="352"/>
        <v>1</v>
      </c>
      <c r="D1512" s="458">
        <f t="shared" ca="1" si="353"/>
        <v>1</v>
      </c>
      <c r="E1512" s="458">
        <f t="shared" ca="1" si="354"/>
        <v>1</v>
      </c>
      <c r="F1512" s="34"/>
    </row>
    <row r="1513" spans="1:6" ht="14.1" customHeight="1" x14ac:dyDescent="0.2">
      <c r="A1513" s="457">
        <f ca="1">IF($H1513="UNIDADE CONSTRUTIVA",OFFSET(A1513,-1,0)+1,LARGE(A$3:A1512,1))</f>
        <v>0</v>
      </c>
      <c r="B1513" s="457">
        <f t="shared" ca="1" si="351"/>
        <v>21</v>
      </c>
      <c r="C1513" s="457">
        <f t="shared" ca="1" si="352"/>
        <v>1</v>
      </c>
      <c r="D1513" s="458">
        <f t="shared" ca="1" si="353"/>
        <v>1</v>
      </c>
      <c r="E1513" s="458">
        <f t="shared" ca="1" si="354"/>
        <v>1</v>
      </c>
      <c r="F1513" s="34"/>
    </row>
    <row r="1514" spans="1:6" ht="14.1" customHeight="1" x14ac:dyDescent="0.2">
      <c r="A1514" s="457">
        <f ca="1">IF($H1514="UNIDADE CONSTRUTIVA",OFFSET(A1514,-1,0)+1,LARGE(A$3:A1513,1))</f>
        <v>0</v>
      </c>
      <c r="B1514" s="457">
        <f t="shared" ca="1" si="351"/>
        <v>21</v>
      </c>
      <c r="C1514" s="457">
        <f t="shared" ca="1" si="352"/>
        <v>1</v>
      </c>
      <c r="D1514" s="458">
        <f t="shared" ca="1" si="353"/>
        <v>1</v>
      </c>
      <c r="E1514" s="458">
        <f t="shared" ca="1" si="354"/>
        <v>1</v>
      </c>
      <c r="F1514" s="34"/>
    </row>
    <row r="1515" spans="1:6" ht="14.1" customHeight="1" x14ac:dyDescent="0.2">
      <c r="A1515" s="457">
        <f ca="1">IF($H1515="UNIDADE CONSTRUTIVA",OFFSET(A1515,-1,0)+1,LARGE(A$3:A1514,1))</f>
        <v>0</v>
      </c>
      <c r="B1515" s="457">
        <f t="shared" ca="1" si="351"/>
        <v>21</v>
      </c>
      <c r="C1515" s="457">
        <f t="shared" ca="1" si="352"/>
        <v>1</v>
      </c>
      <c r="D1515" s="458">
        <f t="shared" ca="1" si="353"/>
        <v>1</v>
      </c>
      <c r="E1515" s="458">
        <f t="shared" ca="1" si="354"/>
        <v>1</v>
      </c>
      <c r="F1515" s="34"/>
    </row>
    <row r="1516" spans="1:6" ht="14.1" customHeight="1" x14ac:dyDescent="0.2">
      <c r="A1516" s="457">
        <f ca="1">IF($H1516="UNIDADE CONSTRUTIVA",OFFSET(A1516,-1,0)+1,LARGE(A$3:A1515,1))</f>
        <v>0</v>
      </c>
      <c r="B1516" s="457">
        <f t="shared" ca="1" si="351"/>
        <v>21</v>
      </c>
      <c r="C1516" s="457">
        <f t="shared" ca="1" si="352"/>
        <v>1</v>
      </c>
      <c r="D1516" s="458">
        <f t="shared" ca="1" si="353"/>
        <v>1</v>
      </c>
      <c r="E1516" s="458">
        <f t="shared" ca="1" si="354"/>
        <v>1</v>
      </c>
      <c r="F1516" s="34"/>
    </row>
    <row r="1517" spans="1:6" ht="14.1" customHeight="1" x14ac:dyDescent="0.2">
      <c r="A1517" s="457">
        <f ca="1">IF($H1517="UNIDADE CONSTRUTIVA",OFFSET(A1517,-1,0)+1,LARGE(A$3:A1516,1))</f>
        <v>0</v>
      </c>
      <c r="B1517" s="457">
        <f t="shared" ca="1" si="351"/>
        <v>21</v>
      </c>
      <c r="C1517" s="457">
        <f t="shared" ca="1" si="352"/>
        <v>1</v>
      </c>
      <c r="D1517" s="458">
        <f t="shared" ca="1" si="353"/>
        <v>1</v>
      </c>
      <c r="E1517" s="458">
        <f t="shared" ca="1" si="354"/>
        <v>1</v>
      </c>
      <c r="F1517" s="34"/>
    </row>
    <row r="1518" spans="1:6" ht="14.1" customHeight="1" x14ac:dyDescent="0.2">
      <c r="A1518" s="457">
        <f ca="1">IF($H1518="UNIDADE CONSTRUTIVA",OFFSET(A1518,-1,0)+1,LARGE(A$3:A1517,1))</f>
        <v>0</v>
      </c>
      <c r="B1518" s="457">
        <f t="shared" ca="1" si="351"/>
        <v>21</v>
      </c>
      <c r="C1518" s="457">
        <f t="shared" ca="1" si="352"/>
        <v>1</v>
      </c>
      <c r="D1518" s="458">
        <f t="shared" ca="1" si="353"/>
        <v>1</v>
      </c>
      <c r="E1518" s="458">
        <f t="shared" ca="1" si="354"/>
        <v>1</v>
      </c>
      <c r="F1518" s="34"/>
    </row>
    <row r="1519" spans="1:6" ht="14.1" customHeight="1" x14ac:dyDescent="0.2">
      <c r="A1519" s="457">
        <f ca="1">IF($H1519="UNIDADE CONSTRUTIVA",OFFSET(A1519,-1,0)+1,LARGE(A$3:A1518,1))</f>
        <v>0</v>
      </c>
      <c r="B1519" s="457">
        <f t="shared" ca="1" si="351"/>
        <v>21</v>
      </c>
      <c r="C1519" s="457">
        <f t="shared" ca="1" si="352"/>
        <v>1</v>
      </c>
      <c r="D1519" s="458">
        <f t="shared" ca="1" si="353"/>
        <v>1</v>
      </c>
      <c r="E1519" s="458">
        <f t="shared" ca="1" si="354"/>
        <v>1</v>
      </c>
      <c r="F1519" s="34"/>
    </row>
    <row r="1520" spans="1:6" ht="14.1" customHeight="1" x14ac:dyDescent="0.2">
      <c r="A1520" s="457">
        <f ca="1">IF($H1520="UNIDADE CONSTRUTIVA",OFFSET(A1520,-1,0)+1,LARGE(A$3:A1519,1))</f>
        <v>0</v>
      </c>
      <c r="B1520" s="457">
        <f t="shared" ca="1" si="351"/>
        <v>21</v>
      </c>
      <c r="C1520" s="457">
        <f t="shared" ca="1" si="352"/>
        <v>1</v>
      </c>
      <c r="D1520" s="458">
        <f t="shared" ca="1" si="353"/>
        <v>1</v>
      </c>
      <c r="E1520" s="458">
        <f t="shared" ca="1" si="354"/>
        <v>1</v>
      </c>
      <c r="F1520" s="34"/>
    </row>
    <row r="1521" spans="1:6" ht="14.1" customHeight="1" x14ac:dyDescent="0.2">
      <c r="A1521" s="457">
        <f ca="1">IF($H1521="UNIDADE CONSTRUTIVA",OFFSET(A1521,-1,0)+1,LARGE(A$3:A1520,1))</f>
        <v>0</v>
      </c>
      <c r="B1521" s="457">
        <f t="shared" ca="1" si="351"/>
        <v>21</v>
      </c>
      <c r="C1521" s="457">
        <f t="shared" ca="1" si="352"/>
        <v>1</v>
      </c>
      <c r="D1521" s="458">
        <f t="shared" ca="1" si="353"/>
        <v>1</v>
      </c>
      <c r="E1521" s="458">
        <f t="shared" ca="1" si="354"/>
        <v>1</v>
      </c>
      <c r="F1521" s="34"/>
    </row>
    <row r="1522" spans="1:6" ht="14.1" customHeight="1" x14ac:dyDescent="0.2">
      <c r="A1522" s="457">
        <f ca="1">IF($H1522="UNIDADE CONSTRUTIVA",OFFSET(A1522,-1,0)+1,LARGE(A$3:A1521,1))</f>
        <v>0</v>
      </c>
      <c r="B1522" s="457">
        <f t="shared" ca="1" si="351"/>
        <v>21</v>
      </c>
      <c r="C1522" s="457">
        <f t="shared" ca="1" si="352"/>
        <v>1</v>
      </c>
      <c r="D1522" s="458">
        <f t="shared" ca="1" si="353"/>
        <v>1</v>
      </c>
      <c r="E1522" s="458">
        <f t="shared" ca="1" si="354"/>
        <v>1</v>
      </c>
      <c r="F1522" s="34"/>
    </row>
    <row r="1523" spans="1:6" ht="14.1" customHeight="1" x14ac:dyDescent="0.2">
      <c r="A1523" s="457">
        <f ca="1">IF($H1523="UNIDADE CONSTRUTIVA",OFFSET(A1523,-1,0)+1,LARGE(A$3:A1522,1))</f>
        <v>0</v>
      </c>
      <c r="B1523" s="457">
        <f t="shared" ca="1" si="351"/>
        <v>21</v>
      </c>
      <c r="C1523" s="457">
        <f t="shared" ca="1" si="352"/>
        <v>1</v>
      </c>
      <c r="D1523" s="458">
        <f t="shared" ca="1" si="353"/>
        <v>1</v>
      </c>
      <c r="E1523" s="458">
        <f t="shared" ca="1" si="354"/>
        <v>1</v>
      </c>
      <c r="F1523" s="34"/>
    </row>
    <row r="1524" spans="1:6" ht="14.1" customHeight="1" x14ac:dyDescent="0.2">
      <c r="A1524" s="457">
        <f ca="1">IF($H1524="UNIDADE CONSTRUTIVA",OFFSET(A1524,-1,0)+1,LARGE(A$3:A1523,1))</f>
        <v>0</v>
      </c>
      <c r="B1524" s="457">
        <f t="shared" ca="1" si="351"/>
        <v>21</v>
      </c>
      <c r="C1524" s="457">
        <f t="shared" ca="1" si="352"/>
        <v>1</v>
      </c>
      <c r="D1524" s="458">
        <f t="shared" ca="1" si="353"/>
        <v>1</v>
      </c>
      <c r="E1524" s="458">
        <f t="shared" ca="1" si="354"/>
        <v>1</v>
      </c>
      <c r="F1524" s="34"/>
    </row>
    <row r="1525" spans="1:6" ht="14.1" customHeight="1" x14ac:dyDescent="0.2">
      <c r="A1525" s="457">
        <f ca="1">IF($H1525="UNIDADE CONSTRUTIVA",OFFSET(A1525,-1,0)+1,LARGE(A$3:A1524,1))</f>
        <v>0</v>
      </c>
      <c r="B1525" s="457">
        <f t="shared" ca="1" si="351"/>
        <v>21</v>
      </c>
      <c r="C1525" s="457">
        <f t="shared" ca="1" si="352"/>
        <v>1</v>
      </c>
      <c r="D1525" s="458">
        <f t="shared" ca="1" si="353"/>
        <v>1</v>
      </c>
      <c r="E1525" s="458">
        <f t="shared" ca="1" si="354"/>
        <v>1</v>
      </c>
      <c r="F1525" s="34"/>
    </row>
    <row r="1526" spans="1:6" ht="14.1" customHeight="1" x14ac:dyDescent="0.2">
      <c r="A1526" s="457">
        <f ca="1">IF($H1526="UNIDADE CONSTRUTIVA",OFFSET(A1526,-1,0)+1,LARGE(A$3:A1525,1))</f>
        <v>0</v>
      </c>
      <c r="B1526" s="457">
        <f t="shared" ca="1" si="351"/>
        <v>21</v>
      </c>
      <c r="C1526" s="457">
        <f t="shared" ca="1" si="352"/>
        <v>1</v>
      </c>
      <c r="D1526" s="458">
        <f t="shared" ca="1" si="353"/>
        <v>1</v>
      </c>
      <c r="E1526" s="458">
        <f t="shared" ca="1" si="354"/>
        <v>1</v>
      </c>
      <c r="F1526" s="34"/>
    </row>
    <row r="1527" spans="1:6" ht="14.1" customHeight="1" x14ac:dyDescent="0.2">
      <c r="A1527" s="457">
        <f ca="1">IF($H1527="UNIDADE CONSTRUTIVA",OFFSET(A1527,-1,0)+1,LARGE(A$3:A1526,1))</f>
        <v>0</v>
      </c>
      <c r="B1527" s="457">
        <f t="shared" ca="1" si="351"/>
        <v>21</v>
      </c>
      <c r="C1527" s="457">
        <f t="shared" ca="1" si="352"/>
        <v>1</v>
      </c>
      <c r="D1527" s="458">
        <f t="shared" ca="1" si="353"/>
        <v>1</v>
      </c>
      <c r="E1527" s="458">
        <f t="shared" ca="1" si="354"/>
        <v>1</v>
      </c>
      <c r="F1527" s="34"/>
    </row>
    <row r="1528" spans="1:6" ht="14.1" customHeight="1" x14ac:dyDescent="0.2">
      <c r="A1528" s="457">
        <f ca="1">IF($H1528="UNIDADE CONSTRUTIVA",OFFSET(A1528,-1,0)+1,LARGE(A$3:A1527,1))</f>
        <v>0</v>
      </c>
      <c r="B1528" s="457">
        <f t="shared" ca="1" si="351"/>
        <v>21</v>
      </c>
      <c r="C1528" s="457">
        <f t="shared" ca="1" si="352"/>
        <v>1</v>
      </c>
      <c r="D1528" s="458">
        <f t="shared" ca="1" si="353"/>
        <v>1</v>
      </c>
      <c r="E1528" s="458">
        <f t="shared" ca="1" si="354"/>
        <v>1</v>
      </c>
      <c r="F1528" s="34"/>
    </row>
    <row r="1529" spans="1:6" ht="14.1" customHeight="1" x14ac:dyDescent="0.2">
      <c r="A1529" s="457">
        <f ca="1">IF($H1529="UNIDADE CONSTRUTIVA",OFFSET(A1529,-1,0)+1,LARGE(A$3:A1528,1))</f>
        <v>0</v>
      </c>
      <c r="B1529" s="457">
        <f t="shared" ca="1" si="351"/>
        <v>21</v>
      </c>
      <c r="C1529" s="457">
        <f t="shared" ca="1" si="352"/>
        <v>1</v>
      </c>
      <c r="D1529" s="458">
        <f t="shared" ca="1" si="353"/>
        <v>1</v>
      </c>
      <c r="E1529" s="458">
        <f t="shared" ca="1" si="354"/>
        <v>1</v>
      </c>
      <c r="F1529" s="34"/>
    </row>
    <row r="1530" spans="1:6" ht="14.1" customHeight="1" x14ac:dyDescent="0.2">
      <c r="A1530" s="457">
        <f ca="1">IF($H1530="UNIDADE CONSTRUTIVA",OFFSET(A1530,-1,0)+1,LARGE(A$3:A1529,1))</f>
        <v>0</v>
      </c>
      <c r="B1530" s="457">
        <f t="shared" ca="1" si="351"/>
        <v>21</v>
      </c>
      <c r="C1530" s="457">
        <f t="shared" ca="1" si="352"/>
        <v>1</v>
      </c>
      <c r="D1530" s="458">
        <f t="shared" ca="1" si="353"/>
        <v>1</v>
      </c>
      <c r="E1530" s="458">
        <f t="shared" ca="1" si="354"/>
        <v>1</v>
      </c>
      <c r="F1530" s="34"/>
    </row>
    <row r="1531" spans="1:6" ht="14.1" customHeight="1" x14ac:dyDescent="0.2">
      <c r="A1531" s="457">
        <f ca="1">IF($H1531="UNIDADE CONSTRUTIVA",OFFSET(A1531,-1,0)+1,LARGE(A$3:A1530,1))</f>
        <v>0</v>
      </c>
      <c r="B1531" s="457">
        <f t="shared" ca="1" si="351"/>
        <v>21</v>
      </c>
      <c r="C1531" s="457">
        <f t="shared" ca="1" si="352"/>
        <v>1</v>
      </c>
      <c r="D1531" s="458">
        <f t="shared" ca="1" si="353"/>
        <v>1</v>
      </c>
      <c r="E1531" s="458">
        <f t="shared" ca="1" si="354"/>
        <v>1</v>
      </c>
      <c r="F1531" s="34"/>
    </row>
    <row r="1532" spans="1:6" ht="14.1" customHeight="1" x14ac:dyDescent="0.2">
      <c r="A1532" s="457">
        <f ca="1">IF($H1532="UNIDADE CONSTRUTIVA",OFFSET(A1532,-1,0)+1,LARGE(A$3:A1531,1))</f>
        <v>0</v>
      </c>
      <c r="B1532" s="457">
        <f t="shared" ca="1" si="351"/>
        <v>21</v>
      </c>
      <c r="C1532" s="457">
        <f t="shared" ca="1" si="352"/>
        <v>1</v>
      </c>
      <c r="D1532" s="458">
        <f t="shared" ca="1" si="353"/>
        <v>1</v>
      </c>
      <c r="E1532" s="458">
        <f t="shared" ca="1" si="354"/>
        <v>1</v>
      </c>
      <c r="F1532" s="34"/>
    </row>
    <row r="1533" spans="1:6" ht="14.1" customHeight="1" x14ac:dyDescent="0.2">
      <c r="A1533" s="457">
        <f ca="1">IF($H1533="UNIDADE CONSTRUTIVA",OFFSET(A1533,-1,0)+1,LARGE(A$3:A1532,1))</f>
        <v>0</v>
      </c>
      <c r="B1533" s="457">
        <f t="shared" ca="1" si="351"/>
        <v>21</v>
      </c>
      <c r="C1533" s="457">
        <f t="shared" ca="1" si="352"/>
        <v>1</v>
      </c>
      <c r="D1533" s="458">
        <f t="shared" ca="1" si="353"/>
        <v>1</v>
      </c>
      <c r="E1533" s="458">
        <f t="shared" ca="1" si="354"/>
        <v>1</v>
      </c>
      <c r="F1533" s="34"/>
    </row>
    <row r="1534" spans="1:6" ht="14.1" customHeight="1" x14ac:dyDescent="0.2">
      <c r="A1534" s="457">
        <f ca="1">IF($H1534="UNIDADE CONSTRUTIVA",OFFSET(A1534,-1,0)+1,LARGE(A$3:A1533,1))</f>
        <v>0</v>
      </c>
      <c r="B1534" s="457">
        <f t="shared" ca="1" si="351"/>
        <v>21</v>
      </c>
      <c r="C1534" s="457">
        <f t="shared" ca="1" si="352"/>
        <v>1</v>
      </c>
      <c r="D1534" s="458">
        <f t="shared" ca="1" si="353"/>
        <v>1</v>
      </c>
      <c r="E1534" s="458">
        <f t="shared" ca="1" si="354"/>
        <v>1</v>
      </c>
      <c r="F1534" s="34"/>
    </row>
    <row r="1535" spans="1:6" ht="14.1" customHeight="1" x14ac:dyDescent="0.2">
      <c r="A1535" s="457">
        <f ca="1">IF($H1535="UNIDADE CONSTRUTIVA",OFFSET(A1535,-1,0)+1,LARGE(A$3:A1534,1))</f>
        <v>0</v>
      </c>
      <c r="B1535" s="457">
        <f t="shared" ca="1" si="351"/>
        <v>21</v>
      </c>
      <c r="C1535" s="457">
        <f t="shared" ca="1" si="352"/>
        <v>1</v>
      </c>
      <c r="D1535" s="458">
        <f t="shared" ca="1" si="353"/>
        <v>1</v>
      </c>
      <c r="E1535" s="458">
        <f t="shared" ca="1" si="354"/>
        <v>1</v>
      </c>
      <c r="F1535" s="34"/>
    </row>
    <row r="1536" spans="1:6" ht="14.1" customHeight="1" x14ac:dyDescent="0.2">
      <c r="A1536" s="457">
        <f ca="1">IF($H1536="UNIDADE CONSTRUTIVA",OFFSET(A1536,-1,0)+1,LARGE(A$3:A1535,1))</f>
        <v>0</v>
      </c>
      <c r="B1536" s="457">
        <f t="shared" ca="1" si="351"/>
        <v>21</v>
      </c>
      <c r="C1536" s="457">
        <f t="shared" ca="1" si="352"/>
        <v>1</v>
      </c>
      <c r="D1536" s="458">
        <f t="shared" ca="1" si="353"/>
        <v>1</v>
      </c>
      <c r="E1536" s="458">
        <f t="shared" ca="1" si="354"/>
        <v>1</v>
      </c>
      <c r="F1536" s="34"/>
    </row>
    <row r="1537" spans="1:6" ht="14.1" customHeight="1" x14ac:dyDescent="0.2">
      <c r="A1537" s="457">
        <f ca="1">IF($H1537="UNIDADE CONSTRUTIVA",OFFSET(A1537,-1,0)+1,LARGE(A$3:A1536,1))</f>
        <v>0</v>
      </c>
      <c r="B1537" s="457">
        <f t="shared" ca="1" si="351"/>
        <v>21</v>
      </c>
      <c r="C1537" s="457">
        <f t="shared" ca="1" si="352"/>
        <v>1</v>
      </c>
      <c r="D1537" s="458">
        <f t="shared" ca="1" si="353"/>
        <v>1</v>
      </c>
      <c r="E1537" s="458">
        <f t="shared" ca="1" si="354"/>
        <v>1</v>
      </c>
      <c r="F1537" s="34"/>
    </row>
    <row r="1538" spans="1:6" ht="14.1" customHeight="1" x14ac:dyDescent="0.2">
      <c r="A1538" s="457">
        <f ca="1">IF($H1538="UNIDADE CONSTRUTIVA",OFFSET(A1538,-1,0)+1,LARGE(A$3:A1537,1))</f>
        <v>0</v>
      </c>
      <c r="B1538" s="457">
        <f t="shared" ca="1" si="351"/>
        <v>21</v>
      </c>
      <c r="C1538" s="457">
        <f t="shared" ca="1" si="352"/>
        <v>1</v>
      </c>
      <c r="D1538" s="458">
        <f t="shared" ca="1" si="353"/>
        <v>1</v>
      </c>
      <c r="E1538" s="458">
        <f t="shared" ca="1" si="354"/>
        <v>1</v>
      </c>
      <c r="F1538" s="34"/>
    </row>
    <row r="1539" spans="1:6" ht="14.1" customHeight="1" x14ac:dyDescent="0.2">
      <c r="A1539" s="457">
        <f ca="1">IF($H1539="UNIDADE CONSTRUTIVA",OFFSET(A1539,-1,0)+1,LARGE(A$3:A1538,1))</f>
        <v>0</v>
      </c>
      <c r="B1539" s="457">
        <f t="shared" ca="1" si="351"/>
        <v>21</v>
      </c>
      <c r="C1539" s="457">
        <f t="shared" ca="1" si="352"/>
        <v>1</v>
      </c>
      <c r="D1539" s="458">
        <f t="shared" ca="1" si="353"/>
        <v>1</v>
      </c>
      <c r="E1539" s="458">
        <f t="shared" ca="1" si="354"/>
        <v>1</v>
      </c>
      <c r="F1539" s="34"/>
    </row>
    <row r="1540" spans="1:6" ht="14.1" customHeight="1" x14ac:dyDescent="0.2">
      <c r="A1540" s="457">
        <f ca="1">IF($H1540="UNIDADE CONSTRUTIVA",OFFSET(A1540,-1,0)+1,LARGE(A$3:A1539,1))</f>
        <v>0</v>
      </c>
      <c r="B1540" s="457">
        <f t="shared" ca="1" si="351"/>
        <v>21</v>
      </c>
      <c r="C1540" s="457">
        <f t="shared" ca="1" si="352"/>
        <v>1</v>
      </c>
      <c r="D1540" s="458">
        <f t="shared" ca="1" si="353"/>
        <v>1</v>
      </c>
      <c r="E1540" s="458">
        <f t="shared" ca="1" si="354"/>
        <v>1</v>
      </c>
      <c r="F1540" s="34"/>
    </row>
    <row r="1541" spans="1:6" ht="14.1" customHeight="1" x14ac:dyDescent="0.2">
      <c r="A1541" s="457">
        <f ca="1">IF($H1541="UNIDADE CONSTRUTIVA",OFFSET(A1541,-1,0)+1,LARGE(A$3:A1540,1))</f>
        <v>0</v>
      </c>
      <c r="B1541" s="457">
        <f t="shared" ca="1" si="351"/>
        <v>21</v>
      </c>
      <c r="C1541" s="457">
        <f t="shared" ca="1" si="352"/>
        <v>1</v>
      </c>
      <c r="D1541" s="458">
        <f t="shared" ca="1" si="353"/>
        <v>1</v>
      </c>
      <c r="E1541" s="458">
        <f t="shared" ca="1" si="354"/>
        <v>1</v>
      </c>
      <c r="F1541" s="34"/>
    </row>
    <row r="1542" spans="1:6" ht="14.1" customHeight="1" x14ac:dyDescent="0.2">
      <c r="A1542" s="457">
        <f ca="1">IF($H1542="UNIDADE CONSTRUTIVA",OFFSET(A1542,-1,0)+1,LARGE(A$3:A1541,1))</f>
        <v>0</v>
      </c>
      <c r="B1542" s="457">
        <f t="shared" ca="1" si="351"/>
        <v>21</v>
      </c>
      <c r="C1542" s="457">
        <f t="shared" ca="1" si="352"/>
        <v>1</v>
      </c>
      <c r="D1542" s="458">
        <f t="shared" ca="1" si="353"/>
        <v>1</v>
      </c>
      <c r="E1542" s="458">
        <f t="shared" ca="1" si="354"/>
        <v>1</v>
      </c>
      <c r="F1542" s="34"/>
    </row>
    <row r="1543" spans="1:6" ht="14.1" customHeight="1" x14ac:dyDescent="0.2">
      <c r="A1543" s="457">
        <f ca="1">IF($H1543="UNIDADE CONSTRUTIVA",OFFSET(A1543,-1,0)+1,LARGE(A$3:A1542,1))</f>
        <v>0</v>
      </c>
      <c r="B1543" s="457">
        <f t="shared" ca="1" si="351"/>
        <v>21</v>
      </c>
      <c r="C1543" s="457">
        <f t="shared" ca="1" si="352"/>
        <v>1</v>
      </c>
      <c r="D1543" s="458">
        <f t="shared" ca="1" si="353"/>
        <v>1</v>
      </c>
      <c r="E1543" s="458">
        <f t="shared" ca="1" si="354"/>
        <v>1</v>
      </c>
      <c r="F1543" s="34"/>
    </row>
    <row r="1544" spans="1:6" ht="14.1" customHeight="1" x14ac:dyDescent="0.2">
      <c r="A1544" s="457">
        <f ca="1">IF($H1544="UNIDADE CONSTRUTIVA",OFFSET(A1544,-1,0)+1,LARGE(A$3:A1543,1))</f>
        <v>0</v>
      </c>
      <c r="B1544" s="457">
        <f t="shared" ca="1" si="351"/>
        <v>21</v>
      </c>
      <c r="C1544" s="457">
        <f t="shared" ca="1" si="352"/>
        <v>1</v>
      </c>
      <c r="D1544" s="458">
        <f t="shared" ca="1" si="353"/>
        <v>1</v>
      </c>
      <c r="E1544" s="458">
        <f t="shared" ca="1" si="354"/>
        <v>1</v>
      </c>
      <c r="F1544" s="34"/>
    </row>
    <row r="1545" spans="1:6" ht="14.1" customHeight="1" x14ac:dyDescent="0.2">
      <c r="A1545" s="457">
        <f ca="1">IF($H1545="UNIDADE CONSTRUTIVA",OFFSET(A1545,-1,0)+1,LARGE(A$3:A1544,1))</f>
        <v>0</v>
      </c>
      <c r="B1545" s="457">
        <f t="shared" ca="1" si="351"/>
        <v>21</v>
      </c>
      <c r="C1545" s="457">
        <f t="shared" ca="1" si="352"/>
        <v>1</v>
      </c>
      <c r="D1545" s="458">
        <f t="shared" ca="1" si="353"/>
        <v>1</v>
      </c>
      <c r="E1545" s="458">
        <f t="shared" ca="1" si="354"/>
        <v>1</v>
      </c>
      <c r="F1545" s="34"/>
    </row>
    <row r="1546" spans="1:6" ht="14.1" customHeight="1" x14ac:dyDescent="0.2">
      <c r="A1546" s="457">
        <f ca="1">IF($H1546="UNIDADE CONSTRUTIVA",OFFSET(A1546,-1,0)+1,LARGE(A$3:A1545,1))</f>
        <v>0</v>
      </c>
      <c r="B1546" s="457">
        <f t="shared" ca="1" si="351"/>
        <v>21</v>
      </c>
      <c r="C1546" s="457">
        <f t="shared" ca="1" si="352"/>
        <v>1</v>
      </c>
      <c r="D1546" s="458">
        <f t="shared" ca="1" si="353"/>
        <v>1</v>
      </c>
      <c r="E1546" s="458">
        <f t="shared" ca="1" si="354"/>
        <v>1</v>
      </c>
      <c r="F1546" s="34"/>
    </row>
    <row r="1547" spans="1:6" ht="14.1" customHeight="1" x14ac:dyDescent="0.2">
      <c r="A1547" s="457">
        <f ca="1">IF($H1547="UNIDADE CONSTRUTIVA",OFFSET(A1547,-1,0)+1,LARGE(A$3:A1546,1))</f>
        <v>0</v>
      </c>
      <c r="B1547" s="457">
        <f t="shared" ca="1" si="351"/>
        <v>21</v>
      </c>
      <c r="C1547" s="457">
        <f t="shared" ca="1" si="352"/>
        <v>1</v>
      </c>
      <c r="D1547" s="458">
        <f t="shared" ca="1" si="353"/>
        <v>1</v>
      </c>
      <c r="E1547" s="458">
        <f t="shared" ca="1" si="354"/>
        <v>1</v>
      </c>
      <c r="F1547" s="34"/>
    </row>
    <row r="1548" spans="1:6" ht="14.1" customHeight="1" x14ac:dyDescent="0.2">
      <c r="A1548" s="457">
        <f ca="1">IF($H1548="UNIDADE CONSTRUTIVA",OFFSET(A1548,-1,0)+1,LARGE(A$3:A1547,1))</f>
        <v>0</v>
      </c>
      <c r="B1548" s="457">
        <f t="shared" ca="1" si="351"/>
        <v>21</v>
      </c>
      <c r="C1548" s="457">
        <f t="shared" ca="1" si="352"/>
        <v>1</v>
      </c>
      <c r="D1548" s="458">
        <f t="shared" ca="1" si="353"/>
        <v>1</v>
      </c>
      <c r="E1548" s="458">
        <f t="shared" ca="1" si="354"/>
        <v>1</v>
      </c>
      <c r="F1548" s="34"/>
    </row>
    <row r="1549" spans="1:6" ht="14.1" customHeight="1" x14ac:dyDescent="0.2">
      <c r="A1549" s="457">
        <f ca="1">IF($H1549="UNIDADE CONSTRUTIVA",OFFSET(A1549,-1,0)+1,LARGE(A$3:A1548,1))</f>
        <v>0</v>
      </c>
      <c r="B1549" s="457">
        <f t="shared" ca="1" si="351"/>
        <v>21</v>
      </c>
      <c r="C1549" s="457">
        <f t="shared" ca="1" si="352"/>
        <v>1</v>
      </c>
      <c r="D1549" s="458">
        <f t="shared" ca="1" si="353"/>
        <v>1</v>
      </c>
      <c r="E1549" s="458">
        <f t="shared" ca="1" si="354"/>
        <v>1</v>
      </c>
      <c r="F1549" s="34"/>
    </row>
    <row r="1550" spans="1:6" ht="14.1" customHeight="1" x14ac:dyDescent="0.2">
      <c r="A1550" s="457">
        <f ca="1">IF($H1550="UNIDADE CONSTRUTIVA",OFFSET(A1550,-1,0)+1,LARGE(A$3:A1549,1))</f>
        <v>0</v>
      </c>
      <c r="B1550" s="457">
        <f t="shared" ca="1" si="351"/>
        <v>21</v>
      </c>
      <c r="C1550" s="457">
        <f t="shared" ca="1" si="352"/>
        <v>1</v>
      </c>
      <c r="D1550" s="458">
        <f t="shared" ca="1" si="353"/>
        <v>1</v>
      </c>
      <c r="E1550" s="458">
        <f t="shared" ca="1" si="354"/>
        <v>1</v>
      </c>
      <c r="F1550" s="34"/>
    </row>
    <row r="1551" spans="1:6" ht="14.1" customHeight="1" x14ac:dyDescent="0.2">
      <c r="A1551" s="457">
        <f ca="1">IF($H1551="UNIDADE CONSTRUTIVA",OFFSET(A1551,-1,0)+1,LARGE(A$3:A1550,1))</f>
        <v>0</v>
      </c>
      <c r="B1551" s="457">
        <f t="shared" ca="1" si="351"/>
        <v>21</v>
      </c>
      <c r="C1551" s="457">
        <f t="shared" ca="1" si="352"/>
        <v>1</v>
      </c>
      <c r="D1551" s="458">
        <f t="shared" ca="1" si="353"/>
        <v>1</v>
      </c>
      <c r="E1551" s="458">
        <f t="shared" ca="1" si="354"/>
        <v>1</v>
      </c>
      <c r="F1551" s="34"/>
    </row>
    <row r="1552" spans="1:6" ht="14.1" customHeight="1" x14ac:dyDescent="0.2">
      <c r="A1552" s="457">
        <f ca="1">IF($H1552="UNIDADE CONSTRUTIVA",OFFSET(A1552,-1,0)+1,LARGE(A$3:A1551,1))</f>
        <v>0</v>
      </c>
      <c r="B1552" s="457">
        <f t="shared" ca="1" si="351"/>
        <v>21</v>
      </c>
      <c r="C1552" s="457">
        <f t="shared" ca="1" si="352"/>
        <v>1</v>
      </c>
      <c r="D1552" s="458">
        <f t="shared" ca="1" si="353"/>
        <v>1</v>
      </c>
      <c r="E1552" s="458">
        <f t="shared" ca="1" si="354"/>
        <v>1</v>
      </c>
      <c r="F1552" s="34"/>
    </row>
    <row r="1553" spans="1:6" ht="14.1" customHeight="1" x14ac:dyDescent="0.2">
      <c r="A1553" s="457">
        <f ca="1">IF($H1553="UNIDADE CONSTRUTIVA",OFFSET(A1553,-1,0)+1,LARGE(A$3:A1552,1))</f>
        <v>0</v>
      </c>
      <c r="B1553" s="457">
        <f t="shared" ca="1" si="351"/>
        <v>21</v>
      </c>
      <c r="C1553" s="457">
        <f t="shared" ca="1" si="352"/>
        <v>1</v>
      </c>
      <c r="D1553" s="458">
        <f t="shared" ca="1" si="353"/>
        <v>1</v>
      </c>
      <c r="E1553" s="458">
        <f t="shared" ca="1" si="354"/>
        <v>1</v>
      </c>
      <c r="F1553" s="34"/>
    </row>
    <row r="1554" spans="1:6" ht="14.1" customHeight="1" x14ac:dyDescent="0.2">
      <c r="A1554" s="457">
        <f ca="1">IF($H1554="UNIDADE CONSTRUTIVA",OFFSET(A1554,-1,0)+1,LARGE(A$3:A1553,1))</f>
        <v>0</v>
      </c>
      <c r="B1554" s="457">
        <f t="shared" ca="1" si="351"/>
        <v>21</v>
      </c>
      <c r="C1554" s="457">
        <f t="shared" ca="1" si="352"/>
        <v>1</v>
      </c>
      <c r="D1554" s="458">
        <f t="shared" ca="1" si="353"/>
        <v>1</v>
      </c>
      <c r="E1554" s="458">
        <f t="shared" ca="1" si="354"/>
        <v>1</v>
      </c>
      <c r="F1554" s="34"/>
    </row>
    <row r="1555" spans="1:6" ht="14.1" customHeight="1" x14ac:dyDescent="0.2">
      <c r="A1555" s="457">
        <f ca="1">IF($H1555="UNIDADE CONSTRUTIVA",OFFSET(A1555,-1,0)+1,LARGE(A$3:A1554,1))</f>
        <v>0</v>
      </c>
      <c r="B1555" s="457">
        <f t="shared" ca="1" si="351"/>
        <v>21</v>
      </c>
      <c r="C1555" s="457">
        <f t="shared" ca="1" si="352"/>
        <v>1</v>
      </c>
      <c r="D1555" s="458">
        <f t="shared" ca="1" si="353"/>
        <v>1</v>
      </c>
      <c r="E1555" s="458">
        <f t="shared" ca="1" si="354"/>
        <v>1</v>
      </c>
      <c r="F1555" s="34"/>
    </row>
    <row r="1556" spans="1:6" ht="14.1" customHeight="1" x14ac:dyDescent="0.2">
      <c r="A1556" s="457">
        <f ca="1">IF($H1556="UNIDADE CONSTRUTIVA",OFFSET(A1556,-1,0)+1,LARGE(A$3:A1555,1))</f>
        <v>0</v>
      </c>
      <c r="B1556" s="457">
        <f t="shared" ca="1" si="351"/>
        <v>21</v>
      </c>
      <c r="C1556" s="457">
        <f t="shared" ca="1" si="352"/>
        <v>1</v>
      </c>
      <c r="D1556" s="458">
        <f t="shared" ca="1" si="353"/>
        <v>1</v>
      </c>
      <c r="E1556" s="458">
        <f t="shared" ca="1" si="354"/>
        <v>1</v>
      </c>
      <c r="F1556" s="34"/>
    </row>
    <row r="1557" spans="1:6" ht="14.1" customHeight="1" x14ac:dyDescent="0.2">
      <c r="A1557" s="457">
        <f ca="1">IF($H1557="UNIDADE CONSTRUTIVA",OFFSET(A1557,-1,0)+1,LARGE(A$3:A1556,1))</f>
        <v>0</v>
      </c>
      <c r="B1557" s="457">
        <f t="shared" ca="1" si="351"/>
        <v>21</v>
      </c>
      <c r="C1557" s="457">
        <f t="shared" ca="1" si="352"/>
        <v>1</v>
      </c>
      <c r="D1557" s="458">
        <f t="shared" ca="1" si="353"/>
        <v>1</v>
      </c>
      <c r="E1557" s="458">
        <f t="shared" ca="1" si="354"/>
        <v>1</v>
      </c>
      <c r="F1557" s="34"/>
    </row>
    <row r="1558" spans="1:6" ht="14.1" customHeight="1" x14ac:dyDescent="0.2">
      <c r="A1558" s="457">
        <f ca="1">IF($H1558="UNIDADE CONSTRUTIVA",OFFSET(A1558,-1,0)+1,LARGE(A$3:A1557,1))</f>
        <v>0</v>
      </c>
      <c r="B1558" s="457">
        <f t="shared" ca="1" si="351"/>
        <v>21</v>
      </c>
      <c r="C1558" s="457">
        <f t="shared" ca="1" si="352"/>
        <v>1</v>
      </c>
      <c r="D1558" s="458">
        <f t="shared" ca="1" si="353"/>
        <v>1</v>
      </c>
      <c r="E1558" s="458">
        <f t="shared" ca="1" si="354"/>
        <v>1</v>
      </c>
      <c r="F1558" s="34"/>
    </row>
    <row r="1559" spans="1:6" ht="14.1" customHeight="1" x14ac:dyDescent="0.2">
      <c r="A1559" s="457">
        <f ca="1">IF($H1559="UNIDADE CONSTRUTIVA",OFFSET(A1559,-1,0)+1,LARGE(A$3:A1558,1))</f>
        <v>0</v>
      </c>
      <c r="B1559" s="457">
        <f t="shared" ca="1" si="351"/>
        <v>21</v>
      </c>
      <c r="C1559" s="457">
        <f t="shared" ca="1" si="352"/>
        <v>1</v>
      </c>
      <c r="D1559" s="458">
        <f t="shared" ca="1" si="353"/>
        <v>1</v>
      </c>
      <c r="E1559" s="458">
        <f t="shared" ca="1" si="354"/>
        <v>1</v>
      </c>
      <c r="F1559" s="34"/>
    </row>
    <row r="1560" spans="1:6" ht="14.1" customHeight="1" x14ac:dyDescent="0.2">
      <c r="A1560" s="457">
        <f ca="1">IF($H1560="UNIDADE CONSTRUTIVA",OFFSET(A1560,-1,0)+1,LARGE(A$3:A1559,1))</f>
        <v>0</v>
      </c>
      <c r="B1560" s="457">
        <f t="shared" ca="1" si="351"/>
        <v>21</v>
      </c>
      <c r="C1560" s="457">
        <f t="shared" ca="1" si="352"/>
        <v>1</v>
      </c>
      <c r="D1560" s="458">
        <f t="shared" ca="1" si="353"/>
        <v>1</v>
      </c>
      <c r="E1560" s="458">
        <f t="shared" ca="1" si="354"/>
        <v>1</v>
      </c>
      <c r="F1560" s="34"/>
    </row>
    <row r="1561" spans="1:6" ht="14.1" customHeight="1" x14ac:dyDescent="0.2">
      <c r="A1561" s="457">
        <f ca="1">IF($H1561="UNIDADE CONSTRUTIVA",OFFSET(A1561,-1,0)+1,LARGE(A$3:A1560,1))</f>
        <v>0</v>
      </c>
      <c r="B1561" s="457">
        <f t="shared" ca="1" si="351"/>
        <v>21</v>
      </c>
      <c r="C1561" s="457">
        <f t="shared" ca="1" si="352"/>
        <v>1</v>
      </c>
      <c r="D1561" s="458">
        <f t="shared" ca="1" si="353"/>
        <v>1</v>
      </c>
      <c r="E1561" s="458">
        <f t="shared" ca="1" si="354"/>
        <v>1</v>
      </c>
      <c r="F1561" s="34"/>
    </row>
    <row r="1562" spans="1:6" ht="14.1" customHeight="1" x14ac:dyDescent="0.2">
      <c r="A1562" s="457">
        <f ca="1">IF($H1562="UNIDADE CONSTRUTIVA",OFFSET(A1562,-1,0)+1,LARGE(A$3:A1561,1))</f>
        <v>0</v>
      </c>
      <c r="B1562" s="457">
        <f t="shared" ca="1" si="351"/>
        <v>21</v>
      </c>
      <c r="C1562" s="457">
        <f t="shared" ca="1" si="352"/>
        <v>1</v>
      </c>
      <c r="D1562" s="458">
        <f t="shared" ca="1" si="353"/>
        <v>1</v>
      </c>
      <c r="E1562" s="458">
        <f t="shared" ca="1" si="354"/>
        <v>1</v>
      </c>
      <c r="F1562" s="34"/>
    </row>
    <row r="1563" spans="1:6" ht="14.1" customHeight="1" x14ac:dyDescent="0.2">
      <c r="A1563" s="457">
        <f ca="1">IF($H1563="UNIDADE CONSTRUTIVA",OFFSET(A1563,-1,0)+1,LARGE(A$3:A1562,1))</f>
        <v>0</v>
      </c>
      <c r="B1563" s="457">
        <f t="shared" ref="B1563:B1626" ca="1" si="355">IF(H1563="UNIDADE CONSTRUTIVA",0,IF(H1563="CÉLULA CONSTRUTIVA",OFFSET(B1563,-1,0)+1,OFFSET(B1563,-1,0)))</f>
        <v>21</v>
      </c>
      <c r="C1563" s="457">
        <f t="shared" ref="C1563:C1626" ca="1" si="356">IF(H1563="CÉLULA CONSTRUTIVA",0,IF(H1563="ETAPA",OFFSET(C1563,-1,0)+1,OFFSET(C1563,-1,0)))</f>
        <v>1</v>
      </c>
      <c r="D1563" s="458">
        <f t="shared" ref="D1563:D1626" ca="1" si="357">IF(H1563="ETAPA",0,IF(H1563="SUBETAPA",OFFSET(D1563,-1,0)+1,OFFSET(D1563,-1,0)))</f>
        <v>1</v>
      </c>
      <c r="E1563" s="458">
        <f t="shared" ref="E1563:E1626" ca="1" si="358">IF(H1563="Subetapa",0,IF(H1563="serviço",OFFSET(E1563,-1,0)+1,OFFSET(E1563,-1,0)))</f>
        <v>1</v>
      </c>
      <c r="F1563" s="34"/>
    </row>
    <row r="1564" spans="1:6" ht="14.1" customHeight="1" x14ac:dyDescent="0.2">
      <c r="A1564" s="457">
        <f ca="1">IF($H1564="UNIDADE CONSTRUTIVA",OFFSET(A1564,-1,0)+1,LARGE(A$3:A1563,1))</f>
        <v>0</v>
      </c>
      <c r="B1564" s="457">
        <f t="shared" ca="1" si="355"/>
        <v>21</v>
      </c>
      <c r="C1564" s="457">
        <f t="shared" ca="1" si="356"/>
        <v>1</v>
      </c>
      <c r="D1564" s="458">
        <f t="shared" ca="1" si="357"/>
        <v>1</v>
      </c>
      <c r="E1564" s="458">
        <f t="shared" ca="1" si="358"/>
        <v>1</v>
      </c>
      <c r="F1564" s="34"/>
    </row>
    <row r="1565" spans="1:6" ht="14.1" customHeight="1" x14ac:dyDescent="0.2">
      <c r="A1565" s="457">
        <f ca="1">IF($H1565="UNIDADE CONSTRUTIVA",OFFSET(A1565,-1,0)+1,LARGE(A$3:A1564,1))</f>
        <v>0</v>
      </c>
      <c r="B1565" s="457">
        <f t="shared" ca="1" si="355"/>
        <v>21</v>
      </c>
      <c r="C1565" s="457">
        <f t="shared" ca="1" si="356"/>
        <v>1</v>
      </c>
      <c r="D1565" s="458">
        <f t="shared" ca="1" si="357"/>
        <v>1</v>
      </c>
      <c r="E1565" s="458">
        <f t="shared" ca="1" si="358"/>
        <v>1</v>
      </c>
      <c r="F1565" s="34"/>
    </row>
    <row r="1566" spans="1:6" ht="14.1" customHeight="1" x14ac:dyDescent="0.2">
      <c r="A1566" s="457">
        <f ca="1">IF($H1566="UNIDADE CONSTRUTIVA",OFFSET(A1566,-1,0)+1,LARGE(A$3:A1565,1))</f>
        <v>0</v>
      </c>
      <c r="B1566" s="457">
        <f t="shared" ca="1" si="355"/>
        <v>21</v>
      </c>
      <c r="C1566" s="457">
        <f t="shared" ca="1" si="356"/>
        <v>1</v>
      </c>
      <c r="D1566" s="458">
        <f t="shared" ca="1" si="357"/>
        <v>1</v>
      </c>
      <c r="E1566" s="458">
        <f t="shared" ca="1" si="358"/>
        <v>1</v>
      </c>
      <c r="F1566" s="34"/>
    </row>
    <row r="1567" spans="1:6" ht="14.1" customHeight="1" x14ac:dyDescent="0.2">
      <c r="A1567" s="457">
        <f ca="1">IF($H1567="UNIDADE CONSTRUTIVA",OFFSET(A1567,-1,0)+1,LARGE(A$3:A1566,1))</f>
        <v>0</v>
      </c>
      <c r="B1567" s="457">
        <f t="shared" ca="1" si="355"/>
        <v>21</v>
      </c>
      <c r="C1567" s="457">
        <f t="shared" ca="1" si="356"/>
        <v>1</v>
      </c>
      <c r="D1567" s="458">
        <f t="shared" ca="1" si="357"/>
        <v>1</v>
      </c>
      <c r="E1567" s="458">
        <f t="shared" ca="1" si="358"/>
        <v>1</v>
      </c>
      <c r="F1567" s="34"/>
    </row>
    <row r="1568" spans="1:6" ht="14.1" customHeight="1" x14ac:dyDescent="0.2">
      <c r="A1568" s="457">
        <f ca="1">IF($H1568="UNIDADE CONSTRUTIVA",OFFSET(A1568,-1,0)+1,LARGE(A$3:A1567,1))</f>
        <v>0</v>
      </c>
      <c r="B1568" s="457">
        <f t="shared" ca="1" si="355"/>
        <v>21</v>
      </c>
      <c r="C1568" s="457">
        <f t="shared" ca="1" si="356"/>
        <v>1</v>
      </c>
      <c r="D1568" s="458">
        <f t="shared" ca="1" si="357"/>
        <v>1</v>
      </c>
      <c r="E1568" s="458">
        <f t="shared" ca="1" si="358"/>
        <v>1</v>
      </c>
      <c r="F1568" s="34"/>
    </row>
    <row r="1569" spans="1:6" ht="14.1" customHeight="1" x14ac:dyDescent="0.2">
      <c r="A1569" s="457">
        <f ca="1">IF($H1569="UNIDADE CONSTRUTIVA",OFFSET(A1569,-1,0)+1,LARGE(A$3:A1568,1))</f>
        <v>0</v>
      </c>
      <c r="B1569" s="457">
        <f t="shared" ca="1" si="355"/>
        <v>21</v>
      </c>
      <c r="C1569" s="457">
        <f t="shared" ca="1" si="356"/>
        <v>1</v>
      </c>
      <c r="D1569" s="458">
        <f t="shared" ca="1" si="357"/>
        <v>1</v>
      </c>
      <c r="E1569" s="458">
        <f t="shared" ca="1" si="358"/>
        <v>1</v>
      </c>
      <c r="F1569" s="34"/>
    </row>
    <row r="1570" spans="1:6" ht="14.1" customHeight="1" x14ac:dyDescent="0.2">
      <c r="A1570" s="457">
        <f ca="1">IF($H1570="UNIDADE CONSTRUTIVA",OFFSET(A1570,-1,0)+1,LARGE(A$3:A1569,1))</f>
        <v>0</v>
      </c>
      <c r="B1570" s="457">
        <f t="shared" ca="1" si="355"/>
        <v>21</v>
      </c>
      <c r="C1570" s="457">
        <f t="shared" ca="1" si="356"/>
        <v>1</v>
      </c>
      <c r="D1570" s="458">
        <f t="shared" ca="1" si="357"/>
        <v>1</v>
      </c>
      <c r="E1570" s="458">
        <f t="shared" ca="1" si="358"/>
        <v>1</v>
      </c>
      <c r="F1570" s="34"/>
    </row>
    <row r="1571" spans="1:6" ht="14.1" customHeight="1" x14ac:dyDescent="0.2">
      <c r="A1571" s="457">
        <f ca="1">IF($H1571="UNIDADE CONSTRUTIVA",OFFSET(A1571,-1,0)+1,LARGE(A$3:A1570,1))</f>
        <v>0</v>
      </c>
      <c r="B1571" s="457">
        <f t="shared" ca="1" si="355"/>
        <v>21</v>
      </c>
      <c r="C1571" s="457">
        <f t="shared" ca="1" si="356"/>
        <v>1</v>
      </c>
      <c r="D1571" s="458">
        <f t="shared" ca="1" si="357"/>
        <v>1</v>
      </c>
      <c r="E1571" s="458">
        <f t="shared" ca="1" si="358"/>
        <v>1</v>
      </c>
      <c r="F1571" s="34"/>
    </row>
    <row r="1572" spans="1:6" ht="14.1" customHeight="1" x14ac:dyDescent="0.2">
      <c r="A1572" s="457">
        <f ca="1">IF($H1572="UNIDADE CONSTRUTIVA",OFFSET(A1572,-1,0)+1,LARGE(A$3:A1571,1))</f>
        <v>0</v>
      </c>
      <c r="B1572" s="457">
        <f t="shared" ca="1" si="355"/>
        <v>21</v>
      </c>
      <c r="C1572" s="457">
        <f t="shared" ca="1" si="356"/>
        <v>1</v>
      </c>
      <c r="D1572" s="458">
        <f t="shared" ca="1" si="357"/>
        <v>1</v>
      </c>
      <c r="E1572" s="458">
        <f t="shared" ca="1" si="358"/>
        <v>1</v>
      </c>
      <c r="F1572" s="34"/>
    </row>
    <row r="1573" spans="1:6" ht="14.1" customHeight="1" x14ac:dyDescent="0.2">
      <c r="A1573" s="457">
        <f ca="1">IF($H1573="UNIDADE CONSTRUTIVA",OFFSET(A1573,-1,0)+1,LARGE(A$3:A1572,1))</f>
        <v>0</v>
      </c>
      <c r="B1573" s="457">
        <f t="shared" ca="1" si="355"/>
        <v>21</v>
      </c>
      <c r="C1573" s="457">
        <f t="shared" ca="1" si="356"/>
        <v>1</v>
      </c>
      <c r="D1573" s="458">
        <f t="shared" ca="1" si="357"/>
        <v>1</v>
      </c>
      <c r="E1573" s="458">
        <f t="shared" ca="1" si="358"/>
        <v>1</v>
      </c>
      <c r="F1573" s="34"/>
    </row>
    <row r="1574" spans="1:6" ht="14.1" customHeight="1" x14ac:dyDescent="0.2">
      <c r="A1574" s="457">
        <f ca="1">IF($H1574="UNIDADE CONSTRUTIVA",OFFSET(A1574,-1,0)+1,LARGE(A$3:A1573,1))</f>
        <v>0</v>
      </c>
      <c r="B1574" s="457">
        <f t="shared" ca="1" si="355"/>
        <v>21</v>
      </c>
      <c r="C1574" s="457">
        <f t="shared" ca="1" si="356"/>
        <v>1</v>
      </c>
      <c r="D1574" s="458">
        <f t="shared" ca="1" si="357"/>
        <v>1</v>
      </c>
      <c r="E1574" s="458">
        <f t="shared" ca="1" si="358"/>
        <v>1</v>
      </c>
      <c r="F1574" s="34"/>
    </row>
    <row r="1575" spans="1:6" ht="14.1" customHeight="1" x14ac:dyDescent="0.2">
      <c r="A1575" s="457">
        <f ca="1">IF($H1575="UNIDADE CONSTRUTIVA",OFFSET(A1575,-1,0)+1,LARGE(A$3:A1574,1))</f>
        <v>0</v>
      </c>
      <c r="B1575" s="457">
        <f t="shared" ca="1" si="355"/>
        <v>21</v>
      </c>
      <c r="C1575" s="457">
        <f t="shared" ca="1" si="356"/>
        <v>1</v>
      </c>
      <c r="D1575" s="458">
        <f t="shared" ca="1" si="357"/>
        <v>1</v>
      </c>
      <c r="E1575" s="458">
        <f t="shared" ca="1" si="358"/>
        <v>1</v>
      </c>
      <c r="F1575" s="34"/>
    </row>
    <row r="1576" spans="1:6" ht="14.1" customHeight="1" x14ac:dyDescent="0.2">
      <c r="A1576" s="457">
        <f ca="1">IF($H1576="UNIDADE CONSTRUTIVA",OFFSET(A1576,-1,0)+1,LARGE(A$3:A1575,1))</f>
        <v>0</v>
      </c>
      <c r="B1576" s="457">
        <f t="shared" ca="1" si="355"/>
        <v>21</v>
      </c>
      <c r="C1576" s="457">
        <f t="shared" ca="1" si="356"/>
        <v>1</v>
      </c>
      <c r="D1576" s="458">
        <f t="shared" ca="1" si="357"/>
        <v>1</v>
      </c>
      <c r="E1576" s="458">
        <f t="shared" ca="1" si="358"/>
        <v>1</v>
      </c>
      <c r="F1576" s="34"/>
    </row>
    <row r="1577" spans="1:6" ht="14.1" customHeight="1" x14ac:dyDescent="0.2">
      <c r="A1577" s="457">
        <f ca="1">IF($H1577="UNIDADE CONSTRUTIVA",OFFSET(A1577,-1,0)+1,LARGE(A$3:A1576,1))</f>
        <v>0</v>
      </c>
      <c r="B1577" s="457">
        <f t="shared" ca="1" si="355"/>
        <v>21</v>
      </c>
      <c r="C1577" s="457">
        <f t="shared" ca="1" si="356"/>
        <v>1</v>
      </c>
      <c r="D1577" s="458">
        <f t="shared" ca="1" si="357"/>
        <v>1</v>
      </c>
      <c r="E1577" s="458">
        <f t="shared" ca="1" si="358"/>
        <v>1</v>
      </c>
      <c r="F1577" s="34"/>
    </row>
    <row r="1578" spans="1:6" ht="14.1" customHeight="1" x14ac:dyDescent="0.2">
      <c r="A1578" s="457">
        <f ca="1">IF($H1578="UNIDADE CONSTRUTIVA",OFFSET(A1578,-1,0)+1,LARGE(A$3:A1577,1))</f>
        <v>0</v>
      </c>
      <c r="B1578" s="457">
        <f t="shared" ca="1" si="355"/>
        <v>21</v>
      </c>
      <c r="C1578" s="457">
        <f t="shared" ca="1" si="356"/>
        <v>1</v>
      </c>
      <c r="D1578" s="458">
        <f t="shared" ca="1" si="357"/>
        <v>1</v>
      </c>
      <c r="E1578" s="458">
        <f t="shared" ca="1" si="358"/>
        <v>1</v>
      </c>
      <c r="F1578" s="34"/>
    </row>
    <row r="1579" spans="1:6" ht="14.1" customHeight="1" x14ac:dyDescent="0.2">
      <c r="A1579" s="457">
        <f ca="1">IF($H1579="UNIDADE CONSTRUTIVA",OFFSET(A1579,-1,0)+1,LARGE(A$3:A1578,1))</f>
        <v>0</v>
      </c>
      <c r="B1579" s="457">
        <f t="shared" ca="1" si="355"/>
        <v>21</v>
      </c>
      <c r="C1579" s="457">
        <f t="shared" ca="1" si="356"/>
        <v>1</v>
      </c>
      <c r="D1579" s="458">
        <f t="shared" ca="1" si="357"/>
        <v>1</v>
      </c>
      <c r="E1579" s="458">
        <f t="shared" ca="1" si="358"/>
        <v>1</v>
      </c>
      <c r="F1579" s="34"/>
    </row>
    <row r="1580" spans="1:6" ht="14.1" customHeight="1" x14ac:dyDescent="0.2">
      <c r="A1580" s="457">
        <f ca="1">IF($H1580="UNIDADE CONSTRUTIVA",OFFSET(A1580,-1,0)+1,LARGE(A$3:A1579,1))</f>
        <v>0</v>
      </c>
      <c r="B1580" s="457">
        <f t="shared" ca="1" si="355"/>
        <v>21</v>
      </c>
      <c r="C1580" s="457">
        <f t="shared" ca="1" si="356"/>
        <v>1</v>
      </c>
      <c r="D1580" s="458">
        <f t="shared" ca="1" si="357"/>
        <v>1</v>
      </c>
      <c r="E1580" s="458">
        <f t="shared" ca="1" si="358"/>
        <v>1</v>
      </c>
      <c r="F1580" s="34"/>
    </row>
    <row r="1581" spans="1:6" ht="14.1" customHeight="1" x14ac:dyDescent="0.2">
      <c r="A1581" s="457">
        <f ca="1">IF($H1581="UNIDADE CONSTRUTIVA",OFFSET(A1581,-1,0)+1,LARGE(A$3:A1580,1))</f>
        <v>0</v>
      </c>
      <c r="B1581" s="457">
        <f t="shared" ca="1" si="355"/>
        <v>21</v>
      </c>
      <c r="C1581" s="457">
        <f t="shared" ca="1" si="356"/>
        <v>1</v>
      </c>
      <c r="D1581" s="458">
        <f t="shared" ca="1" si="357"/>
        <v>1</v>
      </c>
      <c r="E1581" s="458">
        <f t="shared" ca="1" si="358"/>
        <v>1</v>
      </c>
      <c r="F1581" s="34"/>
    </row>
    <row r="1582" spans="1:6" ht="14.1" customHeight="1" x14ac:dyDescent="0.2">
      <c r="A1582" s="457">
        <f ca="1">IF($H1582="UNIDADE CONSTRUTIVA",OFFSET(A1582,-1,0)+1,LARGE(A$3:A1581,1))</f>
        <v>0</v>
      </c>
      <c r="B1582" s="457">
        <f t="shared" ca="1" si="355"/>
        <v>21</v>
      </c>
      <c r="C1582" s="457">
        <f t="shared" ca="1" si="356"/>
        <v>1</v>
      </c>
      <c r="D1582" s="458">
        <f t="shared" ca="1" si="357"/>
        <v>1</v>
      </c>
      <c r="E1582" s="458">
        <f t="shared" ca="1" si="358"/>
        <v>1</v>
      </c>
      <c r="F1582" s="34"/>
    </row>
    <row r="1583" spans="1:6" ht="14.1" customHeight="1" x14ac:dyDescent="0.2">
      <c r="A1583" s="457">
        <f ca="1">IF($H1583="UNIDADE CONSTRUTIVA",OFFSET(A1583,-1,0)+1,LARGE(A$3:A1582,1))</f>
        <v>0</v>
      </c>
      <c r="B1583" s="457">
        <f t="shared" ca="1" si="355"/>
        <v>21</v>
      </c>
      <c r="C1583" s="457">
        <f t="shared" ca="1" si="356"/>
        <v>1</v>
      </c>
      <c r="D1583" s="458">
        <f t="shared" ca="1" si="357"/>
        <v>1</v>
      </c>
      <c r="E1583" s="458">
        <f t="shared" ca="1" si="358"/>
        <v>1</v>
      </c>
      <c r="F1583" s="34"/>
    </row>
    <row r="1584" spans="1:6" ht="14.1" customHeight="1" x14ac:dyDescent="0.2">
      <c r="A1584" s="457">
        <f ca="1">IF($H1584="UNIDADE CONSTRUTIVA",OFFSET(A1584,-1,0)+1,LARGE(A$3:A1583,1))</f>
        <v>0</v>
      </c>
      <c r="B1584" s="457">
        <f t="shared" ca="1" si="355"/>
        <v>21</v>
      </c>
      <c r="C1584" s="457">
        <f t="shared" ca="1" si="356"/>
        <v>1</v>
      </c>
      <c r="D1584" s="458">
        <f t="shared" ca="1" si="357"/>
        <v>1</v>
      </c>
      <c r="E1584" s="458">
        <f t="shared" ca="1" si="358"/>
        <v>1</v>
      </c>
      <c r="F1584" s="34"/>
    </row>
    <row r="1585" spans="1:6" ht="14.1" customHeight="1" x14ac:dyDescent="0.2">
      <c r="A1585" s="457">
        <f ca="1">IF($H1585="UNIDADE CONSTRUTIVA",OFFSET(A1585,-1,0)+1,LARGE(A$3:A1584,1))</f>
        <v>0</v>
      </c>
      <c r="B1585" s="457">
        <f t="shared" ca="1" si="355"/>
        <v>21</v>
      </c>
      <c r="C1585" s="457">
        <f t="shared" ca="1" si="356"/>
        <v>1</v>
      </c>
      <c r="D1585" s="458">
        <f t="shared" ca="1" si="357"/>
        <v>1</v>
      </c>
      <c r="E1585" s="458">
        <f t="shared" ca="1" si="358"/>
        <v>1</v>
      </c>
      <c r="F1585" s="34"/>
    </row>
    <row r="1586" spans="1:6" ht="14.1" customHeight="1" x14ac:dyDescent="0.2">
      <c r="A1586" s="457">
        <f ca="1">IF($H1586="UNIDADE CONSTRUTIVA",OFFSET(A1586,-1,0)+1,LARGE(A$3:A1585,1))</f>
        <v>0</v>
      </c>
      <c r="B1586" s="457">
        <f t="shared" ca="1" si="355"/>
        <v>21</v>
      </c>
      <c r="C1586" s="457">
        <f t="shared" ca="1" si="356"/>
        <v>1</v>
      </c>
      <c r="D1586" s="458">
        <f t="shared" ca="1" si="357"/>
        <v>1</v>
      </c>
      <c r="E1586" s="458">
        <f t="shared" ca="1" si="358"/>
        <v>1</v>
      </c>
      <c r="F1586" s="34"/>
    </row>
    <row r="1587" spans="1:6" ht="14.1" customHeight="1" x14ac:dyDescent="0.2">
      <c r="A1587" s="457">
        <f ca="1">IF($H1587="UNIDADE CONSTRUTIVA",OFFSET(A1587,-1,0)+1,LARGE(A$3:A1586,1))</f>
        <v>0</v>
      </c>
      <c r="B1587" s="457">
        <f t="shared" ca="1" si="355"/>
        <v>21</v>
      </c>
      <c r="C1587" s="457">
        <f t="shared" ca="1" si="356"/>
        <v>1</v>
      </c>
      <c r="D1587" s="458">
        <f t="shared" ca="1" si="357"/>
        <v>1</v>
      </c>
      <c r="E1587" s="458">
        <f t="shared" ca="1" si="358"/>
        <v>1</v>
      </c>
      <c r="F1587" s="34"/>
    </row>
    <row r="1588" spans="1:6" ht="14.1" customHeight="1" x14ac:dyDescent="0.2">
      <c r="A1588" s="457">
        <f ca="1">IF($H1588="UNIDADE CONSTRUTIVA",OFFSET(A1588,-1,0)+1,LARGE(A$3:A1587,1))</f>
        <v>0</v>
      </c>
      <c r="B1588" s="457">
        <f t="shared" ca="1" si="355"/>
        <v>21</v>
      </c>
      <c r="C1588" s="457">
        <f t="shared" ca="1" si="356"/>
        <v>1</v>
      </c>
      <c r="D1588" s="458">
        <f t="shared" ca="1" si="357"/>
        <v>1</v>
      </c>
      <c r="E1588" s="458">
        <f t="shared" ca="1" si="358"/>
        <v>1</v>
      </c>
      <c r="F1588" s="34"/>
    </row>
    <row r="1589" spans="1:6" ht="14.1" customHeight="1" x14ac:dyDescent="0.2">
      <c r="A1589" s="457">
        <f ca="1">IF($H1589="UNIDADE CONSTRUTIVA",OFFSET(A1589,-1,0)+1,LARGE(A$3:A1588,1))</f>
        <v>0</v>
      </c>
      <c r="B1589" s="457">
        <f t="shared" ca="1" si="355"/>
        <v>21</v>
      </c>
      <c r="C1589" s="457">
        <f t="shared" ca="1" si="356"/>
        <v>1</v>
      </c>
      <c r="D1589" s="458">
        <f t="shared" ca="1" si="357"/>
        <v>1</v>
      </c>
      <c r="E1589" s="458">
        <f t="shared" ca="1" si="358"/>
        <v>1</v>
      </c>
      <c r="F1589" s="34"/>
    </row>
    <row r="1590" spans="1:6" ht="14.1" customHeight="1" x14ac:dyDescent="0.2">
      <c r="A1590" s="457">
        <f ca="1">IF($H1590="UNIDADE CONSTRUTIVA",OFFSET(A1590,-1,0)+1,LARGE(A$3:A1589,1))</f>
        <v>0</v>
      </c>
      <c r="B1590" s="457">
        <f t="shared" ca="1" si="355"/>
        <v>21</v>
      </c>
      <c r="C1590" s="457">
        <f t="shared" ca="1" si="356"/>
        <v>1</v>
      </c>
      <c r="D1590" s="458">
        <f t="shared" ca="1" si="357"/>
        <v>1</v>
      </c>
      <c r="E1590" s="458">
        <f t="shared" ca="1" si="358"/>
        <v>1</v>
      </c>
      <c r="F1590" s="34"/>
    </row>
    <row r="1591" spans="1:6" ht="14.1" customHeight="1" x14ac:dyDescent="0.2">
      <c r="A1591" s="457">
        <f ca="1">IF($H1591="UNIDADE CONSTRUTIVA",OFFSET(A1591,-1,0)+1,LARGE(A$3:A1590,1))</f>
        <v>0</v>
      </c>
      <c r="B1591" s="457">
        <f t="shared" ca="1" si="355"/>
        <v>21</v>
      </c>
      <c r="C1591" s="457">
        <f t="shared" ca="1" si="356"/>
        <v>1</v>
      </c>
      <c r="D1591" s="458">
        <f t="shared" ca="1" si="357"/>
        <v>1</v>
      </c>
      <c r="E1591" s="458">
        <f t="shared" ca="1" si="358"/>
        <v>1</v>
      </c>
      <c r="F1591" s="34"/>
    </row>
    <row r="1592" spans="1:6" ht="14.1" customHeight="1" x14ac:dyDescent="0.2">
      <c r="A1592" s="457">
        <f ca="1">IF($H1592="UNIDADE CONSTRUTIVA",OFFSET(A1592,-1,0)+1,LARGE(A$3:A1591,1))</f>
        <v>0</v>
      </c>
      <c r="B1592" s="457">
        <f t="shared" ca="1" si="355"/>
        <v>21</v>
      </c>
      <c r="C1592" s="457">
        <f t="shared" ca="1" si="356"/>
        <v>1</v>
      </c>
      <c r="D1592" s="458">
        <f t="shared" ca="1" si="357"/>
        <v>1</v>
      </c>
      <c r="E1592" s="458">
        <f t="shared" ca="1" si="358"/>
        <v>1</v>
      </c>
      <c r="F1592" s="34"/>
    </row>
    <row r="1593" spans="1:6" ht="14.1" customHeight="1" x14ac:dyDescent="0.2">
      <c r="A1593" s="457">
        <f ca="1">IF($H1593="UNIDADE CONSTRUTIVA",OFFSET(A1593,-1,0)+1,LARGE(A$3:A1592,1))</f>
        <v>0</v>
      </c>
      <c r="B1593" s="457">
        <f t="shared" ca="1" si="355"/>
        <v>21</v>
      </c>
      <c r="C1593" s="457">
        <f t="shared" ca="1" si="356"/>
        <v>1</v>
      </c>
      <c r="D1593" s="458">
        <f t="shared" ca="1" si="357"/>
        <v>1</v>
      </c>
      <c r="E1593" s="458">
        <f t="shared" ca="1" si="358"/>
        <v>1</v>
      </c>
      <c r="F1593" s="34"/>
    </row>
    <row r="1594" spans="1:6" ht="14.1" customHeight="1" x14ac:dyDescent="0.2">
      <c r="A1594" s="457">
        <f ca="1">IF($H1594="UNIDADE CONSTRUTIVA",OFFSET(A1594,-1,0)+1,LARGE(A$3:A1593,1))</f>
        <v>0</v>
      </c>
      <c r="B1594" s="457">
        <f t="shared" ca="1" si="355"/>
        <v>21</v>
      </c>
      <c r="C1594" s="457">
        <f t="shared" ca="1" si="356"/>
        <v>1</v>
      </c>
      <c r="D1594" s="458">
        <f t="shared" ca="1" si="357"/>
        <v>1</v>
      </c>
      <c r="E1594" s="458">
        <f t="shared" ca="1" si="358"/>
        <v>1</v>
      </c>
      <c r="F1594" s="34"/>
    </row>
    <row r="1595" spans="1:6" ht="14.1" customHeight="1" x14ac:dyDescent="0.2">
      <c r="A1595" s="457">
        <f ca="1">IF($H1595="UNIDADE CONSTRUTIVA",OFFSET(A1595,-1,0)+1,LARGE(A$3:A1594,1))</f>
        <v>0</v>
      </c>
      <c r="B1595" s="457">
        <f t="shared" ca="1" si="355"/>
        <v>21</v>
      </c>
      <c r="C1595" s="457">
        <f t="shared" ca="1" si="356"/>
        <v>1</v>
      </c>
      <c r="D1595" s="458">
        <f t="shared" ca="1" si="357"/>
        <v>1</v>
      </c>
      <c r="E1595" s="458">
        <f t="shared" ca="1" si="358"/>
        <v>1</v>
      </c>
      <c r="F1595" s="34"/>
    </row>
    <row r="1596" spans="1:6" ht="14.1" customHeight="1" x14ac:dyDescent="0.2">
      <c r="A1596" s="457">
        <f ca="1">IF($H1596="UNIDADE CONSTRUTIVA",OFFSET(A1596,-1,0)+1,LARGE(A$3:A1595,1))</f>
        <v>0</v>
      </c>
      <c r="B1596" s="457">
        <f t="shared" ca="1" si="355"/>
        <v>21</v>
      </c>
      <c r="C1596" s="457">
        <f t="shared" ca="1" si="356"/>
        <v>1</v>
      </c>
      <c r="D1596" s="458">
        <f t="shared" ca="1" si="357"/>
        <v>1</v>
      </c>
      <c r="E1596" s="458">
        <f t="shared" ca="1" si="358"/>
        <v>1</v>
      </c>
      <c r="F1596" s="34"/>
    </row>
    <row r="1597" spans="1:6" ht="14.1" customHeight="1" x14ac:dyDescent="0.2">
      <c r="A1597" s="457">
        <f ca="1">IF($H1597="UNIDADE CONSTRUTIVA",OFFSET(A1597,-1,0)+1,LARGE(A$3:A1596,1))</f>
        <v>0</v>
      </c>
      <c r="B1597" s="457">
        <f t="shared" ca="1" si="355"/>
        <v>21</v>
      </c>
      <c r="C1597" s="457">
        <f t="shared" ca="1" si="356"/>
        <v>1</v>
      </c>
      <c r="D1597" s="458">
        <f t="shared" ca="1" si="357"/>
        <v>1</v>
      </c>
      <c r="E1597" s="458">
        <f t="shared" ca="1" si="358"/>
        <v>1</v>
      </c>
      <c r="F1597" s="34"/>
    </row>
    <row r="1598" spans="1:6" ht="14.1" customHeight="1" x14ac:dyDescent="0.2">
      <c r="A1598" s="457">
        <f ca="1">IF($H1598="UNIDADE CONSTRUTIVA",OFFSET(A1598,-1,0)+1,LARGE(A$3:A1597,1))</f>
        <v>0</v>
      </c>
      <c r="B1598" s="457">
        <f t="shared" ca="1" si="355"/>
        <v>21</v>
      </c>
      <c r="C1598" s="457">
        <f t="shared" ca="1" si="356"/>
        <v>1</v>
      </c>
      <c r="D1598" s="458">
        <f t="shared" ca="1" si="357"/>
        <v>1</v>
      </c>
      <c r="E1598" s="458">
        <f t="shared" ca="1" si="358"/>
        <v>1</v>
      </c>
      <c r="F1598" s="34"/>
    </row>
    <row r="1599" spans="1:6" ht="14.1" customHeight="1" x14ac:dyDescent="0.2">
      <c r="A1599" s="457">
        <f ca="1">IF($H1599="UNIDADE CONSTRUTIVA",OFFSET(A1599,-1,0)+1,LARGE(A$3:A1598,1))</f>
        <v>0</v>
      </c>
      <c r="B1599" s="457">
        <f t="shared" ca="1" si="355"/>
        <v>21</v>
      </c>
      <c r="C1599" s="457">
        <f t="shared" ca="1" si="356"/>
        <v>1</v>
      </c>
      <c r="D1599" s="458">
        <f t="shared" ca="1" si="357"/>
        <v>1</v>
      </c>
      <c r="E1599" s="458">
        <f t="shared" ca="1" si="358"/>
        <v>1</v>
      </c>
      <c r="F1599" s="34"/>
    </row>
    <row r="1600" spans="1:6" ht="14.1" customHeight="1" x14ac:dyDescent="0.2">
      <c r="A1600" s="457">
        <f ca="1">IF($H1600="UNIDADE CONSTRUTIVA",OFFSET(A1600,-1,0)+1,LARGE(A$3:A1599,1))</f>
        <v>0</v>
      </c>
      <c r="B1600" s="457">
        <f t="shared" ca="1" si="355"/>
        <v>21</v>
      </c>
      <c r="C1600" s="457">
        <f t="shared" ca="1" si="356"/>
        <v>1</v>
      </c>
      <c r="D1600" s="458">
        <f t="shared" ca="1" si="357"/>
        <v>1</v>
      </c>
      <c r="E1600" s="458">
        <f t="shared" ca="1" si="358"/>
        <v>1</v>
      </c>
      <c r="F1600" s="34"/>
    </row>
    <row r="1601" spans="1:6" ht="14.1" customHeight="1" x14ac:dyDescent="0.2">
      <c r="A1601" s="457">
        <f ca="1">IF($H1601="UNIDADE CONSTRUTIVA",OFFSET(A1601,-1,0)+1,LARGE(A$3:A1600,1))</f>
        <v>0</v>
      </c>
      <c r="B1601" s="457">
        <f t="shared" ca="1" si="355"/>
        <v>21</v>
      </c>
      <c r="C1601" s="457">
        <f t="shared" ca="1" si="356"/>
        <v>1</v>
      </c>
      <c r="D1601" s="458">
        <f t="shared" ca="1" si="357"/>
        <v>1</v>
      </c>
      <c r="E1601" s="458">
        <f t="shared" ca="1" si="358"/>
        <v>1</v>
      </c>
      <c r="F1601" s="34"/>
    </row>
    <row r="1602" spans="1:6" ht="14.1" customHeight="1" x14ac:dyDescent="0.2">
      <c r="A1602" s="457">
        <f ca="1">IF($H1602="UNIDADE CONSTRUTIVA",OFFSET(A1602,-1,0)+1,LARGE(A$3:A1601,1))</f>
        <v>0</v>
      </c>
      <c r="B1602" s="457">
        <f t="shared" ca="1" si="355"/>
        <v>21</v>
      </c>
      <c r="C1602" s="457">
        <f t="shared" ca="1" si="356"/>
        <v>1</v>
      </c>
      <c r="D1602" s="458">
        <f t="shared" ca="1" si="357"/>
        <v>1</v>
      </c>
      <c r="E1602" s="458">
        <f t="shared" ca="1" si="358"/>
        <v>1</v>
      </c>
      <c r="F1602" s="34"/>
    </row>
    <row r="1603" spans="1:6" ht="14.1" customHeight="1" x14ac:dyDescent="0.2">
      <c r="A1603" s="457">
        <f ca="1">IF($H1603="UNIDADE CONSTRUTIVA",OFFSET(A1603,-1,0)+1,LARGE(A$3:A1602,1))</f>
        <v>0</v>
      </c>
      <c r="B1603" s="457">
        <f t="shared" ca="1" si="355"/>
        <v>21</v>
      </c>
      <c r="C1603" s="457">
        <f t="shared" ca="1" si="356"/>
        <v>1</v>
      </c>
      <c r="D1603" s="458">
        <f t="shared" ca="1" si="357"/>
        <v>1</v>
      </c>
      <c r="E1603" s="458">
        <f t="shared" ca="1" si="358"/>
        <v>1</v>
      </c>
      <c r="F1603" s="34"/>
    </row>
    <row r="1604" spans="1:6" ht="14.1" customHeight="1" x14ac:dyDescent="0.2">
      <c r="A1604" s="457">
        <f ca="1">IF($H1604="UNIDADE CONSTRUTIVA",OFFSET(A1604,-1,0)+1,LARGE(A$3:A1603,1))</f>
        <v>0</v>
      </c>
      <c r="B1604" s="457">
        <f t="shared" ca="1" si="355"/>
        <v>21</v>
      </c>
      <c r="C1604" s="457">
        <f t="shared" ca="1" si="356"/>
        <v>1</v>
      </c>
      <c r="D1604" s="458">
        <f t="shared" ca="1" si="357"/>
        <v>1</v>
      </c>
      <c r="E1604" s="458">
        <f t="shared" ca="1" si="358"/>
        <v>1</v>
      </c>
      <c r="F1604" s="34"/>
    </row>
    <row r="1605" spans="1:6" ht="14.1" customHeight="1" x14ac:dyDescent="0.2">
      <c r="A1605" s="457">
        <f ca="1">IF($H1605="UNIDADE CONSTRUTIVA",OFFSET(A1605,-1,0)+1,LARGE(A$3:A1604,1))</f>
        <v>0</v>
      </c>
      <c r="B1605" s="457">
        <f t="shared" ca="1" si="355"/>
        <v>21</v>
      </c>
      <c r="C1605" s="457">
        <f t="shared" ca="1" si="356"/>
        <v>1</v>
      </c>
      <c r="D1605" s="458">
        <f t="shared" ca="1" si="357"/>
        <v>1</v>
      </c>
      <c r="E1605" s="458">
        <f t="shared" ca="1" si="358"/>
        <v>1</v>
      </c>
      <c r="F1605" s="34"/>
    </row>
    <row r="1606" spans="1:6" ht="14.1" customHeight="1" x14ac:dyDescent="0.2">
      <c r="A1606" s="457">
        <f ca="1">IF($H1606="UNIDADE CONSTRUTIVA",OFFSET(A1606,-1,0)+1,LARGE(A$3:A1605,1))</f>
        <v>0</v>
      </c>
      <c r="B1606" s="457">
        <f t="shared" ca="1" si="355"/>
        <v>21</v>
      </c>
      <c r="C1606" s="457">
        <f t="shared" ca="1" si="356"/>
        <v>1</v>
      </c>
      <c r="D1606" s="458">
        <f t="shared" ca="1" si="357"/>
        <v>1</v>
      </c>
      <c r="E1606" s="458">
        <f t="shared" ca="1" si="358"/>
        <v>1</v>
      </c>
      <c r="F1606" s="34"/>
    </row>
    <row r="1607" spans="1:6" ht="14.1" customHeight="1" x14ac:dyDescent="0.2">
      <c r="A1607" s="457">
        <f ca="1">IF($H1607="UNIDADE CONSTRUTIVA",OFFSET(A1607,-1,0)+1,LARGE(A$3:A1606,1))</f>
        <v>0</v>
      </c>
      <c r="B1607" s="457">
        <f t="shared" ca="1" si="355"/>
        <v>21</v>
      </c>
      <c r="C1607" s="457">
        <f t="shared" ca="1" si="356"/>
        <v>1</v>
      </c>
      <c r="D1607" s="458">
        <f t="shared" ca="1" si="357"/>
        <v>1</v>
      </c>
      <c r="E1607" s="458">
        <f t="shared" ca="1" si="358"/>
        <v>1</v>
      </c>
      <c r="F1607" s="34"/>
    </row>
    <row r="1608" spans="1:6" ht="14.1" customHeight="1" x14ac:dyDescent="0.2">
      <c r="A1608" s="457">
        <f ca="1">IF($H1608="UNIDADE CONSTRUTIVA",OFFSET(A1608,-1,0)+1,LARGE(A$3:A1607,1))</f>
        <v>0</v>
      </c>
      <c r="B1608" s="457">
        <f t="shared" ca="1" si="355"/>
        <v>21</v>
      </c>
      <c r="C1608" s="457">
        <f t="shared" ca="1" si="356"/>
        <v>1</v>
      </c>
      <c r="D1608" s="458">
        <f t="shared" ca="1" si="357"/>
        <v>1</v>
      </c>
      <c r="E1608" s="458">
        <f t="shared" ca="1" si="358"/>
        <v>1</v>
      </c>
      <c r="F1608" s="34"/>
    </row>
    <row r="1609" spans="1:6" ht="14.1" customHeight="1" x14ac:dyDescent="0.2">
      <c r="A1609" s="457">
        <f ca="1">IF($H1609="UNIDADE CONSTRUTIVA",OFFSET(A1609,-1,0)+1,LARGE(A$3:A1608,1))</f>
        <v>0</v>
      </c>
      <c r="B1609" s="457">
        <f t="shared" ca="1" si="355"/>
        <v>21</v>
      </c>
      <c r="C1609" s="457">
        <f t="shared" ca="1" si="356"/>
        <v>1</v>
      </c>
      <c r="D1609" s="458">
        <f t="shared" ca="1" si="357"/>
        <v>1</v>
      </c>
      <c r="E1609" s="458">
        <f t="shared" ca="1" si="358"/>
        <v>1</v>
      </c>
      <c r="F1609" s="34"/>
    </row>
    <row r="1610" spans="1:6" ht="14.1" customHeight="1" x14ac:dyDescent="0.2">
      <c r="A1610" s="457">
        <f ca="1">IF($H1610="UNIDADE CONSTRUTIVA",OFFSET(A1610,-1,0)+1,LARGE(A$3:A1609,1))</f>
        <v>0</v>
      </c>
      <c r="B1610" s="457">
        <f t="shared" ca="1" si="355"/>
        <v>21</v>
      </c>
      <c r="C1610" s="457">
        <f t="shared" ca="1" si="356"/>
        <v>1</v>
      </c>
      <c r="D1610" s="458">
        <f t="shared" ca="1" si="357"/>
        <v>1</v>
      </c>
      <c r="E1610" s="458">
        <f t="shared" ca="1" si="358"/>
        <v>1</v>
      </c>
      <c r="F1610" s="34"/>
    </row>
    <row r="1611" spans="1:6" ht="14.1" customHeight="1" x14ac:dyDescent="0.2">
      <c r="A1611" s="457">
        <f ca="1">IF($H1611="UNIDADE CONSTRUTIVA",OFFSET(A1611,-1,0)+1,LARGE(A$3:A1610,1))</f>
        <v>0</v>
      </c>
      <c r="B1611" s="457">
        <f t="shared" ca="1" si="355"/>
        <v>21</v>
      </c>
      <c r="C1611" s="457">
        <f t="shared" ca="1" si="356"/>
        <v>1</v>
      </c>
      <c r="D1611" s="458">
        <f t="shared" ca="1" si="357"/>
        <v>1</v>
      </c>
      <c r="E1611" s="458">
        <f t="shared" ca="1" si="358"/>
        <v>1</v>
      </c>
      <c r="F1611" s="34"/>
    </row>
    <row r="1612" spans="1:6" ht="14.1" customHeight="1" x14ac:dyDescent="0.2">
      <c r="A1612" s="457">
        <f ca="1">IF($H1612="UNIDADE CONSTRUTIVA",OFFSET(A1612,-1,0)+1,LARGE(A$3:A1611,1))</f>
        <v>0</v>
      </c>
      <c r="B1612" s="457">
        <f t="shared" ca="1" si="355"/>
        <v>21</v>
      </c>
      <c r="C1612" s="457">
        <f t="shared" ca="1" si="356"/>
        <v>1</v>
      </c>
      <c r="D1612" s="458">
        <f t="shared" ca="1" si="357"/>
        <v>1</v>
      </c>
      <c r="E1612" s="458">
        <f t="shared" ca="1" si="358"/>
        <v>1</v>
      </c>
      <c r="F1612" s="34"/>
    </row>
    <row r="1613" spans="1:6" ht="14.1" customHeight="1" x14ac:dyDescent="0.2">
      <c r="A1613" s="457">
        <f ca="1">IF($H1613="UNIDADE CONSTRUTIVA",OFFSET(A1613,-1,0)+1,LARGE(A$3:A1612,1))</f>
        <v>0</v>
      </c>
      <c r="B1613" s="457">
        <f t="shared" ca="1" si="355"/>
        <v>21</v>
      </c>
      <c r="C1613" s="457">
        <f t="shared" ca="1" si="356"/>
        <v>1</v>
      </c>
      <c r="D1613" s="458">
        <f t="shared" ca="1" si="357"/>
        <v>1</v>
      </c>
      <c r="E1613" s="458">
        <f t="shared" ca="1" si="358"/>
        <v>1</v>
      </c>
      <c r="F1613" s="34"/>
    </row>
    <row r="1614" spans="1:6" ht="14.1" customHeight="1" x14ac:dyDescent="0.2">
      <c r="A1614" s="457">
        <f ca="1">IF($H1614="UNIDADE CONSTRUTIVA",OFFSET(A1614,-1,0)+1,LARGE(A$3:A1613,1))</f>
        <v>0</v>
      </c>
      <c r="B1614" s="457">
        <f t="shared" ca="1" si="355"/>
        <v>21</v>
      </c>
      <c r="C1614" s="457">
        <f t="shared" ca="1" si="356"/>
        <v>1</v>
      </c>
      <c r="D1614" s="458">
        <f t="shared" ca="1" si="357"/>
        <v>1</v>
      </c>
      <c r="E1614" s="458">
        <f t="shared" ca="1" si="358"/>
        <v>1</v>
      </c>
      <c r="F1614" s="34"/>
    </row>
    <row r="1615" spans="1:6" ht="14.1" customHeight="1" x14ac:dyDescent="0.2">
      <c r="A1615" s="457">
        <f ca="1">IF($H1615="UNIDADE CONSTRUTIVA",OFFSET(A1615,-1,0)+1,LARGE(A$3:A1614,1))</f>
        <v>0</v>
      </c>
      <c r="B1615" s="457">
        <f t="shared" ca="1" si="355"/>
        <v>21</v>
      </c>
      <c r="C1615" s="457">
        <f t="shared" ca="1" si="356"/>
        <v>1</v>
      </c>
      <c r="D1615" s="458">
        <f t="shared" ca="1" si="357"/>
        <v>1</v>
      </c>
      <c r="E1615" s="458">
        <f t="shared" ca="1" si="358"/>
        <v>1</v>
      </c>
      <c r="F1615" s="34"/>
    </row>
    <row r="1616" spans="1:6" ht="14.1" customHeight="1" x14ac:dyDescent="0.2">
      <c r="A1616" s="457">
        <f ca="1">IF($H1616="UNIDADE CONSTRUTIVA",OFFSET(A1616,-1,0)+1,LARGE(A$3:A1615,1))</f>
        <v>0</v>
      </c>
      <c r="B1616" s="457">
        <f t="shared" ca="1" si="355"/>
        <v>21</v>
      </c>
      <c r="C1616" s="457">
        <f t="shared" ca="1" si="356"/>
        <v>1</v>
      </c>
      <c r="D1616" s="458">
        <f t="shared" ca="1" si="357"/>
        <v>1</v>
      </c>
      <c r="E1616" s="458">
        <f t="shared" ca="1" si="358"/>
        <v>1</v>
      </c>
      <c r="F1616" s="34"/>
    </row>
    <row r="1617" spans="1:6" ht="14.1" customHeight="1" x14ac:dyDescent="0.2">
      <c r="A1617" s="457">
        <f ca="1">IF($H1617="UNIDADE CONSTRUTIVA",OFFSET(A1617,-1,0)+1,LARGE(A$3:A1616,1))</f>
        <v>0</v>
      </c>
      <c r="B1617" s="457">
        <f t="shared" ca="1" si="355"/>
        <v>21</v>
      </c>
      <c r="C1617" s="457">
        <f t="shared" ca="1" si="356"/>
        <v>1</v>
      </c>
      <c r="D1617" s="458">
        <f t="shared" ca="1" si="357"/>
        <v>1</v>
      </c>
      <c r="E1617" s="458">
        <f t="shared" ca="1" si="358"/>
        <v>1</v>
      </c>
      <c r="F1617" s="34"/>
    </row>
    <row r="1618" spans="1:6" ht="14.1" customHeight="1" x14ac:dyDescent="0.2">
      <c r="A1618" s="457">
        <f ca="1">IF($H1618="UNIDADE CONSTRUTIVA",OFFSET(A1618,-1,0)+1,LARGE(A$3:A1617,1))</f>
        <v>0</v>
      </c>
      <c r="B1618" s="457">
        <f t="shared" ca="1" si="355"/>
        <v>21</v>
      </c>
      <c r="C1618" s="457">
        <f t="shared" ca="1" si="356"/>
        <v>1</v>
      </c>
      <c r="D1618" s="458">
        <f t="shared" ca="1" si="357"/>
        <v>1</v>
      </c>
      <c r="E1618" s="458">
        <f t="shared" ca="1" si="358"/>
        <v>1</v>
      </c>
      <c r="F1618" s="34"/>
    </row>
    <row r="1619" spans="1:6" ht="14.1" customHeight="1" x14ac:dyDescent="0.2">
      <c r="A1619" s="457">
        <f ca="1">IF($H1619="UNIDADE CONSTRUTIVA",OFFSET(A1619,-1,0)+1,LARGE(A$3:A1618,1))</f>
        <v>0</v>
      </c>
      <c r="B1619" s="457">
        <f t="shared" ca="1" si="355"/>
        <v>21</v>
      </c>
      <c r="C1619" s="457">
        <f t="shared" ca="1" si="356"/>
        <v>1</v>
      </c>
      <c r="D1619" s="458">
        <f t="shared" ca="1" si="357"/>
        <v>1</v>
      </c>
      <c r="E1619" s="458">
        <f t="shared" ca="1" si="358"/>
        <v>1</v>
      </c>
      <c r="F1619" s="34"/>
    </row>
    <row r="1620" spans="1:6" ht="14.1" customHeight="1" x14ac:dyDescent="0.2">
      <c r="A1620" s="457">
        <f ca="1">IF($H1620="UNIDADE CONSTRUTIVA",OFFSET(A1620,-1,0)+1,LARGE(A$3:A1619,1))</f>
        <v>0</v>
      </c>
      <c r="B1620" s="457">
        <f t="shared" ca="1" si="355"/>
        <v>21</v>
      </c>
      <c r="C1620" s="457">
        <f t="shared" ca="1" si="356"/>
        <v>1</v>
      </c>
      <c r="D1620" s="458">
        <f t="shared" ca="1" si="357"/>
        <v>1</v>
      </c>
      <c r="E1620" s="458">
        <f t="shared" ca="1" si="358"/>
        <v>1</v>
      </c>
      <c r="F1620" s="34"/>
    </row>
    <row r="1621" spans="1:6" ht="14.1" customHeight="1" x14ac:dyDescent="0.2">
      <c r="A1621" s="457">
        <f ca="1">IF($H1621="UNIDADE CONSTRUTIVA",OFFSET(A1621,-1,0)+1,LARGE(A$3:A1620,1))</f>
        <v>0</v>
      </c>
      <c r="B1621" s="457">
        <f t="shared" ca="1" si="355"/>
        <v>21</v>
      </c>
      <c r="C1621" s="457">
        <f t="shared" ca="1" si="356"/>
        <v>1</v>
      </c>
      <c r="D1621" s="458">
        <f t="shared" ca="1" si="357"/>
        <v>1</v>
      </c>
      <c r="E1621" s="458">
        <f t="shared" ca="1" si="358"/>
        <v>1</v>
      </c>
      <c r="F1621" s="34"/>
    </row>
    <row r="1622" spans="1:6" ht="14.1" customHeight="1" x14ac:dyDescent="0.2">
      <c r="A1622" s="457">
        <f ca="1">IF($H1622="UNIDADE CONSTRUTIVA",OFFSET(A1622,-1,0)+1,LARGE(A$3:A1621,1))</f>
        <v>0</v>
      </c>
      <c r="B1622" s="457">
        <f t="shared" ca="1" si="355"/>
        <v>21</v>
      </c>
      <c r="C1622" s="457">
        <f t="shared" ca="1" si="356"/>
        <v>1</v>
      </c>
      <c r="D1622" s="458">
        <f t="shared" ca="1" si="357"/>
        <v>1</v>
      </c>
      <c r="E1622" s="458">
        <f t="shared" ca="1" si="358"/>
        <v>1</v>
      </c>
      <c r="F1622" s="34"/>
    </row>
    <row r="1623" spans="1:6" ht="14.1" customHeight="1" x14ac:dyDescent="0.2">
      <c r="A1623" s="457">
        <f ca="1">IF($H1623="UNIDADE CONSTRUTIVA",OFFSET(A1623,-1,0)+1,LARGE(A$3:A1622,1))</f>
        <v>0</v>
      </c>
      <c r="B1623" s="457">
        <f t="shared" ca="1" si="355"/>
        <v>21</v>
      </c>
      <c r="C1623" s="457">
        <f t="shared" ca="1" si="356"/>
        <v>1</v>
      </c>
      <c r="D1623" s="458">
        <f t="shared" ca="1" si="357"/>
        <v>1</v>
      </c>
      <c r="E1623" s="458">
        <f t="shared" ca="1" si="358"/>
        <v>1</v>
      </c>
      <c r="F1623" s="34"/>
    </row>
    <row r="1624" spans="1:6" ht="14.1" customHeight="1" x14ac:dyDescent="0.2">
      <c r="A1624" s="457">
        <f ca="1">IF($H1624="UNIDADE CONSTRUTIVA",OFFSET(A1624,-1,0)+1,LARGE(A$3:A1623,1))</f>
        <v>0</v>
      </c>
      <c r="B1624" s="457">
        <f t="shared" ca="1" si="355"/>
        <v>21</v>
      </c>
      <c r="C1624" s="457">
        <f t="shared" ca="1" si="356"/>
        <v>1</v>
      </c>
      <c r="D1624" s="458">
        <f t="shared" ca="1" si="357"/>
        <v>1</v>
      </c>
      <c r="E1624" s="458">
        <f t="shared" ca="1" si="358"/>
        <v>1</v>
      </c>
      <c r="F1624" s="34"/>
    </row>
    <row r="1625" spans="1:6" ht="14.1" customHeight="1" x14ac:dyDescent="0.2">
      <c r="A1625" s="457">
        <f ca="1">IF($H1625="UNIDADE CONSTRUTIVA",OFFSET(A1625,-1,0)+1,LARGE(A$3:A1624,1))</f>
        <v>0</v>
      </c>
      <c r="B1625" s="457">
        <f t="shared" ca="1" si="355"/>
        <v>21</v>
      </c>
      <c r="C1625" s="457">
        <f t="shared" ca="1" si="356"/>
        <v>1</v>
      </c>
      <c r="D1625" s="458">
        <f t="shared" ca="1" si="357"/>
        <v>1</v>
      </c>
      <c r="E1625" s="458">
        <f t="shared" ca="1" si="358"/>
        <v>1</v>
      </c>
      <c r="F1625" s="34"/>
    </row>
    <row r="1626" spans="1:6" ht="14.1" customHeight="1" x14ac:dyDescent="0.2">
      <c r="A1626" s="457">
        <f ca="1">IF($H1626="UNIDADE CONSTRUTIVA",OFFSET(A1626,-1,0)+1,LARGE(A$3:A1625,1))</f>
        <v>0</v>
      </c>
      <c r="B1626" s="457">
        <f t="shared" ca="1" si="355"/>
        <v>21</v>
      </c>
      <c r="C1626" s="457">
        <f t="shared" ca="1" si="356"/>
        <v>1</v>
      </c>
      <c r="D1626" s="458">
        <f t="shared" ca="1" si="357"/>
        <v>1</v>
      </c>
      <c r="E1626" s="458">
        <f t="shared" ca="1" si="358"/>
        <v>1</v>
      </c>
      <c r="F1626" s="34"/>
    </row>
    <row r="1627" spans="1:6" ht="14.1" customHeight="1" x14ac:dyDescent="0.2">
      <c r="A1627" s="457">
        <f ca="1">IF($H1627="UNIDADE CONSTRUTIVA",OFFSET(A1627,-1,0)+1,LARGE(A$3:A1626,1))</f>
        <v>0</v>
      </c>
      <c r="B1627" s="457">
        <f t="shared" ref="B1627:B1690" ca="1" si="359">IF(H1627="UNIDADE CONSTRUTIVA",0,IF(H1627="CÉLULA CONSTRUTIVA",OFFSET(B1627,-1,0)+1,OFFSET(B1627,-1,0)))</f>
        <v>21</v>
      </c>
      <c r="C1627" s="457">
        <f t="shared" ref="C1627:C1690" ca="1" si="360">IF(H1627="CÉLULA CONSTRUTIVA",0,IF(H1627="ETAPA",OFFSET(C1627,-1,0)+1,OFFSET(C1627,-1,0)))</f>
        <v>1</v>
      </c>
      <c r="D1627" s="458">
        <f t="shared" ref="D1627:D1690" ca="1" si="361">IF(H1627="ETAPA",0,IF(H1627="SUBETAPA",OFFSET(D1627,-1,0)+1,OFFSET(D1627,-1,0)))</f>
        <v>1</v>
      </c>
      <c r="E1627" s="458">
        <f t="shared" ref="E1627:E1690" ca="1" si="362">IF(H1627="Subetapa",0,IF(H1627="serviço",OFFSET(E1627,-1,0)+1,OFFSET(E1627,-1,0)))</f>
        <v>1</v>
      </c>
      <c r="F1627" s="34"/>
    </row>
    <row r="1628" spans="1:6" ht="14.1" customHeight="1" x14ac:dyDescent="0.2">
      <c r="A1628" s="457">
        <f ca="1">IF($H1628="UNIDADE CONSTRUTIVA",OFFSET(A1628,-1,0)+1,LARGE(A$3:A1627,1))</f>
        <v>0</v>
      </c>
      <c r="B1628" s="457">
        <f t="shared" ca="1" si="359"/>
        <v>21</v>
      </c>
      <c r="C1628" s="457">
        <f t="shared" ca="1" si="360"/>
        <v>1</v>
      </c>
      <c r="D1628" s="458">
        <f t="shared" ca="1" si="361"/>
        <v>1</v>
      </c>
      <c r="E1628" s="458">
        <f t="shared" ca="1" si="362"/>
        <v>1</v>
      </c>
      <c r="F1628" s="34"/>
    </row>
    <row r="1629" spans="1:6" ht="14.1" customHeight="1" x14ac:dyDescent="0.2">
      <c r="A1629" s="457">
        <f ca="1">IF($H1629="UNIDADE CONSTRUTIVA",OFFSET(A1629,-1,0)+1,LARGE(A$3:A1628,1))</f>
        <v>0</v>
      </c>
      <c r="B1629" s="457">
        <f t="shared" ca="1" si="359"/>
        <v>21</v>
      </c>
      <c r="C1629" s="457">
        <f t="shared" ca="1" si="360"/>
        <v>1</v>
      </c>
      <c r="D1629" s="458">
        <f t="shared" ca="1" si="361"/>
        <v>1</v>
      </c>
      <c r="E1629" s="458">
        <f t="shared" ca="1" si="362"/>
        <v>1</v>
      </c>
      <c r="F1629" s="34"/>
    </row>
    <row r="1630" spans="1:6" ht="14.1" customHeight="1" x14ac:dyDescent="0.2">
      <c r="A1630" s="457">
        <f ca="1">IF($H1630="UNIDADE CONSTRUTIVA",OFFSET(A1630,-1,0)+1,LARGE(A$3:A1629,1))</f>
        <v>0</v>
      </c>
      <c r="B1630" s="457">
        <f t="shared" ca="1" si="359"/>
        <v>21</v>
      </c>
      <c r="C1630" s="457">
        <f t="shared" ca="1" si="360"/>
        <v>1</v>
      </c>
      <c r="D1630" s="458">
        <f t="shared" ca="1" si="361"/>
        <v>1</v>
      </c>
      <c r="E1630" s="458">
        <f t="shared" ca="1" si="362"/>
        <v>1</v>
      </c>
      <c r="F1630" s="34"/>
    </row>
    <row r="1631" spans="1:6" ht="14.1" customHeight="1" x14ac:dyDescent="0.2">
      <c r="A1631" s="457">
        <f ca="1">IF($H1631="UNIDADE CONSTRUTIVA",OFFSET(A1631,-1,0)+1,LARGE(A$3:A1630,1))</f>
        <v>0</v>
      </c>
      <c r="B1631" s="457">
        <f t="shared" ca="1" si="359"/>
        <v>21</v>
      </c>
      <c r="C1631" s="457">
        <f t="shared" ca="1" si="360"/>
        <v>1</v>
      </c>
      <c r="D1631" s="458">
        <f t="shared" ca="1" si="361"/>
        <v>1</v>
      </c>
      <c r="E1631" s="458">
        <f t="shared" ca="1" si="362"/>
        <v>1</v>
      </c>
      <c r="F1631" s="34"/>
    </row>
    <row r="1632" spans="1:6" ht="14.1" customHeight="1" x14ac:dyDescent="0.2">
      <c r="A1632" s="457">
        <f ca="1">IF($H1632="UNIDADE CONSTRUTIVA",OFFSET(A1632,-1,0)+1,LARGE(A$3:A1631,1))</f>
        <v>0</v>
      </c>
      <c r="B1632" s="457">
        <f t="shared" ca="1" si="359"/>
        <v>21</v>
      </c>
      <c r="C1632" s="457">
        <f t="shared" ca="1" si="360"/>
        <v>1</v>
      </c>
      <c r="D1632" s="458">
        <f t="shared" ca="1" si="361"/>
        <v>1</v>
      </c>
      <c r="E1632" s="458">
        <f t="shared" ca="1" si="362"/>
        <v>1</v>
      </c>
      <c r="F1632" s="34"/>
    </row>
    <row r="1633" spans="1:6" ht="14.1" customHeight="1" x14ac:dyDescent="0.2">
      <c r="A1633" s="457">
        <f ca="1">IF($H1633="UNIDADE CONSTRUTIVA",OFFSET(A1633,-1,0)+1,LARGE(A$3:A1632,1))</f>
        <v>0</v>
      </c>
      <c r="B1633" s="457">
        <f t="shared" ca="1" si="359"/>
        <v>21</v>
      </c>
      <c r="C1633" s="457">
        <f t="shared" ca="1" si="360"/>
        <v>1</v>
      </c>
      <c r="D1633" s="458">
        <f t="shared" ca="1" si="361"/>
        <v>1</v>
      </c>
      <c r="E1633" s="458">
        <f t="shared" ca="1" si="362"/>
        <v>1</v>
      </c>
      <c r="F1633" s="34"/>
    </row>
    <row r="1634" spans="1:6" ht="14.1" customHeight="1" x14ac:dyDescent="0.2">
      <c r="A1634" s="457">
        <f ca="1">IF($H1634="UNIDADE CONSTRUTIVA",OFFSET(A1634,-1,0)+1,LARGE(A$3:A1633,1))</f>
        <v>0</v>
      </c>
      <c r="B1634" s="457">
        <f t="shared" ca="1" si="359"/>
        <v>21</v>
      </c>
      <c r="C1634" s="457">
        <f t="shared" ca="1" si="360"/>
        <v>1</v>
      </c>
      <c r="D1634" s="458">
        <f t="shared" ca="1" si="361"/>
        <v>1</v>
      </c>
      <c r="E1634" s="458">
        <f t="shared" ca="1" si="362"/>
        <v>1</v>
      </c>
      <c r="F1634" s="34"/>
    </row>
    <row r="1635" spans="1:6" ht="14.1" customHeight="1" x14ac:dyDescent="0.2">
      <c r="A1635" s="457">
        <f ca="1">IF($H1635="UNIDADE CONSTRUTIVA",OFFSET(A1635,-1,0)+1,LARGE(A$3:A1634,1))</f>
        <v>0</v>
      </c>
      <c r="B1635" s="457">
        <f t="shared" ca="1" si="359"/>
        <v>21</v>
      </c>
      <c r="C1635" s="457">
        <f t="shared" ca="1" si="360"/>
        <v>1</v>
      </c>
      <c r="D1635" s="458">
        <f t="shared" ca="1" si="361"/>
        <v>1</v>
      </c>
      <c r="E1635" s="458">
        <f t="shared" ca="1" si="362"/>
        <v>1</v>
      </c>
      <c r="F1635" s="34"/>
    </row>
    <row r="1636" spans="1:6" ht="14.1" customHeight="1" x14ac:dyDescent="0.2">
      <c r="A1636" s="457">
        <f ca="1">IF($H1636="UNIDADE CONSTRUTIVA",OFFSET(A1636,-1,0)+1,LARGE(A$3:A1635,1))</f>
        <v>0</v>
      </c>
      <c r="B1636" s="457">
        <f t="shared" ca="1" si="359"/>
        <v>21</v>
      </c>
      <c r="C1636" s="457">
        <f t="shared" ca="1" si="360"/>
        <v>1</v>
      </c>
      <c r="D1636" s="458">
        <f t="shared" ca="1" si="361"/>
        <v>1</v>
      </c>
      <c r="E1636" s="458">
        <f t="shared" ca="1" si="362"/>
        <v>1</v>
      </c>
      <c r="F1636" s="34"/>
    </row>
    <row r="1637" spans="1:6" ht="14.1" customHeight="1" x14ac:dyDescent="0.2">
      <c r="A1637" s="457">
        <f ca="1">IF($H1637="UNIDADE CONSTRUTIVA",OFFSET(A1637,-1,0)+1,LARGE(A$3:A1636,1))</f>
        <v>0</v>
      </c>
      <c r="B1637" s="457">
        <f t="shared" ca="1" si="359"/>
        <v>21</v>
      </c>
      <c r="C1637" s="457">
        <f t="shared" ca="1" si="360"/>
        <v>1</v>
      </c>
      <c r="D1637" s="458">
        <f t="shared" ca="1" si="361"/>
        <v>1</v>
      </c>
      <c r="E1637" s="458">
        <f t="shared" ca="1" si="362"/>
        <v>1</v>
      </c>
      <c r="F1637" s="34"/>
    </row>
    <row r="1638" spans="1:6" ht="14.1" customHeight="1" x14ac:dyDescent="0.2">
      <c r="A1638" s="457">
        <f ca="1">IF($H1638="UNIDADE CONSTRUTIVA",OFFSET(A1638,-1,0)+1,LARGE(A$3:A1637,1))</f>
        <v>0</v>
      </c>
      <c r="B1638" s="457">
        <f t="shared" ca="1" si="359"/>
        <v>21</v>
      </c>
      <c r="C1638" s="457">
        <f t="shared" ca="1" si="360"/>
        <v>1</v>
      </c>
      <c r="D1638" s="458">
        <f t="shared" ca="1" si="361"/>
        <v>1</v>
      </c>
      <c r="E1638" s="458">
        <f t="shared" ca="1" si="362"/>
        <v>1</v>
      </c>
      <c r="F1638" s="34"/>
    </row>
    <row r="1639" spans="1:6" ht="14.1" customHeight="1" x14ac:dyDescent="0.2">
      <c r="A1639" s="457">
        <f ca="1">IF($H1639="UNIDADE CONSTRUTIVA",OFFSET(A1639,-1,0)+1,LARGE(A$3:A1638,1))</f>
        <v>0</v>
      </c>
      <c r="B1639" s="457">
        <f t="shared" ca="1" si="359"/>
        <v>21</v>
      </c>
      <c r="C1639" s="457">
        <f t="shared" ca="1" si="360"/>
        <v>1</v>
      </c>
      <c r="D1639" s="458">
        <f t="shared" ca="1" si="361"/>
        <v>1</v>
      </c>
      <c r="E1639" s="458">
        <f t="shared" ca="1" si="362"/>
        <v>1</v>
      </c>
      <c r="F1639" s="34"/>
    </row>
    <row r="1640" spans="1:6" ht="14.1" customHeight="1" x14ac:dyDescent="0.2">
      <c r="A1640" s="457">
        <f ca="1">IF($H1640="UNIDADE CONSTRUTIVA",OFFSET(A1640,-1,0)+1,LARGE(A$3:A1639,1))</f>
        <v>0</v>
      </c>
      <c r="B1640" s="457">
        <f t="shared" ca="1" si="359"/>
        <v>21</v>
      </c>
      <c r="C1640" s="457">
        <f t="shared" ca="1" si="360"/>
        <v>1</v>
      </c>
      <c r="D1640" s="458">
        <f t="shared" ca="1" si="361"/>
        <v>1</v>
      </c>
      <c r="E1640" s="458">
        <f t="shared" ca="1" si="362"/>
        <v>1</v>
      </c>
      <c r="F1640" s="34"/>
    </row>
    <row r="1641" spans="1:6" ht="14.1" customHeight="1" x14ac:dyDescent="0.2">
      <c r="A1641" s="457">
        <f ca="1">IF($H1641="UNIDADE CONSTRUTIVA",OFFSET(A1641,-1,0)+1,LARGE(A$3:A1640,1))</f>
        <v>0</v>
      </c>
      <c r="B1641" s="457">
        <f t="shared" ca="1" si="359"/>
        <v>21</v>
      </c>
      <c r="C1641" s="457">
        <f t="shared" ca="1" si="360"/>
        <v>1</v>
      </c>
      <c r="D1641" s="458">
        <f t="shared" ca="1" si="361"/>
        <v>1</v>
      </c>
      <c r="E1641" s="458">
        <f t="shared" ca="1" si="362"/>
        <v>1</v>
      </c>
      <c r="F1641" s="34"/>
    </row>
    <row r="1642" spans="1:6" ht="14.1" customHeight="1" x14ac:dyDescent="0.2">
      <c r="A1642" s="457">
        <f ca="1">IF($H1642="UNIDADE CONSTRUTIVA",OFFSET(A1642,-1,0)+1,LARGE(A$3:A1641,1))</f>
        <v>0</v>
      </c>
      <c r="B1642" s="457">
        <f t="shared" ca="1" si="359"/>
        <v>21</v>
      </c>
      <c r="C1642" s="457">
        <f t="shared" ca="1" si="360"/>
        <v>1</v>
      </c>
      <c r="D1642" s="458">
        <f t="shared" ca="1" si="361"/>
        <v>1</v>
      </c>
      <c r="E1642" s="458">
        <f t="shared" ca="1" si="362"/>
        <v>1</v>
      </c>
      <c r="F1642" s="34"/>
    </row>
    <row r="1643" spans="1:6" ht="14.1" customHeight="1" x14ac:dyDescent="0.2">
      <c r="A1643" s="457">
        <f ca="1">IF($H1643="UNIDADE CONSTRUTIVA",OFFSET(A1643,-1,0)+1,LARGE(A$3:A1642,1))</f>
        <v>0</v>
      </c>
      <c r="B1643" s="457">
        <f t="shared" ca="1" si="359"/>
        <v>21</v>
      </c>
      <c r="C1643" s="457">
        <f t="shared" ca="1" si="360"/>
        <v>1</v>
      </c>
      <c r="D1643" s="458">
        <f t="shared" ca="1" si="361"/>
        <v>1</v>
      </c>
      <c r="E1643" s="458">
        <f t="shared" ca="1" si="362"/>
        <v>1</v>
      </c>
      <c r="F1643" s="34"/>
    </row>
    <row r="1644" spans="1:6" ht="14.1" customHeight="1" x14ac:dyDescent="0.2">
      <c r="A1644" s="457">
        <f ca="1">IF($H1644="UNIDADE CONSTRUTIVA",OFFSET(A1644,-1,0)+1,LARGE(A$3:A1643,1))</f>
        <v>0</v>
      </c>
      <c r="B1644" s="457">
        <f t="shared" ca="1" si="359"/>
        <v>21</v>
      </c>
      <c r="C1644" s="457">
        <f t="shared" ca="1" si="360"/>
        <v>1</v>
      </c>
      <c r="D1644" s="458">
        <f t="shared" ca="1" si="361"/>
        <v>1</v>
      </c>
      <c r="E1644" s="458">
        <f t="shared" ca="1" si="362"/>
        <v>1</v>
      </c>
      <c r="F1644" s="34"/>
    </row>
    <row r="1645" spans="1:6" ht="14.1" customHeight="1" x14ac:dyDescent="0.2">
      <c r="A1645" s="457">
        <f ca="1">IF($H1645="UNIDADE CONSTRUTIVA",OFFSET(A1645,-1,0)+1,LARGE(A$3:A1644,1))</f>
        <v>0</v>
      </c>
      <c r="B1645" s="457">
        <f t="shared" ca="1" si="359"/>
        <v>21</v>
      </c>
      <c r="C1645" s="457">
        <f t="shared" ca="1" si="360"/>
        <v>1</v>
      </c>
      <c r="D1645" s="458">
        <f t="shared" ca="1" si="361"/>
        <v>1</v>
      </c>
      <c r="E1645" s="458">
        <f t="shared" ca="1" si="362"/>
        <v>1</v>
      </c>
      <c r="F1645" s="34"/>
    </row>
    <row r="1646" spans="1:6" ht="14.1" customHeight="1" x14ac:dyDescent="0.2">
      <c r="A1646" s="457">
        <f ca="1">IF($H1646="UNIDADE CONSTRUTIVA",OFFSET(A1646,-1,0)+1,LARGE(A$3:A1645,1))</f>
        <v>0</v>
      </c>
      <c r="B1646" s="457">
        <f t="shared" ca="1" si="359"/>
        <v>21</v>
      </c>
      <c r="C1646" s="457">
        <f t="shared" ca="1" si="360"/>
        <v>1</v>
      </c>
      <c r="D1646" s="458">
        <f t="shared" ca="1" si="361"/>
        <v>1</v>
      </c>
      <c r="E1646" s="458">
        <f t="shared" ca="1" si="362"/>
        <v>1</v>
      </c>
      <c r="F1646" s="34"/>
    </row>
    <row r="1647" spans="1:6" ht="14.1" customHeight="1" x14ac:dyDescent="0.2">
      <c r="A1647" s="457">
        <f ca="1">IF($H1647="UNIDADE CONSTRUTIVA",OFFSET(A1647,-1,0)+1,LARGE(A$3:A1646,1))</f>
        <v>0</v>
      </c>
      <c r="B1647" s="457">
        <f t="shared" ca="1" si="359"/>
        <v>21</v>
      </c>
      <c r="C1647" s="457">
        <f t="shared" ca="1" si="360"/>
        <v>1</v>
      </c>
      <c r="D1647" s="458">
        <f t="shared" ca="1" si="361"/>
        <v>1</v>
      </c>
      <c r="E1647" s="458">
        <f t="shared" ca="1" si="362"/>
        <v>1</v>
      </c>
      <c r="F1647" s="34"/>
    </row>
    <row r="1648" spans="1:6" ht="14.1" customHeight="1" x14ac:dyDescent="0.2">
      <c r="A1648" s="457">
        <f ca="1">IF($H1648="UNIDADE CONSTRUTIVA",OFFSET(A1648,-1,0)+1,LARGE(A$3:A1647,1))</f>
        <v>0</v>
      </c>
      <c r="B1648" s="457">
        <f t="shared" ca="1" si="359"/>
        <v>21</v>
      </c>
      <c r="C1648" s="457">
        <f t="shared" ca="1" si="360"/>
        <v>1</v>
      </c>
      <c r="D1648" s="458">
        <f t="shared" ca="1" si="361"/>
        <v>1</v>
      </c>
      <c r="E1648" s="458">
        <f t="shared" ca="1" si="362"/>
        <v>1</v>
      </c>
      <c r="F1648" s="34"/>
    </row>
    <row r="1649" spans="1:6" ht="14.1" customHeight="1" x14ac:dyDescent="0.2">
      <c r="A1649" s="457">
        <f ca="1">IF($H1649="UNIDADE CONSTRUTIVA",OFFSET(A1649,-1,0)+1,LARGE(A$3:A1648,1))</f>
        <v>0</v>
      </c>
      <c r="B1649" s="457">
        <f t="shared" ca="1" si="359"/>
        <v>21</v>
      </c>
      <c r="C1649" s="457">
        <f t="shared" ca="1" si="360"/>
        <v>1</v>
      </c>
      <c r="D1649" s="458">
        <f t="shared" ca="1" si="361"/>
        <v>1</v>
      </c>
      <c r="E1649" s="458">
        <f t="shared" ca="1" si="362"/>
        <v>1</v>
      </c>
      <c r="F1649" s="34"/>
    </row>
    <row r="1650" spans="1:6" ht="14.1" customHeight="1" x14ac:dyDescent="0.2">
      <c r="A1650" s="457">
        <f ca="1">IF($H1650="UNIDADE CONSTRUTIVA",OFFSET(A1650,-1,0)+1,LARGE(A$3:A1649,1))</f>
        <v>0</v>
      </c>
      <c r="B1650" s="457">
        <f t="shared" ca="1" si="359"/>
        <v>21</v>
      </c>
      <c r="C1650" s="457">
        <f t="shared" ca="1" si="360"/>
        <v>1</v>
      </c>
      <c r="D1650" s="458">
        <f t="shared" ca="1" si="361"/>
        <v>1</v>
      </c>
      <c r="E1650" s="458">
        <f t="shared" ca="1" si="362"/>
        <v>1</v>
      </c>
      <c r="F1650" s="34"/>
    </row>
    <row r="1651" spans="1:6" ht="14.1" customHeight="1" x14ac:dyDescent="0.2">
      <c r="A1651" s="457">
        <f ca="1">IF($H1651="UNIDADE CONSTRUTIVA",OFFSET(A1651,-1,0)+1,LARGE(A$3:A1650,1))</f>
        <v>0</v>
      </c>
      <c r="B1651" s="457">
        <f t="shared" ca="1" si="359"/>
        <v>21</v>
      </c>
      <c r="C1651" s="457">
        <f t="shared" ca="1" si="360"/>
        <v>1</v>
      </c>
      <c r="D1651" s="458">
        <f t="shared" ca="1" si="361"/>
        <v>1</v>
      </c>
      <c r="E1651" s="458">
        <f t="shared" ca="1" si="362"/>
        <v>1</v>
      </c>
      <c r="F1651" s="34"/>
    </row>
    <row r="1652" spans="1:6" ht="14.1" customHeight="1" x14ac:dyDescent="0.2">
      <c r="A1652" s="457">
        <f ca="1">IF($H1652="UNIDADE CONSTRUTIVA",OFFSET(A1652,-1,0)+1,LARGE(A$3:A1651,1))</f>
        <v>0</v>
      </c>
      <c r="B1652" s="457">
        <f t="shared" ca="1" si="359"/>
        <v>21</v>
      </c>
      <c r="C1652" s="457">
        <f t="shared" ca="1" si="360"/>
        <v>1</v>
      </c>
      <c r="D1652" s="458">
        <f t="shared" ca="1" si="361"/>
        <v>1</v>
      </c>
      <c r="E1652" s="458">
        <f t="shared" ca="1" si="362"/>
        <v>1</v>
      </c>
      <c r="F1652" s="34"/>
    </row>
    <row r="1653" spans="1:6" ht="14.1" customHeight="1" x14ac:dyDescent="0.2">
      <c r="A1653" s="457">
        <f ca="1">IF($H1653="UNIDADE CONSTRUTIVA",OFFSET(A1653,-1,0)+1,LARGE(A$3:A1652,1))</f>
        <v>0</v>
      </c>
      <c r="B1653" s="457">
        <f t="shared" ca="1" si="359"/>
        <v>21</v>
      </c>
      <c r="C1653" s="457">
        <f t="shared" ca="1" si="360"/>
        <v>1</v>
      </c>
      <c r="D1653" s="458">
        <f t="shared" ca="1" si="361"/>
        <v>1</v>
      </c>
      <c r="E1653" s="458">
        <f t="shared" ca="1" si="362"/>
        <v>1</v>
      </c>
      <c r="F1653" s="34"/>
    </row>
    <row r="1654" spans="1:6" ht="14.1" customHeight="1" x14ac:dyDescent="0.2">
      <c r="A1654" s="457">
        <f ca="1">IF($H1654="UNIDADE CONSTRUTIVA",OFFSET(A1654,-1,0)+1,LARGE(A$3:A1653,1))</f>
        <v>0</v>
      </c>
      <c r="B1654" s="457">
        <f t="shared" ca="1" si="359"/>
        <v>21</v>
      </c>
      <c r="C1654" s="457">
        <f t="shared" ca="1" si="360"/>
        <v>1</v>
      </c>
      <c r="D1654" s="458">
        <f t="shared" ca="1" si="361"/>
        <v>1</v>
      </c>
      <c r="E1654" s="458">
        <f t="shared" ca="1" si="362"/>
        <v>1</v>
      </c>
      <c r="F1654" s="34"/>
    </row>
    <row r="1655" spans="1:6" ht="14.1" customHeight="1" x14ac:dyDescent="0.2">
      <c r="A1655" s="457">
        <f ca="1">IF($H1655="UNIDADE CONSTRUTIVA",OFFSET(A1655,-1,0)+1,LARGE(A$3:A1654,1))</f>
        <v>0</v>
      </c>
      <c r="B1655" s="457">
        <f t="shared" ca="1" si="359"/>
        <v>21</v>
      </c>
      <c r="C1655" s="457">
        <f t="shared" ca="1" si="360"/>
        <v>1</v>
      </c>
      <c r="D1655" s="458">
        <f t="shared" ca="1" si="361"/>
        <v>1</v>
      </c>
      <c r="E1655" s="458">
        <f t="shared" ca="1" si="362"/>
        <v>1</v>
      </c>
      <c r="F1655" s="34"/>
    </row>
    <row r="1656" spans="1:6" ht="14.1" customHeight="1" x14ac:dyDescent="0.2">
      <c r="A1656" s="457">
        <f ca="1">IF($H1656="UNIDADE CONSTRUTIVA",OFFSET(A1656,-1,0)+1,LARGE(A$3:A1655,1))</f>
        <v>0</v>
      </c>
      <c r="B1656" s="457">
        <f t="shared" ca="1" si="359"/>
        <v>21</v>
      </c>
      <c r="C1656" s="457">
        <f t="shared" ca="1" si="360"/>
        <v>1</v>
      </c>
      <c r="D1656" s="458">
        <f t="shared" ca="1" si="361"/>
        <v>1</v>
      </c>
      <c r="E1656" s="458">
        <f t="shared" ca="1" si="362"/>
        <v>1</v>
      </c>
      <c r="F1656" s="34"/>
    </row>
    <row r="1657" spans="1:6" ht="14.1" customHeight="1" x14ac:dyDescent="0.2">
      <c r="A1657" s="457">
        <f ca="1">IF($H1657="UNIDADE CONSTRUTIVA",OFFSET(A1657,-1,0)+1,LARGE(A$3:A1656,1))</f>
        <v>0</v>
      </c>
      <c r="B1657" s="457">
        <f t="shared" ca="1" si="359"/>
        <v>21</v>
      </c>
      <c r="C1657" s="457">
        <f t="shared" ca="1" si="360"/>
        <v>1</v>
      </c>
      <c r="D1657" s="458">
        <f t="shared" ca="1" si="361"/>
        <v>1</v>
      </c>
      <c r="E1657" s="458">
        <f t="shared" ca="1" si="362"/>
        <v>1</v>
      </c>
      <c r="F1657" s="34"/>
    </row>
    <row r="1658" spans="1:6" ht="14.1" customHeight="1" x14ac:dyDescent="0.2">
      <c r="A1658" s="457">
        <f ca="1">IF($H1658="UNIDADE CONSTRUTIVA",OFFSET(A1658,-1,0)+1,LARGE(A$3:A1657,1))</f>
        <v>0</v>
      </c>
      <c r="B1658" s="457">
        <f t="shared" ca="1" si="359"/>
        <v>21</v>
      </c>
      <c r="C1658" s="457">
        <f t="shared" ca="1" si="360"/>
        <v>1</v>
      </c>
      <c r="D1658" s="458">
        <f t="shared" ca="1" si="361"/>
        <v>1</v>
      </c>
      <c r="E1658" s="458">
        <f t="shared" ca="1" si="362"/>
        <v>1</v>
      </c>
      <c r="F1658" s="34"/>
    </row>
    <row r="1659" spans="1:6" ht="14.1" customHeight="1" x14ac:dyDescent="0.2">
      <c r="A1659" s="457">
        <f ca="1">IF($H1659="UNIDADE CONSTRUTIVA",OFFSET(A1659,-1,0)+1,LARGE(A$3:A1658,1))</f>
        <v>0</v>
      </c>
      <c r="B1659" s="457">
        <f t="shared" ca="1" si="359"/>
        <v>21</v>
      </c>
      <c r="C1659" s="457">
        <f t="shared" ca="1" si="360"/>
        <v>1</v>
      </c>
      <c r="D1659" s="458">
        <f t="shared" ca="1" si="361"/>
        <v>1</v>
      </c>
      <c r="E1659" s="458">
        <f t="shared" ca="1" si="362"/>
        <v>1</v>
      </c>
      <c r="F1659" s="34"/>
    </row>
    <row r="1660" spans="1:6" ht="14.1" customHeight="1" x14ac:dyDescent="0.2">
      <c r="A1660" s="457">
        <f ca="1">IF($H1660="UNIDADE CONSTRUTIVA",OFFSET(A1660,-1,0)+1,LARGE(A$3:A1659,1))</f>
        <v>0</v>
      </c>
      <c r="B1660" s="457">
        <f t="shared" ca="1" si="359"/>
        <v>21</v>
      </c>
      <c r="C1660" s="457">
        <f t="shared" ca="1" si="360"/>
        <v>1</v>
      </c>
      <c r="D1660" s="458">
        <f t="shared" ca="1" si="361"/>
        <v>1</v>
      </c>
      <c r="E1660" s="458">
        <f t="shared" ca="1" si="362"/>
        <v>1</v>
      </c>
      <c r="F1660" s="34"/>
    </row>
    <row r="1661" spans="1:6" ht="14.1" customHeight="1" x14ac:dyDescent="0.2">
      <c r="A1661" s="457">
        <f ca="1">IF($H1661="UNIDADE CONSTRUTIVA",OFFSET(A1661,-1,0)+1,LARGE(A$3:A1660,1))</f>
        <v>0</v>
      </c>
      <c r="B1661" s="457">
        <f t="shared" ca="1" si="359"/>
        <v>21</v>
      </c>
      <c r="C1661" s="457">
        <f t="shared" ca="1" si="360"/>
        <v>1</v>
      </c>
      <c r="D1661" s="458">
        <f t="shared" ca="1" si="361"/>
        <v>1</v>
      </c>
      <c r="E1661" s="458">
        <f t="shared" ca="1" si="362"/>
        <v>1</v>
      </c>
      <c r="F1661" s="34"/>
    </row>
    <row r="1662" spans="1:6" ht="14.1" customHeight="1" x14ac:dyDescent="0.2">
      <c r="A1662" s="457">
        <f ca="1">IF($H1662="UNIDADE CONSTRUTIVA",OFFSET(A1662,-1,0)+1,LARGE(A$3:A1661,1))</f>
        <v>0</v>
      </c>
      <c r="B1662" s="457">
        <f t="shared" ca="1" si="359"/>
        <v>21</v>
      </c>
      <c r="C1662" s="457">
        <f t="shared" ca="1" si="360"/>
        <v>1</v>
      </c>
      <c r="D1662" s="458">
        <f t="shared" ca="1" si="361"/>
        <v>1</v>
      </c>
      <c r="E1662" s="458">
        <f t="shared" ca="1" si="362"/>
        <v>1</v>
      </c>
      <c r="F1662" s="34"/>
    </row>
    <row r="1663" spans="1:6" ht="14.1" customHeight="1" x14ac:dyDescent="0.2">
      <c r="A1663" s="457">
        <f ca="1">IF($H1663="UNIDADE CONSTRUTIVA",OFFSET(A1663,-1,0)+1,LARGE(A$3:A1662,1))</f>
        <v>0</v>
      </c>
      <c r="B1663" s="457">
        <f t="shared" ca="1" si="359"/>
        <v>21</v>
      </c>
      <c r="C1663" s="457">
        <f t="shared" ca="1" si="360"/>
        <v>1</v>
      </c>
      <c r="D1663" s="458">
        <f t="shared" ca="1" si="361"/>
        <v>1</v>
      </c>
      <c r="E1663" s="458">
        <f t="shared" ca="1" si="362"/>
        <v>1</v>
      </c>
      <c r="F1663" s="34"/>
    </row>
    <row r="1664" spans="1:6" ht="14.1" customHeight="1" x14ac:dyDescent="0.2">
      <c r="A1664" s="457">
        <f ca="1">IF($H1664="UNIDADE CONSTRUTIVA",OFFSET(A1664,-1,0)+1,LARGE(A$3:A1663,1))</f>
        <v>0</v>
      </c>
      <c r="B1664" s="457">
        <f t="shared" ca="1" si="359"/>
        <v>21</v>
      </c>
      <c r="C1664" s="457">
        <f t="shared" ca="1" si="360"/>
        <v>1</v>
      </c>
      <c r="D1664" s="458">
        <f t="shared" ca="1" si="361"/>
        <v>1</v>
      </c>
      <c r="E1664" s="458">
        <f t="shared" ca="1" si="362"/>
        <v>1</v>
      </c>
      <c r="F1664" s="34"/>
    </row>
    <row r="1665" spans="1:6" ht="14.1" customHeight="1" x14ac:dyDescent="0.2">
      <c r="A1665" s="457">
        <f ca="1">IF($H1665="UNIDADE CONSTRUTIVA",OFFSET(A1665,-1,0)+1,LARGE(A$3:A1664,1))</f>
        <v>0</v>
      </c>
      <c r="B1665" s="457">
        <f t="shared" ca="1" si="359"/>
        <v>21</v>
      </c>
      <c r="C1665" s="457">
        <f t="shared" ca="1" si="360"/>
        <v>1</v>
      </c>
      <c r="D1665" s="458">
        <f t="shared" ca="1" si="361"/>
        <v>1</v>
      </c>
      <c r="E1665" s="458">
        <f t="shared" ca="1" si="362"/>
        <v>1</v>
      </c>
      <c r="F1665" s="34"/>
    </row>
    <row r="1666" spans="1:6" ht="14.1" customHeight="1" x14ac:dyDescent="0.2">
      <c r="A1666" s="457">
        <f ca="1">IF($H1666="UNIDADE CONSTRUTIVA",OFFSET(A1666,-1,0)+1,LARGE(A$3:A1665,1))</f>
        <v>0</v>
      </c>
      <c r="B1666" s="457">
        <f t="shared" ca="1" si="359"/>
        <v>21</v>
      </c>
      <c r="C1666" s="457">
        <f t="shared" ca="1" si="360"/>
        <v>1</v>
      </c>
      <c r="D1666" s="458">
        <f t="shared" ca="1" si="361"/>
        <v>1</v>
      </c>
      <c r="E1666" s="458">
        <f t="shared" ca="1" si="362"/>
        <v>1</v>
      </c>
      <c r="F1666" s="34"/>
    </row>
    <row r="1667" spans="1:6" ht="14.1" customHeight="1" x14ac:dyDescent="0.2">
      <c r="A1667" s="457">
        <f ca="1">IF($H1667="UNIDADE CONSTRUTIVA",OFFSET(A1667,-1,0)+1,LARGE(A$3:A1666,1))</f>
        <v>0</v>
      </c>
      <c r="B1667" s="457">
        <f t="shared" ca="1" si="359"/>
        <v>21</v>
      </c>
      <c r="C1667" s="457">
        <f t="shared" ca="1" si="360"/>
        <v>1</v>
      </c>
      <c r="D1667" s="458">
        <f t="shared" ca="1" si="361"/>
        <v>1</v>
      </c>
      <c r="E1667" s="458">
        <f t="shared" ca="1" si="362"/>
        <v>1</v>
      </c>
      <c r="F1667" s="34"/>
    </row>
    <row r="1668" spans="1:6" ht="14.1" customHeight="1" x14ac:dyDescent="0.2">
      <c r="A1668" s="457">
        <f ca="1">IF($H1668="UNIDADE CONSTRUTIVA",OFFSET(A1668,-1,0)+1,LARGE(A$3:A1667,1))</f>
        <v>0</v>
      </c>
      <c r="B1668" s="457">
        <f t="shared" ca="1" si="359"/>
        <v>21</v>
      </c>
      <c r="C1668" s="457">
        <f t="shared" ca="1" si="360"/>
        <v>1</v>
      </c>
      <c r="D1668" s="458">
        <f t="shared" ca="1" si="361"/>
        <v>1</v>
      </c>
      <c r="E1668" s="458">
        <f t="shared" ca="1" si="362"/>
        <v>1</v>
      </c>
      <c r="F1668" s="34"/>
    </row>
    <row r="1669" spans="1:6" ht="14.1" customHeight="1" x14ac:dyDescent="0.2">
      <c r="A1669" s="457">
        <f ca="1">IF($H1669="UNIDADE CONSTRUTIVA",OFFSET(A1669,-1,0)+1,LARGE(A$3:A1668,1))</f>
        <v>0</v>
      </c>
      <c r="B1669" s="457">
        <f t="shared" ca="1" si="359"/>
        <v>21</v>
      </c>
      <c r="C1669" s="457">
        <f t="shared" ca="1" si="360"/>
        <v>1</v>
      </c>
      <c r="D1669" s="458">
        <f t="shared" ca="1" si="361"/>
        <v>1</v>
      </c>
      <c r="E1669" s="458">
        <f t="shared" ca="1" si="362"/>
        <v>1</v>
      </c>
      <c r="F1669" s="34"/>
    </row>
    <row r="1670" spans="1:6" ht="14.1" customHeight="1" x14ac:dyDescent="0.2">
      <c r="A1670" s="457">
        <f ca="1">IF($H1670="UNIDADE CONSTRUTIVA",OFFSET(A1670,-1,0)+1,LARGE(A$3:A1669,1))</f>
        <v>0</v>
      </c>
      <c r="B1670" s="457">
        <f t="shared" ca="1" si="359"/>
        <v>21</v>
      </c>
      <c r="C1670" s="457">
        <f t="shared" ca="1" si="360"/>
        <v>1</v>
      </c>
      <c r="D1670" s="458">
        <f t="shared" ca="1" si="361"/>
        <v>1</v>
      </c>
      <c r="E1670" s="458">
        <f t="shared" ca="1" si="362"/>
        <v>1</v>
      </c>
      <c r="F1670" s="34"/>
    </row>
    <row r="1671" spans="1:6" ht="14.1" customHeight="1" x14ac:dyDescent="0.2">
      <c r="A1671" s="457">
        <f ca="1">IF($H1671="UNIDADE CONSTRUTIVA",OFFSET(A1671,-1,0)+1,LARGE(A$3:A1670,1))</f>
        <v>0</v>
      </c>
      <c r="B1671" s="457">
        <f t="shared" ca="1" si="359"/>
        <v>21</v>
      </c>
      <c r="C1671" s="457">
        <f t="shared" ca="1" si="360"/>
        <v>1</v>
      </c>
      <c r="D1671" s="458">
        <f t="shared" ca="1" si="361"/>
        <v>1</v>
      </c>
      <c r="E1671" s="458">
        <f t="shared" ca="1" si="362"/>
        <v>1</v>
      </c>
      <c r="F1671" s="34"/>
    </row>
    <row r="1672" spans="1:6" ht="14.1" customHeight="1" x14ac:dyDescent="0.2">
      <c r="A1672" s="457">
        <f ca="1">IF($H1672="UNIDADE CONSTRUTIVA",OFFSET(A1672,-1,0)+1,LARGE(A$3:A1671,1))</f>
        <v>0</v>
      </c>
      <c r="B1672" s="457">
        <f t="shared" ca="1" si="359"/>
        <v>21</v>
      </c>
      <c r="C1672" s="457">
        <f t="shared" ca="1" si="360"/>
        <v>1</v>
      </c>
      <c r="D1672" s="458">
        <f t="shared" ca="1" si="361"/>
        <v>1</v>
      </c>
      <c r="E1672" s="458">
        <f t="shared" ca="1" si="362"/>
        <v>1</v>
      </c>
      <c r="F1672" s="34"/>
    </row>
    <row r="1673" spans="1:6" ht="14.1" customHeight="1" x14ac:dyDescent="0.2">
      <c r="A1673" s="457">
        <f ca="1">IF($H1673="UNIDADE CONSTRUTIVA",OFFSET(A1673,-1,0)+1,LARGE(A$3:A1672,1))</f>
        <v>0</v>
      </c>
      <c r="B1673" s="457">
        <f t="shared" ca="1" si="359"/>
        <v>21</v>
      </c>
      <c r="C1673" s="457">
        <f t="shared" ca="1" si="360"/>
        <v>1</v>
      </c>
      <c r="D1673" s="458">
        <f t="shared" ca="1" si="361"/>
        <v>1</v>
      </c>
      <c r="E1673" s="458">
        <f t="shared" ca="1" si="362"/>
        <v>1</v>
      </c>
      <c r="F1673" s="34"/>
    </row>
    <row r="1674" spans="1:6" ht="14.1" customHeight="1" x14ac:dyDescent="0.2">
      <c r="A1674" s="457">
        <f ca="1">IF($H1674="UNIDADE CONSTRUTIVA",OFFSET(A1674,-1,0)+1,LARGE(A$3:A1673,1))</f>
        <v>0</v>
      </c>
      <c r="B1674" s="457">
        <f t="shared" ca="1" si="359"/>
        <v>21</v>
      </c>
      <c r="C1674" s="457">
        <f t="shared" ca="1" si="360"/>
        <v>1</v>
      </c>
      <c r="D1674" s="458">
        <f t="shared" ca="1" si="361"/>
        <v>1</v>
      </c>
      <c r="E1674" s="458">
        <f t="shared" ca="1" si="362"/>
        <v>1</v>
      </c>
      <c r="F1674" s="34"/>
    </row>
    <row r="1675" spans="1:6" ht="14.1" customHeight="1" x14ac:dyDescent="0.2">
      <c r="A1675" s="457">
        <f ca="1">IF($H1675="UNIDADE CONSTRUTIVA",OFFSET(A1675,-1,0)+1,LARGE(A$3:A1674,1))</f>
        <v>0</v>
      </c>
      <c r="B1675" s="457">
        <f t="shared" ca="1" si="359"/>
        <v>21</v>
      </c>
      <c r="C1675" s="457">
        <f t="shared" ca="1" si="360"/>
        <v>1</v>
      </c>
      <c r="D1675" s="458">
        <f t="shared" ca="1" si="361"/>
        <v>1</v>
      </c>
      <c r="E1675" s="458">
        <f t="shared" ca="1" si="362"/>
        <v>1</v>
      </c>
      <c r="F1675" s="34"/>
    </row>
    <row r="1676" spans="1:6" ht="14.1" customHeight="1" x14ac:dyDescent="0.2">
      <c r="A1676" s="457">
        <f ca="1">IF($H1676="UNIDADE CONSTRUTIVA",OFFSET(A1676,-1,0)+1,LARGE(A$3:A1675,1))</f>
        <v>0</v>
      </c>
      <c r="B1676" s="457">
        <f t="shared" ca="1" si="359"/>
        <v>21</v>
      </c>
      <c r="C1676" s="457">
        <f t="shared" ca="1" si="360"/>
        <v>1</v>
      </c>
      <c r="D1676" s="458">
        <f t="shared" ca="1" si="361"/>
        <v>1</v>
      </c>
      <c r="E1676" s="458">
        <f t="shared" ca="1" si="362"/>
        <v>1</v>
      </c>
      <c r="F1676" s="34"/>
    </row>
    <row r="1677" spans="1:6" ht="14.1" customHeight="1" x14ac:dyDescent="0.2">
      <c r="A1677" s="457">
        <f ca="1">IF($H1677="UNIDADE CONSTRUTIVA",OFFSET(A1677,-1,0)+1,LARGE(A$3:A1676,1))</f>
        <v>0</v>
      </c>
      <c r="B1677" s="457">
        <f t="shared" ca="1" si="359"/>
        <v>21</v>
      </c>
      <c r="C1677" s="457">
        <f t="shared" ca="1" si="360"/>
        <v>1</v>
      </c>
      <c r="D1677" s="458">
        <f t="shared" ca="1" si="361"/>
        <v>1</v>
      </c>
      <c r="E1677" s="458">
        <f t="shared" ca="1" si="362"/>
        <v>1</v>
      </c>
      <c r="F1677" s="34"/>
    </row>
    <row r="1678" spans="1:6" ht="14.1" customHeight="1" x14ac:dyDescent="0.2">
      <c r="A1678" s="457">
        <f ca="1">IF($H1678="UNIDADE CONSTRUTIVA",OFFSET(A1678,-1,0)+1,LARGE(A$3:A1677,1))</f>
        <v>0</v>
      </c>
      <c r="B1678" s="457">
        <f t="shared" ca="1" si="359"/>
        <v>21</v>
      </c>
      <c r="C1678" s="457">
        <f t="shared" ca="1" si="360"/>
        <v>1</v>
      </c>
      <c r="D1678" s="458">
        <f t="shared" ca="1" si="361"/>
        <v>1</v>
      </c>
      <c r="E1678" s="458">
        <f t="shared" ca="1" si="362"/>
        <v>1</v>
      </c>
      <c r="F1678" s="34"/>
    </row>
    <row r="1679" spans="1:6" ht="14.1" customHeight="1" x14ac:dyDescent="0.2">
      <c r="A1679" s="457">
        <f ca="1">IF($H1679="UNIDADE CONSTRUTIVA",OFFSET(A1679,-1,0)+1,LARGE(A$3:A1678,1))</f>
        <v>0</v>
      </c>
      <c r="B1679" s="457">
        <f t="shared" ca="1" si="359"/>
        <v>21</v>
      </c>
      <c r="C1679" s="457">
        <f t="shared" ca="1" si="360"/>
        <v>1</v>
      </c>
      <c r="D1679" s="458">
        <f t="shared" ca="1" si="361"/>
        <v>1</v>
      </c>
      <c r="E1679" s="458">
        <f t="shared" ca="1" si="362"/>
        <v>1</v>
      </c>
      <c r="F1679" s="34"/>
    </row>
    <row r="1680" spans="1:6" ht="14.1" customHeight="1" x14ac:dyDescent="0.2">
      <c r="A1680" s="457">
        <f ca="1">IF($H1680="UNIDADE CONSTRUTIVA",OFFSET(A1680,-1,0)+1,LARGE(A$3:A1679,1))</f>
        <v>0</v>
      </c>
      <c r="B1680" s="457">
        <f t="shared" ca="1" si="359"/>
        <v>21</v>
      </c>
      <c r="C1680" s="457">
        <f t="shared" ca="1" si="360"/>
        <v>1</v>
      </c>
      <c r="D1680" s="458">
        <f t="shared" ca="1" si="361"/>
        <v>1</v>
      </c>
      <c r="E1680" s="458">
        <f t="shared" ca="1" si="362"/>
        <v>1</v>
      </c>
      <c r="F1680" s="34"/>
    </row>
    <row r="1681" spans="1:6" ht="14.1" customHeight="1" x14ac:dyDescent="0.2">
      <c r="A1681" s="457">
        <f ca="1">IF($H1681="UNIDADE CONSTRUTIVA",OFFSET(A1681,-1,0)+1,LARGE(A$3:A1680,1))</f>
        <v>0</v>
      </c>
      <c r="B1681" s="457">
        <f t="shared" ca="1" si="359"/>
        <v>21</v>
      </c>
      <c r="C1681" s="457">
        <f t="shared" ca="1" si="360"/>
        <v>1</v>
      </c>
      <c r="D1681" s="458">
        <f t="shared" ca="1" si="361"/>
        <v>1</v>
      </c>
      <c r="E1681" s="458">
        <f t="shared" ca="1" si="362"/>
        <v>1</v>
      </c>
      <c r="F1681" s="34"/>
    </row>
    <row r="1682" spans="1:6" ht="14.1" customHeight="1" x14ac:dyDescent="0.2">
      <c r="A1682" s="457">
        <f ca="1">IF($H1682="UNIDADE CONSTRUTIVA",OFFSET(A1682,-1,0)+1,LARGE(A$3:A1681,1))</f>
        <v>0</v>
      </c>
      <c r="B1682" s="457">
        <f t="shared" ca="1" si="359"/>
        <v>21</v>
      </c>
      <c r="C1682" s="457">
        <f t="shared" ca="1" si="360"/>
        <v>1</v>
      </c>
      <c r="D1682" s="458">
        <f t="shared" ca="1" si="361"/>
        <v>1</v>
      </c>
      <c r="E1682" s="458">
        <f t="shared" ca="1" si="362"/>
        <v>1</v>
      </c>
      <c r="F1682" s="34"/>
    </row>
    <row r="1683" spans="1:6" ht="14.1" customHeight="1" x14ac:dyDescent="0.2">
      <c r="A1683" s="457">
        <f ca="1">IF($H1683="UNIDADE CONSTRUTIVA",OFFSET(A1683,-1,0)+1,LARGE(A$3:A1682,1))</f>
        <v>0</v>
      </c>
      <c r="B1683" s="457">
        <f t="shared" ca="1" si="359"/>
        <v>21</v>
      </c>
      <c r="C1683" s="457">
        <f t="shared" ca="1" si="360"/>
        <v>1</v>
      </c>
      <c r="D1683" s="458">
        <f t="shared" ca="1" si="361"/>
        <v>1</v>
      </c>
      <c r="E1683" s="458">
        <f t="shared" ca="1" si="362"/>
        <v>1</v>
      </c>
      <c r="F1683" s="34"/>
    </row>
    <row r="1684" spans="1:6" ht="14.1" customHeight="1" x14ac:dyDescent="0.2">
      <c r="A1684" s="457">
        <f ca="1">IF($H1684="UNIDADE CONSTRUTIVA",OFFSET(A1684,-1,0)+1,LARGE(A$3:A1683,1))</f>
        <v>0</v>
      </c>
      <c r="B1684" s="457">
        <f t="shared" ca="1" si="359"/>
        <v>21</v>
      </c>
      <c r="C1684" s="457">
        <f t="shared" ca="1" si="360"/>
        <v>1</v>
      </c>
      <c r="D1684" s="458">
        <f t="shared" ca="1" si="361"/>
        <v>1</v>
      </c>
      <c r="E1684" s="458">
        <f t="shared" ca="1" si="362"/>
        <v>1</v>
      </c>
      <c r="F1684" s="34"/>
    </row>
    <row r="1685" spans="1:6" ht="14.1" customHeight="1" x14ac:dyDescent="0.2">
      <c r="A1685" s="457">
        <f ca="1">IF($H1685="UNIDADE CONSTRUTIVA",OFFSET(A1685,-1,0)+1,LARGE(A$3:A1684,1))</f>
        <v>0</v>
      </c>
      <c r="B1685" s="457">
        <f t="shared" ca="1" si="359"/>
        <v>21</v>
      </c>
      <c r="C1685" s="457">
        <f t="shared" ca="1" si="360"/>
        <v>1</v>
      </c>
      <c r="D1685" s="458">
        <f t="shared" ca="1" si="361"/>
        <v>1</v>
      </c>
      <c r="E1685" s="458">
        <f t="shared" ca="1" si="362"/>
        <v>1</v>
      </c>
      <c r="F1685" s="34"/>
    </row>
    <row r="1686" spans="1:6" ht="14.1" customHeight="1" x14ac:dyDescent="0.2">
      <c r="A1686" s="457">
        <f ca="1">IF($H1686="UNIDADE CONSTRUTIVA",OFFSET(A1686,-1,0)+1,LARGE(A$3:A1685,1))</f>
        <v>0</v>
      </c>
      <c r="B1686" s="457">
        <f t="shared" ca="1" si="359"/>
        <v>21</v>
      </c>
      <c r="C1686" s="457">
        <f t="shared" ca="1" si="360"/>
        <v>1</v>
      </c>
      <c r="D1686" s="458">
        <f t="shared" ca="1" si="361"/>
        <v>1</v>
      </c>
      <c r="E1686" s="458">
        <f t="shared" ca="1" si="362"/>
        <v>1</v>
      </c>
      <c r="F1686" s="34"/>
    </row>
    <row r="1687" spans="1:6" ht="14.1" customHeight="1" x14ac:dyDescent="0.2">
      <c r="A1687" s="457">
        <f ca="1">IF($H1687="UNIDADE CONSTRUTIVA",OFFSET(A1687,-1,0)+1,LARGE(A$3:A1686,1))</f>
        <v>0</v>
      </c>
      <c r="B1687" s="457">
        <f t="shared" ca="1" si="359"/>
        <v>21</v>
      </c>
      <c r="C1687" s="457">
        <f t="shared" ca="1" si="360"/>
        <v>1</v>
      </c>
      <c r="D1687" s="458">
        <f t="shared" ca="1" si="361"/>
        <v>1</v>
      </c>
      <c r="E1687" s="458">
        <f t="shared" ca="1" si="362"/>
        <v>1</v>
      </c>
      <c r="F1687" s="34"/>
    </row>
    <row r="1688" spans="1:6" ht="14.1" customHeight="1" x14ac:dyDescent="0.2">
      <c r="A1688" s="457">
        <f ca="1">IF($H1688="UNIDADE CONSTRUTIVA",OFFSET(A1688,-1,0)+1,LARGE(A$3:A1687,1))</f>
        <v>0</v>
      </c>
      <c r="B1688" s="457">
        <f t="shared" ca="1" si="359"/>
        <v>21</v>
      </c>
      <c r="C1688" s="457">
        <f t="shared" ca="1" si="360"/>
        <v>1</v>
      </c>
      <c r="D1688" s="458">
        <f t="shared" ca="1" si="361"/>
        <v>1</v>
      </c>
      <c r="E1688" s="458">
        <f t="shared" ca="1" si="362"/>
        <v>1</v>
      </c>
      <c r="F1688" s="34"/>
    </row>
    <row r="1689" spans="1:6" ht="14.1" customHeight="1" x14ac:dyDescent="0.2">
      <c r="A1689" s="457">
        <f ca="1">IF($H1689="UNIDADE CONSTRUTIVA",OFFSET(A1689,-1,0)+1,LARGE(A$3:A1688,1))</f>
        <v>0</v>
      </c>
      <c r="B1689" s="457">
        <f t="shared" ca="1" si="359"/>
        <v>21</v>
      </c>
      <c r="C1689" s="457">
        <f t="shared" ca="1" si="360"/>
        <v>1</v>
      </c>
      <c r="D1689" s="458">
        <f t="shared" ca="1" si="361"/>
        <v>1</v>
      </c>
      <c r="E1689" s="458">
        <f t="shared" ca="1" si="362"/>
        <v>1</v>
      </c>
      <c r="F1689" s="34"/>
    </row>
    <row r="1690" spans="1:6" ht="14.1" customHeight="1" x14ac:dyDescent="0.2">
      <c r="A1690" s="457">
        <f ca="1">IF($H1690="UNIDADE CONSTRUTIVA",OFFSET(A1690,-1,0)+1,LARGE(A$3:A1689,1))</f>
        <v>0</v>
      </c>
      <c r="B1690" s="457">
        <f t="shared" ca="1" si="359"/>
        <v>21</v>
      </c>
      <c r="C1690" s="457">
        <f t="shared" ca="1" si="360"/>
        <v>1</v>
      </c>
      <c r="D1690" s="458">
        <f t="shared" ca="1" si="361"/>
        <v>1</v>
      </c>
      <c r="E1690" s="458">
        <f t="shared" ca="1" si="362"/>
        <v>1</v>
      </c>
      <c r="F1690" s="34"/>
    </row>
    <row r="1691" spans="1:6" ht="14.1" customHeight="1" x14ac:dyDescent="0.2">
      <c r="A1691" s="457">
        <f ca="1">IF($H1691="UNIDADE CONSTRUTIVA",OFFSET(A1691,-1,0)+1,LARGE(A$3:A1690,1))</f>
        <v>0</v>
      </c>
      <c r="B1691" s="457">
        <f t="shared" ref="B1691:B1754" ca="1" si="363">IF(H1691="UNIDADE CONSTRUTIVA",0,IF(H1691="CÉLULA CONSTRUTIVA",OFFSET(B1691,-1,0)+1,OFFSET(B1691,-1,0)))</f>
        <v>21</v>
      </c>
      <c r="C1691" s="457">
        <f t="shared" ref="C1691:C1754" ca="1" si="364">IF(H1691="CÉLULA CONSTRUTIVA",0,IF(H1691="ETAPA",OFFSET(C1691,-1,0)+1,OFFSET(C1691,-1,0)))</f>
        <v>1</v>
      </c>
      <c r="D1691" s="458">
        <f t="shared" ref="D1691:D1754" ca="1" si="365">IF(H1691="ETAPA",0,IF(H1691="SUBETAPA",OFFSET(D1691,-1,0)+1,OFFSET(D1691,-1,0)))</f>
        <v>1</v>
      </c>
      <c r="E1691" s="458">
        <f t="shared" ref="E1691:E1754" ca="1" si="366">IF(H1691="Subetapa",0,IF(H1691="serviço",OFFSET(E1691,-1,0)+1,OFFSET(E1691,-1,0)))</f>
        <v>1</v>
      </c>
      <c r="F1691" s="34"/>
    </row>
    <row r="1692" spans="1:6" ht="14.1" customHeight="1" x14ac:dyDescent="0.2">
      <c r="A1692" s="457">
        <f ca="1">IF($H1692="UNIDADE CONSTRUTIVA",OFFSET(A1692,-1,0)+1,LARGE(A$3:A1691,1))</f>
        <v>0</v>
      </c>
      <c r="B1692" s="457">
        <f t="shared" ca="1" si="363"/>
        <v>21</v>
      </c>
      <c r="C1692" s="457">
        <f t="shared" ca="1" si="364"/>
        <v>1</v>
      </c>
      <c r="D1692" s="458">
        <f t="shared" ca="1" si="365"/>
        <v>1</v>
      </c>
      <c r="E1692" s="458">
        <f t="shared" ca="1" si="366"/>
        <v>1</v>
      </c>
      <c r="F1692" s="34"/>
    </row>
    <row r="1693" spans="1:6" ht="14.1" customHeight="1" x14ac:dyDescent="0.2">
      <c r="A1693" s="457">
        <f ca="1">IF($H1693="UNIDADE CONSTRUTIVA",OFFSET(A1693,-1,0)+1,LARGE(A$3:A1692,1))</f>
        <v>0</v>
      </c>
      <c r="B1693" s="457">
        <f t="shared" ca="1" si="363"/>
        <v>21</v>
      </c>
      <c r="C1693" s="457">
        <f t="shared" ca="1" si="364"/>
        <v>1</v>
      </c>
      <c r="D1693" s="458">
        <f t="shared" ca="1" si="365"/>
        <v>1</v>
      </c>
      <c r="E1693" s="458">
        <f t="shared" ca="1" si="366"/>
        <v>1</v>
      </c>
      <c r="F1693" s="34"/>
    </row>
    <row r="1694" spans="1:6" ht="14.1" customHeight="1" x14ac:dyDescent="0.2">
      <c r="A1694" s="457">
        <f ca="1">IF($H1694="UNIDADE CONSTRUTIVA",OFFSET(A1694,-1,0)+1,LARGE(A$3:A1693,1))</f>
        <v>0</v>
      </c>
      <c r="B1694" s="457">
        <f t="shared" ca="1" si="363"/>
        <v>21</v>
      </c>
      <c r="C1694" s="457">
        <f t="shared" ca="1" si="364"/>
        <v>1</v>
      </c>
      <c r="D1694" s="458">
        <f t="shared" ca="1" si="365"/>
        <v>1</v>
      </c>
      <c r="E1694" s="458">
        <f t="shared" ca="1" si="366"/>
        <v>1</v>
      </c>
      <c r="F1694" s="34"/>
    </row>
    <row r="1695" spans="1:6" ht="14.1" customHeight="1" x14ac:dyDescent="0.2">
      <c r="A1695" s="457">
        <f ca="1">IF($H1695="UNIDADE CONSTRUTIVA",OFFSET(A1695,-1,0)+1,LARGE(A$3:A1694,1))</f>
        <v>0</v>
      </c>
      <c r="B1695" s="457">
        <f t="shared" ca="1" si="363"/>
        <v>21</v>
      </c>
      <c r="C1695" s="457">
        <f t="shared" ca="1" si="364"/>
        <v>1</v>
      </c>
      <c r="D1695" s="458">
        <f t="shared" ca="1" si="365"/>
        <v>1</v>
      </c>
      <c r="E1695" s="458">
        <f t="shared" ca="1" si="366"/>
        <v>1</v>
      </c>
      <c r="F1695" s="34"/>
    </row>
    <row r="1696" spans="1:6" ht="14.1" customHeight="1" x14ac:dyDescent="0.2">
      <c r="A1696" s="457">
        <f ca="1">IF($H1696="UNIDADE CONSTRUTIVA",OFFSET(A1696,-1,0)+1,LARGE(A$3:A1695,1))</f>
        <v>0</v>
      </c>
      <c r="B1696" s="457">
        <f t="shared" ca="1" si="363"/>
        <v>21</v>
      </c>
      <c r="C1696" s="457">
        <f t="shared" ca="1" si="364"/>
        <v>1</v>
      </c>
      <c r="D1696" s="458">
        <f t="shared" ca="1" si="365"/>
        <v>1</v>
      </c>
      <c r="E1696" s="458">
        <f t="shared" ca="1" si="366"/>
        <v>1</v>
      </c>
      <c r="F1696" s="34"/>
    </row>
    <row r="1697" spans="1:6" ht="14.1" customHeight="1" x14ac:dyDescent="0.2">
      <c r="A1697" s="457">
        <f ca="1">IF($H1697="UNIDADE CONSTRUTIVA",OFFSET(A1697,-1,0)+1,LARGE(A$3:A1696,1))</f>
        <v>0</v>
      </c>
      <c r="B1697" s="457">
        <f t="shared" ca="1" si="363"/>
        <v>21</v>
      </c>
      <c r="C1697" s="457">
        <f t="shared" ca="1" si="364"/>
        <v>1</v>
      </c>
      <c r="D1697" s="458">
        <f t="shared" ca="1" si="365"/>
        <v>1</v>
      </c>
      <c r="E1697" s="458">
        <f t="shared" ca="1" si="366"/>
        <v>1</v>
      </c>
      <c r="F1697" s="34"/>
    </row>
    <row r="1698" spans="1:6" ht="14.1" customHeight="1" x14ac:dyDescent="0.2">
      <c r="A1698" s="457">
        <f ca="1">IF($H1698="UNIDADE CONSTRUTIVA",OFFSET(A1698,-1,0)+1,LARGE(A$3:A1697,1))</f>
        <v>0</v>
      </c>
      <c r="B1698" s="457">
        <f t="shared" ca="1" si="363"/>
        <v>21</v>
      </c>
      <c r="C1698" s="457">
        <f t="shared" ca="1" si="364"/>
        <v>1</v>
      </c>
      <c r="D1698" s="458">
        <f t="shared" ca="1" si="365"/>
        <v>1</v>
      </c>
      <c r="E1698" s="458">
        <f t="shared" ca="1" si="366"/>
        <v>1</v>
      </c>
      <c r="F1698" s="34"/>
    </row>
    <row r="1699" spans="1:6" ht="14.1" customHeight="1" x14ac:dyDescent="0.2">
      <c r="A1699" s="457">
        <f ca="1">IF($H1699="UNIDADE CONSTRUTIVA",OFFSET(A1699,-1,0)+1,LARGE(A$3:A1698,1))</f>
        <v>0</v>
      </c>
      <c r="B1699" s="457">
        <f t="shared" ca="1" si="363"/>
        <v>21</v>
      </c>
      <c r="C1699" s="457">
        <f t="shared" ca="1" si="364"/>
        <v>1</v>
      </c>
      <c r="D1699" s="458">
        <f t="shared" ca="1" si="365"/>
        <v>1</v>
      </c>
      <c r="E1699" s="458">
        <f t="shared" ca="1" si="366"/>
        <v>1</v>
      </c>
      <c r="F1699" s="34"/>
    </row>
    <row r="1700" spans="1:6" ht="14.1" customHeight="1" x14ac:dyDescent="0.2">
      <c r="A1700" s="457">
        <f ca="1">IF($H1700="UNIDADE CONSTRUTIVA",OFFSET(A1700,-1,0)+1,LARGE(A$3:A1699,1))</f>
        <v>0</v>
      </c>
      <c r="B1700" s="457">
        <f t="shared" ca="1" si="363"/>
        <v>21</v>
      </c>
      <c r="C1700" s="457">
        <f t="shared" ca="1" si="364"/>
        <v>1</v>
      </c>
      <c r="D1700" s="458">
        <f t="shared" ca="1" si="365"/>
        <v>1</v>
      </c>
      <c r="E1700" s="458">
        <f t="shared" ca="1" si="366"/>
        <v>1</v>
      </c>
      <c r="F1700" s="34"/>
    </row>
    <row r="1701" spans="1:6" ht="14.1" customHeight="1" x14ac:dyDescent="0.2">
      <c r="A1701" s="457">
        <f ca="1">IF($H1701="UNIDADE CONSTRUTIVA",OFFSET(A1701,-1,0)+1,LARGE(A$3:A1700,1))</f>
        <v>0</v>
      </c>
      <c r="B1701" s="457">
        <f t="shared" ca="1" si="363"/>
        <v>21</v>
      </c>
      <c r="C1701" s="457">
        <f t="shared" ca="1" si="364"/>
        <v>1</v>
      </c>
      <c r="D1701" s="458">
        <f t="shared" ca="1" si="365"/>
        <v>1</v>
      </c>
      <c r="E1701" s="458">
        <f t="shared" ca="1" si="366"/>
        <v>1</v>
      </c>
      <c r="F1701" s="34"/>
    </row>
    <row r="1702" spans="1:6" ht="14.1" customHeight="1" x14ac:dyDescent="0.2">
      <c r="A1702" s="457">
        <f ca="1">IF($H1702="UNIDADE CONSTRUTIVA",OFFSET(A1702,-1,0)+1,LARGE(A$3:A1701,1))</f>
        <v>0</v>
      </c>
      <c r="B1702" s="457">
        <f t="shared" ca="1" si="363"/>
        <v>21</v>
      </c>
      <c r="C1702" s="457">
        <f t="shared" ca="1" si="364"/>
        <v>1</v>
      </c>
      <c r="D1702" s="458">
        <f t="shared" ca="1" si="365"/>
        <v>1</v>
      </c>
      <c r="E1702" s="458">
        <f t="shared" ca="1" si="366"/>
        <v>1</v>
      </c>
      <c r="F1702" s="34"/>
    </row>
    <row r="1703" spans="1:6" ht="14.1" customHeight="1" x14ac:dyDescent="0.2">
      <c r="A1703" s="457">
        <f ca="1">IF($H1703="UNIDADE CONSTRUTIVA",OFFSET(A1703,-1,0)+1,LARGE(A$3:A1702,1))</f>
        <v>0</v>
      </c>
      <c r="B1703" s="457">
        <f t="shared" ca="1" si="363"/>
        <v>21</v>
      </c>
      <c r="C1703" s="457">
        <f t="shared" ca="1" si="364"/>
        <v>1</v>
      </c>
      <c r="D1703" s="458">
        <f t="shared" ca="1" si="365"/>
        <v>1</v>
      </c>
      <c r="E1703" s="458">
        <f t="shared" ca="1" si="366"/>
        <v>1</v>
      </c>
      <c r="F1703" s="34"/>
    </row>
    <row r="1704" spans="1:6" ht="14.1" customHeight="1" x14ac:dyDescent="0.2">
      <c r="A1704" s="457">
        <f ca="1">IF($H1704="UNIDADE CONSTRUTIVA",OFFSET(A1704,-1,0)+1,LARGE(A$3:A1703,1))</f>
        <v>0</v>
      </c>
      <c r="B1704" s="457">
        <f t="shared" ca="1" si="363"/>
        <v>21</v>
      </c>
      <c r="C1704" s="457">
        <f t="shared" ca="1" si="364"/>
        <v>1</v>
      </c>
      <c r="D1704" s="458">
        <f t="shared" ca="1" si="365"/>
        <v>1</v>
      </c>
      <c r="E1704" s="458">
        <f t="shared" ca="1" si="366"/>
        <v>1</v>
      </c>
      <c r="F1704" s="34"/>
    </row>
    <row r="1705" spans="1:6" ht="14.1" customHeight="1" x14ac:dyDescent="0.2">
      <c r="A1705" s="457">
        <f ca="1">IF($H1705="UNIDADE CONSTRUTIVA",OFFSET(A1705,-1,0)+1,LARGE(A$3:A1704,1))</f>
        <v>0</v>
      </c>
      <c r="B1705" s="457">
        <f t="shared" ca="1" si="363"/>
        <v>21</v>
      </c>
      <c r="C1705" s="457">
        <f t="shared" ca="1" si="364"/>
        <v>1</v>
      </c>
      <c r="D1705" s="458">
        <f t="shared" ca="1" si="365"/>
        <v>1</v>
      </c>
      <c r="E1705" s="458">
        <f t="shared" ca="1" si="366"/>
        <v>1</v>
      </c>
      <c r="F1705" s="34"/>
    </row>
    <row r="1706" spans="1:6" ht="14.1" customHeight="1" x14ac:dyDescent="0.2">
      <c r="A1706" s="457">
        <f ca="1">IF($H1706="UNIDADE CONSTRUTIVA",OFFSET(A1706,-1,0)+1,LARGE(A$3:A1705,1))</f>
        <v>0</v>
      </c>
      <c r="B1706" s="457">
        <f t="shared" ca="1" si="363"/>
        <v>21</v>
      </c>
      <c r="C1706" s="457">
        <f t="shared" ca="1" si="364"/>
        <v>1</v>
      </c>
      <c r="D1706" s="458">
        <f t="shared" ca="1" si="365"/>
        <v>1</v>
      </c>
      <c r="E1706" s="458">
        <f t="shared" ca="1" si="366"/>
        <v>1</v>
      </c>
      <c r="F1706" s="34"/>
    </row>
    <row r="1707" spans="1:6" ht="14.1" customHeight="1" x14ac:dyDescent="0.2">
      <c r="A1707" s="457">
        <f ca="1">IF($H1707="UNIDADE CONSTRUTIVA",OFFSET(A1707,-1,0)+1,LARGE(A$3:A1706,1))</f>
        <v>0</v>
      </c>
      <c r="B1707" s="457">
        <f t="shared" ca="1" si="363"/>
        <v>21</v>
      </c>
      <c r="C1707" s="457">
        <f t="shared" ca="1" si="364"/>
        <v>1</v>
      </c>
      <c r="D1707" s="458">
        <f t="shared" ca="1" si="365"/>
        <v>1</v>
      </c>
      <c r="E1707" s="458">
        <f t="shared" ca="1" si="366"/>
        <v>1</v>
      </c>
      <c r="F1707" s="34"/>
    </row>
    <row r="1708" spans="1:6" ht="14.1" customHeight="1" x14ac:dyDescent="0.2">
      <c r="A1708" s="457">
        <f ca="1">IF($H1708="UNIDADE CONSTRUTIVA",OFFSET(A1708,-1,0)+1,LARGE(A$3:A1707,1))</f>
        <v>0</v>
      </c>
      <c r="B1708" s="457">
        <f t="shared" ca="1" si="363"/>
        <v>21</v>
      </c>
      <c r="C1708" s="457">
        <f t="shared" ca="1" si="364"/>
        <v>1</v>
      </c>
      <c r="D1708" s="458">
        <f t="shared" ca="1" si="365"/>
        <v>1</v>
      </c>
      <c r="E1708" s="458">
        <f t="shared" ca="1" si="366"/>
        <v>1</v>
      </c>
      <c r="F1708" s="34"/>
    </row>
    <row r="1709" spans="1:6" ht="14.1" customHeight="1" x14ac:dyDescent="0.2">
      <c r="A1709" s="457">
        <f ca="1">IF($H1709="UNIDADE CONSTRUTIVA",OFFSET(A1709,-1,0)+1,LARGE(A$3:A1708,1))</f>
        <v>0</v>
      </c>
      <c r="B1709" s="457">
        <f t="shared" ca="1" si="363"/>
        <v>21</v>
      </c>
      <c r="C1709" s="457">
        <f t="shared" ca="1" si="364"/>
        <v>1</v>
      </c>
      <c r="D1709" s="458">
        <f t="shared" ca="1" si="365"/>
        <v>1</v>
      </c>
      <c r="E1709" s="458">
        <f t="shared" ca="1" si="366"/>
        <v>1</v>
      </c>
      <c r="F1709" s="34"/>
    </row>
    <row r="1710" spans="1:6" ht="14.1" customHeight="1" x14ac:dyDescent="0.2">
      <c r="A1710" s="457">
        <f ca="1">IF($H1710="UNIDADE CONSTRUTIVA",OFFSET(A1710,-1,0)+1,LARGE(A$3:A1709,1))</f>
        <v>0</v>
      </c>
      <c r="B1710" s="457">
        <f t="shared" ca="1" si="363"/>
        <v>21</v>
      </c>
      <c r="C1710" s="457">
        <f t="shared" ca="1" si="364"/>
        <v>1</v>
      </c>
      <c r="D1710" s="458">
        <f t="shared" ca="1" si="365"/>
        <v>1</v>
      </c>
      <c r="E1710" s="458">
        <f t="shared" ca="1" si="366"/>
        <v>1</v>
      </c>
      <c r="F1710" s="34"/>
    </row>
    <row r="1711" spans="1:6" ht="14.1" customHeight="1" x14ac:dyDescent="0.2">
      <c r="A1711" s="457">
        <f ca="1">IF($H1711="UNIDADE CONSTRUTIVA",OFFSET(A1711,-1,0)+1,LARGE(A$3:A1710,1))</f>
        <v>0</v>
      </c>
      <c r="B1711" s="457">
        <f t="shared" ca="1" si="363"/>
        <v>21</v>
      </c>
      <c r="C1711" s="457">
        <f t="shared" ca="1" si="364"/>
        <v>1</v>
      </c>
      <c r="D1711" s="458">
        <f t="shared" ca="1" si="365"/>
        <v>1</v>
      </c>
      <c r="E1711" s="458">
        <f t="shared" ca="1" si="366"/>
        <v>1</v>
      </c>
      <c r="F1711" s="34"/>
    </row>
    <row r="1712" spans="1:6" ht="14.1" customHeight="1" x14ac:dyDescent="0.2">
      <c r="A1712" s="457">
        <f ca="1">IF($H1712="UNIDADE CONSTRUTIVA",OFFSET(A1712,-1,0)+1,LARGE(A$3:A1711,1))</f>
        <v>0</v>
      </c>
      <c r="B1712" s="457">
        <f t="shared" ca="1" si="363"/>
        <v>21</v>
      </c>
      <c r="C1712" s="457">
        <f t="shared" ca="1" si="364"/>
        <v>1</v>
      </c>
      <c r="D1712" s="458">
        <f t="shared" ca="1" si="365"/>
        <v>1</v>
      </c>
      <c r="E1712" s="458">
        <f t="shared" ca="1" si="366"/>
        <v>1</v>
      </c>
      <c r="F1712" s="34"/>
    </row>
    <row r="1713" spans="1:6" ht="14.1" customHeight="1" x14ac:dyDescent="0.2">
      <c r="A1713" s="457">
        <f ca="1">IF($H1713="UNIDADE CONSTRUTIVA",OFFSET(A1713,-1,0)+1,LARGE(A$3:A1712,1))</f>
        <v>0</v>
      </c>
      <c r="B1713" s="457">
        <f t="shared" ca="1" si="363"/>
        <v>21</v>
      </c>
      <c r="C1713" s="457">
        <f t="shared" ca="1" si="364"/>
        <v>1</v>
      </c>
      <c r="D1713" s="458">
        <f t="shared" ca="1" si="365"/>
        <v>1</v>
      </c>
      <c r="E1713" s="458">
        <f t="shared" ca="1" si="366"/>
        <v>1</v>
      </c>
      <c r="F1713" s="34"/>
    </row>
    <row r="1714" spans="1:6" ht="14.1" customHeight="1" x14ac:dyDescent="0.2">
      <c r="A1714" s="457">
        <f ca="1">IF($H1714="UNIDADE CONSTRUTIVA",OFFSET(A1714,-1,0)+1,LARGE(A$3:A1713,1))</f>
        <v>0</v>
      </c>
      <c r="B1714" s="457">
        <f t="shared" ca="1" si="363"/>
        <v>21</v>
      </c>
      <c r="C1714" s="457">
        <f t="shared" ca="1" si="364"/>
        <v>1</v>
      </c>
      <c r="D1714" s="458">
        <f t="shared" ca="1" si="365"/>
        <v>1</v>
      </c>
      <c r="E1714" s="458">
        <f t="shared" ca="1" si="366"/>
        <v>1</v>
      </c>
      <c r="F1714" s="34"/>
    </row>
    <row r="1715" spans="1:6" ht="14.1" customHeight="1" x14ac:dyDescent="0.2">
      <c r="A1715" s="457">
        <f ca="1">IF($H1715="UNIDADE CONSTRUTIVA",OFFSET(A1715,-1,0)+1,LARGE(A$3:A1714,1))</f>
        <v>0</v>
      </c>
      <c r="B1715" s="457">
        <f t="shared" ca="1" si="363"/>
        <v>21</v>
      </c>
      <c r="C1715" s="457">
        <f t="shared" ca="1" si="364"/>
        <v>1</v>
      </c>
      <c r="D1715" s="458">
        <f t="shared" ca="1" si="365"/>
        <v>1</v>
      </c>
      <c r="E1715" s="458">
        <f t="shared" ca="1" si="366"/>
        <v>1</v>
      </c>
      <c r="F1715" s="34"/>
    </row>
    <row r="1716" spans="1:6" ht="14.1" customHeight="1" x14ac:dyDescent="0.2">
      <c r="A1716" s="457">
        <f ca="1">IF($H1716="UNIDADE CONSTRUTIVA",OFFSET(A1716,-1,0)+1,LARGE(A$3:A1715,1))</f>
        <v>0</v>
      </c>
      <c r="B1716" s="457">
        <f t="shared" ca="1" si="363"/>
        <v>21</v>
      </c>
      <c r="C1716" s="457">
        <f t="shared" ca="1" si="364"/>
        <v>1</v>
      </c>
      <c r="D1716" s="458">
        <f t="shared" ca="1" si="365"/>
        <v>1</v>
      </c>
      <c r="E1716" s="458">
        <f t="shared" ca="1" si="366"/>
        <v>1</v>
      </c>
      <c r="F1716" s="34"/>
    </row>
    <row r="1717" spans="1:6" ht="14.1" customHeight="1" x14ac:dyDescent="0.2">
      <c r="A1717" s="457">
        <f ca="1">IF($H1717="UNIDADE CONSTRUTIVA",OFFSET(A1717,-1,0)+1,LARGE(A$3:A1716,1))</f>
        <v>0</v>
      </c>
      <c r="B1717" s="457">
        <f t="shared" ca="1" si="363"/>
        <v>21</v>
      </c>
      <c r="C1717" s="457">
        <f t="shared" ca="1" si="364"/>
        <v>1</v>
      </c>
      <c r="D1717" s="458">
        <f t="shared" ca="1" si="365"/>
        <v>1</v>
      </c>
      <c r="E1717" s="458">
        <f t="shared" ca="1" si="366"/>
        <v>1</v>
      </c>
      <c r="F1717" s="34"/>
    </row>
    <row r="1718" spans="1:6" ht="14.1" customHeight="1" x14ac:dyDescent="0.2">
      <c r="A1718" s="457">
        <f ca="1">IF($H1718="UNIDADE CONSTRUTIVA",OFFSET(A1718,-1,0)+1,LARGE(A$3:A1717,1))</f>
        <v>0</v>
      </c>
      <c r="B1718" s="457">
        <f t="shared" ca="1" si="363"/>
        <v>21</v>
      </c>
      <c r="C1718" s="457">
        <f t="shared" ca="1" si="364"/>
        <v>1</v>
      </c>
      <c r="D1718" s="458">
        <f t="shared" ca="1" si="365"/>
        <v>1</v>
      </c>
      <c r="E1718" s="458">
        <f t="shared" ca="1" si="366"/>
        <v>1</v>
      </c>
      <c r="F1718" s="34"/>
    </row>
    <row r="1719" spans="1:6" ht="14.1" customHeight="1" x14ac:dyDescent="0.2">
      <c r="A1719" s="457">
        <f ca="1">IF($H1719="UNIDADE CONSTRUTIVA",OFFSET(A1719,-1,0)+1,LARGE(A$3:A1718,1))</f>
        <v>0</v>
      </c>
      <c r="B1719" s="457">
        <f t="shared" ca="1" si="363"/>
        <v>21</v>
      </c>
      <c r="C1719" s="457">
        <f t="shared" ca="1" si="364"/>
        <v>1</v>
      </c>
      <c r="D1719" s="458">
        <f t="shared" ca="1" si="365"/>
        <v>1</v>
      </c>
      <c r="E1719" s="458">
        <f t="shared" ca="1" si="366"/>
        <v>1</v>
      </c>
      <c r="F1719" s="34"/>
    </row>
    <row r="1720" spans="1:6" ht="14.1" customHeight="1" x14ac:dyDescent="0.2">
      <c r="A1720" s="457">
        <f ca="1">IF($H1720="UNIDADE CONSTRUTIVA",OFFSET(A1720,-1,0)+1,LARGE(A$3:A1719,1))</f>
        <v>0</v>
      </c>
      <c r="B1720" s="457">
        <f t="shared" ca="1" si="363"/>
        <v>21</v>
      </c>
      <c r="C1720" s="457">
        <f t="shared" ca="1" si="364"/>
        <v>1</v>
      </c>
      <c r="D1720" s="458">
        <f t="shared" ca="1" si="365"/>
        <v>1</v>
      </c>
      <c r="E1720" s="458">
        <f t="shared" ca="1" si="366"/>
        <v>1</v>
      </c>
      <c r="F1720" s="34"/>
    </row>
    <row r="1721" spans="1:6" ht="14.1" customHeight="1" x14ac:dyDescent="0.2">
      <c r="A1721" s="457">
        <f ca="1">IF($H1721="UNIDADE CONSTRUTIVA",OFFSET(A1721,-1,0)+1,LARGE(A$3:A1720,1))</f>
        <v>0</v>
      </c>
      <c r="B1721" s="457">
        <f t="shared" ca="1" si="363"/>
        <v>21</v>
      </c>
      <c r="C1721" s="457">
        <f t="shared" ca="1" si="364"/>
        <v>1</v>
      </c>
      <c r="D1721" s="458">
        <f t="shared" ca="1" si="365"/>
        <v>1</v>
      </c>
      <c r="E1721" s="458">
        <f t="shared" ca="1" si="366"/>
        <v>1</v>
      </c>
      <c r="F1721" s="34"/>
    </row>
    <row r="1722" spans="1:6" ht="14.1" customHeight="1" x14ac:dyDescent="0.2">
      <c r="A1722" s="457">
        <f ca="1">IF($H1722="UNIDADE CONSTRUTIVA",OFFSET(A1722,-1,0)+1,LARGE(A$3:A1721,1))</f>
        <v>0</v>
      </c>
      <c r="B1722" s="457">
        <f t="shared" ca="1" si="363"/>
        <v>21</v>
      </c>
      <c r="C1722" s="457">
        <f t="shared" ca="1" si="364"/>
        <v>1</v>
      </c>
      <c r="D1722" s="458">
        <f t="shared" ca="1" si="365"/>
        <v>1</v>
      </c>
      <c r="E1722" s="458">
        <f t="shared" ca="1" si="366"/>
        <v>1</v>
      </c>
      <c r="F1722" s="34"/>
    </row>
    <row r="1723" spans="1:6" ht="14.1" customHeight="1" x14ac:dyDescent="0.2">
      <c r="A1723" s="457">
        <f ca="1">IF($H1723="UNIDADE CONSTRUTIVA",OFFSET(A1723,-1,0)+1,LARGE(A$3:A1722,1))</f>
        <v>0</v>
      </c>
      <c r="B1723" s="457">
        <f t="shared" ca="1" si="363"/>
        <v>21</v>
      </c>
      <c r="C1723" s="457">
        <f t="shared" ca="1" si="364"/>
        <v>1</v>
      </c>
      <c r="D1723" s="458">
        <f t="shared" ca="1" si="365"/>
        <v>1</v>
      </c>
      <c r="E1723" s="458">
        <f t="shared" ca="1" si="366"/>
        <v>1</v>
      </c>
      <c r="F1723" s="34"/>
    </row>
    <row r="1724" spans="1:6" ht="14.1" customHeight="1" x14ac:dyDescent="0.2">
      <c r="A1724" s="457">
        <f ca="1">IF($H1724="UNIDADE CONSTRUTIVA",OFFSET(A1724,-1,0)+1,LARGE(A$3:A1723,1))</f>
        <v>0</v>
      </c>
      <c r="B1724" s="457">
        <f t="shared" ca="1" si="363"/>
        <v>21</v>
      </c>
      <c r="C1724" s="457">
        <f t="shared" ca="1" si="364"/>
        <v>1</v>
      </c>
      <c r="D1724" s="458">
        <f t="shared" ca="1" si="365"/>
        <v>1</v>
      </c>
      <c r="E1724" s="458">
        <f t="shared" ca="1" si="366"/>
        <v>1</v>
      </c>
      <c r="F1724" s="34"/>
    </row>
    <row r="1725" spans="1:6" ht="14.1" customHeight="1" x14ac:dyDescent="0.2">
      <c r="A1725" s="457">
        <f ca="1">IF($H1725="UNIDADE CONSTRUTIVA",OFFSET(A1725,-1,0)+1,LARGE(A$3:A1724,1))</f>
        <v>0</v>
      </c>
      <c r="B1725" s="457">
        <f t="shared" ca="1" si="363"/>
        <v>21</v>
      </c>
      <c r="C1725" s="457">
        <f t="shared" ca="1" si="364"/>
        <v>1</v>
      </c>
      <c r="D1725" s="458">
        <f t="shared" ca="1" si="365"/>
        <v>1</v>
      </c>
      <c r="E1725" s="458">
        <f t="shared" ca="1" si="366"/>
        <v>1</v>
      </c>
      <c r="F1725" s="34"/>
    </row>
    <row r="1726" spans="1:6" ht="14.1" customHeight="1" x14ac:dyDescent="0.2">
      <c r="A1726" s="457">
        <f ca="1">IF($H1726="UNIDADE CONSTRUTIVA",OFFSET(A1726,-1,0)+1,LARGE(A$3:A1725,1))</f>
        <v>0</v>
      </c>
      <c r="B1726" s="457">
        <f t="shared" ca="1" si="363"/>
        <v>21</v>
      </c>
      <c r="C1726" s="457">
        <f t="shared" ca="1" si="364"/>
        <v>1</v>
      </c>
      <c r="D1726" s="458">
        <f t="shared" ca="1" si="365"/>
        <v>1</v>
      </c>
      <c r="E1726" s="458">
        <f t="shared" ca="1" si="366"/>
        <v>1</v>
      </c>
      <c r="F1726" s="34"/>
    </row>
    <row r="1727" spans="1:6" ht="14.1" customHeight="1" x14ac:dyDescent="0.2">
      <c r="A1727" s="457">
        <f ca="1">IF($H1727="UNIDADE CONSTRUTIVA",OFFSET(A1727,-1,0)+1,LARGE(A$3:A1726,1))</f>
        <v>0</v>
      </c>
      <c r="B1727" s="457">
        <f t="shared" ca="1" si="363"/>
        <v>21</v>
      </c>
      <c r="C1727" s="457">
        <f t="shared" ca="1" si="364"/>
        <v>1</v>
      </c>
      <c r="D1727" s="458">
        <f t="shared" ca="1" si="365"/>
        <v>1</v>
      </c>
      <c r="E1727" s="458">
        <f t="shared" ca="1" si="366"/>
        <v>1</v>
      </c>
      <c r="F1727" s="34"/>
    </row>
    <row r="1728" spans="1:6" ht="14.1" customHeight="1" x14ac:dyDescent="0.2">
      <c r="A1728" s="457">
        <f ca="1">IF($H1728="UNIDADE CONSTRUTIVA",OFFSET(A1728,-1,0)+1,LARGE(A$3:A1727,1))</f>
        <v>0</v>
      </c>
      <c r="B1728" s="457">
        <f t="shared" ca="1" si="363"/>
        <v>21</v>
      </c>
      <c r="C1728" s="457">
        <f t="shared" ca="1" si="364"/>
        <v>1</v>
      </c>
      <c r="D1728" s="458">
        <f t="shared" ca="1" si="365"/>
        <v>1</v>
      </c>
      <c r="E1728" s="458">
        <f t="shared" ca="1" si="366"/>
        <v>1</v>
      </c>
      <c r="F1728" s="34"/>
    </row>
    <row r="1729" spans="1:6" ht="14.1" customHeight="1" x14ac:dyDescent="0.2">
      <c r="A1729" s="457">
        <f ca="1">IF($H1729="UNIDADE CONSTRUTIVA",OFFSET(A1729,-1,0)+1,LARGE(A$3:A1728,1))</f>
        <v>0</v>
      </c>
      <c r="B1729" s="457">
        <f t="shared" ca="1" si="363"/>
        <v>21</v>
      </c>
      <c r="C1729" s="457">
        <f t="shared" ca="1" si="364"/>
        <v>1</v>
      </c>
      <c r="D1729" s="458">
        <f t="shared" ca="1" si="365"/>
        <v>1</v>
      </c>
      <c r="E1729" s="458">
        <f t="shared" ca="1" si="366"/>
        <v>1</v>
      </c>
      <c r="F1729" s="34"/>
    </row>
    <row r="1730" spans="1:6" ht="14.1" customHeight="1" x14ac:dyDescent="0.2">
      <c r="A1730" s="457">
        <f ca="1">IF($H1730="UNIDADE CONSTRUTIVA",OFFSET(A1730,-1,0)+1,LARGE(A$3:A1729,1))</f>
        <v>0</v>
      </c>
      <c r="B1730" s="457">
        <f t="shared" ca="1" si="363"/>
        <v>21</v>
      </c>
      <c r="C1730" s="457">
        <f t="shared" ca="1" si="364"/>
        <v>1</v>
      </c>
      <c r="D1730" s="458">
        <f t="shared" ca="1" si="365"/>
        <v>1</v>
      </c>
      <c r="E1730" s="458">
        <f t="shared" ca="1" si="366"/>
        <v>1</v>
      </c>
      <c r="F1730" s="34"/>
    </row>
    <row r="1731" spans="1:6" ht="14.1" customHeight="1" x14ac:dyDescent="0.2">
      <c r="A1731" s="457">
        <f ca="1">IF($H1731="UNIDADE CONSTRUTIVA",OFFSET(A1731,-1,0)+1,LARGE(A$3:A1730,1))</f>
        <v>0</v>
      </c>
      <c r="B1731" s="457">
        <f t="shared" ca="1" si="363"/>
        <v>21</v>
      </c>
      <c r="C1731" s="457">
        <f t="shared" ca="1" si="364"/>
        <v>1</v>
      </c>
      <c r="D1731" s="458">
        <f t="shared" ca="1" si="365"/>
        <v>1</v>
      </c>
      <c r="E1731" s="458">
        <f t="shared" ca="1" si="366"/>
        <v>1</v>
      </c>
      <c r="F1731" s="34"/>
    </row>
    <row r="1732" spans="1:6" ht="14.1" customHeight="1" x14ac:dyDescent="0.2">
      <c r="A1732" s="457">
        <f ca="1">IF($H1732="UNIDADE CONSTRUTIVA",OFFSET(A1732,-1,0)+1,LARGE(A$3:A1731,1))</f>
        <v>0</v>
      </c>
      <c r="B1732" s="457">
        <f t="shared" ca="1" si="363"/>
        <v>21</v>
      </c>
      <c r="C1732" s="457">
        <f t="shared" ca="1" si="364"/>
        <v>1</v>
      </c>
      <c r="D1732" s="458">
        <f t="shared" ca="1" si="365"/>
        <v>1</v>
      </c>
      <c r="E1732" s="458">
        <f t="shared" ca="1" si="366"/>
        <v>1</v>
      </c>
      <c r="F1732" s="34"/>
    </row>
    <row r="1733" spans="1:6" ht="14.1" customHeight="1" x14ac:dyDescent="0.2">
      <c r="A1733" s="457">
        <f ca="1">IF($H1733="UNIDADE CONSTRUTIVA",OFFSET(A1733,-1,0)+1,LARGE(A$3:A1732,1))</f>
        <v>0</v>
      </c>
      <c r="B1733" s="457">
        <f t="shared" ca="1" si="363"/>
        <v>21</v>
      </c>
      <c r="C1733" s="457">
        <f t="shared" ca="1" si="364"/>
        <v>1</v>
      </c>
      <c r="D1733" s="458">
        <f t="shared" ca="1" si="365"/>
        <v>1</v>
      </c>
      <c r="E1733" s="458">
        <f t="shared" ca="1" si="366"/>
        <v>1</v>
      </c>
      <c r="F1733" s="34"/>
    </row>
    <row r="1734" spans="1:6" ht="14.1" customHeight="1" x14ac:dyDescent="0.2">
      <c r="A1734" s="457">
        <f ca="1">IF($H1734="UNIDADE CONSTRUTIVA",OFFSET(A1734,-1,0)+1,LARGE(A$3:A1733,1))</f>
        <v>0</v>
      </c>
      <c r="B1734" s="457">
        <f t="shared" ca="1" si="363"/>
        <v>21</v>
      </c>
      <c r="C1734" s="457">
        <f t="shared" ca="1" si="364"/>
        <v>1</v>
      </c>
      <c r="D1734" s="458">
        <f t="shared" ca="1" si="365"/>
        <v>1</v>
      </c>
      <c r="E1734" s="458">
        <f t="shared" ca="1" si="366"/>
        <v>1</v>
      </c>
      <c r="F1734" s="34"/>
    </row>
    <row r="1735" spans="1:6" ht="14.1" customHeight="1" x14ac:dyDescent="0.2">
      <c r="A1735" s="457">
        <f ca="1">IF($H1735="UNIDADE CONSTRUTIVA",OFFSET(A1735,-1,0)+1,LARGE(A$3:A1734,1))</f>
        <v>0</v>
      </c>
      <c r="B1735" s="457">
        <f t="shared" ca="1" si="363"/>
        <v>21</v>
      </c>
      <c r="C1735" s="457">
        <f t="shared" ca="1" si="364"/>
        <v>1</v>
      </c>
      <c r="D1735" s="458">
        <f t="shared" ca="1" si="365"/>
        <v>1</v>
      </c>
      <c r="E1735" s="458">
        <f t="shared" ca="1" si="366"/>
        <v>1</v>
      </c>
      <c r="F1735" s="34"/>
    </row>
    <row r="1736" spans="1:6" ht="14.1" customHeight="1" x14ac:dyDescent="0.2">
      <c r="A1736" s="457">
        <f ca="1">IF($H1736="UNIDADE CONSTRUTIVA",OFFSET(A1736,-1,0)+1,LARGE(A$3:A1735,1))</f>
        <v>0</v>
      </c>
      <c r="B1736" s="457">
        <f t="shared" ca="1" si="363"/>
        <v>21</v>
      </c>
      <c r="C1736" s="457">
        <f t="shared" ca="1" si="364"/>
        <v>1</v>
      </c>
      <c r="D1736" s="458">
        <f t="shared" ca="1" si="365"/>
        <v>1</v>
      </c>
      <c r="E1736" s="458">
        <f t="shared" ca="1" si="366"/>
        <v>1</v>
      </c>
      <c r="F1736" s="34"/>
    </row>
    <row r="1737" spans="1:6" ht="14.1" customHeight="1" x14ac:dyDescent="0.2">
      <c r="A1737" s="457">
        <f ca="1">IF($H1737="UNIDADE CONSTRUTIVA",OFFSET(A1737,-1,0)+1,LARGE(A$3:A1736,1))</f>
        <v>0</v>
      </c>
      <c r="B1737" s="457">
        <f t="shared" ca="1" si="363"/>
        <v>21</v>
      </c>
      <c r="C1737" s="457">
        <f t="shared" ca="1" si="364"/>
        <v>1</v>
      </c>
      <c r="D1737" s="458">
        <f t="shared" ca="1" si="365"/>
        <v>1</v>
      </c>
      <c r="E1737" s="458">
        <f t="shared" ca="1" si="366"/>
        <v>1</v>
      </c>
      <c r="F1737" s="34"/>
    </row>
    <row r="1738" spans="1:6" ht="14.1" customHeight="1" x14ac:dyDescent="0.2">
      <c r="A1738" s="457">
        <f ca="1">IF($H1738="UNIDADE CONSTRUTIVA",OFFSET(A1738,-1,0)+1,LARGE(A$3:A1737,1))</f>
        <v>0</v>
      </c>
      <c r="B1738" s="457">
        <f t="shared" ca="1" si="363"/>
        <v>21</v>
      </c>
      <c r="C1738" s="457">
        <f t="shared" ca="1" si="364"/>
        <v>1</v>
      </c>
      <c r="D1738" s="458">
        <f t="shared" ca="1" si="365"/>
        <v>1</v>
      </c>
      <c r="E1738" s="458">
        <f t="shared" ca="1" si="366"/>
        <v>1</v>
      </c>
      <c r="F1738" s="34"/>
    </row>
    <row r="1739" spans="1:6" ht="14.1" customHeight="1" x14ac:dyDescent="0.2">
      <c r="A1739" s="457">
        <f ca="1">IF($H1739="UNIDADE CONSTRUTIVA",OFFSET(A1739,-1,0)+1,LARGE(A$3:A1738,1))</f>
        <v>0</v>
      </c>
      <c r="B1739" s="457">
        <f t="shared" ca="1" si="363"/>
        <v>21</v>
      </c>
      <c r="C1739" s="457">
        <f t="shared" ca="1" si="364"/>
        <v>1</v>
      </c>
      <c r="D1739" s="458">
        <f t="shared" ca="1" si="365"/>
        <v>1</v>
      </c>
      <c r="E1739" s="458">
        <f t="shared" ca="1" si="366"/>
        <v>1</v>
      </c>
      <c r="F1739" s="34"/>
    </row>
    <row r="1740" spans="1:6" ht="14.1" customHeight="1" x14ac:dyDescent="0.2">
      <c r="A1740" s="457">
        <f ca="1">IF($H1740="UNIDADE CONSTRUTIVA",OFFSET(A1740,-1,0)+1,LARGE(A$3:A1739,1))</f>
        <v>0</v>
      </c>
      <c r="B1740" s="457">
        <f t="shared" ca="1" si="363"/>
        <v>21</v>
      </c>
      <c r="C1740" s="457">
        <f t="shared" ca="1" si="364"/>
        <v>1</v>
      </c>
      <c r="D1740" s="458">
        <f t="shared" ca="1" si="365"/>
        <v>1</v>
      </c>
      <c r="E1740" s="458">
        <f t="shared" ca="1" si="366"/>
        <v>1</v>
      </c>
      <c r="F1740" s="34"/>
    </row>
    <row r="1741" spans="1:6" ht="14.1" customHeight="1" x14ac:dyDescent="0.2">
      <c r="A1741" s="457">
        <f ca="1">IF($H1741="UNIDADE CONSTRUTIVA",OFFSET(A1741,-1,0)+1,LARGE(A$3:A1740,1))</f>
        <v>0</v>
      </c>
      <c r="B1741" s="457">
        <f t="shared" ca="1" si="363"/>
        <v>21</v>
      </c>
      <c r="C1741" s="457">
        <f t="shared" ca="1" si="364"/>
        <v>1</v>
      </c>
      <c r="D1741" s="458">
        <f t="shared" ca="1" si="365"/>
        <v>1</v>
      </c>
      <c r="E1741" s="458">
        <f t="shared" ca="1" si="366"/>
        <v>1</v>
      </c>
      <c r="F1741" s="34"/>
    </row>
    <row r="1742" spans="1:6" ht="14.1" customHeight="1" x14ac:dyDescent="0.2">
      <c r="A1742" s="457">
        <f ca="1">IF($H1742="UNIDADE CONSTRUTIVA",OFFSET(A1742,-1,0)+1,LARGE(A$3:A1741,1))</f>
        <v>0</v>
      </c>
      <c r="B1742" s="457">
        <f t="shared" ca="1" si="363"/>
        <v>21</v>
      </c>
      <c r="C1742" s="457">
        <f t="shared" ca="1" si="364"/>
        <v>1</v>
      </c>
      <c r="D1742" s="458">
        <f t="shared" ca="1" si="365"/>
        <v>1</v>
      </c>
      <c r="E1742" s="458">
        <f t="shared" ca="1" si="366"/>
        <v>1</v>
      </c>
      <c r="F1742" s="34"/>
    </row>
    <row r="1743" spans="1:6" ht="14.1" customHeight="1" x14ac:dyDescent="0.2">
      <c r="A1743" s="457">
        <f ca="1">IF($H1743="UNIDADE CONSTRUTIVA",OFFSET(A1743,-1,0)+1,LARGE(A$3:A1742,1))</f>
        <v>0</v>
      </c>
      <c r="B1743" s="457">
        <f t="shared" ca="1" si="363"/>
        <v>21</v>
      </c>
      <c r="C1743" s="457">
        <f t="shared" ca="1" si="364"/>
        <v>1</v>
      </c>
      <c r="D1743" s="458">
        <f t="shared" ca="1" si="365"/>
        <v>1</v>
      </c>
      <c r="E1743" s="458">
        <f t="shared" ca="1" si="366"/>
        <v>1</v>
      </c>
      <c r="F1743" s="34"/>
    </row>
    <row r="1744" spans="1:6" ht="14.1" customHeight="1" x14ac:dyDescent="0.2">
      <c r="A1744" s="457">
        <f ca="1">IF($H1744="UNIDADE CONSTRUTIVA",OFFSET(A1744,-1,0)+1,LARGE(A$3:A1743,1))</f>
        <v>0</v>
      </c>
      <c r="B1744" s="457">
        <f t="shared" ca="1" si="363"/>
        <v>21</v>
      </c>
      <c r="C1744" s="457">
        <f t="shared" ca="1" si="364"/>
        <v>1</v>
      </c>
      <c r="D1744" s="458">
        <f t="shared" ca="1" si="365"/>
        <v>1</v>
      </c>
      <c r="E1744" s="458">
        <f t="shared" ca="1" si="366"/>
        <v>1</v>
      </c>
      <c r="F1744" s="34"/>
    </row>
    <row r="1745" spans="1:6" ht="14.1" customHeight="1" x14ac:dyDescent="0.2">
      <c r="A1745" s="457">
        <f ca="1">IF($H1745="UNIDADE CONSTRUTIVA",OFFSET(A1745,-1,0)+1,LARGE(A$3:A1744,1))</f>
        <v>0</v>
      </c>
      <c r="B1745" s="457">
        <f t="shared" ca="1" si="363"/>
        <v>21</v>
      </c>
      <c r="C1745" s="457">
        <f t="shared" ca="1" si="364"/>
        <v>1</v>
      </c>
      <c r="D1745" s="458">
        <f t="shared" ca="1" si="365"/>
        <v>1</v>
      </c>
      <c r="E1745" s="458">
        <f t="shared" ca="1" si="366"/>
        <v>1</v>
      </c>
      <c r="F1745" s="34"/>
    </row>
    <row r="1746" spans="1:6" ht="14.1" customHeight="1" x14ac:dyDescent="0.2">
      <c r="A1746" s="457">
        <f ca="1">IF($H1746="UNIDADE CONSTRUTIVA",OFFSET(A1746,-1,0)+1,LARGE(A$3:A1745,1))</f>
        <v>0</v>
      </c>
      <c r="B1746" s="457">
        <f t="shared" ca="1" si="363"/>
        <v>21</v>
      </c>
      <c r="C1746" s="457">
        <f t="shared" ca="1" si="364"/>
        <v>1</v>
      </c>
      <c r="D1746" s="458">
        <f t="shared" ca="1" si="365"/>
        <v>1</v>
      </c>
      <c r="E1746" s="458">
        <f t="shared" ca="1" si="366"/>
        <v>1</v>
      </c>
      <c r="F1746" s="34"/>
    </row>
    <row r="1747" spans="1:6" ht="14.1" customHeight="1" x14ac:dyDescent="0.2">
      <c r="A1747" s="457">
        <f ca="1">IF($H1747="UNIDADE CONSTRUTIVA",OFFSET(A1747,-1,0)+1,LARGE(A$3:A1746,1))</f>
        <v>0</v>
      </c>
      <c r="B1747" s="457">
        <f t="shared" ca="1" si="363"/>
        <v>21</v>
      </c>
      <c r="C1747" s="457">
        <f t="shared" ca="1" si="364"/>
        <v>1</v>
      </c>
      <c r="D1747" s="458">
        <f t="shared" ca="1" si="365"/>
        <v>1</v>
      </c>
      <c r="E1747" s="458">
        <f t="shared" ca="1" si="366"/>
        <v>1</v>
      </c>
      <c r="F1747" s="34"/>
    </row>
    <row r="1748" spans="1:6" ht="14.1" customHeight="1" x14ac:dyDescent="0.2">
      <c r="A1748" s="457">
        <f ca="1">IF($H1748="UNIDADE CONSTRUTIVA",OFFSET(A1748,-1,0)+1,LARGE(A$3:A1747,1))</f>
        <v>0</v>
      </c>
      <c r="B1748" s="457">
        <f t="shared" ca="1" si="363"/>
        <v>21</v>
      </c>
      <c r="C1748" s="457">
        <f t="shared" ca="1" si="364"/>
        <v>1</v>
      </c>
      <c r="D1748" s="458">
        <f t="shared" ca="1" si="365"/>
        <v>1</v>
      </c>
      <c r="E1748" s="458">
        <f t="shared" ca="1" si="366"/>
        <v>1</v>
      </c>
      <c r="F1748" s="34"/>
    </row>
    <row r="1749" spans="1:6" ht="14.1" customHeight="1" x14ac:dyDescent="0.2">
      <c r="A1749" s="457">
        <f ca="1">IF($H1749="UNIDADE CONSTRUTIVA",OFFSET(A1749,-1,0)+1,LARGE(A$3:A1748,1))</f>
        <v>0</v>
      </c>
      <c r="B1749" s="457">
        <f t="shared" ca="1" si="363"/>
        <v>21</v>
      </c>
      <c r="C1749" s="457">
        <f t="shared" ca="1" si="364"/>
        <v>1</v>
      </c>
      <c r="D1749" s="458">
        <f t="shared" ca="1" si="365"/>
        <v>1</v>
      </c>
      <c r="E1749" s="458">
        <f t="shared" ca="1" si="366"/>
        <v>1</v>
      </c>
      <c r="F1749" s="34"/>
    </row>
    <row r="1750" spans="1:6" ht="14.1" customHeight="1" x14ac:dyDescent="0.2">
      <c r="A1750" s="457">
        <f ca="1">IF($H1750="UNIDADE CONSTRUTIVA",OFFSET(A1750,-1,0)+1,LARGE(A$3:A1749,1))</f>
        <v>0</v>
      </c>
      <c r="B1750" s="457">
        <f t="shared" ca="1" si="363"/>
        <v>21</v>
      </c>
      <c r="C1750" s="457">
        <f t="shared" ca="1" si="364"/>
        <v>1</v>
      </c>
      <c r="D1750" s="458">
        <f t="shared" ca="1" si="365"/>
        <v>1</v>
      </c>
      <c r="E1750" s="458">
        <f t="shared" ca="1" si="366"/>
        <v>1</v>
      </c>
      <c r="F1750" s="34"/>
    </row>
    <row r="1751" spans="1:6" ht="14.1" customHeight="1" x14ac:dyDescent="0.2">
      <c r="A1751" s="457">
        <f ca="1">IF($H1751="UNIDADE CONSTRUTIVA",OFFSET(A1751,-1,0)+1,LARGE(A$3:A1750,1))</f>
        <v>0</v>
      </c>
      <c r="B1751" s="457">
        <f t="shared" ca="1" si="363"/>
        <v>21</v>
      </c>
      <c r="C1751" s="457">
        <f t="shared" ca="1" si="364"/>
        <v>1</v>
      </c>
      <c r="D1751" s="458">
        <f t="shared" ca="1" si="365"/>
        <v>1</v>
      </c>
      <c r="E1751" s="458">
        <f t="shared" ca="1" si="366"/>
        <v>1</v>
      </c>
      <c r="F1751" s="34"/>
    </row>
    <row r="1752" spans="1:6" ht="14.1" customHeight="1" x14ac:dyDescent="0.2">
      <c r="A1752" s="457">
        <f ca="1">IF($H1752="UNIDADE CONSTRUTIVA",OFFSET(A1752,-1,0)+1,LARGE(A$3:A1751,1))</f>
        <v>0</v>
      </c>
      <c r="B1752" s="457">
        <f t="shared" ca="1" si="363"/>
        <v>21</v>
      </c>
      <c r="C1752" s="457">
        <f t="shared" ca="1" si="364"/>
        <v>1</v>
      </c>
      <c r="D1752" s="458">
        <f t="shared" ca="1" si="365"/>
        <v>1</v>
      </c>
      <c r="E1752" s="458">
        <f t="shared" ca="1" si="366"/>
        <v>1</v>
      </c>
      <c r="F1752" s="34"/>
    </row>
    <row r="1753" spans="1:6" ht="14.1" customHeight="1" x14ac:dyDescent="0.2">
      <c r="A1753" s="457">
        <f ca="1">IF($H1753="UNIDADE CONSTRUTIVA",OFFSET(A1753,-1,0)+1,LARGE(A$3:A1752,1))</f>
        <v>0</v>
      </c>
      <c r="B1753" s="457">
        <f t="shared" ca="1" si="363"/>
        <v>21</v>
      </c>
      <c r="C1753" s="457">
        <f t="shared" ca="1" si="364"/>
        <v>1</v>
      </c>
      <c r="D1753" s="458">
        <f t="shared" ca="1" si="365"/>
        <v>1</v>
      </c>
      <c r="E1753" s="458">
        <f t="shared" ca="1" si="366"/>
        <v>1</v>
      </c>
      <c r="F1753" s="34"/>
    </row>
    <row r="1754" spans="1:6" ht="14.1" customHeight="1" x14ac:dyDescent="0.2">
      <c r="A1754" s="457">
        <f ca="1">IF($H1754="UNIDADE CONSTRUTIVA",OFFSET(A1754,-1,0)+1,LARGE(A$3:A1753,1))</f>
        <v>0</v>
      </c>
      <c r="B1754" s="457">
        <f t="shared" ca="1" si="363"/>
        <v>21</v>
      </c>
      <c r="C1754" s="457">
        <f t="shared" ca="1" si="364"/>
        <v>1</v>
      </c>
      <c r="D1754" s="458">
        <f t="shared" ca="1" si="365"/>
        <v>1</v>
      </c>
      <c r="E1754" s="458">
        <f t="shared" ca="1" si="366"/>
        <v>1</v>
      </c>
      <c r="F1754" s="34"/>
    </row>
    <row r="1755" spans="1:6" ht="14.1" customHeight="1" x14ac:dyDescent="0.2">
      <c r="A1755" s="457">
        <f ca="1">IF($H1755="UNIDADE CONSTRUTIVA",OFFSET(A1755,-1,0)+1,LARGE(A$3:A1754,1))</f>
        <v>0</v>
      </c>
      <c r="B1755" s="457">
        <f t="shared" ref="B1755:B1818" ca="1" si="367">IF(H1755="UNIDADE CONSTRUTIVA",0,IF(H1755="CÉLULA CONSTRUTIVA",OFFSET(B1755,-1,0)+1,OFFSET(B1755,-1,0)))</f>
        <v>21</v>
      </c>
      <c r="C1755" s="457">
        <f t="shared" ref="C1755:C1818" ca="1" si="368">IF(H1755="CÉLULA CONSTRUTIVA",0,IF(H1755="ETAPA",OFFSET(C1755,-1,0)+1,OFFSET(C1755,-1,0)))</f>
        <v>1</v>
      </c>
      <c r="D1755" s="458">
        <f t="shared" ref="D1755:D1818" ca="1" si="369">IF(H1755="ETAPA",0,IF(H1755="SUBETAPA",OFFSET(D1755,-1,0)+1,OFFSET(D1755,-1,0)))</f>
        <v>1</v>
      </c>
      <c r="E1755" s="458">
        <f t="shared" ref="E1755:E1818" ca="1" si="370">IF(H1755="Subetapa",0,IF(H1755="serviço",OFFSET(E1755,-1,0)+1,OFFSET(E1755,-1,0)))</f>
        <v>1</v>
      </c>
      <c r="F1755" s="34"/>
    </row>
    <row r="1756" spans="1:6" ht="14.1" customHeight="1" x14ac:dyDescent="0.2">
      <c r="A1756" s="457">
        <f ca="1">IF($H1756="UNIDADE CONSTRUTIVA",OFFSET(A1756,-1,0)+1,LARGE(A$3:A1755,1))</f>
        <v>0</v>
      </c>
      <c r="B1756" s="457">
        <f t="shared" ca="1" si="367"/>
        <v>21</v>
      </c>
      <c r="C1756" s="457">
        <f t="shared" ca="1" si="368"/>
        <v>1</v>
      </c>
      <c r="D1756" s="458">
        <f t="shared" ca="1" si="369"/>
        <v>1</v>
      </c>
      <c r="E1756" s="458">
        <f t="shared" ca="1" si="370"/>
        <v>1</v>
      </c>
      <c r="F1756" s="34"/>
    </row>
    <row r="1757" spans="1:6" ht="14.1" customHeight="1" x14ac:dyDescent="0.2">
      <c r="A1757" s="457">
        <f ca="1">IF($H1757="UNIDADE CONSTRUTIVA",OFFSET(A1757,-1,0)+1,LARGE(A$3:A1756,1))</f>
        <v>0</v>
      </c>
      <c r="B1757" s="457">
        <f t="shared" ca="1" si="367"/>
        <v>21</v>
      </c>
      <c r="C1757" s="457">
        <f t="shared" ca="1" si="368"/>
        <v>1</v>
      </c>
      <c r="D1757" s="458">
        <f t="shared" ca="1" si="369"/>
        <v>1</v>
      </c>
      <c r="E1757" s="458">
        <f t="shared" ca="1" si="370"/>
        <v>1</v>
      </c>
      <c r="F1757" s="34"/>
    </row>
    <row r="1758" spans="1:6" ht="14.1" customHeight="1" x14ac:dyDescent="0.2">
      <c r="A1758" s="457">
        <f ca="1">IF($H1758="UNIDADE CONSTRUTIVA",OFFSET(A1758,-1,0)+1,LARGE(A$3:A1757,1))</f>
        <v>0</v>
      </c>
      <c r="B1758" s="457">
        <f t="shared" ca="1" si="367"/>
        <v>21</v>
      </c>
      <c r="C1758" s="457">
        <f t="shared" ca="1" si="368"/>
        <v>1</v>
      </c>
      <c r="D1758" s="458">
        <f t="shared" ca="1" si="369"/>
        <v>1</v>
      </c>
      <c r="E1758" s="458">
        <f t="shared" ca="1" si="370"/>
        <v>1</v>
      </c>
      <c r="F1758" s="34"/>
    </row>
    <row r="1759" spans="1:6" ht="14.1" customHeight="1" x14ac:dyDescent="0.2">
      <c r="A1759" s="457">
        <f ca="1">IF($H1759="UNIDADE CONSTRUTIVA",OFFSET(A1759,-1,0)+1,LARGE(A$3:A1758,1))</f>
        <v>0</v>
      </c>
      <c r="B1759" s="457">
        <f t="shared" ca="1" si="367"/>
        <v>21</v>
      </c>
      <c r="C1759" s="457">
        <f t="shared" ca="1" si="368"/>
        <v>1</v>
      </c>
      <c r="D1759" s="458">
        <f t="shared" ca="1" si="369"/>
        <v>1</v>
      </c>
      <c r="E1759" s="458">
        <f t="shared" ca="1" si="370"/>
        <v>1</v>
      </c>
      <c r="F1759" s="34"/>
    </row>
    <row r="1760" spans="1:6" ht="14.1" customHeight="1" x14ac:dyDescent="0.2">
      <c r="A1760" s="457">
        <f ca="1">IF($H1760="UNIDADE CONSTRUTIVA",OFFSET(A1760,-1,0)+1,LARGE(A$3:A1759,1))</f>
        <v>0</v>
      </c>
      <c r="B1760" s="457">
        <f t="shared" ca="1" si="367"/>
        <v>21</v>
      </c>
      <c r="C1760" s="457">
        <f t="shared" ca="1" si="368"/>
        <v>1</v>
      </c>
      <c r="D1760" s="458">
        <f t="shared" ca="1" si="369"/>
        <v>1</v>
      </c>
      <c r="E1760" s="458">
        <f t="shared" ca="1" si="370"/>
        <v>1</v>
      </c>
      <c r="F1760" s="34"/>
    </row>
    <row r="1761" spans="1:6" ht="14.1" customHeight="1" x14ac:dyDescent="0.2">
      <c r="A1761" s="457">
        <f ca="1">IF($H1761="UNIDADE CONSTRUTIVA",OFFSET(A1761,-1,0)+1,LARGE(A$3:A1760,1))</f>
        <v>0</v>
      </c>
      <c r="B1761" s="457">
        <f t="shared" ca="1" si="367"/>
        <v>21</v>
      </c>
      <c r="C1761" s="457">
        <f t="shared" ca="1" si="368"/>
        <v>1</v>
      </c>
      <c r="D1761" s="458">
        <f t="shared" ca="1" si="369"/>
        <v>1</v>
      </c>
      <c r="E1761" s="458">
        <f t="shared" ca="1" si="370"/>
        <v>1</v>
      </c>
      <c r="F1761" s="34"/>
    </row>
    <row r="1762" spans="1:6" ht="14.1" customHeight="1" x14ac:dyDescent="0.2">
      <c r="A1762" s="457">
        <f ca="1">IF($H1762="UNIDADE CONSTRUTIVA",OFFSET(A1762,-1,0)+1,LARGE(A$3:A1761,1))</f>
        <v>0</v>
      </c>
      <c r="B1762" s="457">
        <f t="shared" ca="1" si="367"/>
        <v>21</v>
      </c>
      <c r="C1762" s="457">
        <f t="shared" ca="1" si="368"/>
        <v>1</v>
      </c>
      <c r="D1762" s="458">
        <f t="shared" ca="1" si="369"/>
        <v>1</v>
      </c>
      <c r="E1762" s="458">
        <f t="shared" ca="1" si="370"/>
        <v>1</v>
      </c>
      <c r="F1762" s="34"/>
    </row>
    <row r="1763" spans="1:6" ht="14.1" customHeight="1" x14ac:dyDescent="0.2">
      <c r="A1763" s="457">
        <f ca="1">IF($H1763="UNIDADE CONSTRUTIVA",OFFSET(A1763,-1,0)+1,LARGE(A$3:A1762,1))</f>
        <v>0</v>
      </c>
      <c r="B1763" s="457">
        <f t="shared" ca="1" si="367"/>
        <v>21</v>
      </c>
      <c r="C1763" s="457">
        <f t="shared" ca="1" si="368"/>
        <v>1</v>
      </c>
      <c r="D1763" s="458">
        <f t="shared" ca="1" si="369"/>
        <v>1</v>
      </c>
      <c r="E1763" s="458">
        <f t="shared" ca="1" si="370"/>
        <v>1</v>
      </c>
      <c r="F1763" s="34"/>
    </row>
    <row r="1764" spans="1:6" ht="14.1" customHeight="1" x14ac:dyDescent="0.2">
      <c r="A1764" s="457">
        <f ca="1">IF($H1764="UNIDADE CONSTRUTIVA",OFFSET(A1764,-1,0)+1,LARGE(A$3:A1763,1))</f>
        <v>0</v>
      </c>
      <c r="B1764" s="457">
        <f t="shared" ca="1" si="367"/>
        <v>21</v>
      </c>
      <c r="C1764" s="457">
        <f t="shared" ca="1" si="368"/>
        <v>1</v>
      </c>
      <c r="D1764" s="458">
        <f t="shared" ca="1" si="369"/>
        <v>1</v>
      </c>
      <c r="E1764" s="458">
        <f t="shared" ca="1" si="370"/>
        <v>1</v>
      </c>
      <c r="F1764" s="34"/>
    </row>
    <row r="1765" spans="1:6" ht="14.1" customHeight="1" x14ac:dyDescent="0.2">
      <c r="A1765" s="457">
        <f ca="1">IF($H1765="UNIDADE CONSTRUTIVA",OFFSET(A1765,-1,0)+1,LARGE(A$3:A1764,1))</f>
        <v>0</v>
      </c>
      <c r="B1765" s="457">
        <f t="shared" ca="1" si="367"/>
        <v>21</v>
      </c>
      <c r="C1765" s="457">
        <f t="shared" ca="1" si="368"/>
        <v>1</v>
      </c>
      <c r="D1765" s="458">
        <f t="shared" ca="1" si="369"/>
        <v>1</v>
      </c>
      <c r="E1765" s="458">
        <f t="shared" ca="1" si="370"/>
        <v>1</v>
      </c>
      <c r="F1765" s="34"/>
    </row>
    <row r="1766" spans="1:6" ht="14.1" customHeight="1" x14ac:dyDescent="0.2">
      <c r="A1766" s="457">
        <f ca="1">IF($H1766="UNIDADE CONSTRUTIVA",OFFSET(A1766,-1,0)+1,LARGE(A$3:A1765,1))</f>
        <v>0</v>
      </c>
      <c r="B1766" s="457">
        <f t="shared" ca="1" si="367"/>
        <v>21</v>
      </c>
      <c r="C1766" s="457">
        <f t="shared" ca="1" si="368"/>
        <v>1</v>
      </c>
      <c r="D1766" s="458">
        <f t="shared" ca="1" si="369"/>
        <v>1</v>
      </c>
      <c r="E1766" s="458">
        <f t="shared" ca="1" si="370"/>
        <v>1</v>
      </c>
      <c r="F1766" s="34"/>
    </row>
    <row r="1767" spans="1:6" ht="14.1" customHeight="1" x14ac:dyDescent="0.2">
      <c r="A1767" s="457">
        <f ca="1">IF($H1767="UNIDADE CONSTRUTIVA",OFFSET(A1767,-1,0)+1,LARGE(A$3:A1766,1))</f>
        <v>0</v>
      </c>
      <c r="B1767" s="457">
        <f t="shared" ca="1" si="367"/>
        <v>21</v>
      </c>
      <c r="C1767" s="457">
        <f t="shared" ca="1" si="368"/>
        <v>1</v>
      </c>
      <c r="D1767" s="458">
        <f t="shared" ca="1" si="369"/>
        <v>1</v>
      </c>
      <c r="E1767" s="458">
        <f t="shared" ca="1" si="370"/>
        <v>1</v>
      </c>
      <c r="F1767" s="34"/>
    </row>
    <row r="1768" spans="1:6" ht="14.1" customHeight="1" x14ac:dyDescent="0.2">
      <c r="A1768" s="457">
        <f ca="1">IF($H1768="UNIDADE CONSTRUTIVA",OFFSET(A1768,-1,0)+1,LARGE(A$3:A1767,1))</f>
        <v>0</v>
      </c>
      <c r="B1768" s="457">
        <f t="shared" ca="1" si="367"/>
        <v>21</v>
      </c>
      <c r="C1768" s="457">
        <f t="shared" ca="1" si="368"/>
        <v>1</v>
      </c>
      <c r="D1768" s="458">
        <f t="shared" ca="1" si="369"/>
        <v>1</v>
      </c>
      <c r="E1768" s="458">
        <f t="shared" ca="1" si="370"/>
        <v>1</v>
      </c>
      <c r="F1768" s="34"/>
    </row>
    <row r="1769" spans="1:6" ht="14.1" customHeight="1" x14ac:dyDescent="0.2">
      <c r="A1769" s="457">
        <f ca="1">IF($H1769="UNIDADE CONSTRUTIVA",OFFSET(A1769,-1,0)+1,LARGE(A$3:A1768,1))</f>
        <v>0</v>
      </c>
      <c r="B1769" s="457">
        <f t="shared" ca="1" si="367"/>
        <v>21</v>
      </c>
      <c r="C1769" s="457">
        <f t="shared" ca="1" si="368"/>
        <v>1</v>
      </c>
      <c r="D1769" s="458">
        <f t="shared" ca="1" si="369"/>
        <v>1</v>
      </c>
      <c r="E1769" s="458">
        <f t="shared" ca="1" si="370"/>
        <v>1</v>
      </c>
      <c r="F1769" s="34"/>
    </row>
    <row r="1770" spans="1:6" ht="14.1" customHeight="1" x14ac:dyDescent="0.2">
      <c r="A1770" s="457">
        <f ca="1">IF($H1770="UNIDADE CONSTRUTIVA",OFFSET(A1770,-1,0)+1,LARGE(A$3:A1769,1))</f>
        <v>0</v>
      </c>
      <c r="B1770" s="457">
        <f t="shared" ca="1" si="367"/>
        <v>21</v>
      </c>
      <c r="C1770" s="457">
        <f t="shared" ca="1" si="368"/>
        <v>1</v>
      </c>
      <c r="D1770" s="458">
        <f t="shared" ca="1" si="369"/>
        <v>1</v>
      </c>
      <c r="E1770" s="458">
        <f t="shared" ca="1" si="370"/>
        <v>1</v>
      </c>
      <c r="F1770" s="34"/>
    </row>
    <row r="1771" spans="1:6" ht="14.1" customHeight="1" x14ac:dyDescent="0.2">
      <c r="A1771" s="457">
        <f ca="1">IF($H1771="UNIDADE CONSTRUTIVA",OFFSET(A1771,-1,0)+1,LARGE(A$3:A1770,1))</f>
        <v>0</v>
      </c>
      <c r="B1771" s="457">
        <f t="shared" ca="1" si="367"/>
        <v>21</v>
      </c>
      <c r="C1771" s="457">
        <f t="shared" ca="1" si="368"/>
        <v>1</v>
      </c>
      <c r="D1771" s="458">
        <f t="shared" ca="1" si="369"/>
        <v>1</v>
      </c>
      <c r="E1771" s="458">
        <f t="shared" ca="1" si="370"/>
        <v>1</v>
      </c>
      <c r="F1771" s="34"/>
    </row>
    <row r="1772" spans="1:6" ht="14.1" customHeight="1" x14ac:dyDescent="0.2">
      <c r="A1772" s="457">
        <f ca="1">IF($H1772="UNIDADE CONSTRUTIVA",OFFSET(A1772,-1,0)+1,LARGE(A$3:A1771,1))</f>
        <v>0</v>
      </c>
      <c r="B1772" s="457">
        <f t="shared" ca="1" si="367"/>
        <v>21</v>
      </c>
      <c r="C1772" s="457">
        <f t="shared" ca="1" si="368"/>
        <v>1</v>
      </c>
      <c r="D1772" s="458">
        <f t="shared" ca="1" si="369"/>
        <v>1</v>
      </c>
      <c r="E1772" s="458">
        <f t="shared" ca="1" si="370"/>
        <v>1</v>
      </c>
      <c r="F1772" s="34"/>
    </row>
    <row r="1773" spans="1:6" ht="14.1" customHeight="1" x14ac:dyDescent="0.2">
      <c r="A1773" s="457">
        <f ca="1">IF($H1773="UNIDADE CONSTRUTIVA",OFFSET(A1773,-1,0)+1,LARGE(A$3:A1772,1))</f>
        <v>0</v>
      </c>
      <c r="B1773" s="457">
        <f t="shared" ca="1" si="367"/>
        <v>21</v>
      </c>
      <c r="C1773" s="457">
        <f t="shared" ca="1" si="368"/>
        <v>1</v>
      </c>
      <c r="D1773" s="458">
        <f t="shared" ca="1" si="369"/>
        <v>1</v>
      </c>
      <c r="E1773" s="458">
        <f t="shared" ca="1" si="370"/>
        <v>1</v>
      </c>
      <c r="F1773" s="34"/>
    </row>
    <row r="1774" spans="1:6" ht="14.1" customHeight="1" x14ac:dyDescent="0.2">
      <c r="A1774" s="457">
        <f ca="1">IF($H1774="UNIDADE CONSTRUTIVA",OFFSET(A1774,-1,0)+1,LARGE(A$3:A1773,1))</f>
        <v>0</v>
      </c>
      <c r="B1774" s="457">
        <f t="shared" ca="1" si="367"/>
        <v>21</v>
      </c>
      <c r="C1774" s="457">
        <f t="shared" ca="1" si="368"/>
        <v>1</v>
      </c>
      <c r="D1774" s="458">
        <f t="shared" ca="1" si="369"/>
        <v>1</v>
      </c>
      <c r="E1774" s="458">
        <f t="shared" ca="1" si="370"/>
        <v>1</v>
      </c>
      <c r="F1774" s="34"/>
    </row>
    <row r="1775" spans="1:6" ht="14.1" customHeight="1" x14ac:dyDescent="0.2">
      <c r="A1775" s="457">
        <f ca="1">IF($H1775="UNIDADE CONSTRUTIVA",OFFSET(A1775,-1,0)+1,LARGE(A$3:A1774,1))</f>
        <v>0</v>
      </c>
      <c r="B1775" s="457">
        <f t="shared" ca="1" si="367"/>
        <v>21</v>
      </c>
      <c r="C1775" s="457">
        <f t="shared" ca="1" si="368"/>
        <v>1</v>
      </c>
      <c r="D1775" s="458">
        <f t="shared" ca="1" si="369"/>
        <v>1</v>
      </c>
      <c r="E1775" s="458">
        <f t="shared" ca="1" si="370"/>
        <v>1</v>
      </c>
      <c r="F1775" s="34"/>
    </row>
    <row r="1776" spans="1:6" ht="14.1" customHeight="1" x14ac:dyDescent="0.2">
      <c r="A1776" s="457">
        <f ca="1">IF($H1776="UNIDADE CONSTRUTIVA",OFFSET(A1776,-1,0)+1,LARGE(A$3:A1775,1))</f>
        <v>0</v>
      </c>
      <c r="B1776" s="457">
        <f t="shared" ca="1" si="367"/>
        <v>21</v>
      </c>
      <c r="C1776" s="457">
        <f t="shared" ca="1" si="368"/>
        <v>1</v>
      </c>
      <c r="D1776" s="458">
        <f t="shared" ca="1" si="369"/>
        <v>1</v>
      </c>
      <c r="E1776" s="458">
        <f t="shared" ca="1" si="370"/>
        <v>1</v>
      </c>
      <c r="F1776" s="34"/>
    </row>
    <row r="1777" spans="1:6" ht="14.1" customHeight="1" x14ac:dyDescent="0.2">
      <c r="A1777" s="457">
        <f ca="1">IF($H1777="UNIDADE CONSTRUTIVA",OFFSET(A1777,-1,0)+1,LARGE(A$3:A1776,1))</f>
        <v>0</v>
      </c>
      <c r="B1777" s="457">
        <f t="shared" ca="1" si="367"/>
        <v>21</v>
      </c>
      <c r="C1777" s="457">
        <f t="shared" ca="1" si="368"/>
        <v>1</v>
      </c>
      <c r="D1777" s="458">
        <f t="shared" ca="1" si="369"/>
        <v>1</v>
      </c>
      <c r="E1777" s="458">
        <f t="shared" ca="1" si="370"/>
        <v>1</v>
      </c>
      <c r="F1777" s="34"/>
    </row>
    <row r="1778" spans="1:6" ht="14.1" customHeight="1" x14ac:dyDescent="0.2">
      <c r="A1778" s="457">
        <f ca="1">IF($H1778="UNIDADE CONSTRUTIVA",OFFSET(A1778,-1,0)+1,LARGE(A$3:A1777,1))</f>
        <v>0</v>
      </c>
      <c r="B1778" s="457">
        <f t="shared" ca="1" si="367"/>
        <v>21</v>
      </c>
      <c r="C1778" s="457">
        <f t="shared" ca="1" si="368"/>
        <v>1</v>
      </c>
      <c r="D1778" s="458">
        <f t="shared" ca="1" si="369"/>
        <v>1</v>
      </c>
      <c r="E1778" s="458">
        <f t="shared" ca="1" si="370"/>
        <v>1</v>
      </c>
      <c r="F1778" s="34"/>
    </row>
    <row r="1779" spans="1:6" ht="14.1" customHeight="1" x14ac:dyDescent="0.2">
      <c r="A1779" s="457">
        <f ca="1">IF($H1779="UNIDADE CONSTRUTIVA",OFFSET(A1779,-1,0)+1,LARGE(A$3:A1778,1))</f>
        <v>0</v>
      </c>
      <c r="B1779" s="457">
        <f t="shared" ca="1" si="367"/>
        <v>21</v>
      </c>
      <c r="C1779" s="457">
        <f t="shared" ca="1" si="368"/>
        <v>1</v>
      </c>
      <c r="D1779" s="458">
        <f t="shared" ca="1" si="369"/>
        <v>1</v>
      </c>
      <c r="E1779" s="458">
        <f t="shared" ca="1" si="370"/>
        <v>1</v>
      </c>
      <c r="F1779" s="34"/>
    </row>
    <row r="1780" spans="1:6" ht="14.1" customHeight="1" x14ac:dyDescent="0.2">
      <c r="A1780" s="457">
        <f ca="1">IF($H1780="UNIDADE CONSTRUTIVA",OFFSET(A1780,-1,0)+1,LARGE(A$3:A1779,1))</f>
        <v>0</v>
      </c>
      <c r="B1780" s="457">
        <f t="shared" ca="1" si="367"/>
        <v>21</v>
      </c>
      <c r="C1780" s="457">
        <f t="shared" ca="1" si="368"/>
        <v>1</v>
      </c>
      <c r="D1780" s="458">
        <f t="shared" ca="1" si="369"/>
        <v>1</v>
      </c>
      <c r="E1780" s="458">
        <f t="shared" ca="1" si="370"/>
        <v>1</v>
      </c>
      <c r="F1780" s="34"/>
    </row>
    <row r="1781" spans="1:6" ht="14.1" customHeight="1" x14ac:dyDescent="0.2">
      <c r="A1781" s="457">
        <f ca="1">IF($H1781="UNIDADE CONSTRUTIVA",OFFSET(A1781,-1,0)+1,LARGE(A$3:A1780,1))</f>
        <v>0</v>
      </c>
      <c r="B1781" s="457">
        <f t="shared" ca="1" si="367"/>
        <v>21</v>
      </c>
      <c r="C1781" s="457">
        <f t="shared" ca="1" si="368"/>
        <v>1</v>
      </c>
      <c r="D1781" s="458">
        <f t="shared" ca="1" si="369"/>
        <v>1</v>
      </c>
      <c r="E1781" s="458">
        <f t="shared" ca="1" si="370"/>
        <v>1</v>
      </c>
      <c r="F1781" s="34"/>
    </row>
    <row r="1782" spans="1:6" ht="14.1" customHeight="1" x14ac:dyDescent="0.2">
      <c r="A1782" s="457">
        <f ca="1">IF($H1782="UNIDADE CONSTRUTIVA",OFFSET(A1782,-1,0)+1,LARGE(A$3:A1781,1))</f>
        <v>0</v>
      </c>
      <c r="B1782" s="457">
        <f t="shared" ca="1" si="367"/>
        <v>21</v>
      </c>
      <c r="C1782" s="457">
        <f t="shared" ca="1" si="368"/>
        <v>1</v>
      </c>
      <c r="D1782" s="458">
        <f t="shared" ca="1" si="369"/>
        <v>1</v>
      </c>
      <c r="E1782" s="458">
        <f t="shared" ca="1" si="370"/>
        <v>1</v>
      </c>
      <c r="F1782" s="34"/>
    </row>
    <row r="1783" spans="1:6" ht="14.1" customHeight="1" x14ac:dyDescent="0.2">
      <c r="A1783" s="457">
        <f ca="1">IF($H1783="UNIDADE CONSTRUTIVA",OFFSET(A1783,-1,0)+1,LARGE(A$3:A1782,1))</f>
        <v>0</v>
      </c>
      <c r="B1783" s="457">
        <f t="shared" ca="1" si="367"/>
        <v>21</v>
      </c>
      <c r="C1783" s="457">
        <f t="shared" ca="1" si="368"/>
        <v>1</v>
      </c>
      <c r="D1783" s="458">
        <f t="shared" ca="1" si="369"/>
        <v>1</v>
      </c>
      <c r="E1783" s="458">
        <f t="shared" ca="1" si="370"/>
        <v>1</v>
      </c>
      <c r="F1783" s="34"/>
    </row>
    <row r="1784" spans="1:6" ht="14.1" customHeight="1" x14ac:dyDescent="0.2">
      <c r="A1784" s="457">
        <f ca="1">IF($H1784="UNIDADE CONSTRUTIVA",OFFSET(A1784,-1,0)+1,LARGE(A$3:A1783,1))</f>
        <v>0</v>
      </c>
      <c r="B1784" s="457">
        <f t="shared" ca="1" si="367"/>
        <v>21</v>
      </c>
      <c r="C1784" s="457">
        <f t="shared" ca="1" si="368"/>
        <v>1</v>
      </c>
      <c r="D1784" s="458">
        <f t="shared" ca="1" si="369"/>
        <v>1</v>
      </c>
      <c r="E1784" s="458">
        <f t="shared" ca="1" si="370"/>
        <v>1</v>
      </c>
      <c r="F1784" s="34"/>
    </row>
    <row r="1785" spans="1:6" ht="14.1" customHeight="1" x14ac:dyDescent="0.2">
      <c r="A1785" s="457">
        <f ca="1">IF($H1785="UNIDADE CONSTRUTIVA",OFFSET(A1785,-1,0)+1,LARGE(A$3:A1784,1))</f>
        <v>0</v>
      </c>
      <c r="B1785" s="457">
        <f t="shared" ca="1" si="367"/>
        <v>21</v>
      </c>
      <c r="C1785" s="457">
        <f t="shared" ca="1" si="368"/>
        <v>1</v>
      </c>
      <c r="D1785" s="458">
        <f t="shared" ca="1" si="369"/>
        <v>1</v>
      </c>
      <c r="E1785" s="458">
        <f t="shared" ca="1" si="370"/>
        <v>1</v>
      </c>
      <c r="F1785" s="34"/>
    </row>
    <row r="1786" spans="1:6" ht="14.1" customHeight="1" x14ac:dyDescent="0.2">
      <c r="A1786" s="457">
        <f ca="1">IF($H1786="UNIDADE CONSTRUTIVA",OFFSET(A1786,-1,0)+1,LARGE(A$3:A1785,1))</f>
        <v>0</v>
      </c>
      <c r="B1786" s="457">
        <f t="shared" ca="1" si="367"/>
        <v>21</v>
      </c>
      <c r="C1786" s="457">
        <f t="shared" ca="1" si="368"/>
        <v>1</v>
      </c>
      <c r="D1786" s="458">
        <f t="shared" ca="1" si="369"/>
        <v>1</v>
      </c>
      <c r="E1786" s="458">
        <f t="shared" ca="1" si="370"/>
        <v>1</v>
      </c>
      <c r="F1786" s="34"/>
    </row>
    <row r="1787" spans="1:6" ht="14.1" customHeight="1" x14ac:dyDescent="0.2">
      <c r="A1787" s="457">
        <f ca="1">IF($H1787="UNIDADE CONSTRUTIVA",OFFSET(A1787,-1,0)+1,LARGE(A$3:A1786,1))</f>
        <v>0</v>
      </c>
      <c r="B1787" s="457">
        <f t="shared" ca="1" si="367"/>
        <v>21</v>
      </c>
      <c r="C1787" s="457">
        <f t="shared" ca="1" si="368"/>
        <v>1</v>
      </c>
      <c r="D1787" s="458">
        <f t="shared" ca="1" si="369"/>
        <v>1</v>
      </c>
      <c r="E1787" s="458">
        <f t="shared" ca="1" si="370"/>
        <v>1</v>
      </c>
      <c r="F1787" s="34"/>
    </row>
    <row r="1788" spans="1:6" ht="14.1" customHeight="1" x14ac:dyDescent="0.2">
      <c r="A1788" s="457">
        <f ca="1">IF($H1788="UNIDADE CONSTRUTIVA",OFFSET(A1788,-1,0)+1,LARGE(A$3:A1787,1))</f>
        <v>0</v>
      </c>
      <c r="B1788" s="457">
        <f t="shared" ca="1" si="367"/>
        <v>21</v>
      </c>
      <c r="C1788" s="457">
        <f t="shared" ca="1" si="368"/>
        <v>1</v>
      </c>
      <c r="D1788" s="458">
        <f t="shared" ca="1" si="369"/>
        <v>1</v>
      </c>
      <c r="E1788" s="458">
        <f t="shared" ca="1" si="370"/>
        <v>1</v>
      </c>
      <c r="F1788" s="34"/>
    </row>
    <row r="1789" spans="1:6" ht="14.1" customHeight="1" x14ac:dyDescent="0.2">
      <c r="A1789" s="457">
        <f ca="1">IF($H1789="UNIDADE CONSTRUTIVA",OFFSET(A1789,-1,0)+1,LARGE(A$3:A1788,1))</f>
        <v>0</v>
      </c>
      <c r="B1789" s="457">
        <f t="shared" ca="1" si="367"/>
        <v>21</v>
      </c>
      <c r="C1789" s="457">
        <f t="shared" ca="1" si="368"/>
        <v>1</v>
      </c>
      <c r="D1789" s="458">
        <f t="shared" ca="1" si="369"/>
        <v>1</v>
      </c>
      <c r="E1789" s="458">
        <f t="shared" ca="1" si="370"/>
        <v>1</v>
      </c>
      <c r="F1789" s="34"/>
    </row>
    <row r="1790" spans="1:6" ht="14.1" customHeight="1" x14ac:dyDescent="0.2">
      <c r="A1790" s="457">
        <f ca="1">IF($H1790="UNIDADE CONSTRUTIVA",OFFSET(A1790,-1,0)+1,LARGE(A$3:A1789,1))</f>
        <v>0</v>
      </c>
      <c r="B1790" s="457">
        <f t="shared" ca="1" si="367"/>
        <v>21</v>
      </c>
      <c r="C1790" s="457">
        <f t="shared" ca="1" si="368"/>
        <v>1</v>
      </c>
      <c r="D1790" s="458">
        <f t="shared" ca="1" si="369"/>
        <v>1</v>
      </c>
      <c r="E1790" s="458">
        <f t="shared" ca="1" si="370"/>
        <v>1</v>
      </c>
      <c r="F1790" s="34"/>
    </row>
    <row r="1791" spans="1:6" ht="14.1" customHeight="1" x14ac:dyDescent="0.2">
      <c r="A1791" s="457">
        <f ca="1">IF($H1791="UNIDADE CONSTRUTIVA",OFFSET(A1791,-1,0)+1,LARGE(A$3:A1790,1))</f>
        <v>0</v>
      </c>
      <c r="B1791" s="457">
        <f t="shared" ca="1" si="367"/>
        <v>21</v>
      </c>
      <c r="C1791" s="457">
        <f t="shared" ca="1" si="368"/>
        <v>1</v>
      </c>
      <c r="D1791" s="458">
        <f t="shared" ca="1" si="369"/>
        <v>1</v>
      </c>
      <c r="E1791" s="458">
        <f t="shared" ca="1" si="370"/>
        <v>1</v>
      </c>
      <c r="F1791" s="34"/>
    </row>
    <row r="1792" spans="1:6" ht="14.1" customHeight="1" x14ac:dyDescent="0.2">
      <c r="A1792" s="457">
        <f ca="1">IF($H1792="UNIDADE CONSTRUTIVA",OFFSET(A1792,-1,0)+1,LARGE(A$3:A1791,1))</f>
        <v>0</v>
      </c>
      <c r="B1792" s="457">
        <f t="shared" ca="1" si="367"/>
        <v>21</v>
      </c>
      <c r="C1792" s="457">
        <f t="shared" ca="1" si="368"/>
        <v>1</v>
      </c>
      <c r="D1792" s="458">
        <f t="shared" ca="1" si="369"/>
        <v>1</v>
      </c>
      <c r="E1792" s="458">
        <f t="shared" ca="1" si="370"/>
        <v>1</v>
      </c>
      <c r="F1792" s="34"/>
    </row>
    <row r="1793" spans="1:6" ht="14.1" customHeight="1" x14ac:dyDescent="0.2">
      <c r="A1793" s="457">
        <f ca="1">IF($H1793="UNIDADE CONSTRUTIVA",OFFSET(A1793,-1,0)+1,LARGE(A$3:A1792,1))</f>
        <v>0</v>
      </c>
      <c r="B1793" s="457">
        <f t="shared" ca="1" si="367"/>
        <v>21</v>
      </c>
      <c r="C1793" s="457">
        <f t="shared" ca="1" si="368"/>
        <v>1</v>
      </c>
      <c r="D1793" s="458">
        <f t="shared" ca="1" si="369"/>
        <v>1</v>
      </c>
      <c r="E1793" s="458">
        <f t="shared" ca="1" si="370"/>
        <v>1</v>
      </c>
      <c r="F1793" s="34"/>
    </row>
    <row r="1794" spans="1:6" ht="14.1" customHeight="1" x14ac:dyDescent="0.2">
      <c r="A1794" s="457">
        <f ca="1">IF($H1794="UNIDADE CONSTRUTIVA",OFFSET(A1794,-1,0)+1,LARGE(A$3:A1793,1))</f>
        <v>0</v>
      </c>
      <c r="B1794" s="457">
        <f t="shared" ca="1" si="367"/>
        <v>21</v>
      </c>
      <c r="C1794" s="457">
        <f t="shared" ca="1" si="368"/>
        <v>1</v>
      </c>
      <c r="D1794" s="458">
        <f t="shared" ca="1" si="369"/>
        <v>1</v>
      </c>
      <c r="E1794" s="458">
        <f t="shared" ca="1" si="370"/>
        <v>1</v>
      </c>
      <c r="F1794" s="34"/>
    </row>
    <row r="1795" spans="1:6" ht="14.1" customHeight="1" x14ac:dyDescent="0.2">
      <c r="A1795" s="457">
        <f ca="1">IF($H1795="UNIDADE CONSTRUTIVA",OFFSET(A1795,-1,0)+1,LARGE(A$3:A1794,1))</f>
        <v>0</v>
      </c>
      <c r="B1795" s="457">
        <f t="shared" ca="1" si="367"/>
        <v>21</v>
      </c>
      <c r="C1795" s="457">
        <f t="shared" ca="1" si="368"/>
        <v>1</v>
      </c>
      <c r="D1795" s="458">
        <f t="shared" ca="1" si="369"/>
        <v>1</v>
      </c>
      <c r="E1795" s="458">
        <f t="shared" ca="1" si="370"/>
        <v>1</v>
      </c>
      <c r="F1795" s="34"/>
    </row>
    <row r="1796" spans="1:6" ht="14.1" customHeight="1" x14ac:dyDescent="0.2">
      <c r="A1796" s="457">
        <f ca="1">IF($H1796="UNIDADE CONSTRUTIVA",OFFSET(A1796,-1,0)+1,LARGE(A$3:A1795,1))</f>
        <v>0</v>
      </c>
      <c r="B1796" s="457">
        <f t="shared" ca="1" si="367"/>
        <v>21</v>
      </c>
      <c r="C1796" s="457">
        <f t="shared" ca="1" si="368"/>
        <v>1</v>
      </c>
      <c r="D1796" s="458">
        <f t="shared" ca="1" si="369"/>
        <v>1</v>
      </c>
      <c r="E1796" s="458">
        <f t="shared" ca="1" si="370"/>
        <v>1</v>
      </c>
      <c r="F1796" s="34"/>
    </row>
    <row r="1797" spans="1:6" ht="14.1" customHeight="1" x14ac:dyDescent="0.2">
      <c r="A1797" s="457">
        <f ca="1">IF($H1797="UNIDADE CONSTRUTIVA",OFFSET(A1797,-1,0)+1,LARGE(A$3:A1796,1))</f>
        <v>0</v>
      </c>
      <c r="B1797" s="457">
        <f t="shared" ca="1" si="367"/>
        <v>21</v>
      </c>
      <c r="C1797" s="457">
        <f t="shared" ca="1" si="368"/>
        <v>1</v>
      </c>
      <c r="D1797" s="458">
        <f t="shared" ca="1" si="369"/>
        <v>1</v>
      </c>
      <c r="E1797" s="458">
        <f t="shared" ca="1" si="370"/>
        <v>1</v>
      </c>
      <c r="F1797" s="34"/>
    </row>
    <row r="1798" spans="1:6" ht="14.1" customHeight="1" x14ac:dyDescent="0.2">
      <c r="A1798" s="457">
        <f ca="1">IF($H1798="UNIDADE CONSTRUTIVA",OFFSET(A1798,-1,0)+1,LARGE(A$3:A1797,1))</f>
        <v>0</v>
      </c>
      <c r="B1798" s="457">
        <f t="shared" ca="1" si="367"/>
        <v>21</v>
      </c>
      <c r="C1798" s="457">
        <f t="shared" ca="1" si="368"/>
        <v>1</v>
      </c>
      <c r="D1798" s="458">
        <f t="shared" ca="1" si="369"/>
        <v>1</v>
      </c>
      <c r="E1798" s="458">
        <f t="shared" ca="1" si="370"/>
        <v>1</v>
      </c>
      <c r="F1798" s="34"/>
    </row>
    <row r="1799" spans="1:6" ht="14.1" customHeight="1" x14ac:dyDescent="0.2">
      <c r="A1799" s="457">
        <f ca="1">IF($H1799="UNIDADE CONSTRUTIVA",OFFSET(A1799,-1,0)+1,LARGE(A$3:A1798,1))</f>
        <v>0</v>
      </c>
      <c r="B1799" s="457">
        <f t="shared" ca="1" si="367"/>
        <v>21</v>
      </c>
      <c r="C1799" s="457">
        <f t="shared" ca="1" si="368"/>
        <v>1</v>
      </c>
      <c r="D1799" s="458">
        <f t="shared" ca="1" si="369"/>
        <v>1</v>
      </c>
      <c r="E1799" s="458">
        <f t="shared" ca="1" si="370"/>
        <v>1</v>
      </c>
      <c r="F1799" s="34"/>
    </row>
    <row r="1800" spans="1:6" ht="14.1" customHeight="1" x14ac:dyDescent="0.2">
      <c r="A1800" s="457">
        <f ca="1">IF($H1800="UNIDADE CONSTRUTIVA",OFFSET(A1800,-1,0)+1,LARGE(A$3:A1799,1))</f>
        <v>0</v>
      </c>
      <c r="B1800" s="457">
        <f t="shared" ca="1" si="367"/>
        <v>21</v>
      </c>
      <c r="C1800" s="457">
        <f t="shared" ca="1" si="368"/>
        <v>1</v>
      </c>
      <c r="D1800" s="458">
        <f t="shared" ca="1" si="369"/>
        <v>1</v>
      </c>
      <c r="E1800" s="458">
        <f t="shared" ca="1" si="370"/>
        <v>1</v>
      </c>
      <c r="F1800" s="34"/>
    </row>
    <row r="1801" spans="1:6" ht="14.1" customHeight="1" x14ac:dyDescent="0.2">
      <c r="A1801" s="457">
        <f ca="1">IF($H1801="UNIDADE CONSTRUTIVA",OFFSET(A1801,-1,0)+1,LARGE(A$3:A1800,1))</f>
        <v>0</v>
      </c>
      <c r="B1801" s="457">
        <f t="shared" ca="1" si="367"/>
        <v>21</v>
      </c>
      <c r="C1801" s="457">
        <f t="shared" ca="1" si="368"/>
        <v>1</v>
      </c>
      <c r="D1801" s="458">
        <f t="shared" ca="1" si="369"/>
        <v>1</v>
      </c>
      <c r="E1801" s="458">
        <f t="shared" ca="1" si="370"/>
        <v>1</v>
      </c>
      <c r="F1801" s="34"/>
    </row>
    <row r="1802" spans="1:6" ht="14.1" customHeight="1" x14ac:dyDescent="0.2">
      <c r="A1802" s="457">
        <f ca="1">IF($H1802="UNIDADE CONSTRUTIVA",OFFSET(A1802,-1,0)+1,LARGE(A$3:A1801,1))</f>
        <v>0</v>
      </c>
      <c r="B1802" s="457">
        <f t="shared" ca="1" si="367"/>
        <v>21</v>
      </c>
      <c r="C1802" s="457">
        <f t="shared" ca="1" si="368"/>
        <v>1</v>
      </c>
      <c r="D1802" s="458">
        <f t="shared" ca="1" si="369"/>
        <v>1</v>
      </c>
      <c r="E1802" s="458">
        <f t="shared" ca="1" si="370"/>
        <v>1</v>
      </c>
      <c r="F1802" s="34"/>
    </row>
    <row r="1803" spans="1:6" ht="14.1" customHeight="1" x14ac:dyDescent="0.2">
      <c r="A1803" s="457">
        <f ca="1">IF($H1803="UNIDADE CONSTRUTIVA",OFFSET(A1803,-1,0)+1,LARGE(A$3:A1802,1))</f>
        <v>0</v>
      </c>
      <c r="B1803" s="457">
        <f t="shared" ca="1" si="367"/>
        <v>21</v>
      </c>
      <c r="C1803" s="457">
        <f t="shared" ca="1" si="368"/>
        <v>1</v>
      </c>
      <c r="D1803" s="458">
        <f t="shared" ca="1" si="369"/>
        <v>1</v>
      </c>
      <c r="E1803" s="458">
        <f t="shared" ca="1" si="370"/>
        <v>1</v>
      </c>
      <c r="F1803" s="34"/>
    </row>
    <row r="1804" spans="1:6" ht="14.1" customHeight="1" x14ac:dyDescent="0.2">
      <c r="A1804" s="457">
        <f ca="1">IF($H1804="UNIDADE CONSTRUTIVA",OFFSET(A1804,-1,0)+1,LARGE(A$3:A1803,1))</f>
        <v>0</v>
      </c>
      <c r="B1804" s="457">
        <f t="shared" ca="1" si="367"/>
        <v>21</v>
      </c>
      <c r="C1804" s="457">
        <f t="shared" ca="1" si="368"/>
        <v>1</v>
      </c>
      <c r="D1804" s="458">
        <f t="shared" ca="1" si="369"/>
        <v>1</v>
      </c>
      <c r="E1804" s="458">
        <f t="shared" ca="1" si="370"/>
        <v>1</v>
      </c>
      <c r="F1804" s="34"/>
    </row>
    <row r="1805" spans="1:6" ht="14.1" customHeight="1" x14ac:dyDescent="0.2">
      <c r="A1805" s="457">
        <f ca="1">IF($H1805="UNIDADE CONSTRUTIVA",OFFSET(A1805,-1,0)+1,LARGE(A$3:A1804,1))</f>
        <v>0</v>
      </c>
      <c r="B1805" s="457">
        <f t="shared" ca="1" si="367"/>
        <v>21</v>
      </c>
      <c r="C1805" s="457">
        <f t="shared" ca="1" si="368"/>
        <v>1</v>
      </c>
      <c r="D1805" s="458">
        <f t="shared" ca="1" si="369"/>
        <v>1</v>
      </c>
      <c r="E1805" s="458">
        <f t="shared" ca="1" si="370"/>
        <v>1</v>
      </c>
      <c r="F1805" s="34"/>
    </row>
    <row r="1806" spans="1:6" ht="14.1" customHeight="1" x14ac:dyDescent="0.2">
      <c r="A1806" s="457">
        <f ca="1">IF($H1806="UNIDADE CONSTRUTIVA",OFFSET(A1806,-1,0)+1,LARGE(A$3:A1805,1))</f>
        <v>0</v>
      </c>
      <c r="B1806" s="457">
        <f t="shared" ca="1" si="367"/>
        <v>21</v>
      </c>
      <c r="C1806" s="457">
        <f t="shared" ca="1" si="368"/>
        <v>1</v>
      </c>
      <c r="D1806" s="458">
        <f t="shared" ca="1" si="369"/>
        <v>1</v>
      </c>
      <c r="E1806" s="458">
        <f t="shared" ca="1" si="370"/>
        <v>1</v>
      </c>
      <c r="F1806" s="34"/>
    </row>
    <row r="1807" spans="1:6" ht="14.1" customHeight="1" x14ac:dyDescent="0.2">
      <c r="A1807" s="457">
        <f ca="1">IF($H1807="UNIDADE CONSTRUTIVA",OFFSET(A1807,-1,0)+1,LARGE(A$3:A1806,1))</f>
        <v>0</v>
      </c>
      <c r="B1807" s="457">
        <f t="shared" ca="1" si="367"/>
        <v>21</v>
      </c>
      <c r="C1807" s="457">
        <f t="shared" ca="1" si="368"/>
        <v>1</v>
      </c>
      <c r="D1807" s="458">
        <f t="shared" ca="1" si="369"/>
        <v>1</v>
      </c>
      <c r="E1807" s="458">
        <f t="shared" ca="1" si="370"/>
        <v>1</v>
      </c>
      <c r="F1807" s="34"/>
    </row>
    <row r="1808" spans="1:6" ht="14.1" customHeight="1" x14ac:dyDescent="0.2">
      <c r="A1808" s="457">
        <f ca="1">IF($H1808="UNIDADE CONSTRUTIVA",OFFSET(A1808,-1,0)+1,LARGE(A$3:A1807,1))</f>
        <v>0</v>
      </c>
      <c r="B1808" s="457">
        <f t="shared" ca="1" si="367"/>
        <v>21</v>
      </c>
      <c r="C1808" s="457">
        <f t="shared" ca="1" si="368"/>
        <v>1</v>
      </c>
      <c r="D1808" s="458">
        <f t="shared" ca="1" si="369"/>
        <v>1</v>
      </c>
      <c r="E1808" s="458">
        <f t="shared" ca="1" si="370"/>
        <v>1</v>
      </c>
      <c r="F1808" s="34"/>
    </row>
    <row r="1809" spans="1:6" ht="14.1" customHeight="1" x14ac:dyDescent="0.2">
      <c r="A1809" s="457">
        <f ca="1">IF($H1809="UNIDADE CONSTRUTIVA",OFFSET(A1809,-1,0)+1,LARGE(A$3:A1808,1))</f>
        <v>0</v>
      </c>
      <c r="B1809" s="457">
        <f t="shared" ca="1" si="367"/>
        <v>21</v>
      </c>
      <c r="C1809" s="457">
        <f t="shared" ca="1" si="368"/>
        <v>1</v>
      </c>
      <c r="D1809" s="458">
        <f t="shared" ca="1" si="369"/>
        <v>1</v>
      </c>
      <c r="E1809" s="458">
        <f t="shared" ca="1" si="370"/>
        <v>1</v>
      </c>
      <c r="F1809" s="34"/>
    </row>
    <row r="1810" spans="1:6" ht="14.1" customHeight="1" x14ac:dyDescent="0.2">
      <c r="A1810" s="457">
        <f ca="1">IF($H1810="UNIDADE CONSTRUTIVA",OFFSET(A1810,-1,0)+1,LARGE(A$3:A1809,1))</f>
        <v>0</v>
      </c>
      <c r="B1810" s="457">
        <f t="shared" ca="1" si="367"/>
        <v>21</v>
      </c>
      <c r="C1810" s="457">
        <f t="shared" ca="1" si="368"/>
        <v>1</v>
      </c>
      <c r="D1810" s="458">
        <f t="shared" ca="1" si="369"/>
        <v>1</v>
      </c>
      <c r="E1810" s="458">
        <f t="shared" ca="1" si="370"/>
        <v>1</v>
      </c>
      <c r="F1810" s="34"/>
    </row>
    <row r="1811" spans="1:6" ht="14.1" customHeight="1" x14ac:dyDescent="0.2">
      <c r="A1811" s="457">
        <f ca="1">IF($H1811="UNIDADE CONSTRUTIVA",OFFSET(A1811,-1,0)+1,LARGE(A$3:A1810,1))</f>
        <v>0</v>
      </c>
      <c r="B1811" s="457">
        <f t="shared" ca="1" si="367"/>
        <v>21</v>
      </c>
      <c r="C1811" s="457">
        <f t="shared" ca="1" si="368"/>
        <v>1</v>
      </c>
      <c r="D1811" s="458">
        <f t="shared" ca="1" si="369"/>
        <v>1</v>
      </c>
      <c r="E1811" s="458">
        <f t="shared" ca="1" si="370"/>
        <v>1</v>
      </c>
      <c r="F1811" s="34"/>
    </row>
    <row r="1812" spans="1:6" ht="14.1" customHeight="1" x14ac:dyDescent="0.2">
      <c r="A1812" s="457">
        <f ca="1">IF($H1812="UNIDADE CONSTRUTIVA",OFFSET(A1812,-1,0)+1,LARGE(A$3:A1811,1))</f>
        <v>0</v>
      </c>
      <c r="B1812" s="457">
        <f t="shared" ca="1" si="367"/>
        <v>21</v>
      </c>
      <c r="C1812" s="457">
        <f t="shared" ca="1" si="368"/>
        <v>1</v>
      </c>
      <c r="D1812" s="458">
        <f t="shared" ca="1" si="369"/>
        <v>1</v>
      </c>
      <c r="E1812" s="458">
        <f t="shared" ca="1" si="370"/>
        <v>1</v>
      </c>
      <c r="F1812" s="34"/>
    </row>
    <row r="1813" spans="1:6" ht="14.1" customHeight="1" x14ac:dyDescent="0.2">
      <c r="A1813" s="457">
        <f ca="1">IF($H1813="UNIDADE CONSTRUTIVA",OFFSET(A1813,-1,0)+1,LARGE(A$3:A1812,1))</f>
        <v>0</v>
      </c>
      <c r="B1813" s="457">
        <f t="shared" ca="1" si="367"/>
        <v>21</v>
      </c>
      <c r="C1813" s="457">
        <f t="shared" ca="1" si="368"/>
        <v>1</v>
      </c>
      <c r="D1813" s="458">
        <f t="shared" ca="1" si="369"/>
        <v>1</v>
      </c>
      <c r="E1813" s="458">
        <f t="shared" ca="1" si="370"/>
        <v>1</v>
      </c>
      <c r="F1813" s="34"/>
    </row>
    <row r="1814" spans="1:6" ht="14.1" customHeight="1" x14ac:dyDescent="0.2">
      <c r="A1814" s="457">
        <f ca="1">IF($H1814="UNIDADE CONSTRUTIVA",OFFSET(A1814,-1,0)+1,LARGE(A$3:A1813,1))</f>
        <v>0</v>
      </c>
      <c r="B1814" s="457">
        <f t="shared" ca="1" si="367"/>
        <v>21</v>
      </c>
      <c r="C1814" s="457">
        <f t="shared" ca="1" si="368"/>
        <v>1</v>
      </c>
      <c r="D1814" s="458">
        <f t="shared" ca="1" si="369"/>
        <v>1</v>
      </c>
      <c r="E1814" s="458">
        <f t="shared" ca="1" si="370"/>
        <v>1</v>
      </c>
      <c r="F1814" s="34"/>
    </row>
    <row r="1815" spans="1:6" ht="14.1" customHeight="1" x14ac:dyDescent="0.2">
      <c r="A1815" s="457">
        <f ca="1">IF($H1815="UNIDADE CONSTRUTIVA",OFFSET(A1815,-1,0)+1,LARGE(A$3:A1814,1))</f>
        <v>0</v>
      </c>
      <c r="B1815" s="457">
        <f t="shared" ca="1" si="367"/>
        <v>21</v>
      </c>
      <c r="C1815" s="457">
        <f t="shared" ca="1" si="368"/>
        <v>1</v>
      </c>
      <c r="D1815" s="458">
        <f t="shared" ca="1" si="369"/>
        <v>1</v>
      </c>
      <c r="E1815" s="458">
        <f t="shared" ca="1" si="370"/>
        <v>1</v>
      </c>
      <c r="F1815" s="34"/>
    </row>
    <row r="1816" spans="1:6" ht="14.1" customHeight="1" x14ac:dyDescent="0.2">
      <c r="A1816" s="457">
        <f ca="1">IF($H1816="UNIDADE CONSTRUTIVA",OFFSET(A1816,-1,0)+1,LARGE(A$3:A1815,1))</f>
        <v>0</v>
      </c>
      <c r="B1816" s="457">
        <f t="shared" ca="1" si="367"/>
        <v>21</v>
      </c>
      <c r="C1816" s="457">
        <f t="shared" ca="1" si="368"/>
        <v>1</v>
      </c>
      <c r="D1816" s="458">
        <f t="shared" ca="1" si="369"/>
        <v>1</v>
      </c>
      <c r="E1816" s="458">
        <f t="shared" ca="1" si="370"/>
        <v>1</v>
      </c>
      <c r="F1816" s="34"/>
    </row>
    <row r="1817" spans="1:6" ht="14.1" customHeight="1" x14ac:dyDescent="0.2">
      <c r="A1817" s="457">
        <f ca="1">IF($H1817="UNIDADE CONSTRUTIVA",OFFSET(A1817,-1,0)+1,LARGE(A$3:A1816,1))</f>
        <v>0</v>
      </c>
      <c r="B1817" s="457">
        <f t="shared" ca="1" si="367"/>
        <v>21</v>
      </c>
      <c r="C1817" s="457">
        <f t="shared" ca="1" si="368"/>
        <v>1</v>
      </c>
      <c r="D1817" s="458">
        <f t="shared" ca="1" si="369"/>
        <v>1</v>
      </c>
      <c r="E1817" s="458">
        <f t="shared" ca="1" si="370"/>
        <v>1</v>
      </c>
      <c r="F1817" s="34"/>
    </row>
    <row r="1818" spans="1:6" ht="14.1" customHeight="1" x14ac:dyDescent="0.2">
      <c r="A1818" s="457">
        <f ca="1">IF($H1818="UNIDADE CONSTRUTIVA",OFFSET(A1818,-1,0)+1,LARGE(A$3:A1817,1))</f>
        <v>0</v>
      </c>
      <c r="B1818" s="457">
        <f t="shared" ca="1" si="367"/>
        <v>21</v>
      </c>
      <c r="C1818" s="457">
        <f t="shared" ca="1" si="368"/>
        <v>1</v>
      </c>
      <c r="D1818" s="458">
        <f t="shared" ca="1" si="369"/>
        <v>1</v>
      </c>
      <c r="E1818" s="458">
        <f t="shared" ca="1" si="370"/>
        <v>1</v>
      </c>
      <c r="F1818" s="34"/>
    </row>
    <row r="1819" spans="1:6" ht="14.1" customHeight="1" x14ac:dyDescent="0.2">
      <c r="A1819" s="457">
        <f ca="1">IF($H1819="UNIDADE CONSTRUTIVA",OFFSET(A1819,-1,0)+1,LARGE(A$3:A1818,1))</f>
        <v>0</v>
      </c>
      <c r="B1819" s="457">
        <f t="shared" ref="B1819:B1882" ca="1" si="371">IF(H1819="UNIDADE CONSTRUTIVA",0,IF(H1819="CÉLULA CONSTRUTIVA",OFFSET(B1819,-1,0)+1,OFFSET(B1819,-1,0)))</f>
        <v>21</v>
      </c>
      <c r="C1819" s="457">
        <f t="shared" ref="C1819:C1882" ca="1" si="372">IF(H1819="CÉLULA CONSTRUTIVA",0,IF(H1819="ETAPA",OFFSET(C1819,-1,0)+1,OFFSET(C1819,-1,0)))</f>
        <v>1</v>
      </c>
      <c r="D1819" s="458">
        <f t="shared" ref="D1819:D1882" ca="1" si="373">IF(H1819="ETAPA",0,IF(H1819="SUBETAPA",OFFSET(D1819,-1,0)+1,OFFSET(D1819,-1,0)))</f>
        <v>1</v>
      </c>
      <c r="E1819" s="458">
        <f t="shared" ref="E1819:E1882" ca="1" si="374">IF(H1819="Subetapa",0,IF(H1819="serviço",OFFSET(E1819,-1,0)+1,OFFSET(E1819,-1,0)))</f>
        <v>1</v>
      </c>
      <c r="F1819" s="34"/>
    </row>
    <row r="1820" spans="1:6" ht="14.1" customHeight="1" x14ac:dyDescent="0.2">
      <c r="A1820" s="457">
        <f ca="1">IF($H1820="UNIDADE CONSTRUTIVA",OFFSET(A1820,-1,0)+1,LARGE(A$3:A1819,1))</f>
        <v>0</v>
      </c>
      <c r="B1820" s="457">
        <f t="shared" ca="1" si="371"/>
        <v>21</v>
      </c>
      <c r="C1820" s="457">
        <f t="shared" ca="1" si="372"/>
        <v>1</v>
      </c>
      <c r="D1820" s="458">
        <f t="shared" ca="1" si="373"/>
        <v>1</v>
      </c>
      <c r="E1820" s="458">
        <f t="shared" ca="1" si="374"/>
        <v>1</v>
      </c>
      <c r="F1820" s="34"/>
    </row>
    <row r="1821" spans="1:6" ht="14.1" customHeight="1" x14ac:dyDescent="0.2">
      <c r="A1821" s="457">
        <f ca="1">IF($H1821="UNIDADE CONSTRUTIVA",OFFSET(A1821,-1,0)+1,LARGE(A$3:A1820,1))</f>
        <v>0</v>
      </c>
      <c r="B1821" s="457">
        <f t="shared" ca="1" si="371"/>
        <v>21</v>
      </c>
      <c r="C1821" s="457">
        <f t="shared" ca="1" si="372"/>
        <v>1</v>
      </c>
      <c r="D1821" s="458">
        <f t="shared" ca="1" si="373"/>
        <v>1</v>
      </c>
      <c r="E1821" s="458">
        <f t="shared" ca="1" si="374"/>
        <v>1</v>
      </c>
      <c r="F1821" s="34"/>
    </row>
    <row r="1822" spans="1:6" ht="14.1" customHeight="1" x14ac:dyDescent="0.2">
      <c r="A1822" s="457">
        <f ca="1">IF($H1822="UNIDADE CONSTRUTIVA",OFFSET(A1822,-1,0)+1,LARGE(A$3:A1821,1))</f>
        <v>0</v>
      </c>
      <c r="B1822" s="457">
        <f t="shared" ca="1" si="371"/>
        <v>21</v>
      </c>
      <c r="C1822" s="457">
        <f t="shared" ca="1" si="372"/>
        <v>1</v>
      </c>
      <c r="D1822" s="458">
        <f t="shared" ca="1" si="373"/>
        <v>1</v>
      </c>
      <c r="E1822" s="458">
        <f t="shared" ca="1" si="374"/>
        <v>1</v>
      </c>
      <c r="F1822" s="34"/>
    </row>
    <row r="1823" spans="1:6" ht="14.1" customHeight="1" x14ac:dyDescent="0.2">
      <c r="A1823" s="457">
        <f ca="1">IF($H1823="UNIDADE CONSTRUTIVA",OFFSET(A1823,-1,0)+1,LARGE(A$3:A1822,1))</f>
        <v>0</v>
      </c>
      <c r="B1823" s="457">
        <f t="shared" ca="1" si="371"/>
        <v>21</v>
      </c>
      <c r="C1823" s="457">
        <f t="shared" ca="1" si="372"/>
        <v>1</v>
      </c>
      <c r="D1823" s="458">
        <f t="shared" ca="1" si="373"/>
        <v>1</v>
      </c>
      <c r="E1823" s="458">
        <f t="shared" ca="1" si="374"/>
        <v>1</v>
      </c>
      <c r="F1823" s="34"/>
    </row>
    <row r="1824" spans="1:6" ht="14.1" customHeight="1" x14ac:dyDescent="0.2">
      <c r="A1824" s="457">
        <f ca="1">IF($H1824="UNIDADE CONSTRUTIVA",OFFSET(A1824,-1,0)+1,LARGE(A$3:A1823,1))</f>
        <v>0</v>
      </c>
      <c r="B1824" s="457">
        <f t="shared" ca="1" si="371"/>
        <v>21</v>
      </c>
      <c r="C1824" s="457">
        <f t="shared" ca="1" si="372"/>
        <v>1</v>
      </c>
      <c r="D1824" s="458">
        <f t="shared" ca="1" si="373"/>
        <v>1</v>
      </c>
      <c r="E1824" s="458">
        <f t="shared" ca="1" si="374"/>
        <v>1</v>
      </c>
      <c r="F1824" s="34"/>
    </row>
    <row r="1825" spans="1:6" ht="14.1" customHeight="1" x14ac:dyDescent="0.2">
      <c r="A1825" s="457">
        <f ca="1">IF($H1825="UNIDADE CONSTRUTIVA",OFFSET(A1825,-1,0)+1,LARGE(A$3:A1824,1))</f>
        <v>0</v>
      </c>
      <c r="B1825" s="457">
        <f t="shared" ca="1" si="371"/>
        <v>21</v>
      </c>
      <c r="C1825" s="457">
        <f t="shared" ca="1" si="372"/>
        <v>1</v>
      </c>
      <c r="D1825" s="458">
        <f t="shared" ca="1" si="373"/>
        <v>1</v>
      </c>
      <c r="E1825" s="458">
        <f t="shared" ca="1" si="374"/>
        <v>1</v>
      </c>
      <c r="F1825" s="34"/>
    </row>
    <row r="1826" spans="1:6" ht="14.1" customHeight="1" x14ac:dyDescent="0.2">
      <c r="A1826" s="457">
        <f ca="1">IF($H1826="UNIDADE CONSTRUTIVA",OFFSET(A1826,-1,0)+1,LARGE(A$3:A1825,1))</f>
        <v>0</v>
      </c>
      <c r="B1826" s="457">
        <f t="shared" ca="1" si="371"/>
        <v>21</v>
      </c>
      <c r="C1826" s="457">
        <f t="shared" ca="1" si="372"/>
        <v>1</v>
      </c>
      <c r="D1826" s="458">
        <f t="shared" ca="1" si="373"/>
        <v>1</v>
      </c>
      <c r="E1826" s="458">
        <f t="shared" ca="1" si="374"/>
        <v>1</v>
      </c>
      <c r="F1826" s="34"/>
    </row>
    <row r="1827" spans="1:6" ht="14.1" customHeight="1" x14ac:dyDescent="0.2">
      <c r="A1827" s="457">
        <f ca="1">IF($H1827="UNIDADE CONSTRUTIVA",OFFSET(A1827,-1,0)+1,LARGE(A$3:A1826,1))</f>
        <v>0</v>
      </c>
      <c r="B1827" s="457">
        <f t="shared" ca="1" si="371"/>
        <v>21</v>
      </c>
      <c r="C1827" s="457">
        <f t="shared" ca="1" si="372"/>
        <v>1</v>
      </c>
      <c r="D1827" s="458">
        <f t="shared" ca="1" si="373"/>
        <v>1</v>
      </c>
      <c r="E1827" s="458">
        <f t="shared" ca="1" si="374"/>
        <v>1</v>
      </c>
      <c r="F1827" s="34"/>
    </row>
    <row r="1828" spans="1:6" ht="14.1" customHeight="1" x14ac:dyDescent="0.2">
      <c r="A1828" s="457">
        <f ca="1">IF($H1828="UNIDADE CONSTRUTIVA",OFFSET(A1828,-1,0)+1,LARGE(A$3:A1827,1))</f>
        <v>0</v>
      </c>
      <c r="B1828" s="457">
        <f t="shared" ca="1" si="371"/>
        <v>21</v>
      </c>
      <c r="C1828" s="457">
        <f t="shared" ca="1" si="372"/>
        <v>1</v>
      </c>
      <c r="D1828" s="458">
        <f t="shared" ca="1" si="373"/>
        <v>1</v>
      </c>
      <c r="E1828" s="458">
        <f t="shared" ca="1" si="374"/>
        <v>1</v>
      </c>
      <c r="F1828" s="34"/>
    </row>
    <row r="1829" spans="1:6" ht="14.1" customHeight="1" x14ac:dyDescent="0.2">
      <c r="A1829" s="457">
        <f ca="1">IF($H1829="UNIDADE CONSTRUTIVA",OFFSET(A1829,-1,0)+1,LARGE(A$3:A1828,1))</f>
        <v>0</v>
      </c>
      <c r="B1829" s="457">
        <f t="shared" ca="1" si="371"/>
        <v>21</v>
      </c>
      <c r="C1829" s="457">
        <f t="shared" ca="1" si="372"/>
        <v>1</v>
      </c>
      <c r="D1829" s="458">
        <f t="shared" ca="1" si="373"/>
        <v>1</v>
      </c>
      <c r="E1829" s="458">
        <f t="shared" ca="1" si="374"/>
        <v>1</v>
      </c>
      <c r="F1829" s="34"/>
    </row>
    <row r="1830" spans="1:6" ht="14.1" customHeight="1" x14ac:dyDescent="0.2">
      <c r="A1830" s="457">
        <f ca="1">IF($H1830="UNIDADE CONSTRUTIVA",OFFSET(A1830,-1,0)+1,LARGE(A$3:A1829,1))</f>
        <v>0</v>
      </c>
      <c r="B1830" s="457">
        <f t="shared" ca="1" si="371"/>
        <v>21</v>
      </c>
      <c r="C1830" s="457">
        <f t="shared" ca="1" si="372"/>
        <v>1</v>
      </c>
      <c r="D1830" s="458">
        <f t="shared" ca="1" si="373"/>
        <v>1</v>
      </c>
      <c r="E1830" s="458">
        <f t="shared" ca="1" si="374"/>
        <v>1</v>
      </c>
      <c r="F1830" s="34"/>
    </row>
    <row r="1831" spans="1:6" ht="14.1" customHeight="1" x14ac:dyDescent="0.2">
      <c r="A1831" s="457">
        <f ca="1">IF($H1831="UNIDADE CONSTRUTIVA",OFFSET(A1831,-1,0)+1,LARGE(A$3:A1830,1))</f>
        <v>0</v>
      </c>
      <c r="B1831" s="457">
        <f t="shared" ca="1" si="371"/>
        <v>21</v>
      </c>
      <c r="C1831" s="457">
        <f t="shared" ca="1" si="372"/>
        <v>1</v>
      </c>
      <c r="D1831" s="458">
        <f t="shared" ca="1" si="373"/>
        <v>1</v>
      </c>
      <c r="E1831" s="458">
        <f t="shared" ca="1" si="374"/>
        <v>1</v>
      </c>
      <c r="F1831" s="34"/>
    </row>
    <row r="1832" spans="1:6" ht="14.1" customHeight="1" x14ac:dyDescent="0.2">
      <c r="A1832" s="457">
        <f ca="1">IF($H1832="UNIDADE CONSTRUTIVA",OFFSET(A1832,-1,0)+1,LARGE(A$3:A1831,1))</f>
        <v>0</v>
      </c>
      <c r="B1832" s="457">
        <f t="shared" ca="1" si="371"/>
        <v>21</v>
      </c>
      <c r="C1832" s="457">
        <f t="shared" ca="1" si="372"/>
        <v>1</v>
      </c>
      <c r="D1832" s="458">
        <f t="shared" ca="1" si="373"/>
        <v>1</v>
      </c>
      <c r="E1832" s="458">
        <f t="shared" ca="1" si="374"/>
        <v>1</v>
      </c>
      <c r="F1832" s="34"/>
    </row>
    <row r="1833" spans="1:6" ht="14.1" customHeight="1" x14ac:dyDescent="0.2">
      <c r="A1833" s="457">
        <f ca="1">IF($H1833="UNIDADE CONSTRUTIVA",OFFSET(A1833,-1,0)+1,LARGE(A$3:A1832,1))</f>
        <v>0</v>
      </c>
      <c r="B1833" s="457">
        <f t="shared" ca="1" si="371"/>
        <v>21</v>
      </c>
      <c r="C1833" s="457">
        <f t="shared" ca="1" si="372"/>
        <v>1</v>
      </c>
      <c r="D1833" s="458">
        <f t="shared" ca="1" si="373"/>
        <v>1</v>
      </c>
      <c r="E1833" s="458">
        <f t="shared" ca="1" si="374"/>
        <v>1</v>
      </c>
      <c r="F1833" s="34"/>
    </row>
    <row r="1834" spans="1:6" ht="14.1" customHeight="1" x14ac:dyDescent="0.2">
      <c r="A1834" s="457">
        <f ca="1">IF($H1834="UNIDADE CONSTRUTIVA",OFFSET(A1834,-1,0)+1,LARGE(A$3:A1833,1))</f>
        <v>0</v>
      </c>
      <c r="B1834" s="457">
        <f t="shared" ca="1" si="371"/>
        <v>21</v>
      </c>
      <c r="C1834" s="457">
        <f t="shared" ca="1" si="372"/>
        <v>1</v>
      </c>
      <c r="D1834" s="458">
        <f t="shared" ca="1" si="373"/>
        <v>1</v>
      </c>
      <c r="E1834" s="458">
        <f t="shared" ca="1" si="374"/>
        <v>1</v>
      </c>
      <c r="F1834" s="34"/>
    </row>
    <row r="1835" spans="1:6" ht="14.1" customHeight="1" x14ac:dyDescent="0.2">
      <c r="A1835" s="457">
        <f ca="1">IF($H1835="UNIDADE CONSTRUTIVA",OFFSET(A1835,-1,0)+1,LARGE(A$3:A1834,1))</f>
        <v>0</v>
      </c>
      <c r="B1835" s="457">
        <f t="shared" ca="1" si="371"/>
        <v>21</v>
      </c>
      <c r="C1835" s="457">
        <f t="shared" ca="1" si="372"/>
        <v>1</v>
      </c>
      <c r="D1835" s="458">
        <f t="shared" ca="1" si="373"/>
        <v>1</v>
      </c>
      <c r="E1835" s="458">
        <f t="shared" ca="1" si="374"/>
        <v>1</v>
      </c>
      <c r="F1835" s="34"/>
    </row>
    <row r="1836" spans="1:6" ht="14.1" customHeight="1" x14ac:dyDescent="0.2">
      <c r="A1836" s="457">
        <f ca="1">IF($H1836="UNIDADE CONSTRUTIVA",OFFSET(A1836,-1,0)+1,LARGE(A$3:A1835,1))</f>
        <v>0</v>
      </c>
      <c r="B1836" s="457">
        <f t="shared" ca="1" si="371"/>
        <v>21</v>
      </c>
      <c r="C1836" s="457">
        <f t="shared" ca="1" si="372"/>
        <v>1</v>
      </c>
      <c r="D1836" s="458">
        <f t="shared" ca="1" si="373"/>
        <v>1</v>
      </c>
      <c r="E1836" s="458">
        <f t="shared" ca="1" si="374"/>
        <v>1</v>
      </c>
      <c r="F1836" s="34"/>
    </row>
    <row r="1837" spans="1:6" ht="14.1" customHeight="1" x14ac:dyDescent="0.2">
      <c r="A1837" s="457">
        <f ca="1">IF($H1837="UNIDADE CONSTRUTIVA",OFFSET(A1837,-1,0)+1,LARGE(A$3:A1836,1))</f>
        <v>0</v>
      </c>
      <c r="B1837" s="457">
        <f t="shared" ca="1" si="371"/>
        <v>21</v>
      </c>
      <c r="C1837" s="457">
        <f t="shared" ca="1" si="372"/>
        <v>1</v>
      </c>
      <c r="D1837" s="458">
        <f t="shared" ca="1" si="373"/>
        <v>1</v>
      </c>
      <c r="E1837" s="458">
        <f t="shared" ca="1" si="374"/>
        <v>1</v>
      </c>
      <c r="F1837" s="34"/>
    </row>
    <row r="1838" spans="1:6" ht="14.1" customHeight="1" x14ac:dyDescent="0.2">
      <c r="A1838" s="457">
        <f ca="1">IF($H1838="UNIDADE CONSTRUTIVA",OFFSET(A1838,-1,0)+1,LARGE(A$3:A1837,1))</f>
        <v>0</v>
      </c>
      <c r="B1838" s="457">
        <f t="shared" ca="1" si="371"/>
        <v>21</v>
      </c>
      <c r="C1838" s="457">
        <f t="shared" ca="1" si="372"/>
        <v>1</v>
      </c>
      <c r="D1838" s="458">
        <f t="shared" ca="1" si="373"/>
        <v>1</v>
      </c>
      <c r="E1838" s="458">
        <f t="shared" ca="1" si="374"/>
        <v>1</v>
      </c>
      <c r="F1838" s="34"/>
    </row>
    <row r="1839" spans="1:6" ht="14.1" customHeight="1" x14ac:dyDescent="0.2">
      <c r="A1839" s="457">
        <f ca="1">IF($H1839="UNIDADE CONSTRUTIVA",OFFSET(A1839,-1,0)+1,LARGE(A$3:A1838,1))</f>
        <v>0</v>
      </c>
      <c r="B1839" s="457">
        <f t="shared" ca="1" si="371"/>
        <v>21</v>
      </c>
      <c r="C1839" s="457">
        <f t="shared" ca="1" si="372"/>
        <v>1</v>
      </c>
      <c r="D1839" s="458">
        <f t="shared" ca="1" si="373"/>
        <v>1</v>
      </c>
      <c r="E1839" s="458">
        <f t="shared" ca="1" si="374"/>
        <v>1</v>
      </c>
      <c r="F1839" s="34"/>
    </row>
    <row r="1840" spans="1:6" ht="14.1" customHeight="1" x14ac:dyDescent="0.2">
      <c r="A1840" s="457">
        <f ca="1">IF($H1840="UNIDADE CONSTRUTIVA",OFFSET(A1840,-1,0)+1,LARGE(A$3:A1839,1))</f>
        <v>0</v>
      </c>
      <c r="B1840" s="457">
        <f t="shared" ca="1" si="371"/>
        <v>21</v>
      </c>
      <c r="C1840" s="457">
        <f t="shared" ca="1" si="372"/>
        <v>1</v>
      </c>
      <c r="D1840" s="458">
        <f t="shared" ca="1" si="373"/>
        <v>1</v>
      </c>
      <c r="E1840" s="458">
        <f t="shared" ca="1" si="374"/>
        <v>1</v>
      </c>
      <c r="F1840" s="34"/>
    </row>
    <row r="1841" spans="1:6" ht="14.1" customHeight="1" x14ac:dyDescent="0.2">
      <c r="A1841" s="457">
        <f ca="1">IF($H1841="UNIDADE CONSTRUTIVA",OFFSET(A1841,-1,0)+1,LARGE(A$3:A1840,1))</f>
        <v>0</v>
      </c>
      <c r="B1841" s="457">
        <f t="shared" ca="1" si="371"/>
        <v>21</v>
      </c>
      <c r="C1841" s="457">
        <f t="shared" ca="1" si="372"/>
        <v>1</v>
      </c>
      <c r="D1841" s="458">
        <f t="shared" ca="1" si="373"/>
        <v>1</v>
      </c>
      <c r="E1841" s="458">
        <f t="shared" ca="1" si="374"/>
        <v>1</v>
      </c>
      <c r="F1841" s="34"/>
    </row>
    <row r="1842" spans="1:6" ht="14.1" customHeight="1" x14ac:dyDescent="0.2">
      <c r="A1842" s="457">
        <f ca="1">IF($H1842="UNIDADE CONSTRUTIVA",OFFSET(A1842,-1,0)+1,LARGE(A$3:A1841,1))</f>
        <v>0</v>
      </c>
      <c r="B1842" s="457">
        <f t="shared" ca="1" si="371"/>
        <v>21</v>
      </c>
      <c r="C1842" s="457">
        <f t="shared" ca="1" si="372"/>
        <v>1</v>
      </c>
      <c r="D1842" s="458">
        <f t="shared" ca="1" si="373"/>
        <v>1</v>
      </c>
      <c r="E1842" s="458">
        <f t="shared" ca="1" si="374"/>
        <v>1</v>
      </c>
      <c r="F1842" s="34"/>
    </row>
    <row r="1843" spans="1:6" ht="14.1" customHeight="1" x14ac:dyDescent="0.2">
      <c r="A1843" s="457">
        <f ca="1">IF($H1843="UNIDADE CONSTRUTIVA",OFFSET(A1843,-1,0)+1,LARGE(A$3:A1842,1))</f>
        <v>0</v>
      </c>
      <c r="B1843" s="457">
        <f t="shared" ca="1" si="371"/>
        <v>21</v>
      </c>
      <c r="C1843" s="457">
        <f t="shared" ca="1" si="372"/>
        <v>1</v>
      </c>
      <c r="D1843" s="458">
        <f t="shared" ca="1" si="373"/>
        <v>1</v>
      </c>
      <c r="E1843" s="458">
        <f t="shared" ca="1" si="374"/>
        <v>1</v>
      </c>
      <c r="F1843" s="34"/>
    </row>
    <row r="1844" spans="1:6" ht="14.1" customHeight="1" x14ac:dyDescent="0.2">
      <c r="A1844" s="457">
        <f ca="1">IF($H1844="UNIDADE CONSTRUTIVA",OFFSET(A1844,-1,0)+1,LARGE(A$3:A1843,1))</f>
        <v>0</v>
      </c>
      <c r="B1844" s="457">
        <f t="shared" ca="1" si="371"/>
        <v>21</v>
      </c>
      <c r="C1844" s="457">
        <f t="shared" ca="1" si="372"/>
        <v>1</v>
      </c>
      <c r="D1844" s="458">
        <f t="shared" ca="1" si="373"/>
        <v>1</v>
      </c>
      <c r="E1844" s="458">
        <f t="shared" ca="1" si="374"/>
        <v>1</v>
      </c>
      <c r="F1844" s="34"/>
    </row>
    <row r="1845" spans="1:6" ht="14.1" customHeight="1" x14ac:dyDescent="0.2">
      <c r="A1845" s="457">
        <f ca="1">IF($H1845="UNIDADE CONSTRUTIVA",OFFSET(A1845,-1,0)+1,LARGE(A$3:A1844,1))</f>
        <v>0</v>
      </c>
      <c r="B1845" s="457">
        <f t="shared" ca="1" si="371"/>
        <v>21</v>
      </c>
      <c r="C1845" s="457">
        <f t="shared" ca="1" si="372"/>
        <v>1</v>
      </c>
      <c r="D1845" s="458">
        <f t="shared" ca="1" si="373"/>
        <v>1</v>
      </c>
      <c r="E1845" s="458">
        <f t="shared" ca="1" si="374"/>
        <v>1</v>
      </c>
      <c r="F1845" s="34"/>
    </row>
    <row r="1846" spans="1:6" ht="14.1" customHeight="1" x14ac:dyDescent="0.2">
      <c r="A1846" s="457">
        <f ca="1">IF($H1846="UNIDADE CONSTRUTIVA",OFFSET(A1846,-1,0)+1,LARGE(A$3:A1845,1))</f>
        <v>0</v>
      </c>
      <c r="B1846" s="457">
        <f t="shared" ca="1" si="371"/>
        <v>21</v>
      </c>
      <c r="C1846" s="457">
        <f t="shared" ca="1" si="372"/>
        <v>1</v>
      </c>
      <c r="D1846" s="458">
        <f t="shared" ca="1" si="373"/>
        <v>1</v>
      </c>
      <c r="E1846" s="458">
        <f t="shared" ca="1" si="374"/>
        <v>1</v>
      </c>
      <c r="F1846" s="34"/>
    </row>
    <row r="1847" spans="1:6" ht="14.1" customHeight="1" x14ac:dyDescent="0.2">
      <c r="A1847" s="457">
        <f ca="1">IF($H1847="UNIDADE CONSTRUTIVA",OFFSET(A1847,-1,0)+1,LARGE(A$3:A1846,1))</f>
        <v>0</v>
      </c>
      <c r="B1847" s="457">
        <f t="shared" ca="1" si="371"/>
        <v>21</v>
      </c>
      <c r="C1847" s="457">
        <f t="shared" ca="1" si="372"/>
        <v>1</v>
      </c>
      <c r="D1847" s="458">
        <f t="shared" ca="1" si="373"/>
        <v>1</v>
      </c>
      <c r="E1847" s="458">
        <f t="shared" ca="1" si="374"/>
        <v>1</v>
      </c>
      <c r="F1847" s="34"/>
    </row>
    <row r="1848" spans="1:6" ht="14.1" customHeight="1" x14ac:dyDescent="0.2">
      <c r="A1848" s="457">
        <f ca="1">IF($H1848="UNIDADE CONSTRUTIVA",OFFSET(A1848,-1,0)+1,LARGE(A$3:A1847,1))</f>
        <v>0</v>
      </c>
      <c r="B1848" s="457">
        <f t="shared" ca="1" si="371"/>
        <v>21</v>
      </c>
      <c r="C1848" s="457">
        <f t="shared" ca="1" si="372"/>
        <v>1</v>
      </c>
      <c r="D1848" s="458">
        <f t="shared" ca="1" si="373"/>
        <v>1</v>
      </c>
      <c r="E1848" s="458">
        <f t="shared" ca="1" si="374"/>
        <v>1</v>
      </c>
      <c r="F1848" s="34"/>
    </row>
    <row r="1849" spans="1:6" ht="14.1" customHeight="1" x14ac:dyDescent="0.2">
      <c r="A1849" s="457">
        <f ca="1">IF($H1849="UNIDADE CONSTRUTIVA",OFFSET(A1849,-1,0)+1,LARGE(A$3:A1848,1))</f>
        <v>0</v>
      </c>
      <c r="B1849" s="457">
        <f t="shared" ca="1" si="371"/>
        <v>21</v>
      </c>
      <c r="C1849" s="457">
        <f t="shared" ca="1" si="372"/>
        <v>1</v>
      </c>
      <c r="D1849" s="458">
        <f t="shared" ca="1" si="373"/>
        <v>1</v>
      </c>
      <c r="E1849" s="458">
        <f t="shared" ca="1" si="374"/>
        <v>1</v>
      </c>
      <c r="F1849" s="34"/>
    </row>
    <row r="1850" spans="1:6" ht="14.1" customHeight="1" x14ac:dyDescent="0.2">
      <c r="A1850" s="457">
        <f ca="1">IF($H1850="UNIDADE CONSTRUTIVA",OFFSET(A1850,-1,0)+1,LARGE(A$3:A1849,1))</f>
        <v>0</v>
      </c>
      <c r="B1850" s="457">
        <f t="shared" ca="1" si="371"/>
        <v>21</v>
      </c>
      <c r="C1850" s="457">
        <f t="shared" ca="1" si="372"/>
        <v>1</v>
      </c>
      <c r="D1850" s="458">
        <f t="shared" ca="1" si="373"/>
        <v>1</v>
      </c>
      <c r="E1850" s="458">
        <f t="shared" ca="1" si="374"/>
        <v>1</v>
      </c>
      <c r="F1850" s="34"/>
    </row>
    <row r="1851" spans="1:6" ht="14.1" customHeight="1" x14ac:dyDescent="0.2">
      <c r="A1851" s="457">
        <f ca="1">IF($H1851="UNIDADE CONSTRUTIVA",OFFSET(A1851,-1,0)+1,LARGE(A$3:A1850,1))</f>
        <v>0</v>
      </c>
      <c r="B1851" s="457">
        <f t="shared" ca="1" si="371"/>
        <v>21</v>
      </c>
      <c r="C1851" s="457">
        <f t="shared" ca="1" si="372"/>
        <v>1</v>
      </c>
      <c r="D1851" s="458">
        <f t="shared" ca="1" si="373"/>
        <v>1</v>
      </c>
      <c r="E1851" s="458">
        <f t="shared" ca="1" si="374"/>
        <v>1</v>
      </c>
      <c r="F1851" s="34"/>
    </row>
    <row r="1852" spans="1:6" ht="14.1" customHeight="1" x14ac:dyDescent="0.2">
      <c r="A1852" s="457">
        <f ca="1">IF($H1852="UNIDADE CONSTRUTIVA",OFFSET(A1852,-1,0)+1,LARGE(A$3:A1851,1))</f>
        <v>0</v>
      </c>
      <c r="B1852" s="457">
        <f t="shared" ca="1" si="371"/>
        <v>21</v>
      </c>
      <c r="C1852" s="457">
        <f t="shared" ca="1" si="372"/>
        <v>1</v>
      </c>
      <c r="D1852" s="458">
        <f t="shared" ca="1" si="373"/>
        <v>1</v>
      </c>
      <c r="E1852" s="458">
        <f t="shared" ca="1" si="374"/>
        <v>1</v>
      </c>
      <c r="F1852" s="34"/>
    </row>
    <row r="1853" spans="1:6" ht="14.1" customHeight="1" x14ac:dyDescent="0.2">
      <c r="A1853" s="457">
        <f ca="1">IF($H1853="UNIDADE CONSTRUTIVA",OFFSET(A1853,-1,0)+1,LARGE(A$3:A1852,1))</f>
        <v>0</v>
      </c>
      <c r="B1853" s="457">
        <f t="shared" ca="1" si="371"/>
        <v>21</v>
      </c>
      <c r="C1853" s="457">
        <f t="shared" ca="1" si="372"/>
        <v>1</v>
      </c>
      <c r="D1853" s="458">
        <f t="shared" ca="1" si="373"/>
        <v>1</v>
      </c>
      <c r="E1853" s="458">
        <f t="shared" ca="1" si="374"/>
        <v>1</v>
      </c>
      <c r="F1853" s="34"/>
    </row>
    <row r="1854" spans="1:6" ht="14.1" customHeight="1" x14ac:dyDescent="0.2">
      <c r="A1854" s="457">
        <f ca="1">IF($H1854="UNIDADE CONSTRUTIVA",OFFSET(A1854,-1,0)+1,LARGE(A$3:A1853,1))</f>
        <v>0</v>
      </c>
      <c r="B1854" s="457">
        <f t="shared" ca="1" si="371"/>
        <v>21</v>
      </c>
      <c r="C1854" s="457">
        <f t="shared" ca="1" si="372"/>
        <v>1</v>
      </c>
      <c r="D1854" s="458">
        <f t="shared" ca="1" si="373"/>
        <v>1</v>
      </c>
      <c r="E1854" s="458">
        <f t="shared" ca="1" si="374"/>
        <v>1</v>
      </c>
      <c r="F1854" s="34"/>
    </row>
    <row r="1855" spans="1:6" ht="14.1" customHeight="1" x14ac:dyDescent="0.2">
      <c r="A1855" s="457">
        <f ca="1">IF($H1855="UNIDADE CONSTRUTIVA",OFFSET(A1855,-1,0)+1,LARGE(A$3:A1854,1))</f>
        <v>0</v>
      </c>
      <c r="B1855" s="457">
        <f t="shared" ca="1" si="371"/>
        <v>21</v>
      </c>
      <c r="C1855" s="457">
        <f t="shared" ca="1" si="372"/>
        <v>1</v>
      </c>
      <c r="D1855" s="458">
        <f t="shared" ca="1" si="373"/>
        <v>1</v>
      </c>
      <c r="E1855" s="458">
        <f t="shared" ca="1" si="374"/>
        <v>1</v>
      </c>
      <c r="F1855" s="34"/>
    </row>
    <row r="1856" spans="1:6" ht="14.1" customHeight="1" x14ac:dyDescent="0.2">
      <c r="A1856" s="457">
        <f ca="1">IF($H1856="UNIDADE CONSTRUTIVA",OFFSET(A1856,-1,0)+1,LARGE(A$3:A1855,1))</f>
        <v>0</v>
      </c>
      <c r="B1856" s="457">
        <f t="shared" ca="1" si="371"/>
        <v>21</v>
      </c>
      <c r="C1856" s="457">
        <f t="shared" ca="1" si="372"/>
        <v>1</v>
      </c>
      <c r="D1856" s="458">
        <f t="shared" ca="1" si="373"/>
        <v>1</v>
      </c>
      <c r="E1856" s="458">
        <f t="shared" ca="1" si="374"/>
        <v>1</v>
      </c>
      <c r="F1856" s="34"/>
    </row>
    <row r="1857" spans="1:6" ht="14.1" customHeight="1" x14ac:dyDescent="0.2">
      <c r="A1857" s="457">
        <f ca="1">IF($H1857="UNIDADE CONSTRUTIVA",OFFSET(A1857,-1,0)+1,LARGE(A$3:A1856,1))</f>
        <v>0</v>
      </c>
      <c r="B1857" s="457">
        <f t="shared" ca="1" si="371"/>
        <v>21</v>
      </c>
      <c r="C1857" s="457">
        <f t="shared" ca="1" si="372"/>
        <v>1</v>
      </c>
      <c r="D1857" s="458">
        <f t="shared" ca="1" si="373"/>
        <v>1</v>
      </c>
      <c r="E1857" s="458">
        <f t="shared" ca="1" si="374"/>
        <v>1</v>
      </c>
      <c r="F1857" s="34"/>
    </row>
    <row r="1858" spans="1:6" ht="14.1" customHeight="1" x14ac:dyDescent="0.2">
      <c r="A1858" s="457">
        <f ca="1">IF($H1858="UNIDADE CONSTRUTIVA",OFFSET(A1858,-1,0)+1,LARGE(A$3:A1857,1))</f>
        <v>0</v>
      </c>
      <c r="B1858" s="457">
        <f t="shared" ca="1" si="371"/>
        <v>21</v>
      </c>
      <c r="C1858" s="457">
        <f t="shared" ca="1" si="372"/>
        <v>1</v>
      </c>
      <c r="D1858" s="458">
        <f t="shared" ca="1" si="373"/>
        <v>1</v>
      </c>
      <c r="E1858" s="458">
        <f t="shared" ca="1" si="374"/>
        <v>1</v>
      </c>
      <c r="F1858" s="34"/>
    </row>
    <row r="1859" spans="1:6" ht="14.1" customHeight="1" x14ac:dyDescent="0.2">
      <c r="A1859" s="457">
        <f ca="1">IF($H1859="UNIDADE CONSTRUTIVA",OFFSET(A1859,-1,0)+1,LARGE(A$3:A1858,1))</f>
        <v>0</v>
      </c>
      <c r="B1859" s="457">
        <f t="shared" ca="1" si="371"/>
        <v>21</v>
      </c>
      <c r="C1859" s="457">
        <f t="shared" ca="1" si="372"/>
        <v>1</v>
      </c>
      <c r="D1859" s="458">
        <f t="shared" ca="1" si="373"/>
        <v>1</v>
      </c>
      <c r="E1859" s="458">
        <f t="shared" ca="1" si="374"/>
        <v>1</v>
      </c>
      <c r="F1859" s="34"/>
    </row>
    <row r="1860" spans="1:6" ht="14.1" customHeight="1" x14ac:dyDescent="0.2">
      <c r="A1860" s="457">
        <f ca="1">IF($H1860="UNIDADE CONSTRUTIVA",OFFSET(A1860,-1,0)+1,LARGE(A$3:A1859,1))</f>
        <v>0</v>
      </c>
      <c r="B1860" s="457">
        <f t="shared" ca="1" si="371"/>
        <v>21</v>
      </c>
      <c r="C1860" s="457">
        <f t="shared" ca="1" si="372"/>
        <v>1</v>
      </c>
      <c r="D1860" s="458">
        <f t="shared" ca="1" si="373"/>
        <v>1</v>
      </c>
      <c r="E1860" s="458">
        <f t="shared" ca="1" si="374"/>
        <v>1</v>
      </c>
      <c r="F1860" s="34"/>
    </row>
    <row r="1861" spans="1:6" ht="14.1" customHeight="1" x14ac:dyDescent="0.2">
      <c r="A1861" s="457">
        <f ca="1">IF($H1861="UNIDADE CONSTRUTIVA",OFFSET(A1861,-1,0)+1,LARGE(A$3:A1860,1))</f>
        <v>0</v>
      </c>
      <c r="B1861" s="457">
        <f t="shared" ca="1" si="371"/>
        <v>21</v>
      </c>
      <c r="C1861" s="457">
        <f t="shared" ca="1" si="372"/>
        <v>1</v>
      </c>
      <c r="D1861" s="458">
        <f t="shared" ca="1" si="373"/>
        <v>1</v>
      </c>
      <c r="E1861" s="458">
        <f t="shared" ca="1" si="374"/>
        <v>1</v>
      </c>
      <c r="F1861" s="34"/>
    </row>
    <row r="1862" spans="1:6" ht="14.1" customHeight="1" x14ac:dyDescent="0.2">
      <c r="A1862" s="457">
        <f ca="1">IF($H1862="UNIDADE CONSTRUTIVA",OFFSET(A1862,-1,0)+1,LARGE(A$3:A1861,1))</f>
        <v>0</v>
      </c>
      <c r="B1862" s="457">
        <f t="shared" ca="1" si="371"/>
        <v>21</v>
      </c>
      <c r="C1862" s="457">
        <f t="shared" ca="1" si="372"/>
        <v>1</v>
      </c>
      <c r="D1862" s="458">
        <f t="shared" ca="1" si="373"/>
        <v>1</v>
      </c>
      <c r="E1862" s="458">
        <f t="shared" ca="1" si="374"/>
        <v>1</v>
      </c>
      <c r="F1862" s="34"/>
    </row>
    <row r="1863" spans="1:6" ht="14.1" customHeight="1" x14ac:dyDescent="0.2">
      <c r="A1863" s="457">
        <f ca="1">IF($H1863="UNIDADE CONSTRUTIVA",OFFSET(A1863,-1,0)+1,LARGE(A$3:A1862,1))</f>
        <v>0</v>
      </c>
      <c r="B1863" s="457">
        <f t="shared" ca="1" si="371"/>
        <v>21</v>
      </c>
      <c r="C1863" s="457">
        <f t="shared" ca="1" si="372"/>
        <v>1</v>
      </c>
      <c r="D1863" s="458">
        <f t="shared" ca="1" si="373"/>
        <v>1</v>
      </c>
      <c r="E1863" s="458">
        <f t="shared" ca="1" si="374"/>
        <v>1</v>
      </c>
      <c r="F1863" s="34"/>
    </row>
    <row r="1864" spans="1:6" ht="14.1" customHeight="1" x14ac:dyDescent="0.2">
      <c r="A1864" s="457">
        <f ca="1">IF($H1864="UNIDADE CONSTRUTIVA",OFFSET(A1864,-1,0)+1,LARGE(A$3:A1863,1))</f>
        <v>0</v>
      </c>
      <c r="B1864" s="457">
        <f t="shared" ca="1" si="371"/>
        <v>21</v>
      </c>
      <c r="C1864" s="457">
        <f t="shared" ca="1" si="372"/>
        <v>1</v>
      </c>
      <c r="D1864" s="458">
        <f t="shared" ca="1" si="373"/>
        <v>1</v>
      </c>
      <c r="E1864" s="458">
        <f t="shared" ca="1" si="374"/>
        <v>1</v>
      </c>
      <c r="F1864" s="34"/>
    </row>
    <row r="1865" spans="1:6" ht="14.1" customHeight="1" x14ac:dyDescent="0.2">
      <c r="A1865" s="457">
        <f ca="1">IF($H1865="UNIDADE CONSTRUTIVA",OFFSET(A1865,-1,0)+1,LARGE(A$3:A1864,1))</f>
        <v>0</v>
      </c>
      <c r="B1865" s="457">
        <f t="shared" ca="1" si="371"/>
        <v>21</v>
      </c>
      <c r="C1865" s="457">
        <f t="shared" ca="1" si="372"/>
        <v>1</v>
      </c>
      <c r="D1865" s="458">
        <f t="shared" ca="1" si="373"/>
        <v>1</v>
      </c>
      <c r="E1865" s="458">
        <f t="shared" ca="1" si="374"/>
        <v>1</v>
      </c>
      <c r="F1865" s="34"/>
    </row>
    <row r="1866" spans="1:6" ht="14.1" customHeight="1" x14ac:dyDescent="0.2">
      <c r="A1866" s="457">
        <f ca="1">IF($H1866="UNIDADE CONSTRUTIVA",OFFSET(A1866,-1,0)+1,LARGE(A$3:A1865,1))</f>
        <v>0</v>
      </c>
      <c r="B1866" s="457">
        <f t="shared" ca="1" si="371"/>
        <v>21</v>
      </c>
      <c r="C1866" s="457">
        <f t="shared" ca="1" si="372"/>
        <v>1</v>
      </c>
      <c r="D1866" s="458">
        <f t="shared" ca="1" si="373"/>
        <v>1</v>
      </c>
      <c r="E1866" s="458">
        <f t="shared" ca="1" si="374"/>
        <v>1</v>
      </c>
      <c r="F1866" s="34"/>
    </row>
    <row r="1867" spans="1:6" ht="14.1" customHeight="1" x14ac:dyDescent="0.2">
      <c r="A1867" s="457">
        <f ca="1">IF($H1867="UNIDADE CONSTRUTIVA",OFFSET(A1867,-1,0)+1,LARGE(A$3:A1866,1))</f>
        <v>0</v>
      </c>
      <c r="B1867" s="457">
        <f t="shared" ca="1" si="371"/>
        <v>21</v>
      </c>
      <c r="C1867" s="457">
        <f t="shared" ca="1" si="372"/>
        <v>1</v>
      </c>
      <c r="D1867" s="458">
        <f t="shared" ca="1" si="373"/>
        <v>1</v>
      </c>
      <c r="E1867" s="458">
        <f t="shared" ca="1" si="374"/>
        <v>1</v>
      </c>
      <c r="F1867" s="34"/>
    </row>
    <row r="1868" spans="1:6" ht="14.1" customHeight="1" x14ac:dyDescent="0.2">
      <c r="A1868" s="457">
        <f ca="1">IF($H1868="UNIDADE CONSTRUTIVA",OFFSET(A1868,-1,0)+1,LARGE(A$3:A1867,1))</f>
        <v>0</v>
      </c>
      <c r="B1868" s="457">
        <f t="shared" ca="1" si="371"/>
        <v>21</v>
      </c>
      <c r="C1868" s="457">
        <f t="shared" ca="1" si="372"/>
        <v>1</v>
      </c>
      <c r="D1868" s="458">
        <f t="shared" ca="1" si="373"/>
        <v>1</v>
      </c>
      <c r="E1868" s="458">
        <f t="shared" ca="1" si="374"/>
        <v>1</v>
      </c>
      <c r="F1868" s="34"/>
    </row>
    <row r="1869" spans="1:6" ht="14.1" customHeight="1" x14ac:dyDescent="0.2">
      <c r="A1869" s="457">
        <f ca="1">IF($H1869="UNIDADE CONSTRUTIVA",OFFSET(A1869,-1,0)+1,LARGE(A$3:A1868,1))</f>
        <v>0</v>
      </c>
      <c r="B1869" s="457">
        <f t="shared" ca="1" si="371"/>
        <v>21</v>
      </c>
      <c r="C1869" s="457">
        <f t="shared" ca="1" si="372"/>
        <v>1</v>
      </c>
      <c r="D1869" s="458">
        <f t="shared" ca="1" si="373"/>
        <v>1</v>
      </c>
      <c r="E1869" s="458">
        <f t="shared" ca="1" si="374"/>
        <v>1</v>
      </c>
      <c r="F1869" s="34"/>
    </row>
    <row r="1870" spans="1:6" ht="14.1" customHeight="1" x14ac:dyDescent="0.2">
      <c r="A1870" s="457">
        <f ca="1">IF($H1870="UNIDADE CONSTRUTIVA",OFFSET(A1870,-1,0)+1,LARGE(A$3:A1869,1))</f>
        <v>0</v>
      </c>
      <c r="B1870" s="457">
        <f t="shared" ca="1" si="371"/>
        <v>21</v>
      </c>
      <c r="C1870" s="457">
        <f t="shared" ca="1" si="372"/>
        <v>1</v>
      </c>
      <c r="D1870" s="458">
        <f t="shared" ca="1" si="373"/>
        <v>1</v>
      </c>
      <c r="E1870" s="458">
        <f t="shared" ca="1" si="374"/>
        <v>1</v>
      </c>
      <c r="F1870" s="34"/>
    </row>
    <row r="1871" spans="1:6" ht="14.1" customHeight="1" x14ac:dyDescent="0.2">
      <c r="A1871" s="457">
        <f ca="1">IF($H1871="UNIDADE CONSTRUTIVA",OFFSET(A1871,-1,0)+1,LARGE(A$3:A1870,1))</f>
        <v>0</v>
      </c>
      <c r="B1871" s="457">
        <f t="shared" ca="1" si="371"/>
        <v>21</v>
      </c>
      <c r="C1871" s="457">
        <f t="shared" ca="1" si="372"/>
        <v>1</v>
      </c>
      <c r="D1871" s="458">
        <f t="shared" ca="1" si="373"/>
        <v>1</v>
      </c>
      <c r="E1871" s="458">
        <f t="shared" ca="1" si="374"/>
        <v>1</v>
      </c>
      <c r="F1871" s="34"/>
    </row>
    <row r="1872" spans="1:6" ht="14.1" customHeight="1" x14ac:dyDescent="0.2">
      <c r="A1872" s="457">
        <f ca="1">IF($H1872="UNIDADE CONSTRUTIVA",OFFSET(A1872,-1,0)+1,LARGE(A$3:A1871,1))</f>
        <v>0</v>
      </c>
      <c r="B1872" s="457">
        <f t="shared" ca="1" si="371"/>
        <v>21</v>
      </c>
      <c r="C1872" s="457">
        <f t="shared" ca="1" si="372"/>
        <v>1</v>
      </c>
      <c r="D1872" s="458">
        <f t="shared" ca="1" si="373"/>
        <v>1</v>
      </c>
      <c r="E1872" s="458">
        <f t="shared" ca="1" si="374"/>
        <v>1</v>
      </c>
      <c r="F1872" s="34"/>
    </row>
    <row r="1873" spans="1:6" ht="14.1" customHeight="1" x14ac:dyDescent="0.2">
      <c r="A1873" s="457">
        <f ca="1">IF($H1873="UNIDADE CONSTRUTIVA",OFFSET(A1873,-1,0)+1,LARGE(A$3:A1872,1))</f>
        <v>0</v>
      </c>
      <c r="B1873" s="457">
        <f t="shared" ca="1" si="371"/>
        <v>21</v>
      </c>
      <c r="C1873" s="457">
        <f t="shared" ca="1" si="372"/>
        <v>1</v>
      </c>
      <c r="D1873" s="458">
        <f t="shared" ca="1" si="373"/>
        <v>1</v>
      </c>
      <c r="E1873" s="458">
        <f t="shared" ca="1" si="374"/>
        <v>1</v>
      </c>
      <c r="F1873" s="34"/>
    </row>
    <row r="1874" spans="1:6" ht="14.1" customHeight="1" x14ac:dyDescent="0.2">
      <c r="A1874" s="457">
        <f ca="1">IF($H1874="UNIDADE CONSTRUTIVA",OFFSET(A1874,-1,0)+1,LARGE(A$3:A1873,1))</f>
        <v>0</v>
      </c>
      <c r="B1874" s="457">
        <f t="shared" ca="1" si="371"/>
        <v>21</v>
      </c>
      <c r="C1874" s="457">
        <f t="shared" ca="1" si="372"/>
        <v>1</v>
      </c>
      <c r="D1874" s="458">
        <f t="shared" ca="1" si="373"/>
        <v>1</v>
      </c>
      <c r="E1874" s="458">
        <f t="shared" ca="1" si="374"/>
        <v>1</v>
      </c>
      <c r="F1874" s="34"/>
    </row>
    <row r="1875" spans="1:6" ht="14.1" customHeight="1" x14ac:dyDescent="0.2">
      <c r="A1875" s="457">
        <f ca="1">IF($H1875="UNIDADE CONSTRUTIVA",OFFSET(A1875,-1,0)+1,LARGE(A$3:A1874,1))</f>
        <v>0</v>
      </c>
      <c r="B1875" s="457">
        <f t="shared" ca="1" si="371"/>
        <v>21</v>
      </c>
      <c r="C1875" s="457">
        <f t="shared" ca="1" si="372"/>
        <v>1</v>
      </c>
      <c r="D1875" s="458">
        <f t="shared" ca="1" si="373"/>
        <v>1</v>
      </c>
      <c r="E1875" s="458">
        <f t="shared" ca="1" si="374"/>
        <v>1</v>
      </c>
      <c r="F1875" s="34"/>
    </row>
    <row r="1876" spans="1:6" ht="14.1" customHeight="1" x14ac:dyDescent="0.2">
      <c r="A1876" s="457">
        <f ca="1">IF($H1876="UNIDADE CONSTRUTIVA",OFFSET(A1876,-1,0)+1,LARGE(A$3:A1875,1))</f>
        <v>0</v>
      </c>
      <c r="B1876" s="457">
        <f t="shared" ca="1" si="371"/>
        <v>21</v>
      </c>
      <c r="C1876" s="457">
        <f t="shared" ca="1" si="372"/>
        <v>1</v>
      </c>
      <c r="D1876" s="458">
        <f t="shared" ca="1" si="373"/>
        <v>1</v>
      </c>
      <c r="E1876" s="458">
        <f t="shared" ca="1" si="374"/>
        <v>1</v>
      </c>
      <c r="F1876" s="34"/>
    </row>
    <row r="1877" spans="1:6" ht="14.1" customHeight="1" x14ac:dyDescent="0.2">
      <c r="A1877" s="457">
        <f ca="1">IF($H1877="UNIDADE CONSTRUTIVA",OFFSET(A1877,-1,0)+1,LARGE(A$3:A1876,1))</f>
        <v>0</v>
      </c>
      <c r="B1877" s="457">
        <f t="shared" ca="1" si="371"/>
        <v>21</v>
      </c>
      <c r="C1877" s="457">
        <f t="shared" ca="1" si="372"/>
        <v>1</v>
      </c>
      <c r="D1877" s="458">
        <f t="shared" ca="1" si="373"/>
        <v>1</v>
      </c>
      <c r="E1877" s="458">
        <f t="shared" ca="1" si="374"/>
        <v>1</v>
      </c>
      <c r="F1877" s="34"/>
    </row>
    <row r="1878" spans="1:6" ht="14.1" customHeight="1" x14ac:dyDescent="0.2">
      <c r="A1878" s="457">
        <f ca="1">IF($H1878="UNIDADE CONSTRUTIVA",OFFSET(A1878,-1,0)+1,LARGE(A$3:A1877,1))</f>
        <v>0</v>
      </c>
      <c r="B1878" s="457">
        <f t="shared" ca="1" si="371"/>
        <v>21</v>
      </c>
      <c r="C1878" s="457">
        <f t="shared" ca="1" si="372"/>
        <v>1</v>
      </c>
      <c r="D1878" s="458">
        <f t="shared" ca="1" si="373"/>
        <v>1</v>
      </c>
      <c r="E1878" s="458">
        <f t="shared" ca="1" si="374"/>
        <v>1</v>
      </c>
      <c r="F1878" s="34"/>
    </row>
    <row r="1879" spans="1:6" ht="14.1" customHeight="1" x14ac:dyDescent="0.2">
      <c r="A1879" s="457">
        <f ca="1">IF($H1879="UNIDADE CONSTRUTIVA",OFFSET(A1879,-1,0)+1,LARGE(A$3:A1878,1))</f>
        <v>0</v>
      </c>
      <c r="B1879" s="457">
        <f t="shared" ca="1" si="371"/>
        <v>21</v>
      </c>
      <c r="C1879" s="457">
        <f t="shared" ca="1" si="372"/>
        <v>1</v>
      </c>
      <c r="D1879" s="458">
        <f t="shared" ca="1" si="373"/>
        <v>1</v>
      </c>
      <c r="E1879" s="458">
        <f t="shared" ca="1" si="374"/>
        <v>1</v>
      </c>
      <c r="F1879" s="34"/>
    </row>
    <row r="1880" spans="1:6" ht="14.1" customHeight="1" x14ac:dyDescent="0.2">
      <c r="A1880" s="457">
        <f ca="1">IF($H1880="UNIDADE CONSTRUTIVA",OFFSET(A1880,-1,0)+1,LARGE(A$3:A1879,1))</f>
        <v>0</v>
      </c>
      <c r="B1880" s="457">
        <f t="shared" ca="1" si="371"/>
        <v>21</v>
      </c>
      <c r="C1880" s="457">
        <f t="shared" ca="1" si="372"/>
        <v>1</v>
      </c>
      <c r="D1880" s="458">
        <f t="shared" ca="1" si="373"/>
        <v>1</v>
      </c>
      <c r="E1880" s="458">
        <f t="shared" ca="1" si="374"/>
        <v>1</v>
      </c>
      <c r="F1880" s="34"/>
    </row>
    <row r="1881" spans="1:6" ht="14.1" customHeight="1" x14ac:dyDescent="0.2">
      <c r="A1881" s="457">
        <f ca="1">IF($H1881="UNIDADE CONSTRUTIVA",OFFSET(A1881,-1,0)+1,LARGE(A$3:A1880,1))</f>
        <v>0</v>
      </c>
      <c r="B1881" s="457">
        <f t="shared" ca="1" si="371"/>
        <v>21</v>
      </c>
      <c r="C1881" s="457">
        <f t="shared" ca="1" si="372"/>
        <v>1</v>
      </c>
      <c r="D1881" s="458">
        <f t="shared" ca="1" si="373"/>
        <v>1</v>
      </c>
      <c r="E1881" s="458">
        <f t="shared" ca="1" si="374"/>
        <v>1</v>
      </c>
      <c r="F1881" s="34"/>
    </row>
    <row r="1882" spans="1:6" ht="14.1" customHeight="1" x14ac:dyDescent="0.2">
      <c r="A1882" s="457">
        <f ca="1">IF($H1882="UNIDADE CONSTRUTIVA",OFFSET(A1882,-1,0)+1,LARGE(A$3:A1881,1))</f>
        <v>0</v>
      </c>
      <c r="B1882" s="457">
        <f t="shared" ca="1" si="371"/>
        <v>21</v>
      </c>
      <c r="C1882" s="457">
        <f t="shared" ca="1" si="372"/>
        <v>1</v>
      </c>
      <c r="D1882" s="458">
        <f t="shared" ca="1" si="373"/>
        <v>1</v>
      </c>
      <c r="E1882" s="458">
        <f t="shared" ca="1" si="374"/>
        <v>1</v>
      </c>
      <c r="F1882" s="34"/>
    </row>
    <row r="1883" spans="1:6" ht="14.1" customHeight="1" x14ac:dyDescent="0.2">
      <c r="A1883" s="457">
        <f ca="1">IF($H1883="UNIDADE CONSTRUTIVA",OFFSET(A1883,-1,0)+1,LARGE(A$3:A1882,1))</f>
        <v>0</v>
      </c>
      <c r="B1883" s="457">
        <f t="shared" ref="B1883:B1946" ca="1" si="375">IF(H1883="UNIDADE CONSTRUTIVA",0,IF(H1883="CÉLULA CONSTRUTIVA",OFFSET(B1883,-1,0)+1,OFFSET(B1883,-1,0)))</f>
        <v>21</v>
      </c>
      <c r="C1883" s="457">
        <f t="shared" ref="C1883:C1946" ca="1" si="376">IF(H1883="CÉLULA CONSTRUTIVA",0,IF(H1883="ETAPA",OFFSET(C1883,-1,0)+1,OFFSET(C1883,-1,0)))</f>
        <v>1</v>
      </c>
      <c r="D1883" s="458">
        <f t="shared" ref="D1883:D1946" ca="1" si="377">IF(H1883="ETAPA",0,IF(H1883="SUBETAPA",OFFSET(D1883,-1,0)+1,OFFSET(D1883,-1,0)))</f>
        <v>1</v>
      </c>
      <c r="E1883" s="458">
        <f t="shared" ref="E1883:E1946" ca="1" si="378">IF(H1883="Subetapa",0,IF(H1883="serviço",OFFSET(E1883,-1,0)+1,OFFSET(E1883,-1,0)))</f>
        <v>1</v>
      </c>
      <c r="F1883" s="34"/>
    </row>
    <row r="1884" spans="1:6" ht="14.1" customHeight="1" x14ac:dyDescent="0.2">
      <c r="A1884" s="457">
        <f ca="1">IF($H1884="UNIDADE CONSTRUTIVA",OFFSET(A1884,-1,0)+1,LARGE(A$3:A1883,1))</f>
        <v>0</v>
      </c>
      <c r="B1884" s="457">
        <f t="shared" ca="1" si="375"/>
        <v>21</v>
      </c>
      <c r="C1884" s="457">
        <f t="shared" ca="1" si="376"/>
        <v>1</v>
      </c>
      <c r="D1884" s="458">
        <f t="shared" ca="1" si="377"/>
        <v>1</v>
      </c>
      <c r="E1884" s="458">
        <f t="shared" ca="1" si="378"/>
        <v>1</v>
      </c>
      <c r="F1884" s="34"/>
    </row>
    <row r="1885" spans="1:6" ht="14.1" customHeight="1" x14ac:dyDescent="0.2">
      <c r="A1885" s="457">
        <f ca="1">IF($H1885="UNIDADE CONSTRUTIVA",OFFSET(A1885,-1,0)+1,LARGE(A$3:A1884,1))</f>
        <v>0</v>
      </c>
      <c r="B1885" s="457">
        <f t="shared" ca="1" si="375"/>
        <v>21</v>
      </c>
      <c r="C1885" s="457">
        <f t="shared" ca="1" si="376"/>
        <v>1</v>
      </c>
      <c r="D1885" s="458">
        <f t="shared" ca="1" si="377"/>
        <v>1</v>
      </c>
      <c r="E1885" s="458">
        <f t="shared" ca="1" si="378"/>
        <v>1</v>
      </c>
      <c r="F1885" s="34"/>
    </row>
    <row r="1886" spans="1:6" ht="14.1" customHeight="1" x14ac:dyDescent="0.2">
      <c r="A1886" s="457">
        <f ca="1">IF($H1886="UNIDADE CONSTRUTIVA",OFFSET(A1886,-1,0)+1,LARGE(A$3:A1885,1))</f>
        <v>0</v>
      </c>
      <c r="B1886" s="457">
        <f t="shared" ca="1" si="375"/>
        <v>21</v>
      </c>
      <c r="C1886" s="457">
        <f t="shared" ca="1" si="376"/>
        <v>1</v>
      </c>
      <c r="D1886" s="458">
        <f t="shared" ca="1" si="377"/>
        <v>1</v>
      </c>
      <c r="E1886" s="458">
        <f t="shared" ca="1" si="378"/>
        <v>1</v>
      </c>
      <c r="F1886" s="34"/>
    </row>
    <row r="1887" spans="1:6" ht="14.1" customHeight="1" x14ac:dyDescent="0.2">
      <c r="A1887" s="457">
        <f ca="1">IF($H1887="UNIDADE CONSTRUTIVA",OFFSET(A1887,-1,0)+1,LARGE(A$3:A1886,1))</f>
        <v>0</v>
      </c>
      <c r="B1887" s="457">
        <f t="shared" ca="1" si="375"/>
        <v>21</v>
      </c>
      <c r="C1887" s="457">
        <f t="shared" ca="1" si="376"/>
        <v>1</v>
      </c>
      <c r="D1887" s="458">
        <f t="shared" ca="1" si="377"/>
        <v>1</v>
      </c>
      <c r="E1887" s="458">
        <f t="shared" ca="1" si="378"/>
        <v>1</v>
      </c>
      <c r="F1887" s="34"/>
    </row>
    <row r="1888" spans="1:6" ht="14.1" customHeight="1" x14ac:dyDescent="0.2">
      <c r="A1888" s="457">
        <f ca="1">IF($H1888="UNIDADE CONSTRUTIVA",OFFSET(A1888,-1,0)+1,LARGE(A$3:A1887,1))</f>
        <v>0</v>
      </c>
      <c r="B1888" s="457">
        <f t="shared" ca="1" si="375"/>
        <v>21</v>
      </c>
      <c r="C1888" s="457">
        <f t="shared" ca="1" si="376"/>
        <v>1</v>
      </c>
      <c r="D1888" s="458">
        <f t="shared" ca="1" si="377"/>
        <v>1</v>
      </c>
      <c r="E1888" s="458">
        <f t="shared" ca="1" si="378"/>
        <v>1</v>
      </c>
      <c r="F1888" s="34"/>
    </row>
    <row r="1889" spans="1:6" ht="14.1" customHeight="1" x14ac:dyDescent="0.2">
      <c r="A1889" s="457">
        <f ca="1">IF($H1889="UNIDADE CONSTRUTIVA",OFFSET(A1889,-1,0)+1,LARGE(A$3:A1888,1))</f>
        <v>0</v>
      </c>
      <c r="B1889" s="457">
        <f t="shared" ca="1" si="375"/>
        <v>21</v>
      </c>
      <c r="C1889" s="457">
        <f t="shared" ca="1" si="376"/>
        <v>1</v>
      </c>
      <c r="D1889" s="458">
        <f t="shared" ca="1" si="377"/>
        <v>1</v>
      </c>
      <c r="E1889" s="458">
        <f t="shared" ca="1" si="378"/>
        <v>1</v>
      </c>
      <c r="F1889" s="34"/>
    </row>
    <row r="1890" spans="1:6" ht="14.1" customHeight="1" x14ac:dyDescent="0.2">
      <c r="A1890" s="457">
        <f ca="1">IF($H1890="UNIDADE CONSTRUTIVA",OFFSET(A1890,-1,0)+1,LARGE(A$3:A1889,1))</f>
        <v>0</v>
      </c>
      <c r="B1890" s="457">
        <f t="shared" ca="1" si="375"/>
        <v>21</v>
      </c>
      <c r="C1890" s="457">
        <f t="shared" ca="1" si="376"/>
        <v>1</v>
      </c>
      <c r="D1890" s="458">
        <f t="shared" ca="1" si="377"/>
        <v>1</v>
      </c>
      <c r="E1890" s="458">
        <f t="shared" ca="1" si="378"/>
        <v>1</v>
      </c>
      <c r="F1890" s="34"/>
    </row>
    <row r="1891" spans="1:6" ht="14.1" customHeight="1" x14ac:dyDescent="0.2">
      <c r="A1891" s="457">
        <f ca="1">IF($H1891="UNIDADE CONSTRUTIVA",OFFSET(A1891,-1,0)+1,LARGE(A$3:A1890,1))</f>
        <v>0</v>
      </c>
      <c r="B1891" s="457">
        <f t="shared" ca="1" si="375"/>
        <v>21</v>
      </c>
      <c r="C1891" s="457">
        <f t="shared" ca="1" si="376"/>
        <v>1</v>
      </c>
      <c r="D1891" s="458">
        <f t="shared" ca="1" si="377"/>
        <v>1</v>
      </c>
      <c r="E1891" s="458">
        <f t="shared" ca="1" si="378"/>
        <v>1</v>
      </c>
      <c r="F1891" s="34"/>
    </row>
    <row r="1892" spans="1:6" ht="14.1" customHeight="1" x14ac:dyDescent="0.2">
      <c r="A1892" s="457">
        <f ca="1">IF($H1892="UNIDADE CONSTRUTIVA",OFFSET(A1892,-1,0)+1,LARGE(A$3:A1891,1))</f>
        <v>0</v>
      </c>
      <c r="B1892" s="457">
        <f t="shared" ca="1" si="375"/>
        <v>21</v>
      </c>
      <c r="C1892" s="457">
        <f t="shared" ca="1" si="376"/>
        <v>1</v>
      </c>
      <c r="D1892" s="458">
        <f t="shared" ca="1" si="377"/>
        <v>1</v>
      </c>
      <c r="E1892" s="458">
        <f t="shared" ca="1" si="378"/>
        <v>1</v>
      </c>
      <c r="F1892" s="34"/>
    </row>
    <row r="1893" spans="1:6" ht="14.1" customHeight="1" x14ac:dyDescent="0.2">
      <c r="A1893" s="457">
        <f ca="1">IF($H1893="UNIDADE CONSTRUTIVA",OFFSET(A1893,-1,0)+1,LARGE(A$3:A1892,1))</f>
        <v>0</v>
      </c>
      <c r="B1893" s="457">
        <f t="shared" ca="1" si="375"/>
        <v>21</v>
      </c>
      <c r="C1893" s="457">
        <f t="shared" ca="1" si="376"/>
        <v>1</v>
      </c>
      <c r="D1893" s="458">
        <f t="shared" ca="1" si="377"/>
        <v>1</v>
      </c>
      <c r="E1893" s="458">
        <f t="shared" ca="1" si="378"/>
        <v>1</v>
      </c>
      <c r="F1893" s="34"/>
    </row>
    <row r="1894" spans="1:6" ht="14.1" customHeight="1" x14ac:dyDescent="0.2">
      <c r="A1894" s="457">
        <f ca="1">IF($H1894="UNIDADE CONSTRUTIVA",OFFSET(A1894,-1,0)+1,LARGE(A$3:A1893,1))</f>
        <v>0</v>
      </c>
      <c r="B1894" s="457">
        <f t="shared" ca="1" si="375"/>
        <v>21</v>
      </c>
      <c r="C1894" s="457">
        <f t="shared" ca="1" si="376"/>
        <v>1</v>
      </c>
      <c r="D1894" s="458">
        <f t="shared" ca="1" si="377"/>
        <v>1</v>
      </c>
      <c r="E1894" s="458">
        <f t="shared" ca="1" si="378"/>
        <v>1</v>
      </c>
      <c r="F1894" s="34"/>
    </row>
    <row r="1895" spans="1:6" ht="14.1" customHeight="1" x14ac:dyDescent="0.2">
      <c r="A1895" s="457">
        <f ca="1">IF($H1895="UNIDADE CONSTRUTIVA",OFFSET(A1895,-1,0)+1,LARGE(A$3:A1894,1))</f>
        <v>0</v>
      </c>
      <c r="B1895" s="457">
        <f t="shared" ca="1" si="375"/>
        <v>21</v>
      </c>
      <c r="C1895" s="457">
        <f t="shared" ca="1" si="376"/>
        <v>1</v>
      </c>
      <c r="D1895" s="458">
        <f t="shared" ca="1" si="377"/>
        <v>1</v>
      </c>
      <c r="E1895" s="458">
        <f t="shared" ca="1" si="378"/>
        <v>1</v>
      </c>
      <c r="F1895" s="34"/>
    </row>
    <row r="1896" spans="1:6" ht="14.1" customHeight="1" x14ac:dyDescent="0.2">
      <c r="A1896" s="457">
        <f ca="1">IF($H1896="UNIDADE CONSTRUTIVA",OFFSET(A1896,-1,0)+1,LARGE(A$3:A1895,1))</f>
        <v>0</v>
      </c>
      <c r="B1896" s="457">
        <f t="shared" ca="1" si="375"/>
        <v>21</v>
      </c>
      <c r="C1896" s="457">
        <f t="shared" ca="1" si="376"/>
        <v>1</v>
      </c>
      <c r="D1896" s="458">
        <f t="shared" ca="1" si="377"/>
        <v>1</v>
      </c>
      <c r="E1896" s="458">
        <f t="shared" ca="1" si="378"/>
        <v>1</v>
      </c>
      <c r="F1896" s="34"/>
    </row>
    <row r="1897" spans="1:6" ht="14.1" customHeight="1" x14ac:dyDescent="0.2">
      <c r="A1897" s="457">
        <f ca="1">IF($H1897="UNIDADE CONSTRUTIVA",OFFSET(A1897,-1,0)+1,LARGE(A$3:A1896,1))</f>
        <v>0</v>
      </c>
      <c r="B1897" s="457">
        <f t="shared" ca="1" si="375"/>
        <v>21</v>
      </c>
      <c r="C1897" s="457">
        <f t="shared" ca="1" si="376"/>
        <v>1</v>
      </c>
      <c r="D1897" s="458">
        <f t="shared" ca="1" si="377"/>
        <v>1</v>
      </c>
      <c r="E1897" s="458">
        <f t="shared" ca="1" si="378"/>
        <v>1</v>
      </c>
      <c r="F1897" s="34"/>
    </row>
    <row r="1898" spans="1:6" ht="14.1" customHeight="1" x14ac:dyDescent="0.2">
      <c r="A1898" s="457">
        <f ca="1">IF($H1898="UNIDADE CONSTRUTIVA",OFFSET(A1898,-1,0)+1,LARGE(A$3:A1897,1))</f>
        <v>0</v>
      </c>
      <c r="B1898" s="457">
        <f t="shared" ca="1" si="375"/>
        <v>21</v>
      </c>
      <c r="C1898" s="457">
        <f t="shared" ca="1" si="376"/>
        <v>1</v>
      </c>
      <c r="D1898" s="458">
        <f t="shared" ca="1" si="377"/>
        <v>1</v>
      </c>
      <c r="E1898" s="458">
        <f t="shared" ca="1" si="378"/>
        <v>1</v>
      </c>
      <c r="F1898" s="34"/>
    </row>
    <row r="1899" spans="1:6" ht="14.1" customHeight="1" x14ac:dyDescent="0.2">
      <c r="A1899" s="457">
        <f ca="1">IF($H1899="UNIDADE CONSTRUTIVA",OFFSET(A1899,-1,0)+1,LARGE(A$3:A1898,1))</f>
        <v>0</v>
      </c>
      <c r="B1899" s="457">
        <f t="shared" ca="1" si="375"/>
        <v>21</v>
      </c>
      <c r="C1899" s="457">
        <f t="shared" ca="1" si="376"/>
        <v>1</v>
      </c>
      <c r="D1899" s="458">
        <f t="shared" ca="1" si="377"/>
        <v>1</v>
      </c>
      <c r="E1899" s="458">
        <f t="shared" ca="1" si="378"/>
        <v>1</v>
      </c>
      <c r="F1899" s="34"/>
    </row>
    <row r="1900" spans="1:6" ht="14.1" customHeight="1" x14ac:dyDescent="0.2">
      <c r="A1900" s="457">
        <f ca="1">IF($H1900="UNIDADE CONSTRUTIVA",OFFSET(A1900,-1,0)+1,LARGE(A$3:A1899,1))</f>
        <v>0</v>
      </c>
      <c r="B1900" s="457">
        <f t="shared" ca="1" si="375"/>
        <v>21</v>
      </c>
      <c r="C1900" s="457">
        <f t="shared" ca="1" si="376"/>
        <v>1</v>
      </c>
      <c r="D1900" s="458">
        <f t="shared" ca="1" si="377"/>
        <v>1</v>
      </c>
      <c r="E1900" s="458">
        <f t="shared" ca="1" si="378"/>
        <v>1</v>
      </c>
      <c r="F1900" s="34"/>
    </row>
    <row r="1901" spans="1:6" ht="14.1" customHeight="1" x14ac:dyDescent="0.2">
      <c r="A1901" s="457">
        <f ca="1">IF($H1901="UNIDADE CONSTRUTIVA",OFFSET(A1901,-1,0)+1,LARGE(A$3:A1900,1))</f>
        <v>0</v>
      </c>
      <c r="B1901" s="457">
        <f t="shared" ca="1" si="375"/>
        <v>21</v>
      </c>
      <c r="C1901" s="457">
        <f t="shared" ca="1" si="376"/>
        <v>1</v>
      </c>
      <c r="D1901" s="458">
        <f t="shared" ca="1" si="377"/>
        <v>1</v>
      </c>
      <c r="E1901" s="458">
        <f t="shared" ca="1" si="378"/>
        <v>1</v>
      </c>
      <c r="F1901" s="34"/>
    </row>
    <row r="1902" spans="1:6" ht="14.1" customHeight="1" x14ac:dyDescent="0.2">
      <c r="A1902" s="457">
        <f ca="1">IF($H1902="UNIDADE CONSTRUTIVA",OFFSET(A1902,-1,0)+1,LARGE(A$3:A1901,1))</f>
        <v>0</v>
      </c>
      <c r="B1902" s="457">
        <f t="shared" ca="1" si="375"/>
        <v>21</v>
      </c>
      <c r="C1902" s="457">
        <f t="shared" ca="1" si="376"/>
        <v>1</v>
      </c>
      <c r="D1902" s="458">
        <f t="shared" ca="1" si="377"/>
        <v>1</v>
      </c>
      <c r="E1902" s="458">
        <f t="shared" ca="1" si="378"/>
        <v>1</v>
      </c>
      <c r="F1902" s="34"/>
    </row>
    <row r="1903" spans="1:6" ht="14.1" customHeight="1" x14ac:dyDescent="0.2">
      <c r="A1903" s="457">
        <f ca="1">IF($H1903="UNIDADE CONSTRUTIVA",OFFSET(A1903,-1,0)+1,LARGE(A$3:A1902,1))</f>
        <v>0</v>
      </c>
      <c r="B1903" s="457">
        <f t="shared" ca="1" si="375"/>
        <v>21</v>
      </c>
      <c r="C1903" s="457">
        <f t="shared" ca="1" si="376"/>
        <v>1</v>
      </c>
      <c r="D1903" s="458">
        <f t="shared" ca="1" si="377"/>
        <v>1</v>
      </c>
      <c r="E1903" s="458">
        <f t="shared" ca="1" si="378"/>
        <v>1</v>
      </c>
      <c r="F1903" s="34"/>
    </row>
    <row r="1904" spans="1:6" ht="14.1" customHeight="1" x14ac:dyDescent="0.2">
      <c r="A1904" s="457">
        <f ca="1">IF($H1904="UNIDADE CONSTRUTIVA",OFFSET(A1904,-1,0)+1,LARGE(A$3:A1903,1))</f>
        <v>0</v>
      </c>
      <c r="B1904" s="457">
        <f t="shared" ca="1" si="375"/>
        <v>21</v>
      </c>
      <c r="C1904" s="457">
        <f t="shared" ca="1" si="376"/>
        <v>1</v>
      </c>
      <c r="D1904" s="458">
        <f t="shared" ca="1" si="377"/>
        <v>1</v>
      </c>
      <c r="E1904" s="458">
        <f t="shared" ca="1" si="378"/>
        <v>1</v>
      </c>
      <c r="F1904" s="34"/>
    </row>
    <row r="1905" spans="1:6" ht="14.1" customHeight="1" x14ac:dyDescent="0.2">
      <c r="A1905" s="457">
        <f ca="1">IF($H1905="UNIDADE CONSTRUTIVA",OFFSET(A1905,-1,0)+1,LARGE(A$3:A1904,1))</f>
        <v>0</v>
      </c>
      <c r="B1905" s="457">
        <f t="shared" ca="1" si="375"/>
        <v>21</v>
      </c>
      <c r="C1905" s="457">
        <f t="shared" ca="1" si="376"/>
        <v>1</v>
      </c>
      <c r="D1905" s="458">
        <f t="shared" ca="1" si="377"/>
        <v>1</v>
      </c>
      <c r="E1905" s="458">
        <f t="shared" ca="1" si="378"/>
        <v>1</v>
      </c>
      <c r="F1905" s="34"/>
    </row>
    <row r="1906" spans="1:6" ht="14.1" customHeight="1" x14ac:dyDescent="0.2">
      <c r="A1906" s="457">
        <f ca="1">IF($H1906="UNIDADE CONSTRUTIVA",OFFSET(A1906,-1,0)+1,LARGE(A$3:A1905,1))</f>
        <v>0</v>
      </c>
      <c r="B1906" s="457">
        <f t="shared" ca="1" si="375"/>
        <v>21</v>
      </c>
      <c r="C1906" s="457">
        <f t="shared" ca="1" si="376"/>
        <v>1</v>
      </c>
      <c r="D1906" s="458">
        <f t="shared" ca="1" si="377"/>
        <v>1</v>
      </c>
      <c r="E1906" s="458">
        <f t="shared" ca="1" si="378"/>
        <v>1</v>
      </c>
      <c r="F1906" s="34"/>
    </row>
    <row r="1907" spans="1:6" ht="14.1" customHeight="1" x14ac:dyDescent="0.2">
      <c r="A1907" s="457">
        <f ca="1">IF($H1907="UNIDADE CONSTRUTIVA",OFFSET(A1907,-1,0)+1,LARGE(A$3:A1906,1))</f>
        <v>0</v>
      </c>
      <c r="B1907" s="457">
        <f t="shared" ca="1" si="375"/>
        <v>21</v>
      </c>
      <c r="C1907" s="457">
        <f t="shared" ca="1" si="376"/>
        <v>1</v>
      </c>
      <c r="D1907" s="458">
        <f t="shared" ca="1" si="377"/>
        <v>1</v>
      </c>
      <c r="E1907" s="458">
        <f t="shared" ca="1" si="378"/>
        <v>1</v>
      </c>
      <c r="F1907" s="34"/>
    </row>
    <row r="1908" spans="1:6" ht="14.1" customHeight="1" x14ac:dyDescent="0.2">
      <c r="A1908" s="457">
        <f ca="1">IF($H1908="UNIDADE CONSTRUTIVA",OFFSET(A1908,-1,0)+1,LARGE(A$3:A1907,1))</f>
        <v>0</v>
      </c>
      <c r="B1908" s="457">
        <f t="shared" ca="1" si="375"/>
        <v>21</v>
      </c>
      <c r="C1908" s="457">
        <f t="shared" ca="1" si="376"/>
        <v>1</v>
      </c>
      <c r="D1908" s="458">
        <f t="shared" ca="1" si="377"/>
        <v>1</v>
      </c>
      <c r="E1908" s="458">
        <f t="shared" ca="1" si="378"/>
        <v>1</v>
      </c>
      <c r="F1908" s="34"/>
    </row>
    <row r="1909" spans="1:6" ht="14.1" customHeight="1" x14ac:dyDescent="0.2">
      <c r="A1909" s="457">
        <f ca="1">IF($H1909="UNIDADE CONSTRUTIVA",OFFSET(A1909,-1,0)+1,LARGE(A$3:A1908,1))</f>
        <v>0</v>
      </c>
      <c r="B1909" s="457">
        <f t="shared" ca="1" si="375"/>
        <v>21</v>
      </c>
      <c r="C1909" s="457">
        <f t="shared" ca="1" si="376"/>
        <v>1</v>
      </c>
      <c r="D1909" s="458">
        <f t="shared" ca="1" si="377"/>
        <v>1</v>
      </c>
      <c r="E1909" s="458">
        <f t="shared" ca="1" si="378"/>
        <v>1</v>
      </c>
      <c r="F1909" s="34"/>
    </row>
    <row r="1910" spans="1:6" ht="14.1" customHeight="1" x14ac:dyDescent="0.2">
      <c r="A1910" s="457">
        <f ca="1">IF($H1910="UNIDADE CONSTRUTIVA",OFFSET(A1910,-1,0)+1,LARGE(A$3:A1909,1))</f>
        <v>0</v>
      </c>
      <c r="B1910" s="457">
        <f t="shared" ca="1" si="375"/>
        <v>21</v>
      </c>
      <c r="C1910" s="457">
        <f t="shared" ca="1" si="376"/>
        <v>1</v>
      </c>
      <c r="D1910" s="458">
        <f t="shared" ca="1" si="377"/>
        <v>1</v>
      </c>
      <c r="E1910" s="458">
        <f t="shared" ca="1" si="378"/>
        <v>1</v>
      </c>
      <c r="F1910" s="34"/>
    </row>
    <row r="1911" spans="1:6" ht="14.1" customHeight="1" x14ac:dyDescent="0.2">
      <c r="A1911" s="457">
        <f ca="1">IF($H1911="UNIDADE CONSTRUTIVA",OFFSET(A1911,-1,0)+1,LARGE(A$3:A1910,1))</f>
        <v>0</v>
      </c>
      <c r="B1911" s="457">
        <f t="shared" ca="1" si="375"/>
        <v>21</v>
      </c>
      <c r="C1911" s="457">
        <f t="shared" ca="1" si="376"/>
        <v>1</v>
      </c>
      <c r="D1911" s="458">
        <f t="shared" ca="1" si="377"/>
        <v>1</v>
      </c>
      <c r="E1911" s="458">
        <f t="shared" ca="1" si="378"/>
        <v>1</v>
      </c>
      <c r="F1911" s="34"/>
    </row>
    <row r="1912" spans="1:6" ht="14.1" customHeight="1" x14ac:dyDescent="0.2">
      <c r="A1912" s="457">
        <f ca="1">IF($H1912="UNIDADE CONSTRUTIVA",OFFSET(A1912,-1,0)+1,LARGE(A$3:A1911,1))</f>
        <v>0</v>
      </c>
      <c r="B1912" s="457">
        <f t="shared" ca="1" si="375"/>
        <v>21</v>
      </c>
      <c r="C1912" s="457">
        <f t="shared" ca="1" si="376"/>
        <v>1</v>
      </c>
      <c r="D1912" s="458">
        <f t="shared" ca="1" si="377"/>
        <v>1</v>
      </c>
      <c r="E1912" s="458">
        <f t="shared" ca="1" si="378"/>
        <v>1</v>
      </c>
      <c r="F1912" s="34"/>
    </row>
    <row r="1913" spans="1:6" ht="14.1" customHeight="1" x14ac:dyDescent="0.2">
      <c r="A1913" s="457">
        <f ca="1">IF($H1913="UNIDADE CONSTRUTIVA",OFFSET(A1913,-1,0)+1,LARGE(A$3:A1912,1))</f>
        <v>0</v>
      </c>
      <c r="B1913" s="457">
        <f t="shared" ca="1" si="375"/>
        <v>21</v>
      </c>
      <c r="C1913" s="457">
        <f t="shared" ca="1" si="376"/>
        <v>1</v>
      </c>
      <c r="D1913" s="458">
        <f t="shared" ca="1" si="377"/>
        <v>1</v>
      </c>
      <c r="E1913" s="458">
        <f t="shared" ca="1" si="378"/>
        <v>1</v>
      </c>
      <c r="F1913" s="34"/>
    </row>
    <row r="1914" spans="1:6" ht="14.1" customHeight="1" x14ac:dyDescent="0.2">
      <c r="A1914" s="457">
        <f ca="1">IF($H1914="UNIDADE CONSTRUTIVA",OFFSET(A1914,-1,0)+1,LARGE(A$3:A1913,1))</f>
        <v>0</v>
      </c>
      <c r="B1914" s="457">
        <f t="shared" ca="1" si="375"/>
        <v>21</v>
      </c>
      <c r="C1914" s="457">
        <f t="shared" ca="1" si="376"/>
        <v>1</v>
      </c>
      <c r="D1914" s="458">
        <f t="shared" ca="1" si="377"/>
        <v>1</v>
      </c>
      <c r="E1914" s="458">
        <f t="shared" ca="1" si="378"/>
        <v>1</v>
      </c>
      <c r="F1914" s="34"/>
    </row>
    <row r="1915" spans="1:6" ht="14.1" customHeight="1" x14ac:dyDescent="0.2">
      <c r="A1915" s="457">
        <f ca="1">IF($H1915="UNIDADE CONSTRUTIVA",OFFSET(A1915,-1,0)+1,LARGE(A$3:A1914,1))</f>
        <v>0</v>
      </c>
      <c r="B1915" s="457">
        <f t="shared" ca="1" si="375"/>
        <v>21</v>
      </c>
      <c r="C1915" s="457">
        <f t="shared" ca="1" si="376"/>
        <v>1</v>
      </c>
      <c r="D1915" s="458">
        <f t="shared" ca="1" si="377"/>
        <v>1</v>
      </c>
      <c r="E1915" s="458">
        <f t="shared" ca="1" si="378"/>
        <v>1</v>
      </c>
      <c r="F1915" s="34"/>
    </row>
    <row r="1916" spans="1:6" ht="14.1" customHeight="1" x14ac:dyDescent="0.2">
      <c r="A1916" s="457">
        <f ca="1">IF($H1916="UNIDADE CONSTRUTIVA",OFFSET(A1916,-1,0)+1,LARGE(A$3:A1915,1))</f>
        <v>0</v>
      </c>
      <c r="B1916" s="457">
        <f t="shared" ca="1" si="375"/>
        <v>21</v>
      </c>
      <c r="C1916" s="457">
        <f t="shared" ca="1" si="376"/>
        <v>1</v>
      </c>
      <c r="D1916" s="458">
        <f t="shared" ca="1" si="377"/>
        <v>1</v>
      </c>
      <c r="E1916" s="458">
        <f t="shared" ca="1" si="378"/>
        <v>1</v>
      </c>
      <c r="F1916" s="34"/>
    </row>
    <row r="1917" spans="1:6" ht="14.1" customHeight="1" x14ac:dyDescent="0.2">
      <c r="A1917" s="457">
        <f ca="1">IF($H1917="UNIDADE CONSTRUTIVA",OFFSET(A1917,-1,0)+1,LARGE(A$3:A1916,1))</f>
        <v>0</v>
      </c>
      <c r="B1917" s="457">
        <f t="shared" ca="1" si="375"/>
        <v>21</v>
      </c>
      <c r="C1917" s="457">
        <f t="shared" ca="1" si="376"/>
        <v>1</v>
      </c>
      <c r="D1917" s="458">
        <f t="shared" ca="1" si="377"/>
        <v>1</v>
      </c>
      <c r="E1917" s="458">
        <f t="shared" ca="1" si="378"/>
        <v>1</v>
      </c>
      <c r="F1917" s="34"/>
    </row>
    <row r="1918" spans="1:6" ht="14.1" customHeight="1" x14ac:dyDescent="0.2">
      <c r="A1918" s="457">
        <f ca="1">IF($H1918="UNIDADE CONSTRUTIVA",OFFSET(A1918,-1,0)+1,LARGE(A$3:A1917,1))</f>
        <v>0</v>
      </c>
      <c r="B1918" s="457">
        <f t="shared" ca="1" si="375"/>
        <v>21</v>
      </c>
      <c r="C1918" s="457">
        <f t="shared" ca="1" si="376"/>
        <v>1</v>
      </c>
      <c r="D1918" s="458">
        <f t="shared" ca="1" si="377"/>
        <v>1</v>
      </c>
      <c r="E1918" s="458">
        <f t="shared" ca="1" si="378"/>
        <v>1</v>
      </c>
      <c r="F1918" s="34"/>
    </row>
    <row r="1919" spans="1:6" ht="14.1" customHeight="1" x14ac:dyDescent="0.2">
      <c r="A1919" s="457">
        <f ca="1">IF($H1919="UNIDADE CONSTRUTIVA",OFFSET(A1919,-1,0)+1,LARGE(A$3:A1918,1))</f>
        <v>0</v>
      </c>
      <c r="B1919" s="457">
        <f t="shared" ca="1" si="375"/>
        <v>21</v>
      </c>
      <c r="C1919" s="457">
        <f t="shared" ca="1" si="376"/>
        <v>1</v>
      </c>
      <c r="D1919" s="458">
        <f t="shared" ca="1" si="377"/>
        <v>1</v>
      </c>
      <c r="E1919" s="458">
        <f t="shared" ca="1" si="378"/>
        <v>1</v>
      </c>
      <c r="F1919" s="34"/>
    </row>
    <row r="1920" spans="1:6" ht="14.1" customHeight="1" x14ac:dyDescent="0.2">
      <c r="A1920" s="457">
        <f ca="1">IF($H1920="UNIDADE CONSTRUTIVA",OFFSET(A1920,-1,0)+1,LARGE(A$3:A1919,1))</f>
        <v>0</v>
      </c>
      <c r="B1920" s="457">
        <f t="shared" ca="1" si="375"/>
        <v>21</v>
      </c>
      <c r="C1920" s="457">
        <f t="shared" ca="1" si="376"/>
        <v>1</v>
      </c>
      <c r="D1920" s="458">
        <f t="shared" ca="1" si="377"/>
        <v>1</v>
      </c>
      <c r="E1920" s="458">
        <f t="shared" ca="1" si="378"/>
        <v>1</v>
      </c>
      <c r="F1920" s="34"/>
    </row>
    <row r="1921" spans="1:6" ht="14.1" customHeight="1" x14ac:dyDescent="0.2">
      <c r="A1921" s="457">
        <f ca="1">IF($H1921="UNIDADE CONSTRUTIVA",OFFSET(A1921,-1,0)+1,LARGE(A$3:A1920,1))</f>
        <v>0</v>
      </c>
      <c r="B1921" s="457">
        <f t="shared" ca="1" si="375"/>
        <v>21</v>
      </c>
      <c r="C1921" s="457">
        <f t="shared" ca="1" si="376"/>
        <v>1</v>
      </c>
      <c r="D1921" s="458">
        <f t="shared" ca="1" si="377"/>
        <v>1</v>
      </c>
      <c r="E1921" s="458">
        <f t="shared" ca="1" si="378"/>
        <v>1</v>
      </c>
      <c r="F1921" s="34"/>
    </row>
    <row r="1922" spans="1:6" ht="14.1" customHeight="1" x14ac:dyDescent="0.2">
      <c r="A1922" s="457">
        <f ca="1">IF($H1922="UNIDADE CONSTRUTIVA",OFFSET(A1922,-1,0)+1,LARGE(A$3:A1921,1))</f>
        <v>0</v>
      </c>
      <c r="B1922" s="457">
        <f t="shared" ca="1" si="375"/>
        <v>21</v>
      </c>
      <c r="C1922" s="457">
        <f t="shared" ca="1" si="376"/>
        <v>1</v>
      </c>
      <c r="D1922" s="458">
        <f t="shared" ca="1" si="377"/>
        <v>1</v>
      </c>
      <c r="E1922" s="458">
        <f t="shared" ca="1" si="378"/>
        <v>1</v>
      </c>
      <c r="F1922" s="34"/>
    </row>
    <row r="1923" spans="1:6" ht="14.1" customHeight="1" x14ac:dyDescent="0.2">
      <c r="A1923" s="457">
        <f ca="1">IF($H1923="UNIDADE CONSTRUTIVA",OFFSET(A1923,-1,0)+1,LARGE(A$3:A1922,1))</f>
        <v>0</v>
      </c>
      <c r="B1923" s="457">
        <f t="shared" ca="1" si="375"/>
        <v>21</v>
      </c>
      <c r="C1923" s="457">
        <f t="shared" ca="1" si="376"/>
        <v>1</v>
      </c>
      <c r="D1923" s="458">
        <f t="shared" ca="1" si="377"/>
        <v>1</v>
      </c>
      <c r="E1923" s="458">
        <f t="shared" ca="1" si="378"/>
        <v>1</v>
      </c>
      <c r="F1923" s="34"/>
    </row>
    <row r="1924" spans="1:6" ht="14.1" customHeight="1" x14ac:dyDescent="0.2">
      <c r="A1924" s="457">
        <f ca="1">IF($H1924="UNIDADE CONSTRUTIVA",OFFSET(A1924,-1,0)+1,LARGE(A$3:A1923,1))</f>
        <v>0</v>
      </c>
      <c r="B1924" s="457">
        <f t="shared" ca="1" si="375"/>
        <v>21</v>
      </c>
      <c r="C1924" s="457">
        <f t="shared" ca="1" si="376"/>
        <v>1</v>
      </c>
      <c r="D1924" s="458">
        <f t="shared" ca="1" si="377"/>
        <v>1</v>
      </c>
      <c r="E1924" s="458">
        <f t="shared" ca="1" si="378"/>
        <v>1</v>
      </c>
      <c r="F1924" s="34"/>
    </row>
    <row r="1925" spans="1:6" ht="14.1" customHeight="1" x14ac:dyDescent="0.2">
      <c r="A1925" s="457">
        <f ca="1">IF($H1925="UNIDADE CONSTRUTIVA",OFFSET(A1925,-1,0)+1,LARGE(A$3:A1924,1))</f>
        <v>0</v>
      </c>
      <c r="B1925" s="457">
        <f t="shared" ca="1" si="375"/>
        <v>21</v>
      </c>
      <c r="C1925" s="457">
        <f t="shared" ca="1" si="376"/>
        <v>1</v>
      </c>
      <c r="D1925" s="458">
        <f t="shared" ca="1" si="377"/>
        <v>1</v>
      </c>
      <c r="E1925" s="458">
        <f t="shared" ca="1" si="378"/>
        <v>1</v>
      </c>
      <c r="F1925" s="34"/>
    </row>
    <row r="1926" spans="1:6" ht="14.1" customHeight="1" x14ac:dyDescent="0.2">
      <c r="A1926" s="457">
        <f ca="1">IF($H1926="UNIDADE CONSTRUTIVA",OFFSET(A1926,-1,0)+1,LARGE(A$3:A1925,1))</f>
        <v>0</v>
      </c>
      <c r="B1926" s="457">
        <f t="shared" ca="1" si="375"/>
        <v>21</v>
      </c>
      <c r="C1926" s="457">
        <f t="shared" ca="1" si="376"/>
        <v>1</v>
      </c>
      <c r="D1926" s="458">
        <f t="shared" ca="1" si="377"/>
        <v>1</v>
      </c>
      <c r="E1926" s="458">
        <f t="shared" ca="1" si="378"/>
        <v>1</v>
      </c>
      <c r="F1926" s="34"/>
    </row>
    <row r="1927" spans="1:6" ht="14.1" customHeight="1" x14ac:dyDescent="0.2">
      <c r="A1927" s="457">
        <f ca="1">IF($H1927="UNIDADE CONSTRUTIVA",OFFSET(A1927,-1,0)+1,LARGE(A$3:A1926,1))</f>
        <v>0</v>
      </c>
      <c r="B1927" s="457">
        <f t="shared" ca="1" si="375"/>
        <v>21</v>
      </c>
      <c r="C1927" s="457">
        <f t="shared" ca="1" si="376"/>
        <v>1</v>
      </c>
      <c r="D1927" s="458">
        <f t="shared" ca="1" si="377"/>
        <v>1</v>
      </c>
      <c r="E1927" s="458">
        <f t="shared" ca="1" si="378"/>
        <v>1</v>
      </c>
      <c r="F1927" s="34"/>
    </row>
    <row r="1928" spans="1:6" ht="14.1" customHeight="1" x14ac:dyDescent="0.2">
      <c r="A1928" s="457">
        <f ca="1">IF($H1928="UNIDADE CONSTRUTIVA",OFFSET(A1928,-1,0)+1,LARGE(A$3:A1927,1))</f>
        <v>0</v>
      </c>
      <c r="B1928" s="457">
        <f t="shared" ca="1" si="375"/>
        <v>21</v>
      </c>
      <c r="C1928" s="457">
        <f t="shared" ca="1" si="376"/>
        <v>1</v>
      </c>
      <c r="D1928" s="458">
        <f t="shared" ca="1" si="377"/>
        <v>1</v>
      </c>
      <c r="E1928" s="458">
        <f t="shared" ca="1" si="378"/>
        <v>1</v>
      </c>
      <c r="F1928" s="34"/>
    </row>
    <row r="1929" spans="1:6" ht="14.1" customHeight="1" x14ac:dyDescent="0.2">
      <c r="A1929" s="457">
        <f ca="1">IF($H1929="UNIDADE CONSTRUTIVA",OFFSET(A1929,-1,0)+1,LARGE(A$3:A1928,1))</f>
        <v>0</v>
      </c>
      <c r="B1929" s="457">
        <f t="shared" ca="1" si="375"/>
        <v>21</v>
      </c>
      <c r="C1929" s="457">
        <f t="shared" ca="1" si="376"/>
        <v>1</v>
      </c>
      <c r="D1929" s="458">
        <f t="shared" ca="1" si="377"/>
        <v>1</v>
      </c>
      <c r="E1929" s="458">
        <f t="shared" ca="1" si="378"/>
        <v>1</v>
      </c>
      <c r="F1929" s="34"/>
    </row>
    <row r="1930" spans="1:6" ht="14.1" customHeight="1" x14ac:dyDescent="0.2">
      <c r="A1930" s="457">
        <f ca="1">IF($H1930="UNIDADE CONSTRUTIVA",OFFSET(A1930,-1,0)+1,LARGE(A$3:A1929,1))</f>
        <v>0</v>
      </c>
      <c r="B1930" s="457">
        <f t="shared" ca="1" si="375"/>
        <v>21</v>
      </c>
      <c r="C1930" s="457">
        <f t="shared" ca="1" si="376"/>
        <v>1</v>
      </c>
      <c r="D1930" s="458">
        <f t="shared" ca="1" si="377"/>
        <v>1</v>
      </c>
      <c r="E1930" s="458">
        <f t="shared" ca="1" si="378"/>
        <v>1</v>
      </c>
      <c r="F1930" s="34"/>
    </row>
    <row r="1931" spans="1:6" ht="14.1" customHeight="1" x14ac:dyDescent="0.2">
      <c r="A1931" s="457">
        <f ca="1">IF($H1931="UNIDADE CONSTRUTIVA",OFFSET(A1931,-1,0)+1,LARGE(A$3:A1930,1))</f>
        <v>0</v>
      </c>
      <c r="B1931" s="457">
        <f t="shared" ca="1" si="375"/>
        <v>21</v>
      </c>
      <c r="C1931" s="457">
        <f t="shared" ca="1" si="376"/>
        <v>1</v>
      </c>
      <c r="D1931" s="458">
        <f t="shared" ca="1" si="377"/>
        <v>1</v>
      </c>
      <c r="E1931" s="458">
        <f t="shared" ca="1" si="378"/>
        <v>1</v>
      </c>
      <c r="F1931" s="34"/>
    </row>
    <row r="1932" spans="1:6" ht="14.1" customHeight="1" x14ac:dyDescent="0.2">
      <c r="A1932" s="457">
        <f ca="1">IF($H1932="UNIDADE CONSTRUTIVA",OFFSET(A1932,-1,0)+1,LARGE(A$3:A1931,1))</f>
        <v>0</v>
      </c>
      <c r="B1932" s="457">
        <f t="shared" ca="1" si="375"/>
        <v>21</v>
      </c>
      <c r="C1932" s="457">
        <f t="shared" ca="1" si="376"/>
        <v>1</v>
      </c>
      <c r="D1932" s="458">
        <f t="shared" ca="1" si="377"/>
        <v>1</v>
      </c>
      <c r="E1932" s="458">
        <f t="shared" ca="1" si="378"/>
        <v>1</v>
      </c>
      <c r="F1932" s="34"/>
    </row>
    <row r="1933" spans="1:6" ht="14.1" customHeight="1" x14ac:dyDescent="0.2">
      <c r="A1933" s="457">
        <f ca="1">IF($H1933="UNIDADE CONSTRUTIVA",OFFSET(A1933,-1,0)+1,LARGE(A$3:A1932,1))</f>
        <v>0</v>
      </c>
      <c r="B1933" s="457">
        <f t="shared" ca="1" si="375"/>
        <v>21</v>
      </c>
      <c r="C1933" s="457">
        <f t="shared" ca="1" si="376"/>
        <v>1</v>
      </c>
      <c r="D1933" s="458">
        <f t="shared" ca="1" si="377"/>
        <v>1</v>
      </c>
      <c r="E1933" s="458">
        <f t="shared" ca="1" si="378"/>
        <v>1</v>
      </c>
      <c r="F1933" s="34"/>
    </row>
    <row r="1934" spans="1:6" ht="14.1" customHeight="1" x14ac:dyDescent="0.2">
      <c r="A1934" s="457">
        <f ca="1">IF($H1934="UNIDADE CONSTRUTIVA",OFFSET(A1934,-1,0)+1,LARGE(A$3:A1933,1))</f>
        <v>0</v>
      </c>
      <c r="B1934" s="457">
        <f t="shared" ca="1" si="375"/>
        <v>21</v>
      </c>
      <c r="C1934" s="457">
        <f t="shared" ca="1" si="376"/>
        <v>1</v>
      </c>
      <c r="D1934" s="458">
        <f t="shared" ca="1" si="377"/>
        <v>1</v>
      </c>
      <c r="E1934" s="458">
        <f t="shared" ca="1" si="378"/>
        <v>1</v>
      </c>
      <c r="F1934" s="34"/>
    </row>
    <row r="1935" spans="1:6" ht="14.1" customHeight="1" x14ac:dyDescent="0.2">
      <c r="A1935" s="457">
        <f ca="1">IF($H1935="UNIDADE CONSTRUTIVA",OFFSET(A1935,-1,0)+1,LARGE(A$3:A1934,1))</f>
        <v>0</v>
      </c>
      <c r="B1935" s="457">
        <f t="shared" ca="1" si="375"/>
        <v>21</v>
      </c>
      <c r="C1935" s="457">
        <f t="shared" ca="1" si="376"/>
        <v>1</v>
      </c>
      <c r="D1935" s="458">
        <f t="shared" ca="1" si="377"/>
        <v>1</v>
      </c>
      <c r="E1935" s="458">
        <f t="shared" ca="1" si="378"/>
        <v>1</v>
      </c>
      <c r="F1935" s="34"/>
    </row>
    <row r="1936" spans="1:6" ht="14.1" customHeight="1" x14ac:dyDescent="0.2">
      <c r="A1936" s="457">
        <f ca="1">IF($H1936="UNIDADE CONSTRUTIVA",OFFSET(A1936,-1,0)+1,LARGE(A$3:A1935,1))</f>
        <v>0</v>
      </c>
      <c r="B1936" s="457">
        <f t="shared" ca="1" si="375"/>
        <v>21</v>
      </c>
      <c r="C1936" s="457">
        <f t="shared" ca="1" si="376"/>
        <v>1</v>
      </c>
      <c r="D1936" s="458">
        <f t="shared" ca="1" si="377"/>
        <v>1</v>
      </c>
      <c r="E1936" s="458">
        <f t="shared" ca="1" si="378"/>
        <v>1</v>
      </c>
      <c r="F1936" s="34"/>
    </row>
    <row r="1937" spans="1:6" ht="14.1" customHeight="1" x14ac:dyDescent="0.2">
      <c r="A1937" s="457">
        <f ca="1">IF($H1937="UNIDADE CONSTRUTIVA",OFFSET(A1937,-1,0)+1,LARGE(A$3:A1936,1))</f>
        <v>0</v>
      </c>
      <c r="B1937" s="457">
        <f t="shared" ca="1" si="375"/>
        <v>21</v>
      </c>
      <c r="C1937" s="457">
        <f t="shared" ca="1" si="376"/>
        <v>1</v>
      </c>
      <c r="D1937" s="458">
        <f t="shared" ca="1" si="377"/>
        <v>1</v>
      </c>
      <c r="E1937" s="458">
        <f t="shared" ca="1" si="378"/>
        <v>1</v>
      </c>
      <c r="F1937" s="34"/>
    </row>
    <row r="1938" spans="1:6" ht="14.1" customHeight="1" x14ac:dyDescent="0.2">
      <c r="A1938" s="457">
        <f ca="1">IF($H1938="UNIDADE CONSTRUTIVA",OFFSET(A1938,-1,0)+1,LARGE(A$3:A1937,1))</f>
        <v>0</v>
      </c>
      <c r="B1938" s="457">
        <f t="shared" ca="1" si="375"/>
        <v>21</v>
      </c>
      <c r="C1938" s="457">
        <f t="shared" ca="1" si="376"/>
        <v>1</v>
      </c>
      <c r="D1938" s="458">
        <f t="shared" ca="1" si="377"/>
        <v>1</v>
      </c>
      <c r="E1938" s="458">
        <f t="shared" ca="1" si="378"/>
        <v>1</v>
      </c>
      <c r="F1938" s="34"/>
    </row>
    <row r="1939" spans="1:6" ht="14.1" customHeight="1" x14ac:dyDescent="0.2">
      <c r="A1939" s="457">
        <f ca="1">IF($H1939="UNIDADE CONSTRUTIVA",OFFSET(A1939,-1,0)+1,LARGE(A$3:A1938,1))</f>
        <v>0</v>
      </c>
      <c r="B1939" s="457">
        <f t="shared" ca="1" si="375"/>
        <v>21</v>
      </c>
      <c r="C1939" s="457">
        <f t="shared" ca="1" si="376"/>
        <v>1</v>
      </c>
      <c r="D1939" s="458">
        <f t="shared" ca="1" si="377"/>
        <v>1</v>
      </c>
      <c r="E1939" s="458">
        <f t="shared" ca="1" si="378"/>
        <v>1</v>
      </c>
      <c r="F1939" s="34"/>
    </row>
    <row r="1940" spans="1:6" ht="14.1" customHeight="1" x14ac:dyDescent="0.2">
      <c r="A1940" s="457">
        <f ca="1">IF($H1940="UNIDADE CONSTRUTIVA",OFFSET(A1940,-1,0)+1,LARGE(A$3:A1939,1))</f>
        <v>0</v>
      </c>
      <c r="B1940" s="457">
        <f t="shared" ca="1" si="375"/>
        <v>21</v>
      </c>
      <c r="C1940" s="457">
        <f t="shared" ca="1" si="376"/>
        <v>1</v>
      </c>
      <c r="D1940" s="458">
        <f t="shared" ca="1" si="377"/>
        <v>1</v>
      </c>
      <c r="E1940" s="458">
        <f t="shared" ca="1" si="378"/>
        <v>1</v>
      </c>
      <c r="F1940" s="34"/>
    </row>
    <row r="1941" spans="1:6" ht="14.1" customHeight="1" x14ac:dyDescent="0.2">
      <c r="A1941" s="457">
        <f ca="1">IF($H1941="UNIDADE CONSTRUTIVA",OFFSET(A1941,-1,0)+1,LARGE(A$3:A1940,1))</f>
        <v>0</v>
      </c>
      <c r="B1941" s="457">
        <f t="shared" ca="1" si="375"/>
        <v>21</v>
      </c>
      <c r="C1941" s="457">
        <f t="shared" ca="1" si="376"/>
        <v>1</v>
      </c>
      <c r="D1941" s="458">
        <f t="shared" ca="1" si="377"/>
        <v>1</v>
      </c>
      <c r="E1941" s="458">
        <f t="shared" ca="1" si="378"/>
        <v>1</v>
      </c>
      <c r="F1941" s="34"/>
    </row>
    <row r="1942" spans="1:6" ht="14.1" customHeight="1" x14ac:dyDescent="0.2">
      <c r="A1942" s="457">
        <f ca="1">IF($H1942="UNIDADE CONSTRUTIVA",OFFSET(A1942,-1,0)+1,LARGE(A$3:A1941,1))</f>
        <v>0</v>
      </c>
      <c r="B1942" s="457">
        <f t="shared" ca="1" si="375"/>
        <v>21</v>
      </c>
      <c r="C1942" s="457">
        <f t="shared" ca="1" si="376"/>
        <v>1</v>
      </c>
      <c r="D1942" s="458">
        <f t="shared" ca="1" si="377"/>
        <v>1</v>
      </c>
      <c r="E1942" s="458">
        <f t="shared" ca="1" si="378"/>
        <v>1</v>
      </c>
      <c r="F1942" s="34"/>
    </row>
    <row r="1943" spans="1:6" ht="14.1" customHeight="1" x14ac:dyDescent="0.2">
      <c r="A1943" s="457">
        <f ca="1">IF($H1943="UNIDADE CONSTRUTIVA",OFFSET(A1943,-1,0)+1,LARGE(A$3:A1942,1))</f>
        <v>0</v>
      </c>
      <c r="B1943" s="457">
        <f t="shared" ca="1" si="375"/>
        <v>21</v>
      </c>
      <c r="C1943" s="457">
        <f t="shared" ca="1" si="376"/>
        <v>1</v>
      </c>
      <c r="D1943" s="458">
        <f t="shared" ca="1" si="377"/>
        <v>1</v>
      </c>
      <c r="E1943" s="458">
        <f t="shared" ca="1" si="378"/>
        <v>1</v>
      </c>
      <c r="F1943" s="34"/>
    </row>
    <row r="1944" spans="1:6" ht="14.1" customHeight="1" x14ac:dyDescent="0.2">
      <c r="A1944" s="457">
        <f ca="1">IF($H1944="UNIDADE CONSTRUTIVA",OFFSET(A1944,-1,0)+1,LARGE(A$3:A1943,1))</f>
        <v>0</v>
      </c>
      <c r="B1944" s="457">
        <f t="shared" ca="1" si="375"/>
        <v>21</v>
      </c>
      <c r="C1944" s="457">
        <f t="shared" ca="1" si="376"/>
        <v>1</v>
      </c>
      <c r="D1944" s="458">
        <f t="shared" ca="1" si="377"/>
        <v>1</v>
      </c>
      <c r="E1944" s="458">
        <f t="shared" ca="1" si="378"/>
        <v>1</v>
      </c>
      <c r="F1944" s="34"/>
    </row>
    <row r="1945" spans="1:6" ht="14.1" customHeight="1" x14ac:dyDescent="0.2">
      <c r="A1945" s="457">
        <f ca="1">IF($H1945="UNIDADE CONSTRUTIVA",OFFSET(A1945,-1,0)+1,LARGE(A$3:A1944,1))</f>
        <v>0</v>
      </c>
      <c r="B1945" s="457">
        <f t="shared" ca="1" si="375"/>
        <v>21</v>
      </c>
      <c r="C1945" s="457">
        <f t="shared" ca="1" si="376"/>
        <v>1</v>
      </c>
      <c r="D1945" s="458">
        <f t="shared" ca="1" si="377"/>
        <v>1</v>
      </c>
      <c r="E1945" s="458">
        <f t="shared" ca="1" si="378"/>
        <v>1</v>
      </c>
      <c r="F1945" s="34"/>
    </row>
    <row r="1946" spans="1:6" ht="14.1" customHeight="1" x14ac:dyDescent="0.2">
      <c r="A1946" s="457">
        <f ca="1">IF($H1946="UNIDADE CONSTRUTIVA",OFFSET(A1946,-1,0)+1,LARGE(A$3:A1945,1))</f>
        <v>0</v>
      </c>
      <c r="B1946" s="457">
        <f t="shared" ca="1" si="375"/>
        <v>21</v>
      </c>
      <c r="C1946" s="457">
        <f t="shared" ca="1" si="376"/>
        <v>1</v>
      </c>
      <c r="D1946" s="458">
        <f t="shared" ca="1" si="377"/>
        <v>1</v>
      </c>
      <c r="E1946" s="458">
        <f t="shared" ca="1" si="378"/>
        <v>1</v>
      </c>
      <c r="F1946" s="34"/>
    </row>
    <row r="1947" spans="1:6" ht="14.1" customHeight="1" x14ac:dyDescent="0.2">
      <c r="A1947" s="457">
        <f ca="1">IF($H1947="UNIDADE CONSTRUTIVA",OFFSET(A1947,-1,0)+1,LARGE(A$3:A1946,1))</f>
        <v>0</v>
      </c>
      <c r="B1947" s="457">
        <f t="shared" ref="B1947:B2010" ca="1" si="379">IF(H1947="UNIDADE CONSTRUTIVA",0,IF(H1947="CÉLULA CONSTRUTIVA",OFFSET(B1947,-1,0)+1,OFFSET(B1947,-1,0)))</f>
        <v>21</v>
      </c>
      <c r="C1947" s="457">
        <f t="shared" ref="C1947:C2010" ca="1" si="380">IF(H1947="CÉLULA CONSTRUTIVA",0,IF(H1947="ETAPA",OFFSET(C1947,-1,0)+1,OFFSET(C1947,-1,0)))</f>
        <v>1</v>
      </c>
      <c r="D1947" s="458">
        <f t="shared" ref="D1947:D2010" ca="1" si="381">IF(H1947="ETAPA",0,IF(H1947="SUBETAPA",OFFSET(D1947,-1,0)+1,OFFSET(D1947,-1,0)))</f>
        <v>1</v>
      </c>
      <c r="E1947" s="458">
        <f t="shared" ref="E1947:E2010" ca="1" si="382">IF(H1947="Subetapa",0,IF(H1947="serviço",OFFSET(E1947,-1,0)+1,OFFSET(E1947,-1,0)))</f>
        <v>1</v>
      </c>
      <c r="F1947" s="34"/>
    </row>
    <row r="1948" spans="1:6" ht="14.1" customHeight="1" x14ac:dyDescent="0.2">
      <c r="A1948" s="457">
        <f ca="1">IF($H1948="UNIDADE CONSTRUTIVA",OFFSET(A1948,-1,0)+1,LARGE(A$3:A1947,1))</f>
        <v>0</v>
      </c>
      <c r="B1948" s="457">
        <f t="shared" ca="1" si="379"/>
        <v>21</v>
      </c>
      <c r="C1948" s="457">
        <f t="shared" ca="1" si="380"/>
        <v>1</v>
      </c>
      <c r="D1948" s="458">
        <f t="shared" ca="1" si="381"/>
        <v>1</v>
      </c>
      <c r="E1948" s="458">
        <f t="shared" ca="1" si="382"/>
        <v>1</v>
      </c>
      <c r="F1948" s="34"/>
    </row>
    <row r="1949" spans="1:6" ht="14.1" customHeight="1" x14ac:dyDescent="0.2">
      <c r="A1949" s="457">
        <f ca="1">IF($H1949="UNIDADE CONSTRUTIVA",OFFSET(A1949,-1,0)+1,LARGE(A$3:A1948,1))</f>
        <v>0</v>
      </c>
      <c r="B1949" s="457">
        <f t="shared" ca="1" si="379"/>
        <v>21</v>
      </c>
      <c r="C1949" s="457">
        <f t="shared" ca="1" si="380"/>
        <v>1</v>
      </c>
      <c r="D1949" s="458">
        <f t="shared" ca="1" si="381"/>
        <v>1</v>
      </c>
      <c r="E1949" s="458">
        <f t="shared" ca="1" si="382"/>
        <v>1</v>
      </c>
      <c r="F1949" s="34"/>
    </row>
    <row r="1950" spans="1:6" ht="14.1" customHeight="1" x14ac:dyDescent="0.2">
      <c r="A1950" s="457">
        <f ca="1">IF($H1950="UNIDADE CONSTRUTIVA",OFFSET(A1950,-1,0)+1,LARGE(A$3:A1949,1))</f>
        <v>0</v>
      </c>
      <c r="B1950" s="457">
        <f t="shared" ca="1" si="379"/>
        <v>21</v>
      </c>
      <c r="C1950" s="457">
        <f t="shared" ca="1" si="380"/>
        <v>1</v>
      </c>
      <c r="D1950" s="458">
        <f t="shared" ca="1" si="381"/>
        <v>1</v>
      </c>
      <c r="E1950" s="458">
        <f t="shared" ca="1" si="382"/>
        <v>1</v>
      </c>
      <c r="F1950" s="34"/>
    </row>
    <row r="1951" spans="1:6" ht="14.1" customHeight="1" x14ac:dyDescent="0.2">
      <c r="A1951" s="457">
        <f ca="1">IF($H1951="UNIDADE CONSTRUTIVA",OFFSET(A1951,-1,0)+1,LARGE(A$3:A1950,1))</f>
        <v>0</v>
      </c>
      <c r="B1951" s="457">
        <f t="shared" ca="1" si="379"/>
        <v>21</v>
      </c>
      <c r="C1951" s="457">
        <f t="shared" ca="1" si="380"/>
        <v>1</v>
      </c>
      <c r="D1951" s="458">
        <f t="shared" ca="1" si="381"/>
        <v>1</v>
      </c>
      <c r="E1951" s="458">
        <f t="shared" ca="1" si="382"/>
        <v>1</v>
      </c>
      <c r="F1951" s="34"/>
    </row>
    <row r="1952" spans="1:6" ht="14.1" customHeight="1" x14ac:dyDescent="0.2">
      <c r="A1952" s="457">
        <f ca="1">IF($H1952="UNIDADE CONSTRUTIVA",OFFSET(A1952,-1,0)+1,LARGE(A$3:A1951,1))</f>
        <v>0</v>
      </c>
      <c r="B1952" s="457">
        <f t="shared" ca="1" si="379"/>
        <v>21</v>
      </c>
      <c r="C1952" s="457">
        <f t="shared" ca="1" si="380"/>
        <v>1</v>
      </c>
      <c r="D1952" s="458">
        <f t="shared" ca="1" si="381"/>
        <v>1</v>
      </c>
      <c r="E1952" s="458">
        <f t="shared" ca="1" si="382"/>
        <v>1</v>
      </c>
      <c r="F1952" s="34"/>
    </row>
    <row r="1953" spans="1:6" ht="14.1" customHeight="1" x14ac:dyDescent="0.2">
      <c r="A1953" s="457">
        <f ca="1">IF($H1953="UNIDADE CONSTRUTIVA",OFFSET(A1953,-1,0)+1,LARGE(A$3:A1952,1))</f>
        <v>0</v>
      </c>
      <c r="B1953" s="457">
        <f t="shared" ca="1" si="379"/>
        <v>21</v>
      </c>
      <c r="C1953" s="457">
        <f t="shared" ca="1" si="380"/>
        <v>1</v>
      </c>
      <c r="D1953" s="458">
        <f t="shared" ca="1" si="381"/>
        <v>1</v>
      </c>
      <c r="E1953" s="458">
        <f t="shared" ca="1" si="382"/>
        <v>1</v>
      </c>
      <c r="F1953" s="34"/>
    </row>
    <row r="1954" spans="1:6" ht="14.1" customHeight="1" x14ac:dyDescent="0.2">
      <c r="A1954" s="457">
        <f ca="1">IF($H1954="UNIDADE CONSTRUTIVA",OFFSET(A1954,-1,0)+1,LARGE(A$3:A1953,1))</f>
        <v>0</v>
      </c>
      <c r="B1954" s="457">
        <f t="shared" ca="1" si="379"/>
        <v>21</v>
      </c>
      <c r="C1954" s="457">
        <f t="shared" ca="1" si="380"/>
        <v>1</v>
      </c>
      <c r="D1954" s="458">
        <f t="shared" ca="1" si="381"/>
        <v>1</v>
      </c>
      <c r="E1954" s="458">
        <f t="shared" ca="1" si="382"/>
        <v>1</v>
      </c>
      <c r="F1954" s="34"/>
    </row>
    <row r="1955" spans="1:6" ht="14.1" customHeight="1" x14ac:dyDescent="0.2">
      <c r="A1955" s="457">
        <f ca="1">IF($H1955="UNIDADE CONSTRUTIVA",OFFSET(A1955,-1,0)+1,LARGE(A$3:A1954,1))</f>
        <v>0</v>
      </c>
      <c r="B1955" s="457">
        <f t="shared" ca="1" si="379"/>
        <v>21</v>
      </c>
      <c r="C1955" s="457">
        <f t="shared" ca="1" si="380"/>
        <v>1</v>
      </c>
      <c r="D1955" s="458">
        <f t="shared" ca="1" si="381"/>
        <v>1</v>
      </c>
      <c r="E1955" s="458">
        <f t="shared" ca="1" si="382"/>
        <v>1</v>
      </c>
      <c r="F1955" s="34"/>
    </row>
    <row r="1956" spans="1:6" ht="14.1" customHeight="1" x14ac:dyDescent="0.2">
      <c r="A1956" s="457">
        <f ca="1">IF($H1956="UNIDADE CONSTRUTIVA",OFFSET(A1956,-1,0)+1,LARGE(A$3:A1955,1))</f>
        <v>0</v>
      </c>
      <c r="B1956" s="457">
        <f t="shared" ca="1" si="379"/>
        <v>21</v>
      </c>
      <c r="C1956" s="457">
        <f t="shared" ca="1" si="380"/>
        <v>1</v>
      </c>
      <c r="D1956" s="458">
        <f t="shared" ca="1" si="381"/>
        <v>1</v>
      </c>
      <c r="E1956" s="458">
        <f t="shared" ca="1" si="382"/>
        <v>1</v>
      </c>
      <c r="F1956" s="34"/>
    </row>
    <row r="1957" spans="1:6" ht="14.1" customHeight="1" x14ac:dyDescent="0.2">
      <c r="A1957" s="457">
        <f ca="1">IF($H1957="UNIDADE CONSTRUTIVA",OFFSET(A1957,-1,0)+1,LARGE(A$3:A1956,1))</f>
        <v>0</v>
      </c>
      <c r="B1957" s="457">
        <f t="shared" ca="1" si="379"/>
        <v>21</v>
      </c>
      <c r="C1957" s="457">
        <f t="shared" ca="1" si="380"/>
        <v>1</v>
      </c>
      <c r="D1957" s="458">
        <f t="shared" ca="1" si="381"/>
        <v>1</v>
      </c>
      <c r="E1957" s="458">
        <f t="shared" ca="1" si="382"/>
        <v>1</v>
      </c>
      <c r="F1957" s="34"/>
    </row>
    <row r="1958" spans="1:6" ht="14.1" customHeight="1" x14ac:dyDescent="0.2">
      <c r="A1958" s="457">
        <f ca="1">IF($H1958="UNIDADE CONSTRUTIVA",OFFSET(A1958,-1,0)+1,LARGE(A$3:A1957,1))</f>
        <v>0</v>
      </c>
      <c r="B1958" s="457">
        <f t="shared" ca="1" si="379"/>
        <v>21</v>
      </c>
      <c r="C1958" s="457">
        <f t="shared" ca="1" si="380"/>
        <v>1</v>
      </c>
      <c r="D1958" s="458">
        <f t="shared" ca="1" si="381"/>
        <v>1</v>
      </c>
      <c r="E1958" s="458">
        <f t="shared" ca="1" si="382"/>
        <v>1</v>
      </c>
      <c r="F1958" s="34"/>
    </row>
    <row r="1959" spans="1:6" ht="14.1" customHeight="1" x14ac:dyDescent="0.2">
      <c r="A1959" s="457">
        <f ca="1">IF($H1959="UNIDADE CONSTRUTIVA",OFFSET(A1959,-1,0)+1,LARGE(A$3:A1958,1))</f>
        <v>0</v>
      </c>
      <c r="B1959" s="457">
        <f t="shared" ca="1" si="379"/>
        <v>21</v>
      </c>
      <c r="C1959" s="457">
        <f t="shared" ca="1" si="380"/>
        <v>1</v>
      </c>
      <c r="D1959" s="458">
        <f t="shared" ca="1" si="381"/>
        <v>1</v>
      </c>
      <c r="E1959" s="458">
        <f t="shared" ca="1" si="382"/>
        <v>1</v>
      </c>
      <c r="F1959" s="34"/>
    </row>
    <row r="1960" spans="1:6" ht="14.1" customHeight="1" x14ac:dyDescent="0.2">
      <c r="A1960" s="457">
        <f ca="1">IF($H1960="UNIDADE CONSTRUTIVA",OFFSET(A1960,-1,0)+1,LARGE(A$3:A1959,1))</f>
        <v>0</v>
      </c>
      <c r="B1960" s="457">
        <f t="shared" ca="1" si="379"/>
        <v>21</v>
      </c>
      <c r="C1960" s="457">
        <f t="shared" ca="1" si="380"/>
        <v>1</v>
      </c>
      <c r="D1960" s="458">
        <f t="shared" ca="1" si="381"/>
        <v>1</v>
      </c>
      <c r="E1960" s="458">
        <f t="shared" ca="1" si="382"/>
        <v>1</v>
      </c>
      <c r="F1960" s="34"/>
    </row>
    <row r="1961" spans="1:6" ht="14.1" customHeight="1" x14ac:dyDescent="0.2">
      <c r="A1961" s="457">
        <f ca="1">IF($H1961="UNIDADE CONSTRUTIVA",OFFSET(A1961,-1,0)+1,LARGE(A$3:A1960,1))</f>
        <v>0</v>
      </c>
      <c r="B1961" s="457">
        <f t="shared" ca="1" si="379"/>
        <v>21</v>
      </c>
      <c r="C1961" s="457">
        <f t="shared" ca="1" si="380"/>
        <v>1</v>
      </c>
      <c r="D1961" s="458">
        <f t="shared" ca="1" si="381"/>
        <v>1</v>
      </c>
      <c r="E1961" s="458">
        <f t="shared" ca="1" si="382"/>
        <v>1</v>
      </c>
      <c r="F1961" s="34"/>
    </row>
    <row r="1962" spans="1:6" ht="14.1" customHeight="1" x14ac:dyDescent="0.2">
      <c r="A1962" s="457">
        <f ca="1">IF($H1962="UNIDADE CONSTRUTIVA",OFFSET(A1962,-1,0)+1,LARGE(A$3:A1961,1))</f>
        <v>0</v>
      </c>
      <c r="B1962" s="457">
        <f t="shared" ca="1" si="379"/>
        <v>21</v>
      </c>
      <c r="C1962" s="457">
        <f t="shared" ca="1" si="380"/>
        <v>1</v>
      </c>
      <c r="D1962" s="458">
        <f t="shared" ca="1" si="381"/>
        <v>1</v>
      </c>
      <c r="E1962" s="458">
        <f t="shared" ca="1" si="382"/>
        <v>1</v>
      </c>
      <c r="F1962" s="34"/>
    </row>
    <row r="1963" spans="1:6" ht="14.1" customHeight="1" x14ac:dyDescent="0.2">
      <c r="A1963" s="457">
        <f ca="1">IF($H1963="UNIDADE CONSTRUTIVA",OFFSET(A1963,-1,0)+1,LARGE(A$3:A1962,1))</f>
        <v>0</v>
      </c>
      <c r="B1963" s="457">
        <f t="shared" ca="1" si="379"/>
        <v>21</v>
      </c>
      <c r="C1963" s="457">
        <f t="shared" ca="1" si="380"/>
        <v>1</v>
      </c>
      <c r="D1963" s="458">
        <f t="shared" ca="1" si="381"/>
        <v>1</v>
      </c>
      <c r="E1963" s="458">
        <f t="shared" ca="1" si="382"/>
        <v>1</v>
      </c>
      <c r="F1963" s="34"/>
    </row>
    <row r="1964" spans="1:6" ht="14.1" customHeight="1" x14ac:dyDescent="0.2">
      <c r="A1964" s="457">
        <f ca="1">IF($H1964="UNIDADE CONSTRUTIVA",OFFSET(A1964,-1,0)+1,LARGE(A$3:A1963,1))</f>
        <v>0</v>
      </c>
      <c r="B1964" s="457">
        <f t="shared" ca="1" si="379"/>
        <v>21</v>
      </c>
      <c r="C1964" s="457">
        <f t="shared" ca="1" si="380"/>
        <v>1</v>
      </c>
      <c r="D1964" s="458">
        <f t="shared" ca="1" si="381"/>
        <v>1</v>
      </c>
      <c r="E1964" s="458">
        <f t="shared" ca="1" si="382"/>
        <v>1</v>
      </c>
      <c r="F1964" s="34"/>
    </row>
    <row r="1965" spans="1:6" ht="14.1" customHeight="1" x14ac:dyDescent="0.2">
      <c r="A1965" s="457">
        <f ca="1">IF($H1965="UNIDADE CONSTRUTIVA",OFFSET(A1965,-1,0)+1,LARGE(A$3:A1964,1))</f>
        <v>0</v>
      </c>
      <c r="B1965" s="457">
        <f t="shared" ca="1" si="379"/>
        <v>21</v>
      </c>
      <c r="C1965" s="457">
        <f t="shared" ca="1" si="380"/>
        <v>1</v>
      </c>
      <c r="D1965" s="458">
        <f t="shared" ca="1" si="381"/>
        <v>1</v>
      </c>
      <c r="E1965" s="458">
        <f t="shared" ca="1" si="382"/>
        <v>1</v>
      </c>
      <c r="F1965" s="34"/>
    </row>
    <row r="1966" spans="1:6" ht="14.1" customHeight="1" x14ac:dyDescent="0.2">
      <c r="A1966" s="457">
        <f ca="1">IF($H1966="UNIDADE CONSTRUTIVA",OFFSET(A1966,-1,0)+1,LARGE(A$3:A1965,1))</f>
        <v>0</v>
      </c>
      <c r="B1966" s="457">
        <f t="shared" ca="1" si="379"/>
        <v>21</v>
      </c>
      <c r="C1966" s="457">
        <f t="shared" ca="1" si="380"/>
        <v>1</v>
      </c>
      <c r="D1966" s="458">
        <f t="shared" ca="1" si="381"/>
        <v>1</v>
      </c>
      <c r="E1966" s="458">
        <f t="shared" ca="1" si="382"/>
        <v>1</v>
      </c>
      <c r="F1966" s="34"/>
    </row>
    <row r="1967" spans="1:6" ht="14.1" customHeight="1" x14ac:dyDescent="0.2">
      <c r="A1967" s="457">
        <f ca="1">IF($H1967="UNIDADE CONSTRUTIVA",OFFSET(A1967,-1,0)+1,LARGE(A$3:A1966,1))</f>
        <v>0</v>
      </c>
      <c r="B1967" s="457">
        <f t="shared" ca="1" si="379"/>
        <v>21</v>
      </c>
      <c r="C1967" s="457">
        <f t="shared" ca="1" si="380"/>
        <v>1</v>
      </c>
      <c r="D1967" s="458">
        <f t="shared" ca="1" si="381"/>
        <v>1</v>
      </c>
      <c r="E1967" s="458">
        <f t="shared" ca="1" si="382"/>
        <v>1</v>
      </c>
      <c r="F1967" s="34"/>
    </row>
    <row r="1968" spans="1:6" ht="14.1" customHeight="1" x14ac:dyDescent="0.2">
      <c r="A1968" s="457">
        <f ca="1">IF($H1968="UNIDADE CONSTRUTIVA",OFFSET(A1968,-1,0)+1,LARGE(A$3:A1967,1))</f>
        <v>0</v>
      </c>
      <c r="B1968" s="457">
        <f t="shared" ca="1" si="379"/>
        <v>21</v>
      </c>
      <c r="C1968" s="457">
        <f t="shared" ca="1" si="380"/>
        <v>1</v>
      </c>
      <c r="D1968" s="458">
        <f t="shared" ca="1" si="381"/>
        <v>1</v>
      </c>
      <c r="E1968" s="458">
        <f t="shared" ca="1" si="382"/>
        <v>1</v>
      </c>
      <c r="F1968" s="34"/>
    </row>
    <row r="1969" spans="1:5" ht="14.1" customHeight="1" x14ac:dyDescent="0.2">
      <c r="A1969" s="457">
        <f ca="1">IF($H1969="UNIDADE CONSTRUTIVA",OFFSET(A1969,-1,0)+1,LARGE(A$3:A1968,1))</f>
        <v>0</v>
      </c>
      <c r="B1969" s="457">
        <f t="shared" ca="1" si="379"/>
        <v>21</v>
      </c>
      <c r="C1969" s="457">
        <f t="shared" ca="1" si="380"/>
        <v>1</v>
      </c>
      <c r="D1969" s="458">
        <f t="shared" ca="1" si="381"/>
        <v>1</v>
      </c>
      <c r="E1969" s="458">
        <f t="shared" ca="1" si="382"/>
        <v>1</v>
      </c>
    </row>
    <row r="1970" spans="1:5" ht="14.1" customHeight="1" x14ac:dyDescent="0.2">
      <c r="A1970" s="457">
        <f ca="1">IF($H1970="UNIDADE CONSTRUTIVA",OFFSET(A1970,-1,0)+1,LARGE(A$3:A1969,1))</f>
        <v>0</v>
      </c>
      <c r="B1970" s="457">
        <f t="shared" ca="1" si="379"/>
        <v>21</v>
      </c>
      <c r="C1970" s="457">
        <f t="shared" ca="1" si="380"/>
        <v>1</v>
      </c>
      <c r="D1970" s="458">
        <f t="shared" ca="1" si="381"/>
        <v>1</v>
      </c>
      <c r="E1970" s="458">
        <f t="shared" ca="1" si="382"/>
        <v>1</v>
      </c>
    </row>
    <row r="1971" spans="1:5" ht="14.1" customHeight="1" x14ac:dyDescent="0.2">
      <c r="A1971" s="457">
        <f ca="1">IF($H1971="UNIDADE CONSTRUTIVA",OFFSET(A1971,-1,0)+1,LARGE(A$3:A1970,1))</f>
        <v>0</v>
      </c>
      <c r="B1971" s="457">
        <f t="shared" ca="1" si="379"/>
        <v>21</v>
      </c>
      <c r="C1971" s="457">
        <f t="shared" ca="1" si="380"/>
        <v>1</v>
      </c>
      <c r="D1971" s="458">
        <f t="shared" ca="1" si="381"/>
        <v>1</v>
      </c>
      <c r="E1971" s="458">
        <f t="shared" ca="1" si="382"/>
        <v>1</v>
      </c>
    </row>
    <row r="1972" spans="1:5" ht="14.1" customHeight="1" x14ac:dyDescent="0.2">
      <c r="A1972" s="457">
        <f ca="1">IF($H1972="UNIDADE CONSTRUTIVA",OFFSET(A1972,-1,0)+1,LARGE(A$3:A1971,1))</f>
        <v>0</v>
      </c>
      <c r="B1972" s="457">
        <f t="shared" ca="1" si="379"/>
        <v>21</v>
      </c>
      <c r="C1972" s="457">
        <f t="shared" ca="1" si="380"/>
        <v>1</v>
      </c>
      <c r="D1972" s="458">
        <f t="shared" ca="1" si="381"/>
        <v>1</v>
      </c>
      <c r="E1972" s="458">
        <f t="shared" ca="1" si="382"/>
        <v>1</v>
      </c>
    </row>
    <row r="1973" spans="1:5" ht="14.1" customHeight="1" x14ac:dyDescent="0.2">
      <c r="A1973" s="457">
        <f ca="1">IF($H1973="UNIDADE CONSTRUTIVA",OFFSET(A1973,-1,0)+1,LARGE(A$3:A1972,1))</f>
        <v>0</v>
      </c>
      <c r="B1973" s="457">
        <f t="shared" ca="1" si="379"/>
        <v>21</v>
      </c>
      <c r="C1973" s="457">
        <f t="shared" ca="1" si="380"/>
        <v>1</v>
      </c>
      <c r="D1973" s="458">
        <f t="shared" ca="1" si="381"/>
        <v>1</v>
      </c>
      <c r="E1973" s="458">
        <f t="shared" ca="1" si="382"/>
        <v>1</v>
      </c>
    </row>
    <row r="1974" spans="1:5" ht="14.1" customHeight="1" x14ac:dyDescent="0.2">
      <c r="A1974" s="457">
        <f ca="1">IF($H1974="UNIDADE CONSTRUTIVA",OFFSET(A1974,-1,0)+1,LARGE(A$3:A1973,1))</f>
        <v>0</v>
      </c>
      <c r="B1974" s="457">
        <f t="shared" ca="1" si="379"/>
        <v>21</v>
      </c>
      <c r="C1974" s="457">
        <f t="shared" ca="1" si="380"/>
        <v>1</v>
      </c>
      <c r="D1974" s="458">
        <f t="shared" ca="1" si="381"/>
        <v>1</v>
      </c>
      <c r="E1974" s="458">
        <f t="shared" ca="1" si="382"/>
        <v>1</v>
      </c>
    </row>
    <row r="1975" spans="1:5" ht="14.1" customHeight="1" x14ac:dyDescent="0.2">
      <c r="A1975" s="457">
        <f ca="1">IF($H1975="UNIDADE CONSTRUTIVA",OFFSET(A1975,-1,0)+1,LARGE(A$3:A1974,1))</f>
        <v>0</v>
      </c>
      <c r="B1975" s="457">
        <f t="shared" ca="1" si="379"/>
        <v>21</v>
      </c>
      <c r="C1975" s="457">
        <f t="shared" ca="1" si="380"/>
        <v>1</v>
      </c>
      <c r="D1975" s="458">
        <f t="shared" ca="1" si="381"/>
        <v>1</v>
      </c>
      <c r="E1975" s="458">
        <f t="shared" ca="1" si="382"/>
        <v>1</v>
      </c>
    </row>
    <row r="1976" spans="1:5" ht="14.1" customHeight="1" x14ac:dyDescent="0.2">
      <c r="A1976" s="457">
        <f ca="1">IF($H1976="UNIDADE CONSTRUTIVA",OFFSET(A1976,-1,0)+1,LARGE(A$3:A1975,1))</f>
        <v>0</v>
      </c>
      <c r="B1976" s="457">
        <f t="shared" ca="1" si="379"/>
        <v>21</v>
      </c>
      <c r="C1976" s="457">
        <f t="shared" ca="1" si="380"/>
        <v>1</v>
      </c>
      <c r="D1976" s="458">
        <f t="shared" ca="1" si="381"/>
        <v>1</v>
      </c>
      <c r="E1976" s="458">
        <f t="shared" ca="1" si="382"/>
        <v>1</v>
      </c>
    </row>
    <row r="1977" spans="1:5" ht="14.1" customHeight="1" x14ac:dyDescent="0.2">
      <c r="A1977" s="457">
        <f ca="1">IF($H1977="UNIDADE CONSTRUTIVA",OFFSET(A1977,-1,0)+1,LARGE(A$3:A1976,1))</f>
        <v>0</v>
      </c>
      <c r="B1977" s="457">
        <f t="shared" ca="1" si="379"/>
        <v>21</v>
      </c>
      <c r="C1977" s="457">
        <f t="shared" ca="1" si="380"/>
        <v>1</v>
      </c>
      <c r="D1977" s="458">
        <f t="shared" ca="1" si="381"/>
        <v>1</v>
      </c>
      <c r="E1977" s="458">
        <f t="shared" ca="1" si="382"/>
        <v>1</v>
      </c>
    </row>
    <row r="1978" spans="1:5" ht="14.1" customHeight="1" x14ac:dyDescent="0.2">
      <c r="A1978" s="457">
        <f ca="1">IF($H1978="UNIDADE CONSTRUTIVA",OFFSET(A1978,-1,0)+1,LARGE(A$3:A1977,1))</f>
        <v>0</v>
      </c>
      <c r="B1978" s="457">
        <f t="shared" ca="1" si="379"/>
        <v>21</v>
      </c>
      <c r="C1978" s="457">
        <f t="shared" ca="1" si="380"/>
        <v>1</v>
      </c>
      <c r="D1978" s="458">
        <f t="shared" ca="1" si="381"/>
        <v>1</v>
      </c>
      <c r="E1978" s="458">
        <f t="shared" ca="1" si="382"/>
        <v>1</v>
      </c>
    </row>
    <row r="1979" spans="1:5" ht="14.1" customHeight="1" x14ac:dyDescent="0.2">
      <c r="A1979" s="457">
        <f ca="1">IF($H1979="UNIDADE CONSTRUTIVA",OFFSET(A1979,-1,0)+1,LARGE(A$3:A1978,1))</f>
        <v>0</v>
      </c>
      <c r="B1979" s="457">
        <f t="shared" ca="1" si="379"/>
        <v>21</v>
      </c>
      <c r="C1979" s="457">
        <f t="shared" ca="1" si="380"/>
        <v>1</v>
      </c>
      <c r="D1979" s="458">
        <f t="shared" ca="1" si="381"/>
        <v>1</v>
      </c>
      <c r="E1979" s="458">
        <f t="shared" ca="1" si="382"/>
        <v>1</v>
      </c>
    </row>
    <row r="1980" spans="1:5" ht="14.1" customHeight="1" x14ac:dyDescent="0.2">
      <c r="A1980" s="457">
        <f ca="1">IF($H1980="UNIDADE CONSTRUTIVA",OFFSET(A1980,-1,0)+1,LARGE(A$3:A1979,1))</f>
        <v>0</v>
      </c>
      <c r="B1980" s="457">
        <f t="shared" ca="1" si="379"/>
        <v>21</v>
      </c>
      <c r="C1980" s="457">
        <f t="shared" ca="1" si="380"/>
        <v>1</v>
      </c>
      <c r="D1980" s="458">
        <f t="shared" ca="1" si="381"/>
        <v>1</v>
      </c>
      <c r="E1980" s="458">
        <f t="shared" ca="1" si="382"/>
        <v>1</v>
      </c>
    </row>
    <row r="1981" spans="1:5" ht="14.1" customHeight="1" x14ac:dyDescent="0.2">
      <c r="A1981" s="457">
        <f ca="1">IF($H1981="UNIDADE CONSTRUTIVA",OFFSET(A1981,-1,0)+1,LARGE(A$3:A1980,1))</f>
        <v>0</v>
      </c>
      <c r="B1981" s="457">
        <f t="shared" ca="1" si="379"/>
        <v>21</v>
      </c>
      <c r="C1981" s="457">
        <f t="shared" ca="1" si="380"/>
        <v>1</v>
      </c>
      <c r="D1981" s="458">
        <f t="shared" ca="1" si="381"/>
        <v>1</v>
      </c>
      <c r="E1981" s="458">
        <f t="shared" ca="1" si="382"/>
        <v>1</v>
      </c>
    </row>
    <row r="1982" spans="1:5" ht="14.1" customHeight="1" x14ac:dyDescent="0.2">
      <c r="A1982" s="457">
        <f ca="1">IF($H1982="UNIDADE CONSTRUTIVA",OFFSET(A1982,-1,0)+1,LARGE(A$3:A1981,1))</f>
        <v>0</v>
      </c>
      <c r="B1982" s="457">
        <f t="shared" ca="1" si="379"/>
        <v>21</v>
      </c>
      <c r="C1982" s="457">
        <f t="shared" ca="1" si="380"/>
        <v>1</v>
      </c>
      <c r="D1982" s="458">
        <f t="shared" ca="1" si="381"/>
        <v>1</v>
      </c>
      <c r="E1982" s="458">
        <f t="shared" ca="1" si="382"/>
        <v>1</v>
      </c>
    </row>
    <row r="1983" spans="1:5" ht="14.1" customHeight="1" x14ac:dyDescent="0.2">
      <c r="A1983" s="457">
        <f ca="1">IF($H1983="UNIDADE CONSTRUTIVA",OFFSET(A1983,-1,0)+1,LARGE(A$3:A1982,1))</f>
        <v>0</v>
      </c>
      <c r="B1983" s="457">
        <f t="shared" ca="1" si="379"/>
        <v>21</v>
      </c>
      <c r="C1983" s="457">
        <f t="shared" ca="1" si="380"/>
        <v>1</v>
      </c>
      <c r="D1983" s="458">
        <f t="shared" ca="1" si="381"/>
        <v>1</v>
      </c>
      <c r="E1983" s="458">
        <f t="shared" ca="1" si="382"/>
        <v>1</v>
      </c>
    </row>
    <row r="1984" spans="1:5" ht="14.1" customHeight="1" x14ac:dyDescent="0.2">
      <c r="A1984" s="457">
        <f ca="1">IF($H1984="UNIDADE CONSTRUTIVA",OFFSET(A1984,-1,0)+1,LARGE(A$3:A1983,1))</f>
        <v>0</v>
      </c>
      <c r="B1984" s="457">
        <f t="shared" ca="1" si="379"/>
        <v>21</v>
      </c>
      <c r="C1984" s="457">
        <f t="shared" ca="1" si="380"/>
        <v>1</v>
      </c>
      <c r="D1984" s="458">
        <f t="shared" ca="1" si="381"/>
        <v>1</v>
      </c>
      <c r="E1984" s="458">
        <f t="shared" ca="1" si="382"/>
        <v>1</v>
      </c>
    </row>
    <row r="1985" spans="1:5" ht="14.1" customHeight="1" x14ac:dyDescent="0.2">
      <c r="A1985" s="457">
        <f ca="1">IF($H1985="UNIDADE CONSTRUTIVA",OFFSET(A1985,-1,0)+1,LARGE(A$3:A1984,1))</f>
        <v>0</v>
      </c>
      <c r="B1985" s="457">
        <f t="shared" ca="1" si="379"/>
        <v>21</v>
      </c>
      <c r="C1985" s="457">
        <f t="shared" ca="1" si="380"/>
        <v>1</v>
      </c>
      <c r="D1985" s="458">
        <f t="shared" ca="1" si="381"/>
        <v>1</v>
      </c>
      <c r="E1985" s="458">
        <f t="shared" ca="1" si="382"/>
        <v>1</v>
      </c>
    </row>
    <row r="1986" spans="1:5" ht="14.1" customHeight="1" x14ac:dyDescent="0.2">
      <c r="A1986" s="457">
        <f ca="1">IF($H1986="UNIDADE CONSTRUTIVA",OFFSET(A1986,-1,0)+1,LARGE(A$3:A1985,1))</f>
        <v>0</v>
      </c>
      <c r="B1986" s="457">
        <f t="shared" ca="1" si="379"/>
        <v>21</v>
      </c>
      <c r="C1986" s="457">
        <f t="shared" ca="1" si="380"/>
        <v>1</v>
      </c>
      <c r="D1986" s="458">
        <f t="shared" ca="1" si="381"/>
        <v>1</v>
      </c>
      <c r="E1986" s="458">
        <f t="shared" ca="1" si="382"/>
        <v>1</v>
      </c>
    </row>
    <row r="1987" spans="1:5" ht="14.1" customHeight="1" x14ac:dyDescent="0.2">
      <c r="A1987" s="457">
        <f ca="1">IF($H1987="UNIDADE CONSTRUTIVA",OFFSET(A1987,-1,0)+1,LARGE(A$3:A1986,1))</f>
        <v>0</v>
      </c>
      <c r="B1987" s="457">
        <f t="shared" ca="1" si="379"/>
        <v>21</v>
      </c>
      <c r="C1987" s="457">
        <f t="shared" ca="1" si="380"/>
        <v>1</v>
      </c>
      <c r="D1987" s="458">
        <f t="shared" ca="1" si="381"/>
        <v>1</v>
      </c>
      <c r="E1987" s="458">
        <f t="shared" ca="1" si="382"/>
        <v>1</v>
      </c>
    </row>
    <row r="1988" spans="1:5" ht="14.1" customHeight="1" x14ac:dyDescent="0.2">
      <c r="A1988" s="457">
        <f ca="1">IF($H1988="UNIDADE CONSTRUTIVA",OFFSET(A1988,-1,0)+1,LARGE(A$3:A1987,1))</f>
        <v>0</v>
      </c>
      <c r="B1988" s="457">
        <f t="shared" ca="1" si="379"/>
        <v>21</v>
      </c>
      <c r="C1988" s="457">
        <f t="shared" ca="1" si="380"/>
        <v>1</v>
      </c>
      <c r="D1988" s="458">
        <f t="shared" ca="1" si="381"/>
        <v>1</v>
      </c>
      <c r="E1988" s="458">
        <f t="shared" ca="1" si="382"/>
        <v>1</v>
      </c>
    </row>
    <row r="1989" spans="1:5" ht="14.1" customHeight="1" x14ac:dyDescent="0.2">
      <c r="A1989" s="457">
        <f ca="1">IF($H1989="UNIDADE CONSTRUTIVA",OFFSET(A1989,-1,0)+1,LARGE(A$3:A1988,1))</f>
        <v>0</v>
      </c>
      <c r="B1989" s="457">
        <f t="shared" ca="1" si="379"/>
        <v>21</v>
      </c>
      <c r="C1989" s="457">
        <f t="shared" ca="1" si="380"/>
        <v>1</v>
      </c>
      <c r="D1989" s="458">
        <f t="shared" ca="1" si="381"/>
        <v>1</v>
      </c>
      <c r="E1989" s="458">
        <f t="shared" ca="1" si="382"/>
        <v>1</v>
      </c>
    </row>
    <row r="1990" spans="1:5" ht="14.1" customHeight="1" x14ac:dyDescent="0.2">
      <c r="A1990" s="457">
        <f ca="1">IF($H1990="UNIDADE CONSTRUTIVA",OFFSET(A1990,-1,0)+1,LARGE(A$3:A1989,1))</f>
        <v>0</v>
      </c>
      <c r="B1990" s="457">
        <f t="shared" ca="1" si="379"/>
        <v>21</v>
      </c>
      <c r="C1990" s="457">
        <f t="shared" ca="1" si="380"/>
        <v>1</v>
      </c>
      <c r="D1990" s="458">
        <f t="shared" ca="1" si="381"/>
        <v>1</v>
      </c>
      <c r="E1990" s="458">
        <f t="shared" ca="1" si="382"/>
        <v>1</v>
      </c>
    </row>
    <row r="1991" spans="1:5" ht="14.1" customHeight="1" x14ac:dyDescent="0.2">
      <c r="A1991" s="457">
        <f ca="1">IF($H1991="UNIDADE CONSTRUTIVA",OFFSET(A1991,-1,0)+1,LARGE(A$3:A1990,1))</f>
        <v>0</v>
      </c>
      <c r="B1991" s="457">
        <f t="shared" ca="1" si="379"/>
        <v>21</v>
      </c>
      <c r="C1991" s="457">
        <f t="shared" ca="1" si="380"/>
        <v>1</v>
      </c>
      <c r="D1991" s="458">
        <f t="shared" ca="1" si="381"/>
        <v>1</v>
      </c>
      <c r="E1991" s="458">
        <f t="shared" ca="1" si="382"/>
        <v>1</v>
      </c>
    </row>
    <row r="1992" spans="1:5" ht="14.1" customHeight="1" x14ac:dyDescent="0.2">
      <c r="A1992" s="457">
        <f ca="1">IF($H1992="UNIDADE CONSTRUTIVA",OFFSET(A1992,-1,0)+1,LARGE(A$3:A1991,1))</f>
        <v>0</v>
      </c>
      <c r="B1992" s="457">
        <f t="shared" ca="1" si="379"/>
        <v>21</v>
      </c>
      <c r="C1992" s="457">
        <f t="shared" ca="1" si="380"/>
        <v>1</v>
      </c>
      <c r="D1992" s="458">
        <f t="shared" ca="1" si="381"/>
        <v>1</v>
      </c>
      <c r="E1992" s="458">
        <f t="shared" ca="1" si="382"/>
        <v>1</v>
      </c>
    </row>
    <row r="1993" spans="1:5" ht="14.1" customHeight="1" x14ac:dyDescent="0.2">
      <c r="A1993" s="457">
        <f ca="1">IF($H1993="UNIDADE CONSTRUTIVA",OFFSET(A1993,-1,0)+1,LARGE(A$3:A1992,1))</f>
        <v>0</v>
      </c>
      <c r="B1993" s="457">
        <f t="shared" ca="1" si="379"/>
        <v>21</v>
      </c>
      <c r="C1993" s="457">
        <f t="shared" ca="1" si="380"/>
        <v>1</v>
      </c>
      <c r="D1993" s="458">
        <f t="shared" ca="1" si="381"/>
        <v>1</v>
      </c>
      <c r="E1993" s="458">
        <f t="shared" ca="1" si="382"/>
        <v>1</v>
      </c>
    </row>
    <row r="1994" spans="1:5" ht="14.1" customHeight="1" x14ac:dyDescent="0.2">
      <c r="A1994" s="457">
        <f ca="1">IF($H1994="UNIDADE CONSTRUTIVA",OFFSET(A1994,-1,0)+1,LARGE(A$3:A1993,1))</f>
        <v>0</v>
      </c>
      <c r="B1994" s="457">
        <f t="shared" ca="1" si="379"/>
        <v>21</v>
      </c>
      <c r="C1994" s="457">
        <f t="shared" ca="1" si="380"/>
        <v>1</v>
      </c>
      <c r="D1994" s="458">
        <f t="shared" ca="1" si="381"/>
        <v>1</v>
      </c>
      <c r="E1994" s="458">
        <f t="shared" ca="1" si="382"/>
        <v>1</v>
      </c>
    </row>
    <row r="1995" spans="1:5" ht="14.1" customHeight="1" x14ac:dyDescent="0.2">
      <c r="A1995" s="457">
        <f ca="1">IF($H1995="UNIDADE CONSTRUTIVA",OFFSET(A1995,-1,0)+1,LARGE(A$3:A1994,1))</f>
        <v>0</v>
      </c>
      <c r="B1995" s="457">
        <f t="shared" ca="1" si="379"/>
        <v>21</v>
      </c>
      <c r="C1995" s="457">
        <f t="shared" ca="1" si="380"/>
        <v>1</v>
      </c>
      <c r="D1995" s="458">
        <f t="shared" ca="1" si="381"/>
        <v>1</v>
      </c>
      <c r="E1995" s="458">
        <f t="shared" ca="1" si="382"/>
        <v>1</v>
      </c>
    </row>
    <row r="1996" spans="1:5" ht="14.1" customHeight="1" x14ac:dyDescent="0.2">
      <c r="A1996" s="457">
        <f ca="1">IF($H1996="UNIDADE CONSTRUTIVA",OFFSET(A1996,-1,0)+1,LARGE(A$3:A1995,1))</f>
        <v>0</v>
      </c>
      <c r="B1996" s="457">
        <f t="shared" ca="1" si="379"/>
        <v>21</v>
      </c>
      <c r="C1996" s="457">
        <f t="shared" ca="1" si="380"/>
        <v>1</v>
      </c>
      <c r="D1996" s="458">
        <f t="shared" ca="1" si="381"/>
        <v>1</v>
      </c>
      <c r="E1996" s="458">
        <f t="shared" ca="1" si="382"/>
        <v>1</v>
      </c>
    </row>
    <row r="1997" spans="1:5" ht="14.1" customHeight="1" x14ac:dyDescent="0.2">
      <c r="A1997" s="457">
        <f ca="1">IF($H1997="UNIDADE CONSTRUTIVA",OFFSET(A1997,-1,0)+1,LARGE(A$3:A1996,1))</f>
        <v>0</v>
      </c>
      <c r="B1997" s="457">
        <f t="shared" ca="1" si="379"/>
        <v>21</v>
      </c>
      <c r="C1997" s="457">
        <f t="shared" ca="1" si="380"/>
        <v>1</v>
      </c>
      <c r="D1997" s="458">
        <f t="shared" ca="1" si="381"/>
        <v>1</v>
      </c>
      <c r="E1997" s="458">
        <f t="shared" ca="1" si="382"/>
        <v>1</v>
      </c>
    </row>
    <row r="1998" spans="1:5" ht="14.1" customHeight="1" x14ac:dyDescent="0.2">
      <c r="A1998" s="457">
        <f ca="1">IF($H1998="UNIDADE CONSTRUTIVA",OFFSET(A1998,-1,0)+1,LARGE(A$3:A1997,1))</f>
        <v>0</v>
      </c>
      <c r="B1998" s="457">
        <f t="shared" ca="1" si="379"/>
        <v>21</v>
      </c>
      <c r="C1998" s="457">
        <f t="shared" ca="1" si="380"/>
        <v>1</v>
      </c>
      <c r="D1998" s="458">
        <f t="shared" ca="1" si="381"/>
        <v>1</v>
      </c>
      <c r="E1998" s="458">
        <f t="shared" ca="1" si="382"/>
        <v>1</v>
      </c>
    </row>
    <row r="1999" spans="1:5" ht="14.1" customHeight="1" x14ac:dyDescent="0.2">
      <c r="A1999" s="457">
        <f ca="1">IF($H1999="UNIDADE CONSTRUTIVA",OFFSET(A1999,-1,0)+1,LARGE(A$3:A1998,1))</f>
        <v>0</v>
      </c>
      <c r="B1999" s="457">
        <f t="shared" ca="1" si="379"/>
        <v>21</v>
      </c>
      <c r="C1999" s="457">
        <f t="shared" ca="1" si="380"/>
        <v>1</v>
      </c>
      <c r="D1999" s="458">
        <f t="shared" ca="1" si="381"/>
        <v>1</v>
      </c>
      <c r="E1999" s="458">
        <f t="shared" ca="1" si="382"/>
        <v>1</v>
      </c>
    </row>
    <row r="2000" spans="1:5" ht="14.1" customHeight="1" x14ac:dyDescent="0.2">
      <c r="A2000" s="457">
        <f ca="1">IF($H2000="UNIDADE CONSTRUTIVA",OFFSET(A2000,-1,0)+1,LARGE(A$3:A1999,1))</f>
        <v>0</v>
      </c>
      <c r="B2000" s="457">
        <f t="shared" ca="1" si="379"/>
        <v>21</v>
      </c>
      <c r="C2000" s="457">
        <f t="shared" ca="1" si="380"/>
        <v>1</v>
      </c>
      <c r="D2000" s="458">
        <f t="shared" ca="1" si="381"/>
        <v>1</v>
      </c>
      <c r="E2000" s="458">
        <f t="shared" ca="1" si="382"/>
        <v>1</v>
      </c>
    </row>
    <row r="2001" spans="1:5" ht="14.1" customHeight="1" x14ac:dyDescent="0.2">
      <c r="A2001" s="457">
        <f ca="1">IF($H2001="UNIDADE CONSTRUTIVA",OFFSET(A2001,-1,0)+1,LARGE(A$3:A2000,1))</f>
        <v>0</v>
      </c>
      <c r="B2001" s="457">
        <f t="shared" ca="1" si="379"/>
        <v>21</v>
      </c>
      <c r="C2001" s="457">
        <f t="shared" ca="1" si="380"/>
        <v>1</v>
      </c>
      <c r="D2001" s="458">
        <f t="shared" ca="1" si="381"/>
        <v>1</v>
      </c>
      <c r="E2001" s="458">
        <f t="shared" ca="1" si="382"/>
        <v>1</v>
      </c>
    </row>
    <row r="2002" spans="1:5" ht="14.1" customHeight="1" x14ac:dyDescent="0.2">
      <c r="A2002" s="457">
        <f ca="1">IF($H2002="UNIDADE CONSTRUTIVA",OFFSET(A2002,-1,0)+1,LARGE(A$3:A2001,1))</f>
        <v>0</v>
      </c>
      <c r="B2002" s="457">
        <f t="shared" ca="1" si="379"/>
        <v>21</v>
      </c>
      <c r="C2002" s="457">
        <f t="shared" ca="1" si="380"/>
        <v>1</v>
      </c>
      <c r="D2002" s="458">
        <f t="shared" ca="1" si="381"/>
        <v>1</v>
      </c>
      <c r="E2002" s="458">
        <f t="shared" ca="1" si="382"/>
        <v>1</v>
      </c>
    </row>
    <row r="2003" spans="1:5" ht="14.1" customHeight="1" x14ac:dyDescent="0.2">
      <c r="A2003" s="457">
        <f ca="1">IF($H2003="UNIDADE CONSTRUTIVA",OFFSET(A2003,-1,0)+1,LARGE(A$3:A2002,1))</f>
        <v>0</v>
      </c>
      <c r="B2003" s="457">
        <f t="shared" ca="1" si="379"/>
        <v>21</v>
      </c>
      <c r="C2003" s="457">
        <f t="shared" ca="1" si="380"/>
        <v>1</v>
      </c>
      <c r="D2003" s="458">
        <f t="shared" ca="1" si="381"/>
        <v>1</v>
      </c>
      <c r="E2003" s="458">
        <f t="shared" ca="1" si="382"/>
        <v>1</v>
      </c>
    </row>
    <row r="2004" spans="1:5" ht="14.1" customHeight="1" x14ac:dyDescent="0.2">
      <c r="A2004" s="457">
        <f ca="1">IF($H2004="UNIDADE CONSTRUTIVA",OFFSET(A2004,-1,0)+1,LARGE(A$3:A2003,1))</f>
        <v>0</v>
      </c>
      <c r="B2004" s="457">
        <f t="shared" ca="1" si="379"/>
        <v>21</v>
      </c>
      <c r="C2004" s="457">
        <f t="shared" ca="1" si="380"/>
        <v>1</v>
      </c>
      <c r="D2004" s="458">
        <f t="shared" ca="1" si="381"/>
        <v>1</v>
      </c>
      <c r="E2004" s="458">
        <f t="shared" ca="1" si="382"/>
        <v>1</v>
      </c>
    </row>
    <row r="2005" spans="1:5" ht="14.1" customHeight="1" x14ac:dyDescent="0.2">
      <c r="A2005" s="457">
        <f ca="1">IF($H2005="UNIDADE CONSTRUTIVA",OFFSET(A2005,-1,0)+1,LARGE(A$3:A2004,1))</f>
        <v>0</v>
      </c>
      <c r="B2005" s="457">
        <f t="shared" ca="1" si="379"/>
        <v>21</v>
      </c>
      <c r="C2005" s="457">
        <f t="shared" ca="1" si="380"/>
        <v>1</v>
      </c>
      <c r="D2005" s="458">
        <f t="shared" ca="1" si="381"/>
        <v>1</v>
      </c>
      <c r="E2005" s="458">
        <f t="shared" ca="1" si="382"/>
        <v>1</v>
      </c>
    </row>
    <row r="2006" spans="1:5" ht="14.1" customHeight="1" x14ac:dyDescent="0.2">
      <c r="A2006" s="457">
        <f ca="1">IF($H2006="UNIDADE CONSTRUTIVA",OFFSET(A2006,-1,0)+1,LARGE(A$3:A2005,1))</f>
        <v>0</v>
      </c>
      <c r="B2006" s="457">
        <f t="shared" ca="1" si="379"/>
        <v>21</v>
      </c>
      <c r="C2006" s="457">
        <f t="shared" ca="1" si="380"/>
        <v>1</v>
      </c>
      <c r="D2006" s="458">
        <f t="shared" ca="1" si="381"/>
        <v>1</v>
      </c>
      <c r="E2006" s="458">
        <f t="shared" ca="1" si="382"/>
        <v>1</v>
      </c>
    </row>
    <row r="2007" spans="1:5" ht="14.1" customHeight="1" x14ac:dyDescent="0.2">
      <c r="A2007" s="457">
        <f ca="1">IF($H2007="UNIDADE CONSTRUTIVA",OFFSET(A2007,-1,0)+1,LARGE(A$3:A2006,1))</f>
        <v>0</v>
      </c>
      <c r="B2007" s="457">
        <f t="shared" ca="1" si="379"/>
        <v>21</v>
      </c>
      <c r="C2007" s="457">
        <f t="shared" ca="1" si="380"/>
        <v>1</v>
      </c>
      <c r="D2007" s="458">
        <f t="shared" ca="1" si="381"/>
        <v>1</v>
      </c>
      <c r="E2007" s="458">
        <f t="shared" ca="1" si="382"/>
        <v>1</v>
      </c>
    </row>
    <row r="2008" spans="1:5" ht="14.1" customHeight="1" x14ac:dyDescent="0.2">
      <c r="A2008" s="457">
        <f ca="1">IF($H2008="UNIDADE CONSTRUTIVA",OFFSET(A2008,-1,0)+1,LARGE(A$3:A2007,1))</f>
        <v>0</v>
      </c>
      <c r="B2008" s="457">
        <f t="shared" ca="1" si="379"/>
        <v>21</v>
      </c>
      <c r="C2008" s="457">
        <f t="shared" ca="1" si="380"/>
        <v>1</v>
      </c>
      <c r="D2008" s="458">
        <f t="shared" ca="1" si="381"/>
        <v>1</v>
      </c>
      <c r="E2008" s="458">
        <f t="shared" ca="1" si="382"/>
        <v>1</v>
      </c>
    </row>
    <row r="2009" spans="1:5" ht="14.1" customHeight="1" x14ac:dyDescent="0.2">
      <c r="A2009" s="457">
        <f ca="1">IF($H2009="UNIDADE CONSTRUTIVA",OFFSET(A2009,-1,0)+1,LARGE(A$3:A2008,1))</f>
        <v>0</v>
      </c>
      <c r="B2009" s="457">
        <f t="shared" ca="1" si="379"/>
        <v>21</v>
      </c>
      <c r="C2009" s="457">
        <f t="shared" ca="1" si="380"/>
        <v>1</v>
      </c>
      <c r="D2009" s="458">
        <f t="shared" ca="1" si="381"/>
        <v>1</v>
      </c>
      <c r="E2009" s="458">
        <f t="shared" ca="1" si="382"/>
        <v>1</v>
      </c>
    </row>
    <row r="2010" spans="1:5" ht="14.1" customHeight="1" x14ac:dyDescent="0.2">
      <c r="A2010" s="457">
        <f ca="1">IF($H2010="UNIDADE CONSTRUTIVA",OFFSET(A2010,-1,0)+1,LARGE(A$3:A2009,1))</f>
        <v>0</v>
      </c>
      <c r="B2010" s="457">
        <f t="shared" ca="1" si="379"/>
        <v>21</v>
      </c>
      <c r="C2010" s="457">
        <f t="shared" ca="1" si="380"/>
        <v>1</v>
      </c>
      <c r="D2010" s="458">
        <f t="shared" ca="1" si="381"/>
        <v>1</v>
      </c>
      <c r="E2010" s="458">
        <f t="shared" ca="1" si="382"/>
        <v>1</v>
      </c>
    </row>
    <row r="2011" spans="1:5" ht="14.1" customHeight="1" x14ac:dyDescent="0.2">
      <c r="A2011" s="457">
        <f ca="1">IF($H2011="UNIDADE CONSTRUTIVA",OFFSET(A2011,-1,0)+1,LARGE(A$3:A2010,1))</f>
        <v>0</v>
      </c>
      <c r="B2011" s="457">
        <f t="shared" ref="B2011:B2026" ca="1" si="383">IF(H2011="UNIDADE CONSTRUTIVA",0,IF(H2011="CÉLULA CONSTRUTIVA",OFFSET(B2011,-1,0)+1,OFFSET(B2011,-1,0)))</f>
        <v>21</v>
      </c>
      <c r="C2011" s="457">
        <f t="shared" ref="C2011:C2026" ca="1" si="384">IF(H2011="CÉLULA CONSTRUTIVA",0,IF(H2011="ETAPA",OFFSET(C2011,-1,0)+1,OFFSET(C2011,-1,0)))</f>
        <v>1</v>
      </c>
      <c r="D2011" s="458">
        <f t="shared" ref="D2011:D2026" ca="1" si="385">IF(H2011="ETAPA",0,IF(H2011="SUBETAPA",OFFSET(D2011,-1,0)+1,OFFSET(D2011,-1,0)))</f>
        <v>1</v>
      </c>
      <c r="E2011" s="458">
        <f t="shared" ref="E2011:E2026" ca="1" si="386">IF(H2011="Subetapa",0,IF(H2011="serviço",OFFSET(E2011,-1,0)+1,OFFSET(E2011,-1,0)))</f>
        <v>1</v>
      </c>
    </row>
    <row r="2012" spans="1:5" ht="14.1" customHeight="1" x14ac:dyDescent="0.2">
      <c r="A2012" s="457">
        <f ca="1">IF($H2012="UNIDADE CONSTRUTIVA",OFFSET(A2012,-1,0)+1,LARGE(A$3:A2011,1))</f>
        <v>0</v>
      </c>
      <c r="B2012" s="457">
        <f t="shared" ca="1" si="383"/>
        <v>21</v>
      </c>
      <c r="C2012" s="457">
        <f t="shared" ca="1" si="384"/>
        <v>1</v>
      </c>
      <c r="D2012" s="458">
        <f t="shared" ca="1" si="385"/>
        <v>1</v>
      </c>
      <c r="E2012" s="458">
        <f t="shared" ca="1" si="386"/>
        <v>1</v>
      </c>
    </row>
    <row r="2013" spans="1:5" ht="14.1" customHeight="1" x14ac:dyDescent="0.2">
      <c r="A2013" s="457">
        <f ca="1">IF($H2013="UNIDADE CONSTRUTIVA",OFFSET(A2013,-1,0)+1,LARGE(A$3:A2012,1))</f>
        <v>0</v>
      </c>
      <c r="B2013" s="457">
        <f t="shared" ca="1" si="383"/>
        <v>21</v>
      </c>
      <c r="C2013" s="457">
        <f t="shared" ca="1" si="384"/>
        <v>1</v>
      </c>
      <c r="D2013" s="458">
        <f t="shared" ca="1" si="385"/>
        <v>1</v>
      </c>
      <c r="E2013" s="458">
        <f t="shared" ca="1" si="386"/>
        <v>1</v>
      </c>
    </row>
    <row r="2014" spans="1:5" ht="14.1" customHeight="1" x14ac:dyDescent="0.2">
      <c r="A2014" s="457">
        <f ca="1">IF($H2014="UNIDADE CONSTRUTIVA",OFFSET(A2014,-1,0)+1,LARGE(A$3:A2013,1))</f>
        <v>0</v>
      </c>
      <c r="B2014" s="457">
        <f t="shared" ca="1" si="383"/>
        <v>21</v>
      </c>
      <c r="C2014" s="457">
        <f t="shared" ca="1" si="384"/>
        <v>1</v>
      </c>
      <c r="D2014" s="458">
        <f t="shared" ca="1" si="385"/>
        <v>1</v>
      </c>
      <c r="E2014" s="458">
        <f t="shared" ca="1" si="386"/>
        <v>1</v>
      </c>
    </row>
    <row r="2015" spans="1:5" ht="14.1" customHeight="1" x14ac:dyDescent="0.2">
      <c r="A2015" s="457">
        <f ca="1">IF($H2015="UNIDADE CONSTRUTIVA",OFFSET(A2015,-1,0)+1,LARGE(A$3:A2014,1))</f>
        <v>0</v>
      </c>
      <c r="B2015" s="457">
        <f t="shared" ca="1" si="383"/>
        <v>21</v>
      </c>
      <c r="C2015" s="457">
        <f t="shared" ca="1" si="384"/>
        <v>1</v>
      </c>
      <c r="D2015" s="458">
        <f t="shared" ca="1" si="385"/>
        <v>1</v>
      </c>
      <c r="E2015" s="458">
        <f t="shared" ca="1" si="386"/>
        <v>1</v>
      </c>
    </row>
    <row r="2016" spans="1:5" ht="14.1" customHeight="1" x14ac:dyDescent="0.2">
      <c r="A2016" s="457">
        <f ca="1">IF($H2016="UNIDADE CONSTRUTIVA",OFFSET(A2016,-1,0)+1,LARGE(A$3:A2015,1))</f>
        <v>0</v>
      </c>
      <c r="B2016" s="457">
        <f t="shared" ca="1" si="383"/>
        <v>21</v>
      </c>
      <c r="C2016" s="457">
        <f t="shared" ca="1" si="384"/>
        <v>1</v>
      </c>
      <c r="D2016" s="458">
        <f t="shared" ca="1" si="385"/>
        <v>1</v>
      </c>
      <c r="E2016" s="458">
        <f t="shared" ca="1" si="386"/>
        <v>1</v>
      </c>
    </row>
    <row r="2017" spans="1:5" ht="14.1" customHeight="1" x14ac:dyDescent="0.2">
      <c r="A2017" s="457">
        <f ca="1">IF($H2017="UNIDADE CONSTRUTIVA",OFFSET(A2017,-1,0)+1,LARGE(A$3:A2016,1))</f>
        <v>0</v>
      </c>
      <c r="B2017" s="457">
        <f t="shared" ca="1" si="383"/>
        <v>21</v>
      </c>
      <c r="C2017" s="457">
        <f t="shared" ca="1" si="384"/>
        <v>1</v>
      </c>
      <c r="D2017" s="458">
        <f t="shared" ca="1" si="385"/>
        <v>1</v>
      </c>
      <c r="E2017" s="458">
        <f t="shared" ca="1" si="386"/>
        <v>1</v>
      </c>
    </row>
    <row r="2018" spans="1:5" ht="14.1" customHeight="1" x14ac:dyDescent="0.2">
      <c r="A2018" s="457">
        <f ca="1">IF($H2018="UNIDADE CONSTRUTIVA",OFFSET(A2018,-1,0)+1,LARGE(A$3:A2017,1))</f>
        <v>0</v>
      </c>
      <c r="B2018" s="457">
        <f t="shared" ca="1" si="383"/>
        <v>21</v>
      </c>
      <c r="C2018" s="457">
        <f t="shared" ca="1" si="384"/>
        <v>1</v>
      </c>
      <c r="D2018" s="458">
        <f t="shared" ca="1" si="385"/>
        <v>1</v>
      </c>
      <c r="E2018" s="458">
        <f t="shared" ca="1" si="386"/>
        <v>1</v>
      </c>
    </row>
    <row r="2019" spans="1:5" ht="14.1" customHeight="1" x14ac:dyDescent="0.2">
      <c r="A2019" s="457">
        <f ca="1">IF($H2019="UNIDADE CONSTRUTIVA",OFFSET(A2019,-1,0)+1,LARGE(A$3:A2018,1))</f>
        <v>0</v>
      </c>
      <c r="B2019" s="457">
        <f t="shared" ca="1" si="383"/>
        <v>21</v>
      </c>
      <c r="C2019" s="457">
        <f t="shared" ca="1" si="384"/>
        <v>1</v>
      </c>
      <c r="D2019" s="458">
        <f t="shared" ca="1" si="385"/>
        <v>1</v>
      </c>
      <c r="E2019" s="458">
        <f t="shared" ca="1" si="386"/>
        <v>1</v>
      </c>
    </row>
    <row r="2020" spans="1:5" ht="14.1" customHeight="1" x14ac:dyDescent="0.2">
      <c r="A2020" s="457">
        <f ca="1">IF($H2020="UNIDADE CONSTRUTIVA",OFFSET(A2020,-1,0)+1,LARGE(A$3:A2019,1))</f>
        <v>0</v>
      </c>
      <c r="B2020" s="457">
        <f t="shared" ca="1" si="383"/>
        <v>21</v>
      </c>
      <c r="C2020" s="457">
        <f t="shared" ca="1" si="384"/>
        <v>1</v>
      </c>
      <c r="D2020" s="458">
        <f t="shared" ca="1" si="385"/>
        <v>1</v>
      </c>
      <c r="E2020" s="458">
        <f t="shared" ca="1" si="386"/>
        <v>1</v>
      </c>
    </row>
    <row r="2021" spans="1:5" ht="14.1" customHeight="1" x14ac:dyDescent="0.2">
      <c r="A2021" s="457">
        <f ca="1">IF($H2021="UNIDADE CONSTRUTIVA",OFFSET(A2021,-1,0)+1,LARGE(A$3:A2020,1))</f>
        <v>0</v>
      </c>
      <c r="B2021" s="457">
        <f t="shared" ca="1" si="383"/>
        <v>21</v>
      </c>
      <c r="C2021" s="457">
        <f t="shared" ca="1" si="384"/>
        <v>1</v>
      </c>
      <c r="D2021" s="458">
        <f t="shared" ca="1" si="385"/>
        <v>1</v>
      </c>
      <c r="E2021" s="458">
        <f t="shared" ca="1" si="386"/>
        <v>1</v>
      </c>
    </row>
    <row r="2022" spans="1:5" ht="14.1" customHeight="1" x14ac:dyDescent="0.2">
      <c r="A2022" s="457">
        <f ca="1">IF($H2022="UNIDADE CONSTRUTIVA",OFFSET(A2022,-1,0)+1,LARGE(A$3:A2021,1))</f>
        <v>0</v>
      </c>
      <c r="B2022" s="457">
        <f t="shared" ca="1" si="383"/>
        <v>21</v>
      </c>
      <c r="C2022" s="457">
        <f t="shared" ca="1" si="384"/>
        <v>1</v>
      </c>
      <c r="D2022" s="458">
        <f t="shared" ca="1" si="385"/>
        <v>1</v>
      </c>
      <c r="E2022" s="458">
        <f t="shared" ca="1" si="386"/>
        <v>1</v>
      </c>
    </row>
    <row r="2023" spans="1:5" ht="14.1" customHeight="1" x14ac:dyDescent="0.2">
      <c r="A2023" s="457">
        <f ca="1">IF($H2023="UNIDADE CONSTRUTIVA",OFFSET(A2023,-1,0)+1,LARGE(A$3:A2022,1))</f>
        <v>0</v>
      </c>
      <c r="B2023" s="457">
        <f t="shared" ca="1" si="383"/>
        <v>21</v>
      </c>
      <c r="C2023" s="457">
        <f t="shared" ca="1" si="384"/>
        <v>1</v>
      </c>
      <c r="D2023" s="458">
        <f t="shared" ca="1" si="385"/>
        <v>1</v>
      </c>
      <c r="E2023" s="458">
        <f t="shared" ca="1" si="386"/>
        <v>1</v>
      </c>
    </row>
    <row r="2024" spans="1:5" ht="14.1" customHeight="1" x14ac:dyDescent="0.2">
      <c r="A2024" s="457">
        <f ca="1">IF($H2024="UNIDADE CONSTRUTIVA",OFFSET(A2024,-1,0)+1,LARGE(A$3:A2023,1))</f>
        <v>0</v>
      </c>
      <c r="B2024" s="457">
        <f t="shared" ca="1" si="383"/>
        <v>21</v>
      </c>
      <c r="C2024" s="457">
        <f t="shared" ca="1" si="384"/>
        <v>1</v>
      </c>
      <c r="D2024" s="458">
        <f t="shared" ca="1" si="385"/>
        <v>1</v>
      </c>
      <c r="E2024" s="458">
        <f t="shared" ca="1" si="386"/>
        <v>1</v>
      </c>
    </row>
    <row r="2025" spans="1:5" ht="14.1" customHeight="1" x14ac:dyDescent="0.2">
      <c r="A2025" s="457">
        <f ca="1">IF($H2025="UNIDADE CONSTRUTIVA",OFFSET(A2025,-1,0)+1,LARGE(A$3:A2024,1))</f>
        <v>0</v>
      </c>
      <c r="B2025" s="457">
        <f t="shared" ca="1" si="383"/>
        <v>21</v>
      </c>
      <c r="C2025" s="457">
        <f t="shared" ca="1" si="384"/>
        <v>1</v>
      </c>
      <c r="D2025" s="458">
        <f t="shared" ca="1" si="385"/>
        <v>1</v>
      </c>
      <c r="E2025" s="458">
        <f t="shared" ca="1" si="386"/>
        <v>1</v>
      </c>
    </row>
    <row r="2026" spans="1:5" ht="14.1" customHeight="1" x14ac:dyDescent="0.2">
      <c r="A2026" s="457">
        <f ca="1">IF($H2026="UNIDADE CONSTRUTIVA",OFFSET(A2026,-1,0)+1,LARGE(A$3:A2025,1))</f>
        <v>0</v>
      </c>
      <c r="B2026" s="457">
        <f t="shared" ca="1" si="383"/>
        <v>21</v>
      </c>
      <c r="C2026" s="457">
        <f t="shared" ca="1" si="384"/>
        <v>1</v>
      </c>
      <c r="D2026" s="458">
        <f t="shared" ca="1" si="385"/>
        <v>1</v>
      </c>
      <c r="E2026" s="458">
        <f t="shared" ca="1" si="386"/>
        <v>1</v>
      </c>
    </row>
  </sheetData>
  <autoFilter ref="G7:P1392" xr:uid="{00000000-0009-0000-0000-000001000000}">
    <filterColumn colId="3" showButton="0"/>
  </autoFilter>
  <mergeCells count="1">
    <mergeCell ref="G6:P6"/>
  </mergeCells>
  <phoneticPr fontId="37" type="noConversion"/>
  <conditionalFormatting sqref="G36:G38 G946:I947 L946:O947 G975:L975 G979:L979 N1303:O1303 M1375:P1375 G1371:L1377 M1377:P1377 L75:L77 G56:K77 G220:K220 G271:K271 G272:L274 G270:M270 M221:M222 O220:P222 M225:P225 O224:P225 M233:P233 M232:M233 M245:M246 O165:P169 G163:K174 L167:L168 M223:P223 M263:P263 G221:L225 M231:P231 M239:P239 M247:P247 M255:P255 O232:P233 O245:P246 O229:P230 M229:M230 O237:P238 M237:M238 O240:P241 G240:M240 L275:L278 L287:L289 L298:L300 L309:L311 G286:P286 G297:P297 G308:P308 G319:P319 L320 G323:M323 O323:P323 G326:M326 O326:P326 G347:L347 G334:I337 G344:I344 M344:P344 M342:P342 G340:I342 G349:I353 M353:P353 M361:P361 P369:P371 G357:I374 M373:O374 P841 P857 G226:P226 G234:P234 G816:L819 G822:O822 G839:O839 G913:K915 L915 G1047:K1048 G1049:L1049 N938:O938 G940:L940 G963:I967 L963:O967 G983:I987 L983:O987 G1003:O1003 G1004:I1004 L1004:O1004 G1042:O1042 G1058:O1059 G1067:O1067 G1195:O1195 G1194:M1194 O1194:P1194 N1191:O1191 G1205:M1205 O1205:P1205 G1206:O1206 G1215:M1215 O1215:P1215 G1216:O1216 G1225:J1226 K1226:L1226 N1226:O1226 G1230:M1230 O1230:P1230 G1231:O1231 G1242:J1243 K1243:L1243 N1243:O1243 G1254:O1254 G1250:O1250 O1253:P1253 G1244:M1244 O1244:P1244 G1249:M1249 O1249:P1249 G1251:M1251 O1251:P1251 G1253:M1253 G1265:J1266 L1266 N1266:O1266 G1277:O1277 G1273:O1273 O1276:P1276 G1267:M1267 O1267:P1267 G1272:M1272 O1272:P1272 G1274:M1274 O1274:P1274 G1276:M1276 G1286:J1287 L1287 N1287:O1287 G1296:O1296 O1295:P1295 G1288:M1288 O1288:P1288 G1295:M1295 O1186:P1186 N1193:O1193 G1190:K1193 O1199:P1199 N1204:O1204 G1203:K1204 O1209:P1209 N1214:O1214 G1213:K1214 O1219:P1219 O1236:P1236 O1259:P1259 O1301:P1301 G1228:L1229 G1227:M1227 O1227:P1227 G1233:O1233 O1232:P1232 G1232:M1232 G1245:L1248 G1293:M1293 O1293:P1293 G1196:K1198 G1207:K1208 G1217:K1218 G1234:K1235 G1255:K1258 G1278:K1281 G1297:K1300 G1304:K1305 M1370:O1370 G1367:M1369 O1367:P1369 P1371:P1373 G716:L720 G722:L724 G435:L436 G440:L441 G445:L446 G450:L451 G455:L456 G460:L461 G465:L466 M289:P289 N1245:O1248 N1228:O1229 P843 P859 N917:O918 N915:O915 N1049:O1049 N940:O940 N975:O975 N167:N168 M224:M225 G241:P242 M249:P250 M257:P258 M265:P267 N272:P274 M227 O227:P227 M228:P228 G227:L233 M235 O235:P235 M236:P236 G235:L239 M243 O243:P243 M244:P244 M253:M254 O253:P254 M248:M251 O248:P251 M252:P252 O261:P262 M261:M262 M256:M259 O256:P259 M260:P260 O270:P271 M264:M268 O264:P268 M269:P269 G243:L269 G543:L545 G560:L562 G577:L579 G1308:K1308 G1061:O1063 G1085:O1085 G1102:O1102 G1119:O1119 G1136:O1136 G1152:O1152 G713:P715 G1392:P1393 G1390:L1391 N1390:P1391 M278:P278 M300:P300 M311:P311">
    <cfRule type="expression" dxfId="15177" priority="25520">
      <formula>$H36="SUBETAPA"</formula>
    </cfRule>
  </conditionalFormatting>
  <conditionalFormatting sqref="G36:G38 G39:K48 O48:P48 M51 O51:P51 M52:O52 O53:P55 O62:P62 O71:P71 O75:P75 M275:M277 O275:P277 P470 O726:P726 O865:P865 O912:P912 O1185:P1185 O1308:P1308 O285:P285 L283:O284 L285:M285 G912:M912 M287:M288 O287:P288 O296:P296 L296:M296 M298:M299 O298:P299 O307:P307 L307:M307 M309:M310 O309:P310 O318:P318 L318:M318 O161:P162 O165:P165 O169:P169 O171:P171 N172 O173:P173 O78:P79 O86:P86 O94:P94 O97:P97 N98 O99:P99 M82:O82 G80:I81 N80:O81 N87:N93 N63:N70 O101:P102 O107:P107 O115:P115 O118:P118 N119 O120:P120 N103:O106 N108:N114 O122:P123 O128:P128 O136:P136 O139:P139 N140 O141:P141 N124:O127 N129:N135 O143:P144 O147:P147 O157:P157 O159:P159 N148:N156 O175:P176 O178:P178 O182:P182 O184:P184 N185 O186:P186 N179:N181 O188:P189 O191:P191 O196:P196 O198:P198 N199 O200:P200 N192:N195 O202:P203 O206:P206 O214:P214 O216:P216 N217 O218:P218 G205:I205 N207:N211 G206:K206 G208:K211 G207:I207 P340:P341 M341:O341 G470:M470 M732 O732:P732 G732:L734 G726:M726 M738 O738:P738 G738:L740 M744 O744:P744 G744:L746 G1337:O1337 O752:O755 M756:O756 O794:O798 G868:P868 P867:P868 G975:L975 G979:L979 G982:L983 M983:O983 G986:I987 L986:O987 L1055 G1118:M1120 G1135:M1137 G1151:M1153 G1166:M1168 N1303:O1303 P1365:P1366 M1375:P1375 G1371:L1377 M1377:P1377 G50:K79 N272:N274 M221:M222 O220:P222 M225:O225 O224:P225 M233:O233 M232:M233 N166:N168 G82:K204 M223:O223 M263:O263 M231:O231 M239:O239 M247:O247 M255:O255 O232:P233 O245:P246 O229:P230 M229:M230 O237:P238 M237:M238 N241:O241 O240:P241 G278:I278 K278 L286:O286 G281:K286 L297:O297 G292:K297 L308:O308 G303:K308 L319:O319 G314:K319 M320 O320:P320 M323 O323:P323 G323:K323 M326 O326:P326 G326:K326 G329:K329 P331:P333 P347:P348 G331:I337 G340:I344 M342:P344 G347:I353 P351:P353 M352:O353 G355:I361 P359:P361 M360:O361 G365:I374 M373:O374 M226:P226 M234:P234 N242:P242 G816:L819 G822:O822 G839:O839 G885:L885 G892:L892 G899:L899 G906:L906 G1047:K1048 G1049:L1049 G936:L938 G955:L957 G942:L942 G944:O944 P941 G947:O949 G964:O967 G984:O984 G1002:L1003 M1003:O1003 G1004:O1004 G1041:L1042 M1042:O1042 G1059:O1059 O1159:P1159 G1159:M1159 O1174:P1174 G1174:M1174 M1066:M1068 M1101:M1103 G1066:L1074 G1084:L1091 G1101:L1108 G1121:L1126 G1138:L1142 G1154:L1158 G1169:L1173 G1182:L1184 G1195:O1195 G1194:P1194 N1191:O1191 O1205:P1205 G1205:M1205 G1206:O1206 O1215:P1215 G1215:M1215 G1216:O1216 G1230:M1230 O1230:P1230 G1231:O1231 G1225:L1226 G1242:J1243 G1244:M1244 G1249:M1249 O1249:P1249 G1250:O1250 G1251:M1251 O1251:P1251 M1253 O1253:P1253 M1254:O1254 O1244:P1244 G1265:J1266 L1266 N1266:O1266 G1267:M1267 G1272:M1272 O1272:P1272 G1273:O1273 G1274:M1274 O1274:P1274 M1276 O1276:P1276 M1277:O1277 O1267:P1267 G1286:J1287 L1287 N1287:O1287 G1288:M1288 M1295 O1295:P1295 M1296:O1296 O1288:P1288 N1193:O1193 O1199:P1199 N1204:O1204 O1209:P1209 N1214:O1214 O1219:P1219 N1224:O1224 O1236:P1236 N1241:O1241 O1259:P1259 N1264:O1264 G1301:K1303 O1301:P1301 G1228:L1229 G1227:M1227 O1227:P1227 M1232 O1232:P1232 M1233:O1233 G1245:L1248 G1293:M1293 O1293:P1293 G1196:L1198 G1207:L1208 G1217:L1218 G1232:L1235 G1253:L1258 G1276:L1281 G1295:L1300 G1304:L1305 L1308 G1367:M1369 O1367:P1369 G918:L918 G1370:O1370 P1371:P1372 G716:K720 G727:O728 M733:O734 M739:O740 M745:O746 G435:L435 G440:L440 G445:L445 G450:L450 G455:L455 G460:L460 G465:L465 M289:O289 N1245:O1248 N1228:O1229 P1058:P1059 N1067:P1067 P1069:P1074 P1077:P1078 P1087:P1091 P1094:P1095 P1104:P1108 P1121:P1126 P1138:P1142 P1154:P1158 P1169:P1173 P1182:P1184 P870 N957:O957 N938:O938 N918:O918 P943 N1049:O1049 N942:O942 N975:O975 N83:O83 M224:M225 M249:O250 M257:O258 M265:O267 M227 O227:P227 M228:O228 M235 O235:P235 M236:O236 M245:M246 M240:M243 O243:P243 M244:O244 M253:M254 O253:P254 M248:M251 O248:P251 M252:O252 O261:P262 M261:M262 M256:M259 O256:P259 M260:O260 M270 O270:P271 M264:M268 O264:P268 M269:O269 G214:K274 G1185:K1193 G1199:K1204 G1209:K1214 G1306:K1306 G1307:L1307 M163:O164 G1061:O1063 G1078:O1078 G1080:O1081 M1085:P1085 G1095:O1095 G1097:O1098 M1102:P1102 M1119:P1119 M1136:P1136 M1152:P1152 M1167:P1167 G713:P715 M57:O61 M84:O85 M103 M105:M106 M124 M126:M127 M145:O146 M177:O177 M190:O190 M204:O205 G928:O931 L294:O295 L305:O306 L316:O317 G1392:P1393 G1390:L1391 N1390:P1391 M278:O278 M300:O300 M311:O311 G1219:K1224 G1236:K1241 G1259:K1264 G1282:K1285">
    <cfRule type="expression" dxfId="15176" priority="25522">
      <formula>$H36="ETAPA"</formula>
    </cfRule>
  </conditionalFormatting>
  <conditionalFormatting sqref="G36:G38 O62:P62 O71:P71 O275:P277 P470 G39:K48 O48:P48 M51 O51:P51 M52:O52 O53:P55 O75:P75 M275:M277 O726:P726 O287:P288 M287:M288 O298:P299 M298:M299 O309:P310 M309:M310 O86:P86 O94:P94 O97:P97 O78:P79 N98 O99:P99 M82:O82 G80:I81 N80:O81 N87:N93 N63:N70 O107:P107 O115:P115 O118:P118 O101:P102 N119 O120:P120 N103:O106 N108:N114 O128:P128 O136:P136 O139:P139 O122:P123 N140 O141:P141 N124:O127 N129:N135 O147:P147 O157:P157 O143:P144 O159:P159 N148:N156 O178:P178 O182:P182 O184:P184 O175:P176 N185 O186:P186 G82:K160 N179:N181 O191:P191 O196:P196 O198:P198 O188:P189 N199 O200:P200 N192:N195 O206:P206 O214:P214 O216:P216 O202:P203 N217 O218:P218 G205:I205 N207:N211 G206:K206 G208:K211 G207:I207 G470:M470 G609:L609 M732 O732:P732 G732:L734 G726:M726 M738 O738:P738 G738:L740 M744 O744:P744 G744:L746 G1337:O1337 O752:O755 M756:O756 O794:O798 G868:P868 O881:P881 O890:P890 O897:P897 G946:I947 L946:O947 G975:L975 G979:L979 N1303:O1303 P1365:P1366 M1375:P1375 G1371:L1377 M1377:P1377 G50:K79 N272:N274 M221:M222 O220:P222 M225:O225 O224:P225 M233:O233 M232:M233 N166:N168 G163:K204 M223:O223 M263:O263 M231:O231 M239:O239 M247:O247 M255:O255 O232:P233 O245:P246 O229:P230 M229:M230 O237:P238 M237:M238 N241:O241 O240:P241 G286:O286 G297:O297 G308:O308 G319:O319 O320:P320 M320 G323:K323 O323:P323 M323 G326:K326 O326:P326 M326 P331:P333 P347:P348 G331:I337 M344:P344 G344:I344 M342:P342 G340:I342 G347:I353 M353:P353 G355:I361 M361:P361 G365:I374 M373:O374 M226:P226 M234:P234 N242:P242 G816:L819 G822:O822 G839:O839 G1047:K1048 G1049:L1049 N938:O938 G963:I967 L963:O967 G983:I987 L983:O987 G1003:O1003 G1004:I1004 L1004:O1004 G1042:O1042 G1058:O1059 G1067:O1067 G1194:M1194 O1194:P1194 N1191:O1191 G1195:O1195 G1205:M1205 O1205:P1205 G1206:O1206 G1215:M1215 O1215:P1215 G1216:O1216 G1230:M1230 O1230:P1230 G1231:O1231 G1225:L1226 G1242:J1243 G1254:O1254 G1244:M1244 O1244:P1244 G1249:M1249 O1249:P1249 G1250:O1250 G1251:M1251 O1251:P1251 G1253:M1253 O1253:P1253 G1265:J1266 L1266 N1266:O1266 G1277:O1277 G1267:M1267 O1267:P1267 G1272:M1272 O1272:P1272 G1273:O1273 G1274:M1274 O1274:P1274 G1276:M1276 O1276:P1276 G1286:J1287 L1287 N1287:O1287 G1296:O1296 G1288:M1288 O1288:P1288 G1295:M1295 O1295:P1295 O1186:P1186 G1190:K1193 N1193:O1193 O1199:P1199 N1204:O1204 G1203:K1204 O1209:P1209 N1214:O1214 G1213:K1214 O1219:P1219 O1236:P1236 O1259:P1259 O1301:P1301 G1228:L1229 G1227:M1227 O1227:P1227 G1233:O1233 G1232:M1232 O1232:P1232 G1245:L1248 G1293:M1293 O1293:P1293 G1196:K1198 G1207:K1208 G1217:K1218 G1234:K1235 G1255:K1258 G1278:K1281 G1297:K1300 G1304:K1305 M1370:O1370 G1367:M1369 O1367:P1369 P1371:P1373 G716:K720 G727:O728 M733:O734 M739:O740 M745:O746 G435:L435 G440:L440 G445:L445 G450:L450 G455:L455 G460:L460 G465:L465 M289:O289 N1245:O1248 N1228:O1229 P870 N917:O918 N1049:O1049 N975:O975 N83:O83 M224:M225 M249:O250 M257:O258 M265:O267 M227 O227:P227 M228:O228 M235 O235:P235 M236:O236 M245:M246 M240:M243 O243:P243 M244:O244 M253:M254 O253:P254 M248:M251 O248:P251 M252:O252 O261:P262 M261:M262 M256:M259 O256:P259 M260:O260 M270 O270:P270 M264:M268 O264:P268 M269:O269 G214:K277 G544:L559 G561:L576 G578:L593 M163:O164 G1061:O1063 G1085:O1085 G1102:O1102 G1119:O1119 G1136:O1136 G1152:O1152 G713:P715 M57:O61 M84:O85 M103 M105:M106 M124 M126:M127 M145:O146 M177:O177 M190:O190 M204:O205 G1392:P1393 G1390:L1391 N1390:P1391 M278:O278 M300:O300 M311:O311">
    <cfRule type="expression" dxfId="15175" priority="25521">
      <formula>$H36="CÉLULA CONSTRUTIVA"</formula>
    </cfRule>
  </conditionalFormatting>
  <conditionalFormatting sqref="G330:H330 O330:P330 J330:K330 M329:M330 M61:P61 M82:O82 M85:P85 G80:I81 N80:O81 O86:P94 P78:P84 M57:O60 P53:P60 L65:L69 O62:P71 L73:P74 L95:L96 L98:L100 G82:K100 M100:P100 N103:O105 N106:P106 O107:P115 L116:L117 L119:L121 G103:K121 M121:P121 P101:P105 N124:O126 N127:P127 O128:P136 L137:L138 L140:L142 G124:K142 M142:P142 P122:P126 P161:P162 L170 L172:L174 M174:P174 M146:P146 O147:P154 N156 M145:O145 P143:P145 G145:K154 O156:P157 G155:L155 M160:P160 M165 N166 P275:P276 M177:O177 P175:P177 L183 L185:L187 M187:P187 L159:L160 G156:K160 O178:P182 G177:K187 M190:O190 P188:P190 L197 L199:L201 M201:P201 O191:P194 G190:K194 G196:K201 O196:P196 N204:O204 P202:P204 L217:L219 M219:P219 L209:L210 O206:P206 G214:K219 O214:P214 G211:L211 N205:P205 G204:K204 G205:I205 G206:K206 G208:K210 G207:I207 P340:P341 G470:L470 L706 P706 G708:L708 M727:O727 O752:O755 G748:L755 G756:O756 M798:N798 O794:O798 G868:P868 G869:K870 O881:P881 O890:P890 O897:P897 L89:L93 L110:L114 L131:L135 L150:L154 L180:L181 L193:L194 G195:L195 L215 G275:K277 G726:L746 L870:P870 L72 N72:P72 N65:N70 M84:O84 N83:O83 N89:N93 N95:P96 M96 N110:N114 N116:P117 N131:N135 N137:P138 N150:N154 N155:P155 N170:P170 N179:N181 N183:P183 N192:N194 N197:P197 N195:P195 N207:P211 N215:P215 M163:P164 M60:M61 M84:M85 M103 M105:M106 M124 M126:M127 M145:M146 M177:M178 M190:M191 M204:M206 M117 M138 L158:P158">
    <cfRule type="expression" dxfId="15174" priority="24812">
      <formula>$H53="SUBETAPA"</formula>
    </cfRule>
  </conditionalFormatting>
  <conditionalFormatting sqref="G346:H346 O346:P346 J346:K346 M346 P351:P352 K350:L350">
    <cfRule type="expression" dxfId="15173" priority="7125">
      <formula>$H346="SUBETAPA"</formula>
    </cfRule>
  </conditionalFormatting>
  <conditionalFormatting sqref="G354:H354 O354:P354 J354:K354 M354 P359:P360">
    <cfRule type="expression" dxfId="15172" priority="6936">
      <formula>$H354="SUBETAPA"</formula>
    </cfRule>
  </conditionalFormatting>
  <conditionalFormatting sqref="G364:H364 G1308:K1308 L75:L77 M271 O272:O274 M165 O166:O168 L167:L168 L272:L278 L287:L289 L298:L300 L309:L311 L323 L326 J348:P348 G913:K915 L915 G940:L940 N1226:O1226 K1243:L1243 N1243:O1243 L716:L720 N915:O915 N940:O940 L221:L270">
    <cfRule type="expression" dxfId="15171" priority="19374">
      <formula>$H75="ETAPA"</formula>
    </cfRule>
    <cfRule type="expression" dxfId="15170" priority="19373">
      <formula>$H75="CÉLULA CONSTRUTIVA"</formula>
    </cfRule>
  </conditionalFormatting>
  <conditionalFormatting sqref="G377:H377">
    <cfRule type="expression" dxfId="15169" priority="6794">
      <formula>$H377="ETAPA"</formula>
    </cfRule>
    <cfRule type="expression" dxfId="15168" priority="6793">
      <formula>$H377="CÉLULA CONSTRUTIVA"</formula>
    </cfRule>
  </conditionalFormatting>
  <conditionalFormatting sqref="G378:H378">
    <cfRule type="expression" dxfId="15167" priority="19156">
      <formula>$H378="CÉLULA CONSTRUTIVA"</formula>
    </cfRule>
    <cfRule type="expression" dxfId="15166" priority="19157">
      <formula>$H378="ETAPA"</formula>
    </cfRule>
  </conditionalFormatting>
  <conditionalFormatting sqref="G379:H382 P385:P386 M386:O386 G394:H401 P398:P400 M399:O401 I375:I382 G385:I386 G388:I389 M388:O389 P388 I391:I401">
    <cfRule type="expression" dxfId="15165" priority="19227">
      <formula>$H375="ETAPA"</formula>
    </cfRule>
  </conditionalFormatting>
  <conditionalFormatting sqref="G393:H393">
    <cfRule type="expression" dxfId="15164" priority="19038">
      <formula>$H393="CÉLULA CONSTRUTIVA"</formula>
    </cfRule>
    <cfRule type="expression" dxfId="15163" priority="19039">
      <formula>$H393="ETAPA"</formula>
    </cfRule>
  </conditionalFormatting>
  <conditionalFormatting sqref="G404:H404">
    <cfRule type="expression" dxfId="15162" priority="18889">
      <formula>$H404="CÉLULA CONSTRUTIVA"</formula>
    </cfRule>
    <cfRule type="expression" dxfId="15161" priority="18890">
      <formula>$H404="ETAPA"</formula>
    </cfRule>
  </conditionalFormatting>
  <conditionalFormatting sqref="G420:H420">
    <cfRule type="expression" dxfId="15160" priority="18703">
      <formula>$H420="CÉLULA CONSTRUTIVA"</formula>
    </cfRule>
    <cfRule type="expression" dxfId="15159" priority="18704">
      <formula>$H420="ETAPA"</formula>
    </cfRule>
  </conditionalFormatting>
  <conditionalFormatting sqref="G338:I339">
    <cfRule type="expression" dxfId="15158" priority="6790">
      <formula>$H338="ETAPA"</formula>
    </cfRule>
    <cfRule type="expression" dxfId="15157" priority="6789">
      <formula>$H338="CÉLULA CONSTRUTIVA"</formula>
    </cfRule>
  </conditionalFormatting>
  <conditionalFormatting sqref="G345:I345 M345:O345">
    <cfRule type="expression" dxfId="15156" priority="6741">
      <formula>$H345="ETAPA"</formula>
    </cfRule>
  </conditionalFormatting>
  <conditionalFormatting sqref="G375:I382 G385:I386 G388:I389 G391:I401">
    <cfRule type="expression" dxfId="15155" priority="19168">
      <formula>$H375="SUBETAPA"</formula>
    </cfRule>
  </conditionalFormatting>
  <conditionalFormatting sqref="G383:I384">
    <cfRule type="expression" dxfId="15154" priority="6689">
      <formula>$H383="CÉLULA CONSTRUTIVA"</formula>
    </cfRule>
    <cfRule type="expression" dxfId="15153" priority="6690">
      <formula>$H383="ETAPA"</formula>
    </cfRule>
  </conditionalFormatting>
  <conditionalFormatting sqref="G387:I387 L1191:M1191 N1205 N1215 M1226 N1230 M1243 G1252:O1252 N1244 N1249 N1251 N1253 K1266 G1268:L1270 G1275:O1275 M1266 N1267 N1272 N1274 N1276 K1287 G1289:O1289 M1287 N1288 N1295 L1193:M1193 L1199:M1201 L1204:M1204 L1209:M1211 L1214:M1214 L1219:M1219 L1220 L1224:M1224 L1236:M1237 L1259:M1259 L1260:L1261 M1260 L1282:M1282 L1283:L1284 M1283 O1282:P1282 L1301:M1302 G1294:O1294 N1293 N1369 G432:L434 G442:L444 G447:L449 G452:L454 G457:L459 G462:L464 G467:L469 G1343:M1343 O1343:P1343 G1290:L1291 N1290:O1291 M1290:M1292 N1268:O1270 M1268:M1271 L1186:M1188 L1189 L1202 L1212 G1349:M1350 O1349:O1350 M1220:M1222">
    <cfRule type="expression" dxfId="15152" priority="6640">
      <formula>$H387="ETAPA"</formula>
    </cfRule>
    <cfRule type="expression" dxfId="15151" priority="6638">
      <formula>$H387="SUBETAPA"</formula>
    </cfRule>
    <cfRule type="expression" dxfId="15150" priority="6639">
      <formula>$H387="CÉLULA CONSTRUTIVA"</formula>
    </cfRule>
  </conditionalFormatting>
  <conditionalFormatting sqref="G390:I390 M390:O390">
    <cfRule type="expression" dxfId="15149" priority="6612">
      <formula>$H390="CÉLULA CONSTRUTIVA"</formula>
    </cfRule>
    <cfRule type="expression" dxfId="15148" priority="6613">
      <formula>$H390="ETAPA"</formula>
    </cfRule>
    <cfRule type="expression" dxfId="15147" priority="6611">
      <formula>$H390="SUBETAPA"</formula>
    </cfRule>
  </conditionalFormatting>
  <conditionalFormatting sqref="G617:I617 K617 M617 O617:P617">
    <cfRule type="expression" dxfId="15146" priority="15866">
      <formula>$H617="CÉLULA CONSTRUTIVA"</formula>
    </cfRule>
    <cfRule type="expression" dxfId="15145" priority="15867">
      <formula>$H617="ETAPA"</formula>
    </cfRule>
  </conditionalFormatting>
  <conditionalFormatting sqref="G617:I617 M617 K617 O617:P617">
    <cfRule type="expression" dxfId="15144" priority="15865">
      <formula>$H617="SUBETAPA"</formula>
    </cfRule>
  </conditionalFormatting>
  <conditionalFormatting sqref="G619:I619 K619 M619 O619:P619">
    <cfRule type="expression" dxfId="15143" priority="15846">
      <formula>$H619="CÉLULA CONSTRUTIVA"</formula>
    </cfRule>
    <cfRule type="expression" dxfId="15142" priority="15847">
      <formula>$H619="ETAPA"</formula>
    </cfRule>
  </conditionalFormatting>
  <conditionalFormatting sqref="G619:I619 M619 K619 O619:P619">
    <cfRule type="expression" dxfId="15141" priority="15845">
      <formula>$H619="SUBETAPA"</formula>
    </cfRule>
  </conditionalFormatting>
  <conditionalFormatting sqref="G631:I631 K631 M631 O631:P631">
    <cfRule type="expression" dxfId="15140" priority="15706">
      <formula>$H631="ETAPA"</formula>
    </cfRule>
    <cfRule type="expression" dxfId="15139" priority="15705">
      <formula>$H631="CÉLULA CONSTRUTIVA"</formula>
    </cfRule>
  </conditionalFormatting>
  <conditionalFormatting sqref="G631:I631 M631 K631 O631:P631">
    <cfRule type="expression" dxfId="15138" priority="15704">
      <formula>$H631="SUBETAPA"</formula>
    </cfRule>
  </conditionalFormatting>
  <conditionalFormatting sqref="G633:I633 K633 M633 O633:P633">
    <cfRule type="expression" dxfId="15137" priority="15686">
      <formula>$H633="ETAPA"</formula>
    </cfRule>
    <cfRule type="expression" dxfId="15136" priority="15685">
      <formula>$H633="CÉLULA CONSTRUTIVA"</formula>
    </cfRule>
  </conditionalFormatting>
  <conditionalFormatting sqref="G633:I633 M633 K633 O633:P633">
    <cfRule type="expression" dxfId="15135" priority="15684">
      <formula>$H633="SUBETAPA"</formula>
    </cfRule>
  </conditionalFormatting>
  <conditionalFormatting sqref="G645:I645 K645 M645 O645:P645">
    <cfRule type="expression" dxfId="15134" priority="15379">
      <formula>$H645="CÉLULA CONSTRUTIVA"</formula>
    </cfRule>
  </conditionalFormatting>
  <conditionalFormatting sqref="G645:I645 M645 K645 O645:P645 G546:L559 G563:L576 G580:L593">
    <cfRule type="expression" dxfId="15133" priority="15378">
      <formula>$H546="SUBETAPA"</formula>
    </cfRule>
    <cfRule type="expression" dxfId="15132" priority="15380">
      <formula>$H546="ETAPA"</formula>
    </cfRule>
  </conditionalFormatting>
  <conditionalFormatting sqref="G647:I647 K647 M647 O647:P647">
    <cfRule type="expression" dxfId="15131" priority="15359">
      <formula>$H647="CÉLULA CONSTRUTIVA"</formula>
    </cfRule>
  </conditionalFormatting>
  <conditionalFormatting sqref="G647:I647 M647 K647 O647:P647">
    <cfRule type="expression" dxfId="15130" priority="15358">
      <formula>$H647="SUBETAPA"</formula>
    </cfRule>
    <cfRule type="expression" dxfId="15129" priority="15360">
      <formula>$H647="ETAPA"</formula>
    </cfRule>
  </conditionalFormatting>
  <conditionalFormatting sqref="G659:I659 K659 M659 O659:P659">
    <cfRule type="expression" dxfId="15128" priority="15215">
      <formula>$H659="CÉLULA CONSTRUTIVA"</formula>
    </cfRule>
  </conditionalFormatting>
  <conditionalFormatting sqref="G659:I659 M659 K659 O659:P659">
    <cfRule type="expression" dxfId="15127" priority="15216">
      <formula>$H659="ETAPA"</formula>
    </cfRule>
    <cfRule type="expression" dxfId="15126" priority="15214">
      <formula>$H659="SUBETAPA"</formula>
    </cfRule>
  </conditionalFormatting>
  <conditionalFormatting sqref="G661:I661 K661 M661 O661:P661">
    <cfRule type="expression" dxfId="15125" priority="15195">
      <formula>$H661="CÉLULA CONSTRUTIVA"</formula>
    </cfRule>
  </conditionalFormatting>
  <conditionalFormatting sqref="G661:I661 M661 K661 O661:P661">
    <cfRule type="expression" dxfId="15124" priority="15196">
      <formula>$H661="ETAPA"</formula>
    </cfRule>
    <cfRule type="expression" dxfId="15123" priority="15194">
      <formula>$H661="SUBETAPA"</formula>
    </cfRule>
  </conditionalFormatting>
  <conditionalFormatting sqref="G673:I673 K673 M673 O673:P673">
    <cfRule type="expression" dxfId="15122" priority="15051">
      <formula>$H673="CÉLULA CONSTRUTIVA"</formula>
    </cfRule>
  </conditionalFormatting>
  <conditionalFormatting sqref="G673:I673 M673 K673 O673:P673">
    <cfRule type="expression" dxfId="15121" priority="15052">
      <formula>$H673="ETAPA"</formula>
    </cfRule>
    <cfRule type="expression" dxfId="15120" priority="15050">
      <formula>$H673="SUBETAPA"</formula>
    </cfRule>
  </conditionalFormatting>
  <conditionalFormatting sqref="G675:I675 K675 M675 O675:P675">
    <cfRule type="expression" dxfId="15119" priority="15031">
      <formula>$H675="CÉLULA CONSTRUTIVA"</formula>
    </cfRule>
  </conditionalFormatting>
  <conditionalFormatting sqref="G675:I675 M675 K675 O675:P675">
    <cfRule type="expression" dxfId="15118" priority="15030">
      <formula>$H675="SUBETAPA"</formula>
    </cfRule>
    <cfRule type="expression" dxfId="15117" priority="15032">
      <formula>$H675="ETAPA"</formula>
    </cfRule>
  </conditionalFormatting>
  <conditionalFormatting sqref="G687:I687 K687 M687 O687:P687">
    <cfRule type="expression" dxfId="15116" priority="14371">
      <formula>$H687="CÉLULA CONSTRUTIVA"</formula>
    </cfRule>
  </conditionalFormatting>
  <conditionalFormatting sqref="G687:I687 M687 K687 O687:P687">
    <cfRule type="expression" dxfId="15115" priority="14370">
      <formula>$H687="SUBETAPA"</formula>
    </cfRule>
    <cfRule type="expression" dxfId="15114" priority="14372">
      <formula>$H687="ETAPA"</formula>
    </cfRule>
  </conditionalFormatting>
  <conditionalFormatting sqref="G689:I689 K689 M689 O689:P689">
    <cfRule type="expression" dxfId="15113" priority="14351">
      <formula>$H689="CÉLULA CONSTRUTIVA"</formula>
    </cfRule>
  </conditionalFormatting>
  <conditionalFormatting sqref="G689:I689 M689 K689 O689:P689">
    <cfRule type="expression" dxfId="15112" priority="14350">
      <formula>$H689="SUBETAPA"</formula>
    </cfRule>
    <cfRule type="expression" dxfId="15111" priority="14352">
      <formula>$H689="ETAPA"</formula>
    </cfRule>
  </conditionalFormatting>
  <conditionalFormatting sqref="G701:I701 K701 M701 O701:P701">
    <cfRule type="expression" dxfId="15110" priority="14887">
      <formula>$H701="CÉLULA CONSTRUTIVA"</formula>
    </cfRule>
  </conditionalFormatting>
  <conditionalFormatting sqref="G701:I701 M701 K701 O701:P701">
    <cfRule type="expression" dxfId="15109" priority="14886">
      <formula>$H701="SUBETAPA"</formula>
    </cfRule>
    <cfRule type="expression" dxfId="15108" priority="14888">
      <formula>$H701="ETAPA"</formula>
    </cfRule>
  </conditionalFormatting>
  <conditionalFormatting sqref="G703:I703 K703 M703 O703:P703">
    <cfRule type="expression" dxfId="15107" priority="4958">
      <formula>$H703="CÉLULA CONSTRUTIVA"</formula>
    </cfRule>
  </conditionalFormatting>
  <conditionalFormatting sqref="G703:I703 M703 K703 O703:P703">
    <cfRule type="expression" dxfId="15106" priority="4957">
      <formula>$H703="SUBETAPA"</formula>
    </cfRule>
    <cfRule type="expression" dxfId="15105" priority="4959">
      <formula>$H703="ETAPA"</formula>
    </cfRule>
  </conditionalFormatting>
  <conditionalFormatting sqref="G832:I832 K832:L832">
    <cfRule type="expression" dxfId="15104" priority="63">
      <formula>$H832="SUBETAPA"</formula>
    </cfRule>
    <cfRule type="expression" dxfId="15103" priority="64">
      <formula>$H832="CÉLULA CONSTRUTIVA"</formula>
    </cfRule>
    <cfRule type="expression" dxfId="15102" priority="65">
      <formula>$H832="ETAPA"</formula>
    </cfRule>
  </conditionalFormatting>
  <conditionalFormatting sqref="G848:I848 K848:L848">
    <cfRule type="expression" dxfId="15101" priority="28">
      <formula>$H848="SUBETAPA"</formula>
    </cfRule>
    <cfRule type="expression" dxfId="15100" priority="29">
      <formula>$H848="CÉLULA CONSTRUTIVA"</formula>
    </cfRule>
    <cfRule type="expression" dxfId="15099" priority="30">
      <formula>$H848="ETAPA"</formula>
    </cfRule>
  </conditionalFormatting>
  <conditionalFormatting sqref="G1043:I1043 K1043:O1043">
    <cfRule type="expression" dxfId="15098" priority="5895">
      <formula>$H1043="SUBETAPA"</formula>
    </cfRule>
    <cfRule type="expression" dxfId="15097" priority="5896">
      <formula>$H1043="CÉLULA CONSTRUTIVA"</formula>
    </cfRule>
    <cfRule type="expression" dxfId="15096" priority="5897">
      <formula>$H1043="ETAPA"</formula>
    </cfRule>
  </conditionalFormatting>
  <conditionalFormatting sqref="G1054:I1054 K1054:O1054">
    <cfRule type="expression" dxfId="15095" priority="5871">
      <formula>$H1054="ETAPA"</formula>
    </cfRule>
    <cfRule type="expression" dxfId="15094" priority="5870">
      <formula>$H1054="CÉLULA CONSTRUTIVA"</formula>
    </cfRule>
    <cfRule type="expression" dxfId="15093" priority="5869">
      <formula>$H1054="SUBETAPA"</formula>
    </cfRule>
  </conditionalFormatting>
  <conditionalFormatting sqref="G1111:I1111 G1129:I1129 G1145:I1145 K1111:P1111 K1129:P1129 K1145:P1145">
    <cfRule type="expression" dxfId="15092" priority="10150">
      <formula>$H1111="ETAPA"</formula>
    </cfRule>
  </conditionalFormatting>
  <conditionalFormatting sqref="G1111:I1111 N1111:O1111 K1111:L1111 M1195 N1194 G1301:K1303 L1304:L1305 G916:L919 G1370:L1370 G1186:K1189 G1199:K1202 G1209:K1212 L1307:L1308 G1219:K1222 G1236:K1239 G1259:K1262 G1282:K1285">
    <cfRule type="expression" dxfId="15091" priority="9737">
      <formula>$H916="SUBETAPA"</formula>
    </cfRule>
    <cfRule type="expression" dxfId="15090" priority="9738">
      <formula>$H916="CÉLULA CONSTRUTIVA"</formula>
    </cfRule>
  </conditionalFormatting>
  <conditionalFormatting sqref="G1129:I1129 N1129:O1129 K1129:L1129">
    <cfRule type="expression" dxfId="15089" priority="9733">
      <formula>$H1129="SUBETAPA"</formula>
    </cfRule>
    <cfRule type="expression" dxfId="15088" priority="9734">
      <formula>$H1129="CÉLULA CONSTRUTIVA"</formula>
    </cfRule>
  </conditionalFormatting>
  <conditionalFormatting sqref="G1145:I1145 N1145:O1145 K1145:L1145">
    <cfRule type="expression" dxfId="15087" priority="9729">
      <formula>$H1145="SUBETAPA"</formula>
    </cfRule>
    <cfRule type="expression" dxfId="15086" priority="9730">
      <formula>$H1145="CÉLULA CONSTRUTIVA"</formula>
    </cfRule>
  </conditionalFormatting>
  <conditionalFormatting sqref="G1309:I1309 K1309 G952:K953 G954:L954 G968:K969 J986:K987 M1126:O1126 M1158:O1158 G1360:K1363 G1366:O1366 L1382:L1388 G1382:K1389 M75 N221:N222 P221 L220:N220 L271 J278 G289:K289 G300:K300 G311:K311 L337 J342:L343 L349 J351:L352 P358 K369:L369 J373:L373 N858:O858 M1069:O1069 M1072:O1072 M1074:O1074 M1088:O1088 M1142:O1142 M1173:O1173 M1182:O1182 N954:O954 G970:L971 N970:O971 N224:N227 N232:N235 N240:N243 N248:N251 N256:N259">
    <cfRule type="expression" dxfId="15085" priority="14022">
      <formula>$H75="CÉLULA CONSTRUTIVA"</formula>
    </cfRule>
    <cfRule type="expression" dxfId="15084" priority="14023">
      <formula>$H75="ETAPA"</formula>
    </cfRule>
    <cfRule type="expression" dxfId="15083" priority="14021">
      <formula>$H75="SUBETAPA"</formula>
    </cfRule>
  </conditionalFormatting>
  <conditionalFormatting sqref="G1345:J1345 G1347:J1347">
    <cfRule type="expression" dxfId="15082" priority="712">
      <formula>$H1345="ETAPA"</formula>
    </cfRule>
    <cfRule type="expression" dxfId="15081" priority="711">
      <formula>$H1345="CÉLULA CONSTRUTIVA"</formula>
    </cfRule>
    <cfRule type="expression" dxfId="15080" priority="710">
      <formula>$H1345="SUBETAPA"</formula>
    </cfRule>
  </conditionalFormatting>
  <conditionalFormatting sqref="G1352:J1352">
    <cfRule type="expression" dxfId="15079" priority="657">
      <formula>$H1352="SUBETAPA"</formula>
    </cfRule>
    <cfRule type="expression" dxfId="15078" priority="658">
      <formula>$H1352="CÉLULA CONSTRUTIVA"</formula>
    </cfRule>
    <cfRule type="expression" dxfId="15077" priority="659">
      <formula>$H1352="ETAPA"</formula>
    </cfRule>
  </conditionalFormatting>
  <conditionalFormatting sqref="G19:K35">
    <cfRule type="expression" dxfId="15076" priority="24225">
      <formula>$H19="SUBETAPA"</formula>
    </cfRule>
  </conditionalFormatting>
  <conditionalFormatting sqref="G49:K49">
    <cfRule type="expression" dxfId="15075" priority="24773">
      <formula>$H49="ETAPA"</formula>
    </cfRule>
    <cfRule type="expression" dxfId="15074" priority="24772">
      <formula>$H49="CÉLULA CONSTRUTIVA"</formula>
    </cfRule>
  </conditionalFormatting>
  <conditionalFormatting sqref="G49:K55">
    <cfRule type="expression" dxfId="15073" priority="24771">
      <formula>$H49="SUBETAPA"</formula>
    </cfRule>
  </conditionalFormatting>
  <conditionalFormatting sqref="G78:K79">
    <cfRule type="expression" dxfId="15072" priority="20420">
      <formula>$H78="SUBETAPA"</formula>
    </cfRule>
  </conditionalFormatting>
  <conditionalFormatting sqref="G101:K102">
    <cfRule type="expression" dxfId="15071" priority="20279">
      <formula>$H101="SUBETAPA"</formula>
    </cfRule>
  </conditionalFormatting>
  <conditionalFormatting sqref="G122:K123">
    <cfRule type="expression" dxfId="15070" priority="20178">
      <formula>$H122="SUBETAPA"</formula>
    </cfRule>
  </conditionalFormatting>
  <conditionalFormatting sqref="G143:K144">
    <cfRule type="expression" dxfId="15069" priority="20124">
      <formula>$H143="SUBETAPA"</formula>
    </cfRule>
  </conditionalFormatting>
  <conditionalFormatting sqref="G161:K162">
    <cfRule type="expression" dxfId="15068" priority="20556">
      <formula>$H161="SUBETAPA"</formula>
    </cfRule>
  </conditionalFormatting>
  <conditionalFormatting sqref="G175:K176">
    <cfRule type="expression" dxfId="15067" priority="20038">
      <formula>$H175="SUBETAPA"</formula>
    </cfRule>
  </conditionalFormatting>
  <conditionalFormatting sqref="G188:K189">
    <cfRule type="expression" dxfId="15066" priority="19938">
      <formula>$H188="SUBETAPA"</formula>
    </cfRule>
  </conditionalFormatting>
  <conditionalFormatting sqref="G202:K203">
    <cfRule type="expression" dxfId="15065" priority="19841">
      <formula>$H202="SUBETAPA"</formula>
    </cfRule>
  </conditionalFormatting>
  <conditionalFormatting sqref="G212:K213">
    <cfRule type="expression" dxfId="15064" priority="19792">
      <formula>$H212="ETAPA"</formula>
    </cfRule>
    <cfRule type="expression" dxfId="15063" priority="19791">
      <formula>$H212="CÉLULA CONSTRUTIVA"</formula>
    </cfRule>
    <cfRule type="expression" dxfId="15062" priority="19790">
      <formula>$H212="SUBETAPA"</formula>
    </cfRule>
  </conditionalFormatting>
  <conditionalFormatting sqref="G275:K277">
    <cfRule type="expression" dxfId="15061" priority="25401">
      <formula>$H275="ETAPA"</formula>
    </cfRule>
  </conditionalFormatting>
  <conditionalFormatting sqref="G287:K288">
    <cfRule type="expression" dxfId="15060" priority="21364">
      <formula>$H287="SUBETAPA"</formula>
    </cfRule>
    <cfRule type="expression" dxfId="15059" priority="21365">
      <formula>$H287="CÉLULA CONSTRUTIVA"</formula>
    </cfRule>
    <cfRule type="expression" dxfId="15058" priority="21384">
      <formula>$H287="ETAPA"</formula>
    </cfRule>
  </conditionalFormatting>
  <conditionalFormatting sqref="G298:K299">
    <cfRule type="expression" dxfId="15057" priority="21263">
      <formula>$H298="ETAPA"</formula>
    </cfRule>
    <cfRule type="expression" dxfId="15056" priority="21244">
      <formula>$H298="CÉLULA CONSTRUTIVA"</formula>
    </cfRule>
    <cfRule type="expression" dxfId="15055" priority="21243">
      <formula>$H298="SUBETAPA"</formula>
    </cfRule>
  </conditionalFormatting>
  <conditionalFormatting sqref="G309:K310">
    <cfRule type="expression" dxfId="15054" priority="21123">
      <formula>$H309="CÉLULA CONSTRUTIVA"</formula>
    </cfRule>
    <cfRule type="expression" dxfId="15053" priority="21122">
      <formula>$H309="SUBETAPA"</formula>
    </cfRule>
    <cfRule type="expression" dxfId="15052" priority="21142">
      <formula>$H309="ETAPA"</formula>
    </cfRule>
  </conditionalFormatting>
  <conditionalFormatting sqref="G320:K320">
    <cfRule type="expression" dxfId="15051" priority="7142">
      <formula>$H320="ETAPA"</formula>
    </cfRule>
    <cfRule type="expression" dxfId="15050" priority="7140">
      <formula>$H320="CÉLULA CONSTRUTIVA"</formula>
    </cfRule>
    <cfRule type="expression" dxfId="15049" priority="7139">
      <formula>$H320="SUBETAPA"</formula>
    </cfRule>
  </conditionalFormatting>
  <conditionalFormatting sqref="G436:K436 M436:O436 G441:K441 M441:O441 G446:K446 M446:O446 G451:K451 M451:O451 G456:K456 M456:O456 G466:K466 M466:O466 G461:K461 M461:O461">
    <cfRule type="expression" dxfId="15048" priority="18591">
      <formula>$H436="ETAPA"</formula>
    </cfRule>
  </conditionalFormatting>
  <conditionalFormatting sqref="G490:K490 M490 O490:P490 G492:K492 M492:O492">
    <cfRule type="expression" dxfId="15047" priority="17177">
      <formula>$H490="ETAPA"</formula>
    </cfRule>
  </conditionalFormatting>
  <conditionalFormatting sqref="G507:K507 M507 O507:P507 G509:K509 M509:O509">
    <cfRule type="expression" dxfId="15046" priority="17020">
      <formula>$H507="ETAPA"</formula>
    </cfRule>
  </conditionalFormatting>
  <conditionalFormatting sqref="G524:K524 M524 O524:P524 G526:K526 M526:O526 G527:M527 O527:P527">
    <cfRule type="expression" dxfId="15045" priority="16863">
      <formula>$H524="ETAPA"</formula>
    </cfRule>
  </conditionalFormatting>
  <conditionalFormatting sqref="G543:K543 M543 O543:P543 G545:K545 M545:O545">
    <cfRule type="expression" dxfId="15044" priority="16684">
      <formula>$H543="ETAPA"</formula>
    </cfRule>
  </conditionalFormatting>
  <conditionalFormatting sqref="G560:K560 M560 O560:P560 G562:K562 M562:O562">
    <cfRule type="expression" dxfId="15043" priority="16505">
      <formula>$H560="ETAPA"</formula>
    </cfRule>
  </conditionalFormatting>
  <conditionalFormatting sqref="G577:K577 M577 O577:P577 G579:K579 M579:O579">
    <cfRule type="expression" dxfId="15042" priority="16192">
      <formula>$H577="ETAPA"</formula>
    </cfRule>
  </conditionalFormatting>
  <conditionalFormatting sqref="G594:K594 M594 O594:P594 G596:K596 M596:O596">
    <cfRule type="expression" dxfId="15041" priority="16326">
      <formula>$H594="ETAPA"</formula>
    </cfRule>
  </conditionalFormatting>
  <conditionalFormatting sqref="G611:K611 M611 O611:P611 G612:L612 M616 G623:K623 M623:O623 L622:L623 G637:K637 M637:O637 L636:L637 G651:K651 M651:O651 L650:L651 G665:K665 M665:O665 L664:L665 G679:K679 M679:O679 L678:L679 G693:K693 M693:O693 L692:L693">
    <cfRule type="expression" dxfId="15040" priority="15882">
      <formula>$H611="SUBETAPA"</formula>
    </cfRule>
  </conditionalFormatting>
  <conditionalFormatting sqref="G611:K611 M611 O611:P611 G612:L612 M616 L622:L623 G623:K623 M623:O623 L636:L637 G637:K637 M637:O637 L650:L651 G651:K651 M651:O651 L664:L665 G665:K665 M665:O665 L678:L679 G679:K679 M679:O679 L692:L693 G693:K693 M693:O693">
    <cfRule type="expression" dxfId="15039" priority="15883">
      <formula>$H611="CÉLULA CONSTRUTIVA"</formula>
    </cfRule>
    <cfRule type="expression" dxfId="15038" priority="15884">
      <formula>$H611="ETAPA"</formula>
    </cfRule>
  </conditionalFormatting>
  <conditionalFormatting sqref="G613:K614 N614:O614">
    <cfRule type="expression" dxfId="15037" priority="14848">
      <formula>$H613="ETAPA"</formula>
    </cfRule>
    <cfRule type="expression" dxfId="15036" priority="14846">
      <formula>$H613="SUBETAPA"</formula>
    </cfRule>
    <cfRule type="expression" dxfId="15035" priority="14847">
      <formula>$H613="CÉLULA CONSTRUTIVA"</formula>
    </cfRule>
  </conditionalFormatting>
  <conditionalFormatting sqref="G615:K616 N616:O616">
    <cfRule type="expression" dxfId="15034" priority="15992">
      <formula>$H615="SUBETAPA"</formula>
    </cfRule>
    <cfRule type="expression" dxfId="15033" priority="15994">
      <formula>$H615="ETAPA"</formula>
    </cfRule>
    <cfRule type="expression" dxfId="15032" priority="15993">
      <formula>$H615="CÉLULA CONSTRUTIVA"</formula>
    </cfRule>
  </conditionalFormatting>
  <conditionalFormatting sqref="G621:K621 M621 O621:P621">
    <cfRule type="expression" dxfId="15031" priority="15943">
      <formula>$H621="ETAPA"</formula>
    </cfRule>
    <cfRule type="expression" dxfId="15030" priority="15942">
      <formula>$H621="CÉLULA CONSTRUTIVA"</formula>
    </cfRule>
    <cfRule type="expression" dxfId="15029" priority="15941">
      <formula>$H621="SUBETAPA"</formula>
    </cfRule>
  </conditionalFormatting>
  <conditionalFormatting sqref="G622:K622 M622:O622">
    <cfRule type="expression" dxfId="15028" priority="15853">
      <formula>$H622="SUBETAPA"</formula>
    </cfRule>
    <cfRule type="expression" dxfId="15027" priority="15855">
      <formula>$H622="ETAPA"</formula>
    </cfRule>
    <cfRule type="expression" dxfId="15026" priority="15854">
      <formula>$H622="CÉLULA CONSTRUTIVA"</formula>
    </cfRule>
  </conditionalFormatting>
  <conditionalFormatting sqref="G625:K625 M625 O625:P625 G626:L626 G627:K627 M627 O627:P627 G628:L628 M630">
    <cfRule type="expression" dxfId="15025" priority="15722">
      <formula>$H625="CÉLULA CONSTRUTIVA"</formula>
    </cfRule>
    <cfRule type="expression" dxfId="15024" priority="15723">
      <formula>$H625="ETAPA"</formula>
    </cfRule>
  </conditionalFormatting>
  <conditionalFormatting sqref="G625:K625 M625 O625:P625 G626:L626 M630 G627:K627 M627 O627:P627 G628:L628">
    <cfRule type="expression" dxfId="15023" priority="15721">
      <formula>$H625="SUBETAPA"</formula>
    </cfRule>
  </conditionalFormatting>
  <conditionalFormatting sqref="G629:K630 N630:O630">
    <cfRule type="expression" dxfId="15022" priority="15816">
      <formula>$H629="SUBETAPA"</formula>
    </cfRule>
    <cfRule type="expression" dxfId="15021" priority="15818">
      <formula>$H629="ETAPA"</formula>
    </cfRule>
    <cfRule type="expression" dxfId="15020" priority="15817">
      <formula>$H629="CÉLULA CONSTRUTIVA"</formula>
    </cfRule>
  </conditionalFormatting>
  <conditionalFormatting sqref="G635:K635 M635 O635:P635">
    <cfRule type="expression" dxfId="15019" priority="15782">
      <formula>$H635="ETAPA"</formula>
    </cfRule>
    <cfRule type="expression" dxfId="15018" priority="15781">
      <formula>$H635="CÉLULA CONSTRUTIVA"</formula>
    </cfRule>
    <cfRule type="expression" dxfId="15017" priority="15780">
      <formula>$H635="SUBETAPA"</formula>
    </cfRule>
  </conditionalFormatting>
  <conditionalFormatting sqref="G636:K636 M636:N636">
    <cfRule type="expression" dxfId="15016" priority="15692">
      <formula>$H636="SUBETAPA"</formula>
    </cfRule>
    <cfRule type="expression" dxfId="15015" priority="15694">
      <formula>$H636="ETAPA"</formula>
    </cfRule>
    <cfRule type="expression" dxfId="15014" priority="15693">
      <formula>$H636="CÉLULA CONSTRUTIVA"</formula>
    </cfRule>
  </conditionalFormatting>
  <conditionalFormatting sqref="G639:K639 M639 O639:P639 G640:L640 M644">
    <cfRule type="expression" dxfId="15013" priority="15396">
      <formula>$H639="CÉLULA CONSTRUTIVA"</formula>
    </cfRule>
    <cfRule type="expression" dxfId="15012" priority="15395">
      <formula>$H639="SUBETAPA"</formula>
    </cfRule>
    <cfRule type="expression" dxfId="15011" priority="15397">
      <formula>$H639="ETAPA"</formula>
    </cfRule>
  </conditionalFormatting>
  <conditionalFormatting sqref="G641:K641 M641 O641:P641 G642:L642">
    <cfRule type="expression" dxfId="15010" priority="14739">
      <formula>$H641="ETAPA"</formula>
    </cfRule>
    <cfRule type="expression" dxfId="15009" priority="14737">
      <formula>$H641="SUBETAPA"</formula>
    </cfRule>
    <cfRule type="expression" dxfId="15008" priority="14738">
      <formula>$H641="CÉLULA CONSTRUTIVA"</formula>
    </cfRule>
  </conditionalFormatting>
  <conditionalFormatting sqref="G643:K644 N644:O644">
    <cfRule type="expression" dxfId="15007" priority="15490">
      <formula>$H643="SUBETAPA"</formula>
    </cfRule>
    <cfRule type="expression" dxfId="15006" priority="15491">
      <formula>$H643="CÉLULA CONSTRUTIVA"</formula>
    </cfRule>
    <cfRule type="expression" dxfId="15005" priority="15492">
      <formula>$H643="ETAPA"</formula>
    </cfRule>
  </conditionalFormatting>
  <conditionalFormatting sqref="G649:K649 M649 O649:P649">
    <cfRule type="expression" dxfId="15004" priority="15454">
      <formula>$H649="SUBETAPA"</formula>
    </cfRule>
    <cfRule type="expression" dxfId="15003" priority="15456">
      <formula>$H649="ETAPA"</formula>
    </cfRule>
    <cfRule type="expression" dxfId="15002" priority="15455">
      <formula>$H649="CÉLULA CONSTRUTIVA"</formula>
    </cfRule>
  </conditionalFormatting>
  <conditionalFormatting sqref="G650:K650 M650:N650">
    <cfRule type="expression" dxfId="15001" priority="15367">
      <formula>$H650="CÉLULA CONSTRUTIVA"</formula>
    </cfRule>
    <cfRule type="expression" dxfId="15000" priority="15366">
      <formula>$H650="SUBETAPA"</formula>
    </cfRule>
    <cfRule type="expression" dxfId="14999" priority="15368">
      <formula>$H650="ETAPA"</formula>
    </cfRule>
  </conditionalFormatting>
  <conditionalFormatting sqref="G653:K653 M653 O653:P653 G654:L654 M658">
    <cfRule type="expression" dxfId="14998" priority="15231">
      <formula>$H653="SUBETAPA"</formula>
    </cfRule>
    <cfRule type="expression" dxfId="14997" priority="15232">
      <formula>$H653="CÉLULA CONSTRUTIVA"</formula>
    </cfRule>
    <cfRule type="expression" dxfId="14996" priority="15233">
      <formula>$H653="ETAPA"</formula>
    </cfRule>
  </conditionalFormatting>
  <conditionalFormatting sqref="G655:K655 M655 O655:P655 G656:L656">
    <cfRule type="expression" dxfId="14995" priority="14699">
      <formula>$H655="SUBETAPA"</formula>
    </cfRule>
    <cfRule type="expression" dxfId="14994" priority="14700">
      <formula>$H655="CÉLULA CONSTRUTIVA"</formula>
    </cfRule>
    <cfRule type="expression" dxfId="14993" priority="14701">
      <formula>$H655="ETAPA"</formula>
    </cfRule>
  </conditionalFormatting>
  <conditionalFormatting sqref="G657:K658 N658:O658">
    <cfRule type="expression" dxfId="14992" priority="15327">
      <formula>$H657="SUBETAPA"</formula>
    </cfRule>
    <cfRule type="expression" dxfId="14991" priority="15328">
      <formula>$H657="CÉLULA CONSTRUTIVA"</formula>
    </cfRule>
    <cfRule type="expression" dxfId="14990" priority="15329">
      <formula>$H657="ETAPA"</formula>
    </cfRule>
  </conditionalFormatting>
  <conditionalFormatting sqref="G663:K663 M663 O663:P663">
    <cfRule type="expression" dxfId="14989" priority="15290">
      <formula>$H663="SUBETAPA"</formula>
    </cfRule>
    <cfRule type="expression" dxfId="14988" priority="15291">
      <formula>$H663="CÉLULA CONSTRUTIVA"</formula>
    </cfRule>
    <cfRule type="expression" dxfId="14987" priority="15292">
      <formula>$H663="ETAPA"</formula>
    </cfRule>
  </conditionalFormatting>
  <conditionalFormatting sqref="G664:K664 M664:N664">
    <cfRule type="expression" dxfId="14986" priority="15202">
      <formula>$H664="SUBETAPA"</formula>
    </cfRule>
    <cfRule type="expression" dxfId="14985" priority="15204">
      <formula>$H664="ETAPA"</formula>
    </cfRule>
    <cfRule type="expression" dxfId="14984" priority="15203">
      <formula>$H664="CÉLULA CONSTRUTIVA"</formula>
    </cfRule>
  </conditionalFormatting>
  <conditionalFormatting sqref="G667:K667 M667 O667:P667 G668:L668 M672">
    <cfRule type="expression" dxfId="14983" priority="15068">
      <formula>$H667="CÉLULA CONSTRUTIVA"</formula>
    </cfRule>
    <cfRule type="expression" dxfId="14982" priority="15069">
      <formula>$H667="ETAPA"</formula>
    </cfRule>
    <cfRule type="expression" dxfId="14981" priority="15067">
      <formula>$H667="SUBETAPA"</formula>
    </cfRule>
  </conditionalFormatting>
  <conditionalFormatting sqref="G669:K669 M669 O669:P669 G670:L670">
    <cfRule type="expression" dxfId="14980" priority="14663">
      <formula>$H669="ETAPA"</formula>
    </cfRule>
    <cfRule type="expression" dxfId="14979" priority="14662">
      <formula>$H669="CÉLULA CONSTRUTIVA"</formula>
    </cfRule>
    <cfRule type="expression" dxfId="14978" priority="14661">
      <formula>$H669="SUBETAPA"</formula>
    </cfRule>
  </conditionalFormatting>
  <conditionalFormatting sqref="G671:K672 N672:O672">
    <cfRule type="expression" dxfId="14977" priority="15164">
      <formula>$H671="CÉLULA CONSTRUTIVA"</formula>
    </cfRule>
    <cfRule type="expression" dxfId="14976" priority="15163">
      <formula>$H671="SUBETAPA"</formula>
    </cfRule>
    <cfRule type="expression" dxfId="14975" priority="15165">
      <formula>$H671="ETAPA"</formula>
    </cfRule>
  </conditionalFormatting>
  <conditionalFormatting sqref="G677:K677 M677 O677:P677">
    <cfRule type="expression" dxfId="14974" priority="15126">
      <formula>$H677="SUBETAPA"</formula>
    </cfRule>
    <cfRule type="expression" dxfId="14973" priority="15127">
      <formula>$H677="CÉLULA CONSTRUTIVA"</formula>
    </cfRule>
    <cfRule type="expression" dxfId="14972" priority="15128">
      <formula>$H677="ETAPA"</formula>
    </cfRule>
  </conditionalFormatting>
  <conditionalFormatting sqref="G678:K678 M678:N678">
    <cfRule type="expression" dxfId="14971" priority="15039">
      <formula>$H678="CÉLULA CONSTRUTIVA"</formula>
    </cfRule>
    <cfRule type="expression" dxfId="14970" priority="15038">
      <formula>$H678="SUBETAPA"</formula>
    </cfRule>
    <cfRule type="expression" dxfId="14969" priority="15040">
      <formula>$H678="ETAPA"</formula>
    </cfRule>
  </conditionalFormatting>
  <conditionalFormatting sqref="G681:K681 M681 O681:P681 G682:L682 M686">
    <cfRule type="expression" dxfId="14968" priority="14389">
      <formula>$H681="ETAPA"</formula>
    </cfRule>
    <cfRule type="expression" dxfId="14967" priority="14387">
      <formula>$H681="SUBETAPA"</formula>
    </cfRule>
    <cfRule type="expression" dxfId="14966" priority="14388">
      <formula>$H681="CÉLULA CONSTRUTIVA"</formula>
    </cfRule>
  </conditionalFormatting>
  <conditionalFormatting sqref="G683:K683 M683 O683:P683 G684:L684">
    <cfRule type="expression" dxfId="14965" priority="14316">
      <formula>$H683="ETAPA"</formula>
    </cfRule>
    <cfRule type="expression" dxfId="14964" priority="14315">
      <formula>$H683="CÉLULA CONSTRUTIVA"</formula>
    </cfRule>
    <cfRule type="expression" dxfId="14963" priority="14314">
      <formula>$H683="SUBETAPA"</formula>
    </cfRule>
  </conditionalFormatting>
  <conditionalFormatting sqref="G685:K686 N686:O686">
    <cfRule type="expression" dxfId="14962" priority="14483">
      <formula>$H685="SUBETAPA"</formula>
    </cfRule>
    <cfRule type="expression" dxfId="14961" priority="14484">
      <formula>$H685="CÉLULA CONSTRUTIVA"</formula>
    </cfRule>
    <cfRule type="expression" dxfId="14960" priority="14485">
      <formula>$H685="ETAPA"</formula>
    </cfRule>
  </conditionalFormatting>
  <conditionalFormatting sqref="G691:K691 M691 O691:P691">
    <cfRule type="expression" dxfId="14959" priority="14446">
      <formula>$H691="SUBETAPA"</formula>
    </cfRule>
    <cfRule type="expression" dxfId="14958" priority="14447">
      <formula>$H691="CÉLULA CONSTRUTIVA"</formula>
    </cfRule>
    <cfRule type="expression" dxfId="14957" priority="14448">
      <formula>$H691="ETAPA"</formula>
    </cfRule>
  </conditionalFormatting>
  <conditionalFormatting sqref="G692:K692 M692:N692">
    <cfRule type="expression" dxfId="14956" priority="14360">
      <formula>$H692="ETAPA"</formula>
    </cfRule>
    <cfRule type="expression" dxfId="14955" priority="14358">
      <formula>$H692="SUBETAPA"</formula>
    </cfRule>
    <cfRule type="expression" dxfId="14954" priority="14359">
      <formula>$H692="CÉLULA CONSTRUTIVA"</formula>
    </cfRule>
  </conditionalFormatting>
  <conditionalFormatting sqref="G695:K695 M695 O695:P695 G696:L696 M700">
    <cfRule type="expression" dxfId="14953" priority="14904">
      <formula>$H695="CÉLULA CONSTRUTIVA"</formula>
    </cfRule>
    <cfRule type="expression" dxfId="14952" priority="14905">
      <formula>$H695="ETAPA"</formula>
    </cfRule>
    <cfRule type="expression" dxfId="14951" priority="14903">
      <formula>$H695="SUBETAPA"</formula>
    </cfRule>
  </conditionalFormatting>
  <conditionalFormatting sqref="G697:K697 M697 O697:P697 G698:L698">
    <cfRule type="expression" dxfId="14950" priority="14624">
      <formula>$H697="CÉLULA CONSTRUTIVA"</formula>
    </cfRule>
    <cfRule type="expression" dxfId="14949" priority="14623">
      <formula>$H697="SUBETAPA"</formula>
    </cfRule>
    <cfRule type="expression" dxfId="14948" priority="14625">
      <formula>$H697="ETAPA"</formula>
    </cfRule>
  </conditionalFormatting>
  <conditionalFormatting sqref="G699:K700 N700:O700">
    <cfRule type="expression" dxfId="14947" priority="14999">
      <formula>$H699="SUBETAPA"</formula>
    </cfRule>
    <cfRule type="expression" dxfId="14946" priority="15001">
      <formula>$H699="ETAPA"</formula>
    </cfRule>
    <cfRule type="expression" dxfId="14945" priority="15000">
      <formula>$H699="CÉLULA CONSTRUTIVA"</formula>
    </cfRule>
  </conditionalFormatting>
  <conditionalFormatting sqref="G705:K705 M705 O705:P705">
    <cfRule type="expression" dxfId="14944" priority="14964">
      <formula>$H705="ETAPA"</formula>
    </cfRule>
    <cfRule type="expression" dxfId="14943" priority="14963">
      <formula>$H705="CÉLULA CONSTRUTIVA"</formula>
    </cfRule>
    <cfRule type="expression" dxfId="14942" priority="14962">
      <formula>$H705="SUBETAPA"</formula>
    </cfRule>
  </conditionalFormatting>
  <conditionalFormatting sqref="G706:K706 M706:N706">
    <cfRule type="expression" dxfId="14941" priority="14875">
      <formula>$H706="CÉLULA CONSTRUTIVA"</formula>
    </cfRule>
    <cfRule type="expression" dxfId="14940" priority="14874">
      <formula>$H706="SUBETAPA"</formula>
    </cfRule>
    <cfRule type="expression" dxfId="14939" priority="14876">
      <formula>$H706="ETAPA"</formula>
    </cfRule>
  </conditionalFormatting>
  <conditionalFormatting sqref="G709:K709 M709:M710">
    <cfRule type="expression" dxfId="14938" priority="24487">
      <formula>$H709="CÉLULA CONSTRUTIVA"</formula>
    </cfRule>
    <cfRule type="expression" dxfId="14937" priority="24488">
      <formula>$H709="ETAPA"</formula>
    </cfRule>
  </conditionalFormatting>
  <conditionalFormatting sqref="G721:K721 M721:O721">
    <cfRule type="expression" dxfId="14936" priority="4852">
      <formula>$H721="ETAPA"</formula>
    </cfRule>
    <cfRule type="expression" dxfId="14935" priority="4851">
      <formula>$H721="CÉLULA CONSTRUTIVA"</formula>
    </cfRule>
  </conditionalFormatting>
  <conditionalFormatting sqref="G725:K725 M725:O725">
    <cfRule type="expression" dxfId="14934" priority="14208">
      <formula>$H725="CÉLULA CONSTRUTIVA"</formula>
    </cfRule>
    <cfRule type="expression" dxfId="14933" priority="14209">
      <formula>$H725="ETAPA"</formula>
    </cfRule>
  </conditionalFormatting>
  <conditionalFormatting sqref="G729:K731 M729:M730 O729:P730 M731:O731">
    <cfRule type="expression" dxfId="14932" priority="14271">
      <formula>$H729="ETAPA"</formula>
    </cfRule>
  </conditionalFormatting>
  <conditionalFormatting sqref="G735:K737 M735:M736 O735:P736 M737:O737">
    <cfRule type="expression" dxfId="14931" priority="14170">
      <formula>$H735="ETAPA"</formula>
    </cfRule>
  </conditionalFormatting>
  <conditionalFormatting sqref="G741:K743 M741:M742 O741:P742 M743:O743">
    <cfRule type="expression" dxfId="14930" priority="14098">
      <formula>$H741="ETAPA"</formula>
    </cfRule>
  </conditionalFormatting>
  <conditionalFormatting sqref="G950:K951">
    <cfRule type="expression" dxfId="14929" priority="5918">
      <formula>$H950="CÉLULA CONSTRUTIVA"</formula>
    </cfRule>
    <cfRule type="expression" dxfId="14928" priority="5919">
      <formula>$H950="ETAPA"</formula>
    </cfRule>
    <cfRule type="expression" dxfId="14927" priority="5914">
      <formula>$H950="SUBETAPA"</formula>
    </cfRule>
  </conditionalFormatting>
  <conditionalFormatting sqref="G988:K989 G990:L990 G991:I991 K991:L991 G923:L923 G997:L1000 N1006:O1006 G1006:K1007 N990:O991 N1000:O1000 G920:O922">
    <cfRule type="expression" dxfId="14926" priority="11284">
      <formula>$H920="SUBETAPA"</formula>
    </cfRule>
  </conditionalFormatting>
  <conditionalFormatting sqref="G1008:K1009 G1010:L1010 G1011:I1011 G1017:L1017 N1026:O1026 G1026:K1027 K1011:L1011 G1019:L1020 G1018:I1018 K1018:L1018 L1021 N1010:O1011 N1020:O1020">
    <cfRule type="expression" dxfId="14925" priority="10509">
      <formula>$H1008="SUBETAPA"</formula>
    </cfRule>
    <cfRule type="expression" dxfId="14924" priority="10510">
      <formula>$H1008="CÉLULA CONSTRUTIVA"</formula>
    </cfRule>
    <cfRule type="expression" dxfId="14923" priority="10511">
      <formula>$H1008="ETAPA"</formula>
    </cfRule>
  </conditionalFormatting>
  <conditionalFormatting sqref="G1021:K1021 N1021:O1021">
    <cfRule type="expression" dxfId="14922" priority="10513">
      <formula>$H1021="CÉLULA CONSTRUTIVA"</formula>
    </cfRule>
    <cfRule type="expression" dxfId="14921" priority="10512">
      <formula>$H1021="SUBETAPA"</formula>
    </cfRule>
  </conditionalFormatting>
  <conditionalFormatting sqref="G1028:K1029 G1030:I1030 K1030:L1030 G1036:L1039 N1045:O1045 G1045:K1046 L1040 N1030:O1030 N1039:O1039">
    <cfRule type="expression" dxfId="14920" priority="10344">
      <formula>$H1028="ETAPA"</formula>
    </cfRule>
    <cfRule type="expression" dxfId="14919" priority="10342">
      <formula>$H1028="SUBETAPA"</formula>
    </cfRule>
    <cfRule type="expression" dxfId="14918" priority="10343">
      <formula>$H1028="CÉLULA CONSTRUTIVA"</formula>
    </cfRule>
  </conditionalFormatting>
  <conditionalFormatting sqref="G1040:K1040 N1040:O1040">
    <cfRule type="expression" dxfId="14917" priority="10345">
      <formula>$H1040="SUBETAPA"</formula>
    </cfRule>
    <cfRule type="expression" dxfId="14916" priority="10346">
      <formula>$H1040="CÉLULA CONSTRUTIVA"</formula>
    </cfRule>
  </conditionalFormatting>
  <conditionalFormatting sqref="G1064:K1064 G1066:K1066 G1068:L1068 G1121:L1121 G1124:L1124 G1182:L1182 G1106:L1106 G1184:L1184">
    <cfRule type="expression" dxfId="14915" priority="9796">
      <formula>$H1064="SUBETAPA"</formula>
    </cfRule>
    <cfRule type="expression" dxfId="14914" priority="9797">
      <formula>$H1064="CÉLULA CONSTRUTIVA"</formula>
    </cfRule>
  </conditionalFormatting>
  <conditionalFormatting sqref="G1064:K1064">
    <cfRule type="expression" dxfId="14913" priority="9778">
      <formula>$H1064="ETAPA"</formula>
    </cfRule>
  </conditionalFormatting>
  <conditionalFormatting sqref="G1077:K1077 N1077:O1077">
    <cfRule type="expression" dxfId="14912" priority="10091">
      <formula>$H1077="ETAPA"</formula>
    </cfRule>
  </conditionalFormatting>
  <conditionalFormatting sqref="G1082:K1082">
    <cfRule type="expression" dxfId="14911" priority="9718">
      <formula>$H1082="ETAPA"</formula>
    </cfRule>
    <cfRule type="expression" dxfId="14910" priority="9719">
      <formula>$H1082="SUBETAPA"</formula>
    </cfRule>
    <cfRule type="expression" dxfId="14909" priority="9720">
      <formula>$H1082="CÉLULA CONSTRUTIVA"</formula>
    </cfRule>
  </conditionalFormatting>
  <conditionalFormatting sqref="G1084:K1084 G1086:L1086 G1103:L1105 G1107:L1108">
    <cfRule type="expression" dxfId="14908" priority="10172">
      <formula>$H1084="CÉLULA CONSTRUTIVA"</formula>
    </cfRule>
    <cfRule type="expression" dxfId="14907" priority="10171">
      <formula>$H1084="SUBETAPA"</formula>
    </cfRule>
  </conditionalFormatting>
  <conditionalFormatting sqref="G1094:K1094 N1094:O1094">
    <cfRule type="expression" dxfId="14906" priority="10035">
      <formula>$H1094="ETAPA"</formula>
    </cfRule>
  </conditionalFormatting>
  <conditionalFormatting sqref="G1099:K1099">
    <cfRule type="expression" dxfId="14905" priority="9711">
      <formula>$H1099="ETAPA"</formula>
    </cfRule>
    <cfRule type="expression" dxfId="14904" priority="9712">
      <formula>$H1099="SUBETAPA"</formula>
    </cfRule>
    <cfRule type="expression" dxfId="14903" priority="9713">
      <formula>$H1099="CÉLULA CONSTRUTIVA"</formula>
    </cfRule>
  </conditionalFormatting>
  <conditionalFormatting sqref="G1116:K1116">
    <cfRule type="expression" dxfId="14902" priority="9704">
      <formula>$H1116="ETAPA"</formula>
    </cfRule>
    <cfRule type="expression" dxfId="14901" priority="9705">
      <formula>$H1116="SUBETAPA"</formula>
    </cfRule>
    <cfRule type="expression" dxfId="14900" priority="9706">
      <formula>$H1116="CÉLULA CONSTRUTIVA"</formula>
    </cfRule>
  </conditionalFormatting>
  <conditionalFormatting sqref="G1165:K1165">
    <cfRule type="expression" dxfId="14899" priority="5832">
      <formula>$H1165="ETAPA"</formula>
    </cfRule>
    <cfRule type="expression" dxfId="14898" priority="5834">
      <formula>$H1165="CÉLULA CONSTRUTIVA"</formula>
    </cfRule>
    <cfRule type="expression" dxfId="14897" priority="5833">
      <formula>$H1165="SUBETAPA"</formula>
    </cfRule>
  </conditionalFormatting>
  <conditionalFormatting sqref="G1166:K1166 G1168:L1168">
    <cfRule type="expression" dxfId="14896" priority="9526">
      <formula>$H1166="CÉLULA CONSTRUTIVA"</formula>
    </cfRule>
    <cfRule type="expression" dxfId="14895" priority="9525">
      <formula>$H1166="SUBETAPA"</formula>
    </cfRule>
  </conditionalFormatting>
  <conditionalFormatting sqref="G1306:K1306">
    <cfRule type="expression" dxfId="14894" priority="926">
      <formula>$H1306="SUBETAPA"</formula>
    </cfRule>
    <cfRule type="expression" dxfId="14893" priority="927">
      <formula>$H1306="CÉLULA CONSTRUTIVA"</formula>
    </cfRule>
  </conditionalFormatting>
  <conditionalFormatting sqref="G1307:K1307">
    <cfRule type="expression" dxfId="14892" priority="905">
      <formula>$H1307="SUBETAPA"</formula>
    </cfRule>
    <cfRule type="expression" dxfId="14891" priority="906">
      <formula>$H1307="CÉLULA CONSTRUTIVA"</formula>
    </cfRule>
  </conditionalFormatting>
  <conditionalFormatting sqref="G1312:K1313 M1312:M1313 O1312:P1313">
    <cfRule type="expression" dxfId="14890" priority="13942">
      <formula>$H1312="CÉLULA CONSTRUTIVA"</formula>
    </cfRule>
  </conditionalFormatting>
  <conditionalFormatting sqref="G1312:K1313 M1312:M1313">
    <cfRule type="expression" dxfId="14889" priority="13951">
      <formula>$H1312="ETAPA"</formula>
    </cfRule>
  </conditionalFormatting>
  <conditionalFormatting sqref="G1321:K1322 M1321:M1322 O1321:P1322">
    <cfRule type="expression" dxfId="14888" priority="13902">
      <formula>$H1321="CÉLULA CONSTRUTIVA"</formula>
    </cfRule>
  </conditionalFormatting>
  <conditionalFormatting sqref="G1321:K1322 M1321:M1322">
    <cfRule type="expression" dxfId="14887" priority="13911">
      <formula>$H1321="ETAPA"</formula>
    </cfRule>
  </conditionalFormatting>
  <conditionalFormatting sqref="G1324:K1324 M1324 O1324:P1324">
    <cfRule type="expression" dxfId="14886" priority="4784">
      <formula>$H1324="CÉLULA CONSTRUTIVA"</formula>
    </cfRule>
  </conditionalFormatting>
  <conditionalFormatting sqref="G1324:K1324 M1324">
    <cfRule type="expression" dxfId="14885" priority="4793">
      <formula>$H1324="ETAPA"</formula>
    </cfRule>
  </conditionalFormatting>
  <conditionalFormatting sqref="G1328:K1329 M1328:M1329 O1328:P1329">
    <cfRule type="expression" dxfId="14884" priority="13824">
      <formula>$H1328="CÉLULA CONSTRUTIVA"</formula>
    </cfRule>
  </conditionalFormatting>
  <conditionalFormatting sqref="G1328:K1329 M1328:M1329">
    <cfRule type="expression" dxfId="14883" priority="13833">
      <formula>$H1328="ETAPA"</formula>
    </cfRule>
  </conditionalFormatting>
  <conditionalFormatting sqref="G1331:K1331 M1331 O1331:P1331">
    <cfRule type="expression" dxfId="14882" priority="4738">
      <formula>$H1331="CÉLULA CONSTRUTIVA"</formula>
    </cfRule>
  </conditionalFormatting>
  <conditionalFormatting sqref="G1331:K1331 M1331">
    <cfRule type="expression" dxfId="14881" priority="4747">
      <formula>$H1331="ETAPA"</formula>
    </cfRule>
  </conditionalFormatting>
  <conditionalFormatting sqref="G1338:K1338 M1338 O1338:P1338">
    <cfRule type="expression" dxfId="14880" priority="4692">
      <formula>$H1338="CÉLULA CONSTRUTIVA"</formula>
    </cfRule>
  </conditionalFormatting>
  <conditionalFormatting sqref="G1338:K1338 M1338">
    <cfRule type="expression" dxfId="14879" priority="4701">
      <formula>$H1338="ETAPA"</formula>
    </cfRule>
  </conditionalFormatting>
  <conditionalFormatting sqref="G1354:K1359 O1364:P1364">
    <cfRule type="expression" dxfId="14878" priority="7682">
      <formula>$H1354="ETAPA"</formula>
    </cfRule>
  </conditionalFormatting>
  <conditionalFormatting sqref="G1354:K1359">
    <cfRule type="expression" dxfId="14877" priority="7681">
      <formula>$H1354="CÉLULA CONSTRUTIVA"</formula>
    </cfRule>
    <cfRule type="expression" dxfId="14876" priority="7560">
      <formula>$H1354="SUBETAPA"</formula>
    </cfRule>
  </conditionalFormatting>
  <conditionalFormatting sqref="G8:L17">
    <cfRule type="expression" dxfId="14875" priority="24508">
      <formula>$H8="CÉLULA CONSTRUTIVA"</formula>
    </cfRule>
    <cfRule type="expression" dxfId="14874" priority="24507">
      <formula>$H8="SUBETAPA"</formula>
    </cfRule>
    <cfRule type="expression" dxfId="14873" priority="24509">
      <formula>$H8="ETAPA"</formula>
    </cfRule>
  </conditionalFormatting>
  <conditionalFormatting sqref="G279:L280">
    <cfRule type="expression" dxfId="14872" priority="21421">
      <formula>$H279="SUBETAPA"</formula>
    </cfRule>
  </conditionalFormatting>
  <conditionalFormatting sqref="G290:L290 G291:I291 K291:L291">
    <cfRule type="expression" dxfId="14871" priority="21300">
      <formula>$H290="SUBETAPA"</formula>
    </cfRule>
  </conditionalFormatting>
  <conditionalFormatting sqref="G301:L302">
    <cfRule type="expression" dxfId="14870" priority="21179">
      <formula>$H301="SUBETAPA"</formula>
    </cfRule>
  </conditionalFormatting>
  <conditionalFormatting sqref="G312:L312 G313:I313 K313:L313">
    <cfRule type="expression" dxfId="14869" priority="21058">
      <formula>$H312="SUBETAPA"</formula>
    </cfRule>
  </conditionalFormatting>
  <conditionalFormatting sqref="G321:L321 G322:I322 K322:L322">
    <cfRule type="expression" dxfId="14868" priority="20680">
      <formula>$H321="SUBETAPA"</formula>
    </cfRule>
  </conditionalFormatting>
  <conditionalFormatting sqref="G324:L324 G325:I325 K325:L325">
    <cfRule type="expression" dxfId="14867" priority="20642">
      <formula>$H324="SUBETAPA"</formula>
    </cfRule>
  </conditionalFormatting>
  <conditionalFormatting sqref="G327:L327 G328:I328 K328:L328">
    <cfRule type="expression" dxfId="14866" priority="20604">
      <formula>$H327="SUBETAPA"</formula>
    </cfRule>
  </conditionalFormatting>
  <conditionalFormatting sqref="G329:L329">
    <cfRule type="expression" dxfId="14865" priority="24724">
      <formula>$H329="SUBETAPA"</formula>
    </cfRule>
    <cfRule type="expression" dxfId="14864" priority="24725">
      <formula>$H329="CÉLULA CONSTRUTIVA"</formula>
    </cfRule>
  </conditionalFormatting>
  <conditionalFormatting sqref="G355:L355">
    <cfRule type="expression" dxfId="14863" priority="6962">
      <formula>$H355="SUBETAPA"</formula>
    </cfRule>
  </conditionalFormatting>
  <conditionalFormatting sqref="G431:L431">
    <cfRule type="expression" dxfId="14862" priority="24678">
      <formula>$H431="SUBETAPA"</formula>
    </cfRule>
    <cfRule type="expression" dxfId="14861" priority="24679">
      <formula>$H431="CÉLULA CONSTRUTIVA"</formula>
    </cfRule>
    <cfRule type="expression" dxfId="14860" priority="24680">
      <formula>$H431="ETAPA"</formula>
    </cfRule>
  </conditionalFormatting>
  <conditionalFormatting sqref="G437:L439">
    <cfRule type="expression" dxfId="14859" priority="18559">
      <formula>$H437="SUBETAPA"</formula>
    </cfRule>
    <cfRule type="expression" dxfId="14858" priority="18561">
      <formula>$H437="ETAPA"</formula>
    </cfRule>
    <cfRule type="expression" dxfId="14857" priority="18560">
      <formula>$H437="CÉLULA CONSTRUTIVA"</formula>
    </cfRule>
  </conditionalFormatting>
  <conditionalFormatting sqref="G474:L489 G493:L506 G510:L523 G528:L542 G597:L608">
    <cfRule type="expression" dxfId="14856" priority="17362">
      <formula>$H474="ETAPA"</formula>
    </cfRule>
    <cfRule type="expression" dxfId="14855" priority="17360">
      <formula>$H474="SUBETAPA"</formula>
    </cfRule>
  </conditionalFormatting>
  <conditionalFormatting sqref="G475:L489">
    <cfRule type="expression" dxfId="14854" priority="17361">
      <formula>$H475="CÉLULA CONSTRUTIVA"</formula>
    </cfRule>
  </conditionalFormatting>
  <conditionalFormatting sqref="G490:L492 G507:L509 G594:L596 G471:L473">
    <cfRule type="expression" dxfId="14853" priority="17364">
      <formula>$H471="SUBETAPA"</formula>
    </cfRule>
  </conditionalFormatting>
  <conditionalFormatting sqref="G524:L527 M524:M525 M526:O526 M527 O527:P527">
    <cfRule type="expression" dxfId="14852" priority="16852">
      <formula>$H524="SUBETAPA"</formula>
    </cfRule>
  </conditionalFormatting>
  <conditionalFormatting sqref="G609:L609">
    <cfRule type="expression" dxfId="14851" priority="24695">
      <formula>$H609="SUBETAPA"</formula>
    </cfRule>
    <cfRule type="expression" dxfId="14850" priority="24697">
      <formula>$H609="ETAPA"</formula>
    </cfRule>
  </conditionalFormatting>
  <conditionalFormatting sqref="G610:L610 G618:L618 G620:L620 P622:P623 P636:P637 P650:P651 P664:P665 P678:P679 P692:P693">
    <cfRule type="expression" dxfId="14849" priority="16012">
      <formula>$H610="CÉLULA CONSTRUTIVA"</formula>
    </cfRule>
  </conditionalFormatting>
  <conditionalFormatting sqref="G610:L610">
    <cfRule type="expression" dxfId="14848" priority="15989">
      <formula>$H610="SUBETAPA"</formula>
    </cfRule>
    <cfRule type="expression" dxfId="14847" priority="15990">
      <formula>$H610="ETAPA"</formula>
    </cfRule>
  </conditionalFormatting>
  <conditionalFormatting sqref="G618:L618 G620:L620 P622:P623 P636:P637 P650:P651 P664:P665 P678:P679 G632:L632 G634:L634 G646:L646 G648:L648 G660:L660 G662:L662 G674:L674 G676:L676 G702:L702 P692:P693 G688:L688 G690:L690 G704:L704">
    <cfRule type="expression" dxfId="14846" priority="16013">
      <formula>$H618="ETAPA"</formula>
    </cfRule>
  </conditionalFormatting>
  <conditionalFormatting sqref="G624:L624">
    <cfRule type="expression" dxfId="14845" priority="15813">
      <formula>$H624="SUBETAPA"</formula>
    </cfRule>
    <cfRule type="expression" dxfId="14844" priority="15815">
      <formula>$H624="ETAPA"</formula>
    </cfRule>
    <cfRule type="expression" dxfId="14843" priority="15814">
      <formula>$H624="CÉLULA CONSTRUTIVA"</formula>
    </cfRule>
  </conditionalFormatting>
  <conditionalFormatting sqref="G632:L632 G634:L634">
    <cfRule type="expression" dxfId="14842" priority="15832">
      <formula>$H632="CÉLULA CONSTRUTIVA"</formula>
    </cfRule>
  </conditionalFormatting>
  <conditionalFormatting sqref="G638:L638">
    <cfRule type="expression" dxfId="14841" priority="15488">
      <formula>$H638="CÉLULA CONSTRUTIVA"</formula>
    </cfRule>
    <cfRule type="expression" dxfId="14840" priority="15489">
      <formula>$H638="ETAPA"</formula>
    </cfRule>
    <cfRule type="expression" dxfId="14839" priority="15487">
      <formula>$H638="SUBETAPA"</formula>
    </cfRule>
  </conditionalFormatting>
  <conditionalFormatting sqref="G646:L646 G648:L648">
    <cfRule type="expression" dxfId="14838" priority="15506">
      <formula>$H646="CÉLULA CONSTRUTIVA"</formula>
    </cfRule>
  </conditionalFormatting>
  <conditionalFormatting sqref="G652:L652">
    <cfRule type="expression" dxfId="14837" priority="15325">
      <formula>$H652="CÉLULA CONSTRUTIVA"</formula>
    </cfRule>
    <cfRule type="expression" dxfId="14836" priority="15326">
      <formula>$H652="ETAPA"</formula>
    </cfRule>
    <cfRule type="expression" dxfId="14835" priority="15324">
      <formula>$H652="SUBETAPA"</formula>
    </cfRule>
  </conditionalFormatting>
  <conditionalFormatting sqref="G660:L660 G662:L662">
    <cfRule type="expression" dxfId="14834" priority="15343">
      <formula>$H660="CÉLULA CONSTRUTIVA"</formula>
    </cfRule>
  </conditionalFormatting>
  <conditionalFormatting sqref="G666:L666">
    <cfRule type="expression" dxfId="14833" priority="15160">
      <formula>$H666="SUBETAPA"</formula>
    </cfRule>
    <cfRule type="expression" dxfId="14832" priority="15162">
      <formula>$H666="ETAPA"</formula>
    </cfRule>
    <cfRule type="expression" dxfId="14831" priority="15161">
      <formula>$H666="CÉLULA CONSTRUTIVA"</formula>
    </cfRule>
  </conditionalFormatting>
  <conditionalFormatting sqref="G674:L674 G676:L676">
    <cfRule type="expression" dxfId="14830" priority="15179">
      <formula>$H674="CÉLULA CONSTRUTIVA"</formula>
    </cfRule>
  </conditionalFormatting>
  <conditionalFormatting sqref="G680:L680">
    <cfRule type="expression" dxfId="14829" priority="14481">
      <formula>$H680="CÉLULA CONSTRUTIVA"</formula>
    </cfRule>
    <cfRule type="expression" dxfId="14828" priority="14480">
      <formula>$H680="SUBETAPA"</formula>
    </cfRule>
    <cfRule type="expression" dxfId="14827" priority="14482">
      <formula>$H680="ETAPA"</formula>
    </cfRule>
  </conditionalFormatting>
  <conditionalFormatting sqref="G688:L688 G690:L690">
    <cfRule type="expression" dxfId="14826" priority="14499">
      <formula>$H688="CÉLULA CONSTRUTIVA"</formula>
    </cfRule>
  </conditionalFormatting>
  <conditionalFormatting sqref="G694:L694">
    <cfRule type="expression" dxfId="14825" priority="14998">
      <formula>$H694="ETAPA"</formula>
    </cfRule>
    <cfRule type="expression" dxfId="14824" priority="14996">
      <formula>$H694="SUBETAPA"</formula>
    </cfRule>
    <cfRule type="expression" dxfId="14823" priority="14997">
      <formula>$H694="CÉLULA CONSTRUTIVA"</formula>
    </cfRule>
  </conditionalFormatting>
  <conditionalFormatting sqref="G702:L702">
    <cfRule type="expression" dxfId="14822" priority="15015">
      <formula>$H702="CÉLULA CONSTRUTIVA"</formula>
    </cfRule>
  </conditionalFormatting>
  <conditionalFormatting sqref="G704:L704">
    <cfRule type="expression" dxfId="14821" priority="4990">
      <formula>$H704="CÉLULA CONSTRUTIVA"</formula>
    </cfRule>
    <cfRule type="expression" dxfId="14820" priority="4989">
      <formula>$H704="SUBETAPA"</formula>
    </cfRule>
  </conditionalFormatting>
  <conditionalFormatting sqref="G710:L711">
    <cfRule type="expression" dxfId="14819" priority="24693">
      <formula>$H710="CÉLULA CONSTRUTIVA"</formula>
    </cfRule>
    <cfRule type="expression" dxfId="14818" priority="24694">
      <formula>$H710="ETAPA"</formula>
    </cfRule>
  </conditionalFormatting>
  <conditionalFormatting sqref="G721:L721">
    <cfRule type="expression" dxfId="14817" priority="4847">
      <formula>$H721="SUBETAPA"</formula>
    </cfRule>
  </conditionalFormatting>
  <conditionalFormatting sqref="G725:L725">
    <cfRule type="expression" dxfId="14816" priority="14204">
      <formula>$H725="SUBETAPA"</formula>
    </cfRule>
  </conditionalFormatting>
  <conditionalFormatting sqref="G757:L758">
    <cfRule type="expression" dxfId="14815" priority="12774">
      <formula>$H757="ETAPA"</formula>
    </cfRule>
    <cfRule type="expression" dxfId="14814" priority="12773">
      <formula>$H757="CÉLULA CONSTRUTIVA"</formula>
    </cfRule>
    <cfRule type="expression" dxfId="14813" priority="12772">
      <formula>$H757="SUBETAPA"</formula>
    </cfRule>
  </conditionalFormatting>
  <conditionalFormatting sqref="G759:L762 M760:O762 G763:O763 G764:L765 G766:I766 K766:L766 G767:L770 M774:O775 G779:I779 K779:L779 G780:L788 M787:O788 G789:O789 G805:O805 G773:L775 G777:L778 G776:O776">
    <cfRule type="expression" dxfId="14812" priority="13522">
      <formula>$H759="ETAPA"</formula>
    </cfRule>
  </conditionalFormatting>
  <conditionalFormatting sqref="G759:L762 M760:O762 G763:O763 M774:O775 M787:O788 G805:O805 G764:L765 G767:L770 G766:I766 K766:L766 G780:L788 G779:I779 K779:L779 G789:O789 G773:L775 G777:L778 G776:O776">
    <cfRule type="expression" dxfId="14811" priority="13521">
      <formula>$H759="CÉLULA CONSTRUTIVA"</formula>
    </cfRule>
  </conditionalFormatting>
  <conditionalFormatting sqref="G771:L772">
    <cfRule type="expression" dxfId="14810" priority="6583">
      <formula>$H771="ETAPA"</formula>
    </cfRule>
    <cfRule type="expression" dxfId="14809" priority="6582">
      <formula>$H771="CÉLULA CONSTRUTIVA"</formula>
    </cfRule>
    <cfRule type="expression" dxfId="14808" priority="6581">
      <formula>$H771="SUBETAPA"</formula>
    </cfRule>
  </conditionalFormatting>
  <conditionalFormatting sqref="G790:L791 G792:I792 K792:L792">
    <cfRule type="expression" dxfId="14807" priority="12803">
      <formula>$H790="CÉLULA CONSTRUTIVA"</formula>
    </cfRule>
    <cfRule type="expression" dxfId="14806" priority="12802">
      <formula>$H790="SUBETAPA"</formula>
    </cfRule>
    <cfRule type="expression" dxfId="14805" priority="12804">
      <formula>$H790="ETAPA"</formula>
    </cfRule>
  </conditionalFormatting>
  <conditionalFormatting sqref="G793:L795 G809:L811 M811 O810:O811 G826:L828 M828 O827:O828 M860:N860">
    <cfRule type="expression" dxfId="14804" priority="12812">
      <formula>$H793="CÉLULA CONSTRUTIVA"</formula>
    </cfRule>
    <cfRule type="expression" dxfId="14803" priority="12811">
      <formula>$H793="SUBETAPA"</formula>
    </cfRule>
    <cfRule type="expression" dxfId="14802" priority="12813">
      <formula>$H793="ETAPA"</formula>
    </cfRule>
  </conditionalFormatting>
  <conditionalFormatting sqref="G796:L796">
    <cfRule type="expression" dxfId="14801" priority="12638">
      <formula>$H796="SUBETAPA"</formula>
    </cfRule>
    <cfRule type="expression" dxfId="14800" priority="12640">
      <formula>$H796="ETAPA"</formula>
    </cfRule>
    <cfRule type="expression" dxfId="14799" priority="12639">
      <formula>$H796="CÉLULA CONSTRUTIVA"</formula>
    </cfRule>
  </conditionalFormatting>
  <conditionalFormatting sqref="G806:L807 G808:I808 K808:L808">
    <cfRule type="expression" dxfId="14798" priority="13021">
      <formula>$H806="CÉLULA CONSTRUTIVA"</formula>
    </cfRule>
    <cfRule type="expression" dxfId="14797" priority="13020">
      <formula>$H806="SUBETAPA"</formula>
    </cfRule>
    <cfRule type="expression" dxfId="14796" priority="13022">
      <formula>$H806="ETAPA"</formula>
    </cfRule>
  </conditionalFormatting>
  <conditionalFormatting sqref="G812:L812">
    <cfRule type="expression" dxfId="14795" priority="12610">
      <formula>$H812="ETAPA"</formula>
    </cfRule>
    <cfRule type="expression" dxfId="14794" priority="12609">
      <formula>$H812="CÉLULA CONSTRUTIVA"</formula>
    </cfRule>
    <cfRule type="expression" dxfId="14793" priority="12608">
      <formula>$H812="SUBETAPA"</formula>
    </cfRule>
  </conditionalFormatting>
  <conditionalFormatting sqref="G813:L813 G814:I815 K814:L815">
    <cfRule type="expression" dxfId="14792" priority="870">
      <formula>$H813="SUBETAPA"</formula>
    </cfRule>
    <cfRule type="expression" dxfId="14791" priority="871">
      <formula>$H813="CÉLULA CONSTRUTIVA"</formula>
    </cfRule>
    <cfRule type="expression" dxfId="14790" priority="872">
      <formula>$H813="ETAPA"</formula>
    </cfRule>
  </conditionalFormatting>
  <conditionalFormatting sqref="G823:L824 G825:I825 K825:L825">
    <cfRule type="expression" dxfId="14789" priority="12913">
      <formula>$H823="ETAPA"</formula>
    </cfRule>
    <cfRule type="expression" dxfId="14788" priority="12911">
      <formula>$H823="SUBETAPA"</formula>
    </cfRule>
    <cfRule type="expression" dxfId="14787" priority="12912">
      <formula>$H823="CÉLULA CONSTRUTIVA"</formula>
    </cfRule>
  </conditionalFormatting>
  <conditionalFormatting sqref="G829:L829">
    <cfRule type="expression" dxfId="14786" priority="12578">
      <formula>$H829="SUBETAPA"</formula>
    </cfRule>
    <cfRule type="expression" dxfId="14785" priority="12580">
      <formula>$H829="ETAPA"</formula>
    </cfRule>
    <cfRule type="expression" dxfId="14784" priority="12579">
      <formula>$H829="CÉLULA CONSTRUTIVA"</formula>
    </cfRule>
  </conditionalFormatting>
  <conditionalFormatting sqref="G830:L830 G831:I831 K831:L831">
    <cfRule type="expression" dxfId="14783" priority="823">
      <formula>$H830="ETAPA"</formula>
    </cfRule>
    <cfRule type="expression" dxfId="14782" priority="822">
      <formula>$H830="CÉLULA CONSTRUTIVA"</formula>
    </cfRule>
    <cfRule type="expression" dxfId="14781" priority="821">
      <formula>$H830="SUBETAPA"</formula>
    </cfRule>
  </conditionalFormatting>
  <conditionalFormatting sqref="G840:L841">
    <cfRule type="expression" dxfId="14780" priority="12349">
      <formula>$H840="ETAPA"</formula>
    </cfRule>
    <cfRule type="expression" dxfId="14779" priority="12347">
      <formula>$H840="SUBETAPA"</formula>
    </cfRule>
    <cfRule type="expression" dxfId="14778" priority="12348">
      <formula>$H840="CÉLULA CONSTRUTIVA"</formula>
    </cfRule>
  </conditionalFormatting>
  <conditionalFormatting sqref="G842:L844 M844 O843:O844 O846 G846:L846">
    <cfRule type="expression" dxfId="14777" priority="12317">
      <formula>$H842="SUBETAPA"</formula>
    </cfRule>
    <cfRule type="expression" dxfId="14776" priority="12318">
      <formula>$H842="CÉLULA CONSTRUTIVA"</formula>
    </cfRule>
    <cfRule type="expression" dxfId="14775" priority="12319">
      <formula>$H842="ETAPA"</formula>
    </cfRule>
  </conditionalFormatting>
  <conditionalFormatting sqref="G845:L845">
    <cfRule type="expression" dxfId="14774" priority="12295">
      <formula>$H845="ETAPA"</formula>
    </cfRule>
    <cfRule type="expression" dxfId="14773" priority="12293">
      <formula>$H845="SUBETAPA"</formula>
    </cfRule>
    <cfRule type="expression" dxfId="14772" priority="12294">
      <formula>$H845="CÉLULA CONSTRUTIVA"</formula>
    </cfRule>
  </conditionalFormatting>
  <conditionalFormatting sqref="G847:L847 N847">
    <cfRule type="expression" dxfId="14771" priority="12314">
      <formula>$H847="SUBETAPA"</formula>
    </cfRule>
    <cfRule type="expression" dxfId="14770" priority="12316">
      <formula>$H847="ETAPA"</formula>
    </cfRule>
    <cfRule type="expression" dxfId="14769" priority="12315">
      <formula>$H847="CÉLULA CONSTRUTIVA"</formula>
    </cfRule>
  </conditionalFormatting>
  <conditionalFormatting sqref="G861:L861">
    <cfRule type="expression" dxfId="14768" priority="12515">
      <formula>$H861="SUBETAPA"</formula>
    </cfRule>
    <cfRule type="expression" dxfId="14767" priority="12517">
      <formula>$H861="ETAPA"</formula>
    </cfRule>
    <cfRule type="expression" dxfId="14766" priority="12516">
      <formula>$H861="CÉLULA CONSTRUTIVA"</formula>
    </cfRule>
  </conditionalFormatting>
  <conditionalFormatting sqref="G883:L883">
    <cfRule type="expression" dxfId="14765" priority="6457">
      <formula>$H883="CÉLULA CONSTRUTIVA"</formula>
    </cfRule>
    <cfRule type="expression" dxfId="14764" priority="6458">
      <formula>$H883="ETAPA"</formula>
    </cfRule>
    <cfRule type="expression" dxfId="14763" priority="6456">
      <formula>$H883="SUBETAPA"</formula>
    </cfRule>
  </conditionalFormatting>
  <conditionalFormatting sqref="G923:L923 G988:K989 G990:L990 G991:I991 K991:L991 G997:L1000 N1006:O1006 G1006:K1007 N990:O991 N1000:O1000 G920:O922">
    <cfRule type="expression" dxfId="14762" priority="11285">
      <formula>$H920="CÉLULA CONSTRUTIVA"</formula>
    </cfRule>
    <cfRule type="expression" dxfId="14761" priority="11286">
      <formula>$H920="ETAPA"</formula>
    </cfRule>
  </conditionalFormatting>
  <conditionalFormatting sqref="G935:L935 G932:K934 G996:L996 N935:O935 N996:O996">
    <cfRule type="expression" dxfId="14760" priority="11248">
      <formula>$H932="SUBETAPA"</formula>
    </cfRule>
  </conditionalFormatting>
  <conditionalFormatting sqref="G936:L937 G955:L956 J946:K947 J963:K967">
    <cfRule type="expression" dxfId="14759" priority="10598">
      <formula>$H936="SUBETAPA"</formula>
    </cfRule>
    <cfRule type="expression" dxfId="14758" priority="10599">
      <formula>$H936="CÉLULA CONSTRUTIVA"</formula>
    </cfRule>
  </conditionalFormatting>
  <conditionalFormatting sqref="G939:L939">
    <cfRule type="expression" dxfId="14757" priority="6119">
      <formula>$H939="SUBETAPA"</formula>
    </cfRule>
    <cfRule type="expression" dxfId="14756" priority="6120">
      <formula>$H939="CÉLULA CONSTRUTIVA"</formula>
    </cfRule>
    <cfRule type="expression" dxfId="14755" priority="6156">
      <formula>$H939="ETAPA"</formula>
    </cfRule>
  </conditionalFormatting>
  <conditionalFormatting sqref="G941:L941">
    <cfRule type="expression" dxfId="14754" priority="6011">
      <formula>$H941="CÉLULA CONSTRUTIVA"</formula>
    </cfRule>
    <cfRule type="expression" dxfId="14753" priority="6012">
      <formula>$H941="ETAPA"</formula>
    </cfRule>
    <cfRule type="expression" dxfId="14752" priority="6010">
      <formula>$H941="SUBETAPA"</formula>
    </cfRule>
  </conditionalFormatting>
  <conditionalFormatting sqref="G943:L943">
    <cfRule type="expression" dxfId="14751" priority="5929">
      <formula>$H943="CÉLULA CONSTRUTIVA"</formula>
    </cfRule>
    <cfRule type="expression" dxfId="14750" priority="5930">
      <formula>$H943="ETAPA"</formula>
    </cfRule>
    <cfRule type="expression" dxfId="14749" priority="5928">
      <formula>$H943="SUBETAPA"</formula>
    </cfRule>
  </conditionalFormatting>
  <conditionalFormatting sqref="G957:L957">
    <cfRule type="expression" dxfId="14748" priority="6390">
      <formula>$H957="SUBETAPA"</formula>
    </cfRule>
    <cfRule type="expression" dxfId="14747" priority="6391">
      <formula>$H957="CÉLULA CONSTRUTIVA"</formula>
    </cfRule>
  </conditionalFormatting>
  <conditionalFormatting sqref="G958:L958">
    <cfRule type="expression" dxfId="14746" priority="6081">
      <formula>$H958="CÉLULA CONSTRUTIVA"</formula>
    </cfRule>
    <cfRule type="expression" dxfId="14745" priority="6080">
      <formula>$H958="SUBETAPA"</formula>
    </cfRule>
    <cfRule type="expression" dxfId="14744" priority="6093">
      <formula>$H958="ETAPA"</formula>
    </cfRule>
  </conditionalFormatting>
  <conditionalFormatting sqref="G959:L959 N959:O959">
    <cfRule type="expression" dxfId="14743" priority="6112">
      <formula>$H959="ETAPA"</formula>
    </cfRule>
    <cfRule type="expression" dxfId="14742" priority="6111">
      <formula>$H959="CÉLULA CONSTRUTIVA"</formula>
    </cfRule>
    <cfRule type="expression" dxfId="14741" priority="6116">
      <formula>$H959="SUBETAPA"</formula>
    </cfRule>
  </conditionalFormatting>
  <conditionalFormatting sqref="G960:L960">
    <cfRule type="expression" dxfId="14740" priority="5950">
      <formula>$H960="ETAPA"</formula>
    </cfRule>
    <cfRule type="expression" dxfId="14739" priority="5948">
      <formula>$H960="SUBETAPA"</formula>
    </cfRule>
    <cfRule type="expression" dxfId="14738" priority="5949">
      <formula>$H960="CÉLULA CONSTRUTIVA"</formula>
    </cfRule>
  </conditionalFormatting>
  <conditionalFormatting sqref="G961:L961 N961:O961">
    <cfRule type="expression" dxfId="14737" priority="5983">
      <formula>$H961="SUBETAPA"</formula>
    </cfRule>
    <cfRule type="expression" dxfId="14736" priority="5984">
      <formula>$H961="CÉLULA CONSTRUTIVA"</formula>
    </cfRule>
  </conditionalFormatting>
  <conditionalFormatting sqref="G961:L961 P960 N961:O961">
    <cfRule type="expression" dxfId="14735" priority="5985">
      <formula>$H960="ETAPA"</formula>
    </cfRule>
  </conditionalFormatting>
  <conditionalFormatting sqref="G972:L973">
    <cfRule type="expression" dxfId="14734" priority="6328">
      <formula>$H972="CÉLULA CONSTRUTIVA"</formula>
    </cfRule>
    <cfRule type="expression" dxfId="14733" priority="6368">
      <formula>$H972="ETAPA"</formula>
    </cfRule>
    <cfRule type="expression" dxfId="14732" priority="6327">
      <formula>$H972="SUBETAPA"</formula>
    </cfRule>
  </conditionalFormatting>
  <conditionalFormatting sqref="G974:L974 J985:K985 G994:L994 G1005:O1005">
    <cfRule type="expression" dxfId="14731" priority="10742">
      <formula>$H974="SUBETAPA"</formula>
    </cfRule>
    <cfRule type="expression" dxfId="14730" priority="10743">
      <formula>$H974="CÉLULA CONSTRUTIVA"</formula>
    </cfRule>
  </conditionalFormatting>
  <conditionalFormatting sqref="G976:L976 N976:O976">
    <cfRule type="expression" dxfId="14729" priority="10540">
      <formula>$H976="ETAPA"</formula>
    </cfRule>
    <cfRule type="expression" dxfId="14728" priority="10539">
      <formula>$H976="CÉLULA CONSTRUTIVA"</formula>
    </cfRule>
    <cfRule type="expression" dxfId="14727" priority="10538">
      <formula>$H976="SUBETAPA"</formula>
    </cfRule>
  </conditionalFormatting>
  <conditionalFormatting sqref="G977:L978">
    <cfRule type="expression" dxfId="14726" priority="6077">
      <formula>$H977="SUBETAPA"</formula>
    </cfRule>
    <cfRule type="expression" dxfId="14725" priority="6078">
      <formula>$H977="CÉLULA CONSTRUTIVA"</formula>
    </cfRule>
    <cfRule type="expression" dxfId="14724" priority="6079">
      <formula>$H977="ETAPA"</formula>
    </cfRule>
  </conditionalFormatting>
  <conditionalFormatting sqref="G981:L981 G1001:L1001 G924:O924 G925:L925 N925:O925 N981:O981 N1001:O1001">
    <cfRule type="expression" dxfId="14723" priority="11290">
      <formula>$H924="SUBETAPA"</formula>
    </cfRule>
    <cfRule type="expression" dxfId="14722" priority="11291">
      <formula>$H924="CÉLULA CONSTRUTIVA"</formula>
    </cfRule>
  </conditionalFormatting>
  <conditionalFormatting sqref="G992:L993">
    <cfRule type="expression" dxfId="14721" priority="6326">
      <formula>$H992="ETAPA"</formula>
    </cfRule>
    <cfRule type="expression" dxfId="14720" priority="6286">
      <formula>$H992="CÉLULA CONSTRUTIVA"</formula>
    </cfRule>
    <cfRule type="expression" dxfId="14719" priority="6285">
      <formula>$H992="SUBETAPA"</formula>
    </cfRule>
  </conditionalFormatting>
  <conditionalFormatting sqref="G995:L995 N995:O995">
    <cfRule type="expression" dxfId="14718" priority="10573">
      <formula>$H995="CÉLULA CONSTRUTIVA"</formula>
    </cfRule>
    <cfRule type="expression" dxfId="14717" priority="10572">
      <formula>$H995="SUBETAPA"</formula>
    </cfRule>
  </conditionalFormatting>
  <conditionalFormatting sqref="G1012:L1013">
    <cfRule type="expression" dxfId="14716" priority="6284">
      <formula>$H1012="ETAPA"</formula>
    </cfRule>
    <cfRule type="expression" dxfId="14715" priority="6244">
      <formula>$H1012="CÉLULA CONSTRUTIVA"</formula>
    </cfRule>
    <cfRule type="expression" dxfId="14714" priority="6243">
      <formula>$H1012="SUBETAPA"</formula>
    </cfRule>
  </conditionalFormatting>
  <conditionalFormatting sqref="G1014:L1014 G1025:O1025">
    <cfRule type="expression" dxfId="14713" priority="10384">
      <formula>$H1014="CÉLULA CONSTRUTIVA"</formula>
    </cfRule>
    <cfRule type="expression" dxfId="14712" priority="10383">
      <formula>$H1014="SUBETAPA"</formula>
    </cfRule>
  </conditionalFormatting>
  <conditionalFormatting sqref="G1015:L1015 N1015:O1015">
    <cfRule type="expression" dxfId="14711" priority="10354">
      <formula>$H1015="SUBETAPA"</formula>
    </cfRule>
    <cfRule type="expression" dxfId="14710" priority="10355">
      <formula>$H1015="CÉLULA CONSTRUTIVA"</formula>
    </cfRule>
  </conditionalFormatting>
  <conditionalFormatting sqref="G1016:L1016 N1016:O1016">
    <cfRule type="expression" dxfId="14709" priority="10507">
      <formula>$H1016="SUBETAPA"</formula>
    </cfRule>
  </conditionalFormatting>
  <conditionalFormatting sqref="G1022:L1023 M1023:O1024 M1026 N1021:O1021 G1014:L1016 G1025:O1025 L1027 G1024:I1024 K1024:L1024 N1015:O1016">
    <cfRule type="expression" dxfId="14708" priority="10517">
      <formula>$H1014="ETAPA"</formula>
    </cfRule>
  </conditionalFormatting>
  <conditionalFormatting sqref="G1031:L1032">
    <cfRule type="expression" dxfId="14707" priority="6202">
      <formula>$H1031="CÉLULA CONSTRUTIVA"</formula>
    </cfRule>
    <cfRule type="expression" dxfId="14706" priority="6201">
      <formula>$H1031="SUBETAPA"</formula>
    </cfRule>
    <cfRule type="expression" dxfId="14705" priority="6242">
      <formula>$H1031="ETAPA"</formula>
    </cfRule>
  </conditionalFormatting>
  <conditionalFormatting sqref="G1033:L1033 G1044:O1044">
    <cfRule type="expression" dxfId="14704" priority="10216">
      <formula>$H1033="SUBETAPA"</formula>
    </cfRule>
    <cfRule type="expression" dxfId="14703" priority="10217">
      <formula>$H1033="CÉLULA CONSTRUTIVA"</formula>
    </cfRule>
  </conditionalFormatting>
  <conditionalFormatting sqref="G1034:L1034 N1034:O1034">
    <cfRule type="expression" dxfId="14702" priority="10187">
      <formula>$H1034="SUBETAPA"</formula>
    </cfRule>
    <cfRule type="expression" dxfId="14701" priority="10188">
      <formula>$H1034="CÉLULA CONSTRUTIVA"</formula>
    </cfRule>
  </conditionalFormatting>
  <conditionalFormatting sqref="G1035:L1035 N1035:O1035">
    <cfRule type="expression" dxfId="14700" priority="10349">
      <formula>$H1035="CÉLULA CONSTRUTIVA"</formula>
    </cfRule>
    <cfRule type="expression" dxfId="14699" priority="10340">
      <formula>$H1035="SUBETAPA"</formula>
    </cfRule>
  </conditionalFormatting>
  <conditionalFormatting sqref="G1050:L1051">
    <cfRule type="expression" dxfId="14698" priority="6200">
      <formula>$H1050="ETAPA"</formula>
    </cfRule>
    <cfRule type="expression" dxfId="14697" priority="6159">
      <formula>$H1050="SUBETAPA"</formula>
    </cfRule>
    <cfRule type="expression" dxfId="14696" priority="6160">
      <formula>$H1050="CÉLULA CONSTRUTIVA"</formula>
    </cfRule>
  </conditionalFormatting>
  <conditionalFormatting sqref="G1070:L1071">
    <cfRule type="expression" dxfId="14695" priority="9655">
      <formula>$H1070="SUBETAPA"</formula>
    </cfRule>
    <cfRule type="expression" dxfId="14694" priority="9656">
      <formula>$H1070="CÉLULA CONSTRUTIVA"</formula>
    </cfRule>
  </conditionalFormatting>
  <conditionalFormatting sqref="G1073:L1073">
    <cfRule type="expression" dxfId="14693" priority="9651">
      <formula>$H1073="CÉLULA CONSTRUTIVA"</formula>
    </cfRule>
    <cfRule type="expression" dxfId="14692" priority="9650">
      <formula>$H1073="SUBETAPA"</formula>
    </cfRule>
  </conditionalFormatting>
  <conditionalFormatting sqref="G1083:L1083 N1083:O1083">
    <cfRule type="expression" dxfId="14691" priority="9714">
      <formula>$H1083="SUBETAPA"</formula>
    </cfRule>
    <cfRule type="expression" dxfId="14690" priority="9715">
      <formula>$H1083="CÉLULA CONSTRUTIVA"</formula>
    </cfRule>
  </conditionalFormatting>
  <conditionalFormatting sqref="G1087:L1087 G1089:L1089 G1091:L1091">
    <cfRule type="expression" dxfId="14689" priority="5824">
      <formula>$H1087="SUBETAPA"</formula>
    </cfRule>
    <cfRule type="expression" dxfId="14688" priority="5825">
      <formula>$H1087="CÉLULA CONSTRUTIVA"</formula>
    </cfRule>
  </conditionalFormatting>
  <conditionalFormatting sqref="G1090:L1090">
    <cfRule type="expression" dxfId="14687" priority="5797">
      <formula>$H1090="SUBETAPA"</formula>
    </cfRule>
    <cfRule type="expression" dxfId="14686" priority="5798">
      <formula>$H1090="CÉLULA CONSTRUTIVA"</formula>
    </cfRule>
  </conditionalFormatting>
  <conditionalFormatting sqref="G1100:L1100 N1100:O1100">
    <cfRule type="expression" dxfId="14685" priority="9707">
      <formula>$H1100="SUBETAPA"</formula>
    </cfRule>
    <cfRule type="expression" dxfId="14684" priority="9708">
      <formula>$H1100="CÉLULA CONSTRUTIVA"</formula>
    </cfRule>
  </conditionalFormatting>
  <conditionalFormatting sqref="G1113:L1115 G1176:O1177 G1180:I1180 K1180:L1180 G1131:O1133 N1113:O1115 G1147:O1149 N1180:O1180">
    <cfRule type="expression" dxfId="14683" priority="10134">
      <formula>$H1113="SUBETAPA"</formula>
    </cfRule>
    <cfRule type="expression" dxfId="14682" priority="10177">
      <formula>$H1113="CÉLULA CONSTRUTIVA"</formula>
    </cfRule>
  </conditionalFormatting>
  <conditionalFormatting sqref="G1117:L1117 N1117:O1117">
    <cfRule type="expression" dxfId="14681" priority="9701">
      <formula>$H1117="CÉLULA CONSTRUTIVA"</formula>
    </cfRule>
    <cfRule type="expression" dxfId="14680" priority="9700">
      <formula>$H1117="SUBETAPA"</formula>
    </cfRule>
  </conditionalFormatting>
  <conditionalFormatting sqref="G1120:L1120 G1135:K1135 G1137:L1137 G1151:K1151 G1153:L1153 G1179:K1179 G1181:L1181 G1077:L1077 G1094:L1094 N1077:O1077 N1094:O1094 G1101:K1101 G1118:K1118">
    <cfRule type="expression" dxfId="14679" priority="10109">
      <formula>$H1077="SUBETAPA"</formula>
    </cfRule>
    <cfRule type="expression" dxfId="14678" priority="10110">
      <formula>$H1077="CÉLULA CONSTRUTIVA"</formula>
    </cfRule>
  </conditionalFormatting>
  <conditionalFormatting sqref="G1122:L1123">
    <cfRule type="expression" dxfId="14677" priority="9671">
      <formula>$H1122="CÉLULA CONSTRUTIVA"</formula>
    </cfRule>
    <cfRule type="expression" dxfId="14676" priority="9670">
      <formula>$H1122="SUBETAPA"</formula>
    </cfRule>
  </conditionalFormatting>
  <conditionalFormatting sqref="G1125:L1125">
    <cfRule type="expression" dxfId="14675" priority="9665">
      <formula>$H1125="SUBETAPA"</formula>
    </cfRule>
    <cfRule type="expression" dxfId="14674" priority="9666">
      <formula>$H1125="CÉLULA CONSTRUTIVA"</formula>
    </cfRule>
  </conditionalFormatting>
  <conditionalFormatting sqref="G1138:L1138">
    <cfRule type="expression" dxfId="14673" priority="5785">
      <formula>$H1138="CÉLULA CONSTRUTIVA"</formula>
    </cfRule>
    <cfRule type="expression" dxfId="14672" priority="5784">
      <formula>$H1138="SUBETAPA"</formula>
    </cfRule>
  </conditionalFormatting>
  <conditionalFormatting sqref="G1139:L1140">
    <cfRule type="expression" dxfId="14671" priority="5781">
      <formula>$H1139="CÉLULA CONSTRUTIVA"</formula>
    </cfRule>
    <cfRule type="expression" dxfId="14670" priority="5780">
      <formula>$H1139="SUBETAPA"</formula>
    </cfRule>
  </conditionalFormatting>
  <conditionalFormatting sqref="G1141:L1141">
    <cfRule type="expression" dxfId="14669" priority="5775">
      <formula>$H1141="SUBETAPA"</formula>
    </cfRule>
    <cfRule type="expression" dxfId="14668" priority="5776">
      <formula>$H1141="CÉLULA CONSTRUTIVA"</formula>
    </cfRule>
  </conditionalFormatting>
  <conditionalFormatting sqref="G1154:L1154">
    <cfRule type="expression" dxfId="14667" priority="9619">
      <formula>$H1154="SUBETAPA"</formula>
    </cfRule>
    <cfRule type="expression" dxfId="14666" priority="9620">
      <formula>$H1154="CÉLULA CONSTRUTIVA"</formula>
    </cfRule>
  </conditionalFormatting>
  <conditionalFormatting sqref="G1155:L1156">
    <cfRule type="expression" dxfId="14665" priority="9610">
      <formula>$H1155="SUBETAPA"</formula>
    </cfRule>
    <cfRule type="expression" dxfId="14664" priority="9611">
      <formula>$H1155="CÉLULA CONSTRUTIVA"</formula>
    </cfRule>
  </conditionalFormatting>
  <conditionalFormatting sqref="G1157:L1157">
    <cfRule type="expression" dxfId="14663" priority="9606">
      <formula>$H1157="CÉLULA CONSTRUTIVA"</formula>
    </cfRule>
    <cfRule type="expression" dxfId="14662" priority="9605">
      <formula>$H1157="SUBETAPA"</formula>
    </cfRule>
  </conditionalFormatting>
  <conditionalFormatting sqref="G1161:L1163 N1161:N1163">
    <cfRule type="expression" dxfId="14661" priority="9572">
      <formula>$H1161="CÉLULA CONSTRUTIVA"</formula>
    </cfRule>
    <cfRule type="expression" dxfId="14660" priority="9550">
      <formula>$H1161="SUBETAPA"</formula>
    </cfRule>
  </conditionalFormatting>
  <conditionalFormatting sqref="G1164:L1164 N1164:O1164">
    <cfRule type="expression" dxfId="14659" priority="9486">
      <formula>$H1164="CÉLULA CONSTRUTIVA"</formula>
    </cfRule>
    <cfRule type="expression" dxfId="14658" priority="9485">
      <formula>$H1164="SUBETAPA"</formula>
    </cfRule>
  </conditionalFormatting>
  <conditionalFormatting sqref="G1169:L1170">
    <cfRule type="expression" dxfId="14657" priority="5750">
      <formula>$H1169="SUBETAPA"</formula>
    </cfRule>
    <cfRule type="expression" dxfId="14656" priority="5751">
      <formula>$H1169="CÉLULA CONSTRUTIVA"</formula>
    </cfRule>
  </conditionalFormatting>
  <conditionalFormatting sqref="G1171:L1171">
    <cfRule type="expression" dxfId="14655" priority="5755">
      <formula>$H1171="CÉLULA CONSTRUTIVA"</formula>
    </cfRule>
    <cfRule type="expression" dxfId="14654" priority="5754">
      <formula>$H1171="SUBETAPA"</formula>
    </cfRule>
  </conditionalFormatting>
  <conditionalFormatting sqref="G1172:L1172">
    <cfRule type="expression" dxfId="14653" priority="5745">
      <formula>$H1172="SUBETAPA"</formula>
    </cfRule>
    <cfRule type="expression" dxfId="14652" priority="5746">
      <formula>$H1172="CÉLULA CONSTRUTIVA"</formula>
    </cfRule>
  </conditionalFormatting>
  <conditionalFormatting sqref="G1183:L1183">
    <cfRule type="expression" dxfId="14651" priority="9599">
      <formula>$H1183="CÉLULA CONSTRUTIVA"</formula>
    </cfRule>
    <cfRule type="expression" dxfId="14650" priority="9598">
      <formula>$H1183="SUBETAPA"</formula>
    </cfRule>
  </conditionalFormatting>
  <conditionalFormatting sqref="G1271:L1271 N1271:O1271">
    <cfRule type="expression" dxfId="14649" priority="5497">
      <formula>$H1271="SUBETAPA"</formula>
    </cfRule>
    <cfRule type="expression" dxfId="14648" priority="5498">
      <formula>$H1271="CÉLULA CONSTRUTIVA"</formula>
    </cfRule>
    <cfRule type="expression" dxfId="14647" priority="5499">
      <formula>$H1271="ETAPA"</formula>
    </cfRule>
  </conditionalFormatting>
  <conditionalFormatting sqref="G1292:L1292 N1292:O1292">
    <cfRule type="expression" dxfId="14646" priority="5475">
      <formula>$H1292="SUBETAPA"</formula>
    </cfRule>
    <cfRule type="expression" dxfId="14645" priority="5476">
      <formula>$H1292="CÉLULA CONSTRUTIVA"</formula>
    </cfRule>
    <cfRule type="expression" dxfId="14644" priority="5477">
      <formula>$H1292="ETAPA"</formula>
    </cfRule>
  </conditionalFormatting>
  <conditionalFormatting sqref="G1378:L1381">
    <cfRule type="expression" dxfId="14643" priority="24707">
      <formula>$H1378="ETAPA"</formula>
    </cfRule>
    <cfRule type="expression" dxfId="14642" priority="24705">
      <formula>$H1378="SUBETAPA"</formula>
    </cfRule>
    <cfRule type="expression" dxfId="14641" priority="24706">
      <formula>$H1378="CÉLULA CONSTRUTIVA"</formula>
    </cfRule>
  </conditionalFormatting>
  <conditionalFormatting sqref="G18:M18">
    <cfRule type="expression" dxfId="14640" priority="24719">
      <formula>$H18="CÉLULA CONSTRUTIVA"</formula>
    </cfRule>
    <cfRule type="expression" dxfId="14639" priority="24718">
      <formula>$H18="SUBETAPA"</formula>
    </cfRule>
    <cfRule type="expression" dxfId="14638" priority="24720">
      <formula>$H18="ETAPA"</formula>
    </cfRule>
  </conditionalFormatting>
  <conditionalFormatting sqref="G279:M279 O279:P279 G280:K280">
    <cfRule type="expression" dxfId="14637" priority="21424">
      <formula>$H279="ETAPA"</formula>
    </cfRule>
  </conditionalFormatting>
  <conditionalFormatting sqref="G281:M281 O281:P281 G282:O284 G285:M285 O285:P285 O865:P865 G912:M912 O912:P912 O1308:P1308">
    <cfRule type="expression" dxfId="14636" priority="25282">
      <formula>$H281="CÉLULA CONSTRUTIVA"</formula>
    </cfRule>
  </conditionalFormatting>
  <conditionalFormatting sqref="G290:M290 O290:P290 G291:I291 K291">
    <cfRule type="expression" dxfId="14635" priority="21303">
      <formula>$H290="ETAPA"</formula>
    </cfRule>
  </conditionalFormatting>
  <conditionalFormatting sqref="G292:M292 O292:P292 G293:O295 G296:M296 O296:P296">
    <cfRule type="expression" dxfId="14634" priority="21373">
      <formula>$H292="CÉLULA CONSTRUTIVA"</formula>
    </cfRule>
  </conditionalFormatting>
  <conditionalFormatting sqref="G301:M301 O301:P301 G302:K302">
    <cfRule type="expression" dxfId="14633" priority="21182">
      <formula>$H301="ETAPA"</formula>
    </cfRule>
  </conditionalFormatting>
  <conditionalFormatting sqref="G303:M303 O303:P303 G304:O306 G307:M307 O307:P307">
    <cfRule type="expression" dxfId="14632" priority="21252">
      <formula>$H303="CÉLULA CONSTRUTIVA"</formula>
    </cfRule>
  </conditionalFormatting>
  <conditionalFormatting sqref="G312:M312 O312:P312 G313:I313 K313">
    <cfRule type="expression" dxfId="14631" priority="21061">
      <formula>$H312="ETAPA"</formula>
    </cfRule>
  </conditionalFormatting>
  <conditionalFormatting sqref="G314:M314 O314:P314 G315:O317 G318:M318 O318:P318">
    <cfRule type="expression" dxfId="14630" priority="21131">
      <formula>$H314="CÉLULA CONSTRUTIVA"</formula>
    </cfRule>
  </conditionalFormatting>
  <conditionalFormatting sqref="G321:M321 O321:P321 G322:I322 K322">
    <cfRule type="expression" dxfId="14629" priority="20683">
      <formula>$H321="ETAPA"</formula>
    </cfRule>
  </conditionalFormatting>
  <conditionalFormatting sqref="G324:M324 O324:P324 G325:I325 K325">
    <cfRule type="expression" dxfId="14628" priority="20645">
      <formula>$H324="ETAPA"</formula>
    </cfRule>
  </conditionalFormatting>
  <conditionalFormatting sqref="G327:M327 O327:P327 G328:I328 K328">
    <cfRule type="expression" dxfId="14627" priority="20607">
      <formula>$H327="ETAPA"</formula>
    </cfRule>
  </conditionalFormatting>
  <conditionalFormatting sqref="G471:M471 O471:P471 G473:K473 M473:O473">
    <cfRule type="expression" dxfId="14626" priority="17384">
      <formula>$H471="ETAPA"</formula>
    </cfRule>
  </conditionalFormatting>
  <conditionalFormatting sqref="G709:M709">
    <cfRule type="expression" dxfId="14625" priority="24474">
      <formula>$H709="SUBETAPA"</formula>
    </cfRule>
  </conditionalFormatting>
  <conditionalFormatting sqref="G865:M865">
    <cfRule type="expression" dxfId="14624" priority="24711">
      <formula>$H865="SUBETAPA"</formula>
    </cfRule>
    <cfRule type="expression" dxfId="14623" priority="24712">
      <formula>$H865="CÉLULA CONSTRUTIVA"</formula>
    </cfRule>
    <cfRule type="expression" dxfId="14622" priority="24740">
      <formula>$H865="ETAPA"</formula>
    </cfRule>
  </conditionalFormatting>
  <conditionalFormatting sqref="G866:M867">
    <cfRule type="expression" dxfId="14621" priority="12216">
      <formula>$H866="SUBETAPA"</formula>
    </cfRule>
    <cfRule type="expression" dxfId="14620" priority="12218">
      <formula>$H866="ETAPA"</formula>
    </cfRule>
    <cfRule type="expression" dxfId="14619" priority="12217">
      <formula>$H866="CÉLULA CONSTRUTIVA"</formula>
    </cfRule>
  </conditionalFormatting>
  <conditionalFormatting sqref="G871:M872">
    <cfRule type="expression" dxfId="14618" priority="12104">
      <formula>$H871="CÉLULA CONSTRUTIVA"</formula>
    </cfRule>
    <cfRule type="expression" dxfId="14617" priority="12103">
      <formula>$H871="SUBETAPA"</formula>
    </cfRule>
    <cfRule type="expression" dxfId="14616" priority="12105">
      <formula>$H871="ETAPA"</formula>
    </cfRule>
  </conditionalFormatting>
  <conditionalFormatting sqref="G876:M877">
    <cfRule type="expression" dxfId="14615" priority="12028">
      <formula>$H876="CÉLULA CONSTRUTIVA"</formula>
    </cfRule>
    <cfRule type="expression" dxfId="14614" priority="12029">
      <formula>$H876="ETAPA"</formula>
    </cfRule>
    <cfRule type="expression" dxfId="14613" priority="12027">
      <formula>$H876="SUBETAPA"</formula>
    </cfRule>
  </conditionalFormatting>
  <conditionalFormatting sqref="G882:M882">
    <cfRule type="expression" dxfId="14612" priority="6446">
      <formula>$H882="CÉLULA CONSTRUTIVA"</formula>
    </cfRule>
    <cfRule type="expression" dxfId="14611" priority="6445">
      <formula>$H882="SUBETAPA"</formula>
    </cfRule>
    <cfRule type="expression" dxfId="14610" priority="6447">
      <formula>$H882="ETAPA"</formula>
    </cfRule>
  </conditionalFormatting>
  <conditionalFormatting sqref="G884:M884">
    <cfRule type="expression" dxfId="14609" priority="11956">
      <formula>$H884="ETAPA"</formula>
    </cfRule>
    <cfRule type="expression" dxfId="14608" priority="11955">
      <formula>$H884="CÉLULA CONSTRUTIVA"</formula>
    </cfRule>
    <cfRule type="expression" dxfId="14607" priority="11954">
      <formula>$H884="SUBETAPA"</formula>
    </cfRule>
  </conditionalFormatting>
  <conditionalFormatting sqref="G886:M886">
    <cfRule type="expression" dxfId="14606" priority="6481">
      <formula>$H886="CÉLULA CONSTRUTIVA"</formula>
    </cfRule>
    <cfRule type="expression" dxfId="14605" priority="6480">
      <formula>$H886="SUBETAPA"</formula>
    </cfRule>
    <cfRule type="expression" dxfId="14604" priority="6482">
      <formula>$H886="ETAPA"</formula>
    </cfRule>
  </conditionalFormatting>
  <conditionalFormatting sqref="G891:M891">
    <cfRule type="expression" dxfId="14603" priority="11878">
      <formula>$H891="SUBETAPA"</formula>
    </cfRule>
    <cfRule type="expression" dxfId="14602" priority="11880">
      <formula>$H891="ETAPA"</formula>
    </cfRule>
    <cfRule type="expression" dxfId="14601" priority="11879">
      <formula>$H891="CÉLULA CONSTRUTIVA"</formula>
    </cfRule>
  </conditionalFormatting>
  <conditionalFormatting sqref="G893:M893">
    <cfRule type="expression" dxfId="14600" priority="2332">
      <formula>$H893="CÉLULA CONSTRUTIVA"</formula>
    </cfRule>
    <cfRule type="expression" dxfId="14599" priority="2331">
      <formula>$H893="SUBETAPA"</formula>
    </cfRule>
    <cfRule type="expression" dxfId="14598" priority="2333">
      <formula>$H893="ETAPA"</formula>
    </cfRule>
  </conditionalFormatting>
  <conditionalFormatting sqref="G898:M898">
    <cfRule type="expression" dxfId="14597" priority="11803">
      <formula>$H898="CÉLULA CONSTRUTIVA"</formula>
    </cfRule>
    <cfRule type="expression" dxfId="14596" priority="11802">
      <formula>$H898="SUBETAPA"</formula>
    </cfRule>
    <cfRule type="expression" dxfId="14595" priority="11804">
      <formula>$H898="ETAPA"</formula>
    </cfRule>
  </conditionalFormatting>
  <conditionalFormatting sqref="G900:M900">
    <cfRule type="expression" dxfId="14594" priority="2258">
      <formula>$H900="SUBETAPA"</formula>
    </cfRule>
    <cfRule type="expression" dxfId="14593" priority="2259">
      <formula>$H900="CÉLULA CONSTRUTIVA"</formula>
    </cfRule>
    <cfRule type="expression" dxfId="14592" priority="2260">
      <formula>$H900="ETAPA"</formula>
    </cfRule>
  </conditionalFormatting>
  <conditionalFormatting sqref="G904:M904">
    <cfRule type="expression" dxfId="14591" priority="11584">
      <formula>$H904="ETAPA"</formula>
    </cfRule>
    <cfRule type="expression" dxfId="14590" priority="11582">
      <formula>$H904="SUBETAPA"</formula>
    </cfRule>
    <cfRule type="expression" dxfId="14589" priority="11583">
      <formula>$H904="CÉLULA CONSTRUTIVA"</formula>
    </cfRule>
  </conditionalFormatting>
  <conditionalFormatting sqref="G905:M905">
    <cfRule type="expression" dxfId="14588" priority="11566">
      <formula>$H905="SUBETAPA"</formula>
    </cfRule>
    <cfRule type="expression" dxfId="14587" priority="11567">
      <formula>$H905="CÉLULA CONSTRUTIVA"</formula>
    </cfRule>
    <cfRule type="expression" dxfId="14586" priority="11568">
      <formula>$H905="ETAPA"</formula>
    </cfRule>
  </conditionalFormatting>
  <conditionalFormatting sqref="G907:M908">
    <cfRule type="expression" dxfId="14585" priority="11731">
      <formula>$H907="SUBETAPA"</formula>
    </cfRule>
    <cfRule type="expression" dxfId="14584" priority="11733">
      <formula>$H907="ETAPA"</formula>
    </cfRule>
    <cfRule type="expression" dxfId="14583" priority="11732">
      <formula>$H907="CÉLULA CONSTRUTIVA"</formula>
    </cfRule>
  </conditionalFormatting>
  <conditionalFormatting sqref="G926:M926 O926:P926 G945:M945 O945:P945 G962:M962 O962:P962 G982:M982 O982:P982 G1002:M1002 O1002:P1002 L1006:M1006 G1052:M1052 O1052:P1052">
    <cfRule type="expression" dxfId="14582" priority="11313">
      <formula>$H926="CÉLULA CONSTRUTIVA"</formula>
    </cfRule>
  </conditionalFormatting>
  <conditionalFormatting sqref="G926:M926 O926:P926 G945:M945 O945:P945 G962:M962 O962:P962 G982:M982 O982:P982 L1006:M1006 G1002:M1002 O1002:P1002 G1052:M1052 O1052:P1052">
    <cfRule type="expression" dxfId="14581" priority="11312">
      <formula>$H926="SUBETAPA"</formula>
    </cfRule>
  </conditionalFormatting>
  <conditionalFormatting sqref="G1022:M1022 O1022:P1022 L1026:M1026">
    <cfRule type="expression" dxfId="14580" priority="10515">
      <formula>$H1022="CÉLULA CONSTRUTIVA"</formula>
    </cfRule>
  </conditionalFormatting>
  <conditionalFormatting sqref="G1041:M1041 O1041:P1041 L1045:M1045">
    <cfRule type="expression" dxfId="14579" priority="10348">
      <formula>$H1041="CÉLULA CONSTRUTIVA"</formula>
    </cfRule>
  </conditionalFormatting>
  <conditionalFormatting sqref="G1055:M1055">
    <cfRule type="expression" dxfId="14578" priority="24672">
      <formula>$H1055="CÉLULA CONSTRUTIVA"</formula>
    </cfRule>
    <cfRule type="expression" dxfId="14577" priority="24671">
      <formula>$H1055="SUBETAPA"</formula>
    </cfRule>
  </conditionalFormatting>
  <conditionalFormatting sqref="G1056:M1057">
    <cfRule type="expression" dxfId="14576" priority="10163">
      <formula>$H1056="CÉLULA CONSTRUTIVA"</formula>
    </cfRule>
    <cfRule type="expression" dxfId="14575" priority="10162">
      <formula>$H1056="SUBETAPA"</formula>
    </cfRule>
  </conditionalFormatting>
  <conditionalFormatting sqref="G1060:M1060 O1060:P1060">
    <cfRule type="expression" dxfId="14574" priority="9782">
      <formula>$H1060="CÉLULA CONSTRUTIVA"</formula>
    </cfRule>
    <cfRule type="expression" dxfId="14573" priority="9781">
      <formula>$H1060="SUBETAPA"</formula>
    </cfRule>
  </conditionalFormatting>
  <conditionalFormatting sqref="G1075:M1076">
    <cfRule type="expression" dxfId="14572" priority="10081">
      <formula>$H1075="CÉLULA CONSTRUTIVA"</formula>
    </cfRule>
    <cfRule type="expression" dxfId="14571" priority="10080">
      <formula>$H1075="SUBETAPA"</formula>
    </cfRule>
  </conditionalFormatting>
  <conditionalFormatting sqref="G1079:M1079 O1079:P1079">
    <cfRule type="expression" dxfId="14570" priority="10089">
      <formula>$H1079="SUBETAPA"</formula>
    </cfRule>
    <cfRule type="expression" dxfId="14569" priority="10090">
      <formula>$H1079="CÉLULA CONSTRUTIVA"</formula>
    </cfRule>
  </conditionalFormatting>
  <conditionalFormatting sqref="G1092:M1093">
    <cfRule type="expression" dxfId="14568" priority="10024">
      <formula>$H1092="SUBETAPA"</formula>
    </cfRule>
    <cfRule type="expression" dxfId="14567" priority="10025">
      <formula>$H1092="CÉLULA CONSTRUTIVA"</formula>
    </cfRule>
  </conditionalFormatting>
  <conditionalFormatting sqref="G1096:M1096 O1096:P1096">
    <cfRule type="expression" dxfId="14566" priority="10033">
      <formula>$H1096="SUBETAPA"</formula>
    </cfRule>
    <cfRule type="expression" dxfId="14565" priority="10034">
      <formula>$H1096="CÉLULA CONSTRUTIVA"</formula>
    </cfRule>
  </conditionalFormatting>
  <conditionalFormatting sqref="G1109:M1110">
    <cfRule type="expression" dxfId="14564" priority="9970">
      <formula>$H1109="CÉLULA CONSTRUTIVA"</formula>
    </cfRule>
    <cfRule type="expression" dxfId="14563" priority="9969">
      <formula>$H1109="SUBETAPA"</formula>
    </cfRule>
  </conditionalFormatting>
  <conditionalFormatting sqref="G1112:M1112 O1112:P1112">
    <cfRule type="expression" dxfId="14562" priority="9979">
      <formula>$H1112="CÉLULA CONSTRUTIVA"</formula>
    </cfRule>
    <cfRule type="expression" dxfId="14561" priority="9978">
      <formula>$H1112="SUBETAPA"</formula>
    </cfRule>
  </conditionalFormatting>
  <conditionalFormatting sqref="G1127:M1128">
    <cfRule type="expression" dxfId="14560" priority="9914">
      <formula>$H1127="SUBETAPA"</formula>
    </cfRule>
    <cfRule type="expression" dxfId="14559" priority="9915">
      <formula>$H1127="CÉLULA CONSTRUTIVA"</formula>
    </cfRule>
  </conditionalFormatting>
  <conditionalFormatting sqref="G1130:M1130 O1130:P1130">
    <cfRule type="expression" dxfId="14558" priority="9924">
      <formula>$H1130="CÉLULA CONSTRUTIVA"</formula>
    </cfRule>
    <cfRule type="expression" dxfId="14557" priority="9923">
      <formula>$H1130="SUBETAPA"</formula>
    </cfRule>
  </conditionalFormatting>
  <conditionalFormatting sqref="G1143:M1144">
    <cfRule type="expression" dxfId="14556" priority="9860">
      <formula>$H1143="CÉLULA CONSTRUTIVA"</formula>
    </cfRule>
    <cfRule type="expression" dxfId="14555" priority="9859">
      <formula>$H1143="SUBETAPA"</formula>
    </cfRule>
  </conditionalFormatting>
  <conditionalFormatting sqref="G1146:M1146 O1146:P1146">
    <cfRule type="expression" dxfId="14554" priority="9869">
      <formula>$H1146="CÉLULA CONSTRUTIVA"</formula>
    </cfRule>
    <cfRule type="expression" dxfId="14553" priority="9868">
      <formula>$H1146="SUBETAPA"</formula>
    </cfRule>
  </conditionalFormatting>
  <conditionalFormatting sqref="G1160:M1160 O1160:P1160 O1168:P1168 G1161:L1164 N1161:N1163 N1164:O1164">
    <cfRule type="expression" dxfId="14552" priority="9573">
      <formula>$H1160="ETAPA"</formula>
    </cfRule>
  </conditionalFormatting>
  <conditionalFormatting sqref="G1160:M1160 O1160:P1160">
    <cfRule type="expression" dxfId="14551" priority="9506">
      <formula>$H1160="SUBETAPA"</formula>
    </cfRule>
    <cfRule type="expression" dxfId="14550" priority="9507">
      <formula>$H1160="CÉLULA CONSTRUTIVA"</formula>
    </cfRule>
  </conditionalFormatting>
  <conditionalFormatting sqref="G1175:M1175 O1175:P1175">
    <cfRule type="expression" dxfId="14549" priority="9814">
      <formula>$H1175="CÉLULA CONSTRUTIVA"</formula>
    </cfRule>
    <cfRule type="expression" dxfId="14548" priority="9813">
      <formula>$H1175="SUBETAPA"</formula>
    </cfRule>
  </conditionalFormatting>
  <conditionalFormatting sqref="G1310:M1310 O1310:P1310 G1311:O1311">
    <cfRule type="expression" dxfId="14547" priority="14025">
      <formula>$H1310="CÉLULA CONSTRUTIVA"</formula>
    </cfRule>
    <cfRule type="expression" dxfId="14546" priority="14026">
      <formula>$H1310="ETAPA"</formula>
    </cfRule>
  </conditionalFormatting>
  <conditionalFormatting sqref="G1310:M1310 O1310:P1310">
    <cfRule type="expression" dxfId="14545" priority="14024">
      <formula>$H1310="SUBETAPA"</formula>
    </cfRule>
  </conditionalFormatting>
  <conditionalFormatting sqref="G1315:M1315 O1315:P1315 G1317:M1317 O1317:P1317 G1319:M1319 O1319 G1318:O1318 G1316:O1316 G1314:O1314">
    <cfRule type="expression" dxfId="14544" priority="13953">
      <formula>$H1314="CÉLULA CONSTRUTIVA"</formula>
    </cfRule>
  </conditionalFormatting>
  <conditionalFormatting sqref="G1315:M1315 O1315:P1315 G1317:M1317 O1317:P1317 G1319:M1319 O1319">
    <cfRule type="expression" dxfId="14543" priority="13952">
      <formula>$H1315="SUBETAPA"</formula>
    </cfRule>
  </conditionalFormatting>
  <conditionalFormatting sqref="G1326:M1326 O1326:P1326">
    <cfRule type="expression" dxfId="14542" priority="13914">
      <formula>$H1326="ETAPA"</formula>
    </cfRule>
    <cfRule type="expression" dxfId="14541" priority="13913">
      <formula>$H1326="CÉLULA CONSTRUTIVA"</formula>
    </cfRule>
    <cfRule type="expression" dxfId="14540" priority="13912">
      <formula>$H1326="SUBETAPA"</formula>
    </cfRule>
  </conditionalFormatting>
  <conditionalFormatting sqref="G1333:M1333 O1333:P1333">
    <cfRule type="expression" dxfId="14539" priority="13836">
      <formula>$H1333="ETAPA"</formula>
    </cfRule>
    <cfRule type="expression" dxfId="14538" priority="13835">
      <formula>$H1333="CÉLULA CONSTRUTIVA"</formula>
    </cfRule>
    <cfRule type="expression" dxfId="14537" priority="13834">
      <formula>$H1333="SUBETAPA"</formula>
    </cfRule>
  </conditionalFormatting>
  <conditionalFormatting sqref="G1342:M1342">
    <cfRule type="expression" dxfId="14536" priority="24119">
      <formula>$H1342="ETAPA"</formula>
    </cfRule>
    <cfRule type="expression" dxfId="14535" priority="24117">
      <formula>$H1342="SUBETAPA"</formula>
    </cfRule>
    <cfRule type="expression" dxfId="14534" priority="24118">
      <formula>$H1342="CÉLULA CONSTRUTIVA"</formula>
    </cfRule>
  </conditionalFormatting>
  <conditionalFormatting sqref="G1344:M1344 O1344:P1344 K1345:M1345 G1346:M1346 O1346:P1346 K1347:M1347 O1345 O1347">
    <cfRule type="expression" dxfId="14533" priority="699">
      <formula>$H1344="ETAPA"</formula>
    </cfRule>
    <cfRule type="expression" dxfId="14532" priority="698">
      <formula>$H1344="CÉLULA CONSTRUTIVA"</formula>
    </cfRule>
  </conditionalFormatting>
  <conditionalFormatting sqref="G1348:M1348 O1348:P1348">
    <cfRule type="expression" dxfId="14531" priority="7756">
      <formula>$H1348="ETAPA"</formula>
    </cfRule>
    <cfRule type="expression" dxfId="14530" priority="7754">
      <formula>$H1348="SUBETAPA"</formula>
    </cfRule>
    <cfRule type="expression" dxfId="14529" priority="7755">
      <formula>$H1348="CÉLULA CONSTRUTIVA"</formula>
    </cfRule>
  </conditionalFormatting>
  <conditionalFormatting sqref="G1351:M1351 O1351:P1351 K1352:M1352 O1352">
    <cfRule type="expression" dxfId="14528" priority="656">
      <formula>$H1351="ETAPA"</formula>
    </cfRule>
    <cfRule type="expression" dxfId="14527" priority="655">
      <formula>$H1351="CÉLULA CONSTRUTIVA"</formula>
    </cfRule>
  </conditionalFormatting>
  <conditionalFormatting sqref="G1364:M1365 N1365:O1365">
    <cfRule type="expression" dxfId="14526" priority="7557">
      <formula>$H1364="SUBETAPA"</formula>
    </cfRule>
    <cfRule type="expression" dxfId="14525" priority="7558">
      <formula>$H1364="CÉLULA CONSTRUTIVA"</formula>
    </cfRule>
    <cfRule type="expression" dxfId="14524" priority="7559">
      <formula>$H1364="ETAPA"</formula>
    </cfRule>
  </conditionalFormatting>
  <conditionalFormatting sqref="G803:N803">
    <cfRule type="expression" dxfId="14523" priority="12548">
      <formula>$H803="SUBETAPA"</formula>
    </cfRule>
    <cfRule type="expression" dxfId="14522" priority="12549">
      <formula>$H803="CÉLULA CONSTRUTIVA"</formula>
    </cfRule>
    <cfRule type="expression" dxfId="14521" priority="12550">
      <formula>$H803="ETAPA"</formula>
    </cfRule>
  </conditionalFormatting>
  <conditionalFormatting sqref="G820:N820">
    <cfRule type="expression" dxfId="14520" priority="12532">
      <formula>$H820="ETAPA"</formula>
    </cfRule>
    <cfRule type="expression" dxfId="14519" priority="12531">
      <formula>$H820="CÉLULA CONSTRUTIVA"</formula>
    </cfRule>
    <cfRule type="expression" dxfId="14518" priority="12530">
      <formula>$H820="SUBETAPA"</formula>
    </cfRule>
  </conditionalFormatting>
  <conditionalFormatting sqref="G837:N837">
    <cfRule type="expression" dxfId="14517" priority="12544">
      <formula>$H837="ETAPA"</formula>
    </cfRule>
    <cfRule type="expression" dxfId="14516" priority="12542">
      <formula>$H837="SUBETAPA"</formula>
    </cfRule>
    <cfRule type="expression" dxfId="14515" priority="12543">
      <formula>$H837="CÉLULA CONSTRUTIVA"</formula>
    </cfRule>
  </conditionalFormatting>
  <conditionalFormatting sqref="G853:N853">
    <cfRule type="expression" dxfId="14514" priority="12263">
      <formula>$H853="SUBETAPA"</formula>
    </cfRule>
    <cfRule type="expression" dxfId="14513" priority="12264">
      <formula>$H853="CÉLULA CONSTRUTIVA"</formula>
    </cfRule>
    <cfRule type="expression" dxfId="14512" priority="12265">
      <formula>$H853="ETAPA"</formula>
    </cfRule>
  </conditionalFormatting>
  <conditionalFormatting sqref="G864:N864">
    <cfRule type="expression" dxfId="14511" priority="12484">
      <formula>$H864="ETAPA"</formula>
    </cfRule>
    <cfRule type="expression" dxfId="14510" priority="12483">
      <formula>$H864="CÉLULA CONSTRUTIVA"</formula>
    </cfRule>
    <cfRule type="expression" dxfId="14509" priority="12482">
      <formula>$H864="SUBETAPA"</formula>
    </cfRule>
  </conditionalFormatting>
  <conditionalFormatting sqref="G282:O284 O1308:P1308 G281:M281 O281:P281 G285:M285 O285:P285 O865:P865 G912:M912 O912:P912">
    <cfRule type="expression" dxfId="14508" priority="25281">
      <formula>$H281="SUBETAPA"</formula>
    </cfRule>
  </conditionalFormatting>
  <conditionalFormatting sqref="G293:O295 G292:M292 O292:P292 G296:M296 O296:P296">
    <cfRule type="expression" dxfId="14507" priority="21372">
      <formula>$H292="SUBETAPA"</formula>
    </cfRule>
  </conditionalFormatting>
  <conditionalFormatting sqref="G304:O306 G303:M303 O303:P303 G307:M307 O307:P307">
    <cfRule type="expression" dxfId="14506" priority="21251">
      <formula>$H303="SUBETAPA"</formula>
    </cfRule>
  </conditionalFormatting>
  <conditionalFormatting sqref="G315:O317 G314:M314 O314:P314 G318:M318 O318:P318">
    <cfRule type="expression" dxfId="14505" priority="21130">
      <formula>$H314="SUBETAPA"</formula>
    </cfRule>
  </conditionalFormatting>
  <conditionalFormatting sqref="G707:O707">
    <cfRule type="expression" dxfId="14504" priority="4944">
      <formula>$H707="ETAPA"</formula>
    </cfRule>
    <cfRule type="expression" dxfId="14503" priority="4943">
      <formula>$H707="CÉLULA CONSTRUTIVA"</formula>
    </cfRule>
    <cfRule type="expression" dxfId="14502" priority="4942">
      <formula>$H707="SUBETAPA"</formula>
    </cfRule>
  </conditionalFormatting>
  <conditionalFormatting sqref="G821:O821">
    <cfRule type="expression" dxfId="14501" priority="740">
      <formula>$H821="ETAPA"</formula>
    </cfRule>
    <cfRule type="expression" dxfId="14500" priority="738">
      <formula>$H821="SUBETAPA"</formula>
    </cfRule>
    <cfRule type="expression" dxfId="14499" priority="739">
      <formula>$H821="CÉLULA CONSTRUTIVA"</formula>
    </cfRule>
  </conditionalFormatting>
  <conditionalFormatting sqref="G838:O838">
    <cfRule type="expression" dxfId="14498" priority="762">
      <formula>$H838="SUBETAPA"</formula>
    </cfRule>
    <cfRule type="expression" dxfId="14497" priority="763">
      <formula>$H838="CÉLULA CONSTRUTIVA"</formula>
    </cfRule>
    <cfRule type="expression" dxfId="14496" priority="764">
      <formula>$H838="ETAPA"</formula>
    </cfRule>
  </conditionalFormatting>
  <conditionalFormatting sqref="G873:O873">
    <cfRule type="expression" dxfId="14495" priority="12110">
      <formula>$H873="CÉLULA CONSTRUTIVA"</formula>
    </cfRule>
    <cfRule type="expression" dxfId="14494" priority="12111">
      <formula>$H873="ETAPA"</formula>
    </cfRule>
    <cfRule type="expression" dxfId="14493" priority="12109">
      <formula>$H873="SUBETAPA"</formula>
    </cfRule>
  </conditionalFormatting>
  <conditionalFormatting sqref="G878:O878">
    <cfRule type="expression" dxfId="14492" priority="12035">
      <formula>$H878="ETAPA"</formula>
    </cfRule>
    <cfRule type="expression" dxfId="14491" priority="12034">
      <formula>$H878="CÉLULA CONSTRUTIVA"</formula>
    </cfRule>
    <cfRule type="expression" dxfId="14490" priority="12033">
      <formula>$H878="SUBETAPA"</formula>
    </cfRule>
  </conditionalFormatting>
  <conditionalFormatting sqref="G887:O887">
    <cfRule type="expression" dxfId="14489" priority="6485">
      <formula>$H887="ETAPA"</formula>
    </cfRule>
    <cfRule type="expression" dxfId="14488" priority="6483">
      <formula>$H887="SUBETAPA"</formula>
    </cfRule>
    <cfRule type="expression" dxfId="14487" priority="6484">
      <formula>$H887="CÉLULA CONSTRUTIVA"</formula>
    </cfRule>
  </conditionalFormatting>
  <conditionalFormatting sqref="G894:O894">
    <cfRule type="expression" dxfId="14486" priority="2334">
      <formula>$H894="SUBETAPA"</formula>
    </cfRule>
    <cfRule type="expression" dxfId="14485" priority="2335">
      <formula>$H894="CÉLULA CONSTRUTIVA"</formula>
    </cfRule>
    <cfRule type="expression" dxfId="14484" priority="2336">
      <formula>$H894="ETAPA"</formula>
    </cfRule>
  </conditionalFormatting>
  <conditionalFormatting sqref="G901:O901">
    <cfRule type="expression" dxfId="14483" priority="2263">
      <formula>$H901="ETAPA"</formula>
    </cfRule>
    <cfRule type="expression" dxfId="14482" priority="2262">
      <formula>$H901="CÉLULA CONSTRUTIVA"</formula>
    </cfRule>
    <cfRule type="expression" dxfId="14481" priority="2261">
      <formula>$H901="SUBETAPA"</formula>
    </cfRule>
  </conditionalFormatting>
  <conditionalFormatting sqref="G909:O909">
    <cfRule type="expression" dxfId="14480" priority="11734">
      <formula>$H909="SUBETAPA"</formula>
    </cfRule>
    <cfRule type="expression" dxfId="14479" priority="11736">
      <formula>$H909="ETAPA"</formula>
    </cfRule>
    <cfRule type="expression" dxfId="14478" priority="11735">
      <formula>$H909="CÉLULA CONSTRUTIVA"</formula>
    </cfRule>
  </conditionalFormatting>
  <conditionalFormatting sqref="G927:O927 G1053:O1053 G935:L935 G932:K934 G996:L996 N935:O935 N996:O996">
    <cfRule type="expression" dxfId="14477" priority="11336">
      <formula>$H927="CÉLULA CONSTRUTIVA"</formula>
    </cfRule>
  </conditionalFormatting>
  <conditionalFormatting sqref="G927:O927 M1006 G1053:O1053">
    <cfRule type="expression" dxfId="14476" priority="11282">
      <formula>$H927="SUBETAPA"</formula>
    </cfRule>
  </conditionalFormatting>
  <conditionalFormatting sqref="G948:O949">
    <cfRule type="expression" dxfId="14475" priority="5923">
      <formula>$H948="SUBETAPA"</formula>
    </cfRule>
    <cfRule type="expression" dxfId="14474" priority="5924">
      <formula>$H948="CÉLULA CONSTRUTIVA"</formula>
    </cfRule>
  </conditionalFormatting>
  <conditionalFormatting sqref="G1023:O1023 G1016:L1016 G1024:I1024 K1024:O1024 N1016:O1016">
    <cfRule type="expression" dxfId="14473" priority="10516">
      <formula>$H1016="CÉLULA CONSTRUTIVA"</formula>
    </cfRule>
  </conditionalFormatting>
  <conditionalFormatting sqref="G1023:O1023 M1026 G1024:I1024 K1024:O1024">
    <cfRule type="expression" dxfId="14472" priority="10508">
      <formula>$H1023="SUBETAPA"</formula>
    </cfRule>
  </conditionalFormatting>
  <conditionalFormatting sqref="G1065:O1065">
    <cfRule type="expression" dxfId="14471" priority="9721">
      <formula>$H1065="SUBETAPA"</formula>
    </cfRule>
    <cfRule type="expression" dxfId="14470" priority="9722">
      <formula>$H1065="CÉLULA CONSTRUTIVA"</formula>
    </cfRule>
  </conditionalFormatting>
  <conditionalFormatting sqref="G1134:O1134">
    <cfRule type="expression" dxfId="14469" priority="9698">
      <formula>$H1134="SUBETAPA"</formula>
    </cfRule>
    <cfRule type="expression" dxfId="14468" priority="9699">
      <formula>$H1134="CÉLULA CONSTRUTIVA"</formula>
    </cfRule>
  </conditionalFormatting>
  <conditionalFormatting sqref="G1150:O1150">
    <cfRule type="expression" dxfId="14467" priority="9696">
      <formula>$H1150="SUBETAPA"</formula>
    </cfRule>
    <cfRule type="expression" dxfId="14466" priority="9697">
      <formula>$H1150="CÉLULA CONSTRUTIVA"</formula>
    </cfRule>
  </conditionalFormatting>
  <conditionalFormatting sqref="G1167:O1167">
    <cfRule type="expression" dxfId="14465" priority="9596">
      <formula>$H1167="CÉLULA CONSTRUTIVA"</formula>
    </cfRule>
    <cfRule type="expression" dxfId="14464" priority="9595">
      <formula>$H1167="SUBETAPA"</formula>
    </cfRule>
  </conditionalFormatting>
  <conditionalFormatting sqref="G1178:O1178">
    <cfRule type="expression" dxfId="14463" priority="9694">
      <formula>$H1178="SUBETAPA"</formula>
    </cfRule>
    <cfRule type="expression" dxfId="14462" priority="9695">
      <formula>$H1178="CÉLULA CONSTRUTIVA"</formula>
    </cfRule>
  </conditionalFormatting>
  <conditionalFormatting sqref="G1311:O1311">
    <cfRule type="expression" dxfId="14461" priority="14013">
      <formula>$H1311="SUBETAPA"</formula>
    </cfRule>
  </conditionalFormatting>
  <conditionalFormatting sqref="G1314:O1314 G1315:M1315 O1315:P1315 G1316:O1316 G1317:M1317 O1317:P1317 G1318:O1318 G1319:M1319 O1319">
    <cfRule type="expression" dxfId="14460" priority="13954">
      <formula>$H1314="ETAPA"</formula>
    </cfRule>
  </conditionalFormatting>
  <conditionalFormatting sqref="G1314:O1314">
    <cfRule type="expression" dxfId="14459" priority="13931">
      <formula>$H1314="SUBETAPA"</formula>
    </cfRule>
  </conditionalFormatting>
  <conditionalFormatting sqref="G1316:O1316">
    <cfRule type="expression" dxfId="14458" priority="13933">
      <formula>$H1316="SUBETAPA"</formula>
    </cfRule>
  </conditionalFormatting>
  <conditionalFormatting sqref="G1318:O1318">
    <cfRule type="expression" dxfId="14457" priority="13934">
      <formula>$H1318="SUBETAPA"</formula>
    </cfRule>
  </conditionalFormatting>
  <conditionalFormatting sqref="G1320:O1320 G1327:O1327 G1334:O1334">
    <cfRule type="expression" dxfId="14456" priority="14016">
      <formula>$H1320="ETAPA"</formula>
    </cfRule>
    <cfRule type="expression" dxfId="14455" priority="14015">
      <formula>$H1320="CÉLULA CONSTRUTIVA"</formula>
    </cfRule>
  </conditionalFormatting>
  <conditionalFormatting sqref="G1320:O1320 G1334:O1334 G1327:O1327">
    <cfRule type="expression" dxfId="14454" priority="14014">
      <formula>$H1320="SUBETAPA"</formula>
    </cfRule>
  </conditionalFormatting>
  <conditionalFormatting sqref="G712:P712">
    <cfRule type="expression" dxfId="14453" priority="7451">
      <formula>$H712="SUBETAPA"</formula>
    </cfRule>
    <cfRule type="expression" dxfId="14452" priority="7453">
      <formula>$H712="ETAPA"</formula>
    </cfRule>
    <cfRule type="expression" dxfId="14451" priority="7452">
      <formula>$H712="CÉLULA CONSTRUTIVA"</formula>
    </cfRule>
  </conditionalFormatting>
  <conditionalFormatting sqref="G1323:P1323 G1325:P1325">
    <cfRule type="expression" dxfId="14450" priority="13867">
      <formula>$H1323="CÉLULA CONSTRUTIVA"</formula>
    </cfRule>
    <cfRule type="expression" dxfId="14449" priority="13868">
      <formula>$H1323="ETAPA"</formula>
    </cfRule>
    <cfRule type="expression" dxfId="14448" priority="13866">
      <formula>$H1323="SUBETAPA"</formula>
    </cfRule>
  </conditionalFormatting>
  <conditionalFormatting sqref="G1330:P1330">
    <cfRule type="expression" dxfId="14447" priority="13769">
      <formula>$H1330="ETAPA"</formula>
    </cfRule>
    <cfRule type="expression" dxfId="14446" priority="13767">
      <formula>$H1330="SUBETAPA"</formula>
    </cfRule>
    <cfRule type="expression" dxfId="14445" priority="13768">
      <formula>$H1330="CÉLULA CONSTRUTIVA"</formula>
    </cfRule>
  </conditionalFormatting>
  <conditionalFormatting sqref="G1332:P1332">
    <cfRule type="expression" dxfId="14444" priority="4767">
      <formula>$H1332="CÉLULA CONSTRUTIVA"</formula>
    </cfRule>
    <cfRule type="expression" dxfId="14443" priority="4766">
      <formula>$H1332="SUBETAPA"</formula>
    </cfRule>
    <cfRule type="expression" dxfId="14442" priority="4768">
      <formula>$H1332="ETAPA"</formula>
    </cfRule>
  </conditionalFormatting>
  <conditionalFormatting sqref="G1337:P1337">
    <cfRule type="expression" dxfId="14441" priority="23855">
      <formula>$H1337="SUBETAPA"</formula>
    </cfRule>
  </conditionalFormatting>
  <conditionalFormatting sqref="G1339:P1339">
    <cfRule type="expression" dxfId="14440" priority="4720">
      <formula>$H1339="SUBETAPA"</formula>
    </cfRule>
    <cfRule type="expression" dxfId="14439" priority="4721">
      <formula>$H1339="CÉLULA CONSTRUTIVA"</formula>
    </cfRule>
    <cfRule type="expression" dxfId="14438" priority="4722">
      <formula>$H1339="ETAPA"</formula>
    </cfRule>
  </conditionalFormatting>
  <conditionalFormatting sqref="G1341:P1341">
    <cfRule type="expression" dxfId="14437" priority="23918">
      <formula>$H1341="SUBETAPA"</formula>
    </cfRule>
  </conditionalFormatting>
  <conditionalFormatting sqref="H36:H47 P53:P55 I330 G1340:M1340 O1340:P1340 G1341:O1341 O1353:P1353 G1353:M1353 P1373 M1374 O1374:P1374 M1378 O1378:P1378 M1379:P1379 M1380 O1380:P1380 M1383 O1383:P1383 M1384:O1384 M1385:M1387 O1385:P1387 M1388:P1389 O1055:P1055 G1055:K1055 M1055">
    <cfRule type="expression" dxfId="14436" priority="25266">
      <formula>$H36="ETAPA"</formula>
    </cfRule>
  </conditionalFormatting>
  <conditionalFormatting sqref="H36:H47 P53:P55 I330 O1185:P1185 G1340:M1340 O1340:P1340 G1341:O1341 O1353:P1353 G1353:M1353 M1373:P1373 M1374 O1374:P1374 M1378 O1378:P1378 M1379:P1379 M1380 O1380:P1380 M1383 O1383:P1383 M1384:O1384 M1385:M1387 O1385:P1387 M1388:P1389">
    <cfRule type="expression" dxfId="14435" priority="25265">
      <formula>$H36="CÉLULA CONSTRUTIVA"</formula>
    </cfRule>
  </conditionalFormatting>
  <conditionalFormatting sqref="H49:H50">
    <cfRule type="expression" dxfId="14434" priority="24770">
      <formula>$H49="ETAPA"</formula>
    </cfRule>
    <cfRule type="expression" dxfId="14433" priority="24769">
      <formula>$H49="CÉLULA CONSTRUTIVA"</formula>
    </cfRule>
    <cfRule type="expression" dxfId="14432" priority="24768">
      <formula>$H49="SUBETAPA"</formula>
    </cfRule>
  </conditionalFormatting>
  <conditionalFormatting sqref="I346">
    <cfRule type="expression" dxfId="14431" priority="7130">
      <formula>$H346="ETAPA"</formula>
    </cfRule>
    <cfRule type="expression" dxfId="14430" priority="7129">
      <formula>$H346="CÉLULA CONSTRUTIVA"</formula>
    </cfRule>
    <cfRule type="expression" dxfId="14429" priority="7128">
      <formula>$H346="SUBETAPA"</formula>
    </cfRule>
  </conditionalFormatting>
  <conditionalFormatting sqref="I354">
    <cfRule type="expression" dxfId="14428" priority="6939">
      <formula>$H354="SUBETAPA"</formula>
    </cfRule>
    <cfRule type="expression" dxfId="14427" priority="6941">
      <formula>$H354="ETAPA"</formula>
    </cfRule>
    <cfRule type="expression" dxfId="14426" priority="6940">
      <formula>$H354="CÉLULA CONSTRUTIVA"</formula>
    </cfRule>
  </conditionalFormatting>
  <conditionalFormatting sqref="I362:I364 P365 P370:P371 M371:O371 M372:P372 P373">
    <cfRule type="expression" dxfId="14425" priority="19442">
      <formula>$H362="ETAPA"</formula>
    </cfRule>
  </conditionalFormatting>
  <conditionalFormatting sqref="I402:I404 P405 G405:I417 P412:P413 M413:O413 M414:P414 P415 M415:O417">
    <cfRule type="expression" dxfId="14424" priority="18963">
      <formula>$H402="ETAPA"</formula>
    </cfRule>
  </conditionalFormatting>
  <conditionalFormatting sqref="I418:I420 P421 G421:I430 P426:P427 M427:O427 M428:P430">
    <cfRule type="expression" dxfId="14423" priority="18755">
      <formula>$H418="ETAPA"</formula>
    </cfRule>
  </conditionalFormatting>
  <conditionalFormatting sqref="J207">
    <cfRule type="expression" dxfId="14422" priority="19800">
      <formula>$H207="ETAPA"</formula>
    </cfRule>
  </conditionalFormatting>
  <conditionalFormatting sqref="J291">
    <cfRule type="expression" dxfId="14421" priority="4681">
      <formula>$H291="ETAPA"</formula>
    </cfRule>
    <cfRule type="expression" dxfId="14420" priority="4680">
      <formula>$H291="CÉLULA CONSTRUTIVA"</formula>
    </cfRule>
    <cfRule type="expression" dxfId="14419" priority="4679">
      <formula>$H291="SUBETAPA"</formula>
    </cfRule>
  </conditionalFormatting>
  <conditionalFormatting sqref="J313">
    <cfRule type="expression" dxfId="14418" priority="4672">
      <formula>$H313="ETAPA"</formula>
    </cfRule>
    <cfRule type="expression" dxfId="14417" priority="4670">
      <formula>$H313="SUBETAPA"</formula>
    </cfRule>
    <cfRule type="expression" dxfId="14416" priority="4671">
      <formula>$H313="CÉLULA CONSTRUTIVA"</formula>
    </cfRule>
  </conditionalFormatting>
  <conditionalFormatting sqref="J322">
    <cfRule type="expression" dxfId="14415" priority="4665">
      <formula>$H322="CÉLULA CONSTRUTIVA"</formula>
    </cfRule>
    <cfRule type="expression" dxfId="14414" priority="4664">
      <formula>$H322="SUBETAPA"</formula>
    </cfRule>
    <cfRule type="expression" dxfId="14413" priority="4666">
      <formula>$H322="ETAPA"</formula>
    </cfRule>
  </conditionalFormatting>
  <conditionalFormatting sqref="J325">
    <cfRule type="expression" dxfId="14412" priority="4660">
      <formula>$H325="ETAPA"</formula>
    </cfRule>
    <cfRule type="expression" dxfId="14411" priority="4658">
      <formula>$H325="SUBETAPA"</formula>
    </cfRule>
    <cfRule type="expression" dxfId="14410" priority="4659">
      <formula>$H325="CÉLULA CONSTRUTIVA"</formula>
    </cfRule>
  </conditionalFormatting>
  <conditionalFormatting sqref="J328">
    <cfRule type="expression" dxfId="14409" priority="4652">
      <formula>$H328="SUBETAPA"</formula>
    </cfRule>
    <cfRule type="expression" dxfId="14408" priority="4653">
      <formula>$H328="CÉLULA CONSTRUTIVA"</formula>
    </cfRule>
    <cfRule type="expression" dxfId="14407" priority="4654">
      <formula>$H328="ETAPA"</formula>
    </cfRule>
  </conditionalFormatting>
  <conditionalFormatting sqref="J335">
    <cfRule type="expression" dxfId="14406" priority="19591">
      <formula>$H335="ETAPA"</formula>
    </cfRule>
    <cfRule type="expression" dxfId="14405" priority="19589">
      <formula>$H335="SUBETAPA"</formula>
    </cfRule>
    <cfRule type="expression" dxfId="14404" priority="19590">
      <formula>$H335="CÉLULA CONSTRUTIVA"</formula>
    </cfRule>
  </conditionalFormatting>
  <conditionalFormatting sqref="J336:J337">
    <cfRule type="expression" dxfId="14403" priority="19602">
      <formula>$H336="SUBETAPA"</formula>
    </cfRule>
    <cfRule type="expression" dxfId="14402" priority="19603">
      <formula>$H336="CÉLULA CONSTRUTIVA"</formula>
    </cfRule>
    <cfRule type="expression" dxfId="14401" priority="19604">
      <formula>$H336="ETAPA"</formula>
    </cfRule>
  </conditionalFormatting>
  <conditionalFormatting sqref="J338">
    <cfRule type="expression" dxfId="14400" priority="6747">
      <formula>$H338="ETAPA"</formula>
    </cfRule>
    <cfRule type="expression" dxfId="14399" priority="6746">
      <formula>$H338="CÉLULA CONSTRUTIVA"</formula>
    </cfRule>
    <cfRule type="expression" dxfId="14398" priority="6745">
      <formula>$H338="SUBETAPA"</formula>
    </cfRule>
  </conditionalFormatting>
  <conditionalFormatting sqref="J350">
    <cfRule type="expression" dxfId="14397" priority="6969">
      <formula>$H350="SUBETAPA"</formula>
    </cfRule>
    <cfRule type="expression" dxfId="14396" priority="6970">
      <formula>$H350="CÉLULA CONSTRUTIVA"</formula>
    </cfRule>
    <cfRule type="expression" dxfId="14395" priority="6971">
      <formula>$H350="ETAPA"</formula>
    </cfRule>
  </conditionalFormatting>
  <conditionalFormatting sqref="J353">
    <cfRule type="expression" dxfId="14394" priority="6968">
      <formula>$H353="ETAPA"</formula>
    </cfRule>
    <cfRule type="expression" dxfId="14393" priority="6967">
      <formula>$H353="CÉLULA CONSTRUTIVA"</formula>
    </cfRule>
    <cfRule type="expression" dxfId="14392" priority="6966">
      <formula>$H353="SUBETAPA"</formula>
    </cfRule>
  </conditionalFormatting>
  <conditionalFormatting sqref="J358">
    <cfRule type="expression" dxfId="14391" priority="6802">
      <formula>$H358="CÉLULA CONSTRUTIVA"</formula>
    </cfRule>
    <cfRule type="expression" dxfId="14390" priority="6803">
      <formula>$H358="ETAPA"</formula>
    </cfRule>
    <cfRule type="expression" dxfId="14389" priority="6801">
      <formula>$H358="SUBETAPA"</formula>
    </cfRule>
  </conditionalFormatting>
  <conditionalFormatting sqref="J365">
    <cfRule type="expression" dxfId="14388" priority="19238">
      <formula>$H365="SUBETAPA"</formula>
    </cfRule>
    <cfRule type="expression" dxfId="14387" priority="19239">
      <formula>$H365="CÉLULA CONSTRUTIVA"</formula>
    </cfRule>
    <cfRule type="expression" dxfId="14386" priority="19240">
      <formula>$H365="ETAPA"</formula>
    </cfRule>
  </conditionalFormatting>
  <conditionalFormatting sqref="J369">
    <cfRule type="expression" dxfId="14385" priority="19265">
      <formula>$H369="ETAPA"</formula>
    </cfRule>
    <cfRule type="expression" dxfId="14384" priority="19264">
      <formula>$H369="CÉLULA CONSTRUTIVA"</formula>
    </cfRule>
    <cfRule type="expression" dxfId="14383" priority="19263">
      <formula>$H369="SUBETAPA"</formula>
    </cfRule>
  </conditionalFormatting>
  <conditionalFormatting sqref="J372">
    <cfRule type="expression" dxfId="14382" priority="19228">
      <formula>$H372="SUBETAPA"</formula>
    </cfRule>
    <cfRule type="expression" dxfId="14381" priority="19229">
      <formula>$H372="CÉLULA CONSTRUTIVA"</formula>
    </cfRule>
    <cfRule type="expression" dxfId="14380" priority="19230">
      <formula>$H372="ETAPA"</formula>
    </cfRule>
  </conditionalFormatting>
  <conditionalFormatting sqref="J374">
    <cfRule type="expression" dxfId="14379" priority="19262">
      <formula>$H374="ETAPA"</formula>
    </cfRule>
    <cfRule type="expression" dxfId="14378" priority="19261">
      <formula>$H374="CÉLULA CONSTRUTIVA"</formula>
    </cfRule>
    <cfRule type="expression" dxfId="14377" priority="19260">
      <formula>$H374="SUBETAPA"</formula>
    </cfRule>
  </conditionalFormatting>
  <conditionalFormatting sqref="J384">
    <cfRule type="expression" dxfId="14376" priority="6647">
      <formula>$H384="SUBETAPA"</formula>
    </cfRule>
    <cfRule type="expression" dxfId="14375" priority="6648">
      <formula>$H384="CÉLULA CONSTRUTIVA"</formula>
    </cfRule>
    <cfRule type="expression" dxfId="14374" priority="6649">
      <formula>$H384="ETAPA"</formula>
    </cfRule>
  </conditionalFormatting>
  <conditionalFormatting sqref="J387">
    <cfRule type="expression" dxfId="14373" priority="6615">
      <formula>$H387="CÉLULA CONSTRUTIVA"</formula>
    </cfRule>
    <cfRule type="expression" dxfId="14372" priority="6616">
      <formula>$H387="ETAPA"</formula>
    </cfRule>
    <cfRule type="expression" dxfId="14371" priority="6614">
      <formula>$H387="SUBETAPA"</formula>
    </cfRule>
  </conditionalFormatting>
  <conditionalFormatting sqref="J390">
    <cfRule type="expression" dxfId="14370" priority="6586">
      <formula>$H390="ETAPA"</formula>
    </cfRule>
    <cfRule type="expression" dxfId="14369" priority="6585">
      <formula>$H390="CÉLULA CONSTRUTIVA"</formula>
    </cfRule>
    <cfRule type="expression" dxfId="14368" priority="6584">
      <formula>$H390="SUBETAPA"</formula>
    </cfRule>
  </conditionalFormatting>
  <conditionalFormatting sqref="J405">
    <cfRule type="expression" dxfId="14367" priority="18766">
      <formula>$H405="SUBETAPA"</formula>
    </cfRule>
    <cfRule type="expression" dxfId="14366" priority="18768">
      <formula>$H405="ETAPA"</formula>
    </cfRule>
    <cfRule type="expression" dxfId="14365" priority="18767">
      <formula>$H405="CÉLULA CONSTRUTIVA"</formula>
    </cfRule>
  </conditionalFormatting>
  <conditionalFormatting sqref="J409">
    <cfRule type="expression" dxfId="14364" priority="18791">
      <formula>$H409="SUBETAPA"</formula>
    </cfRule>
    <cfRule type="expression" dxfId="14363" priority="18793">
      <formula>$H409="ETAPA"</formula>
    </cfRule>
    <cfRule type="expression" dxfId="14362" priority="18792">
      <formula>$H409="CÉLULA CONSTRUTIVA"</formula>
    </cfRule>
  </conditionalFormatting>
  <conditionalFormatting sqref="J414">
    <cfRule type="expression" dxfId="14361" priority="18756">
      <formula>$H414="SUBETAPA"</formula>
    </cfRule>
    <cfRule type="expression" dxfId="14360" priority="18758">
      <formula>$H414="ETAPA"</formula>
    </cfRule>
    <cfRule type="expression" dxfId="14359" priority="18757">
      <formula>$H414="CÉLULA CONSTRUTIVA"</formula>
    </cfRule>
  </conditionalFormatting>
  <conditionalFormatting sqref="J417">
    <cfRule type="expression" dxfId="14358" priority="18790">
      <formula>$H417="ETAPA"</formula>
    </cfRule>
    <cfRule type="expression" dxfId="14357" priority="18788">
      <formula>$H417="SUBETAPA"</formula>
    </cfRule>
    <cfRule type="expression" dxfId="14356" priority="18789">
      <formula>$H417="CÉLULA CONSTRUTIVA"</formula>
    </cfRule>
  </conditionalFormatting>
  <conditionalFormatting sqref="J421">
    <cfRule type="expression" dxfId="14355" priority="18609">
      <formula>$H421="ETAPA"</formula>
    </cfRule>
    <cfRule type="expression" dxfId="14354" priority="18608">
      <formula>$H421="CÉLULA CONSTRUTIVA"</formula>
    </cfRule>
    <cfRule type="expression" dxfId="14353" priority="18607">
      <formula>$H421="SUBETAPA"</formula>
    </cfRule>
  </conditionalFormatting>
  <conditionalFormatting sqref="J425">
    <cfRule type="expression" dxfId="14352" priority="18632">
      <formula>$H425="SUBETAPA"</formula>
    </cfRule>
    <cfRule type="expression" dxfId="14351" priority="18634">
      <formula>$H425="ETAPA"</formula>
    </cfRule>
    <cfRule type="expression" dxfId="14350" priority="18633">
      <formula>$H425="CÉLULA CONSTRUTIVA"</formula>
    </cfRule>
  </conditionalFormatting>
  <conditionalFormatting sqref="J428">
    <cfRule type="expression" dxfId="14349" priority="18599">
      <formula>$H428="ETAPA"</formula>
    </cfRule>
    <cfRule type="expression" dxfId="14348" priority="18598">
      <formula>$H428="CÉLULA CONSTRUTIVA"</formula>
    </cfRule>
    <cfRule type="expression" dxfId="14347" priority="18597">
      <formula>$H428="SUBETAPA"</formula>
    </cfRule>
  </conditionalFormatting>
  <conditionalFormatting sqref="J430">
    <cfRule type="expression" dxfId="14346" priority="18631">
      <formula>$H430="ETAPA"</formula>
    </cfRule>
    <cfRule type="expression" dxfId="14345" priority="18629">
      <formula>$H430="SUBETAPA"</formula>
    </cfRule>
    <cfRule type="expression" dxfId="14344" priority="18630">
      <formula>$H430="CÉLULA CONSTRUTIVA"</formula>
    </cfRule>
  </conditionalFormatting>
  <conditionalFormatting sqref="J617">
    <cfRule type="expression" dxfId="14343" priority="15860">
      <formula>$H617="CÉLULA CONSTRUTIVA"</formula>
    </cfRule>
    <cfRule type="expression" dxfId="14342" priority="15861">
      <formula>$H617="ETAPA"</formula>
    </cfRule>
    <cfRule type="expression" dxfId="14341" priority="15859">
      <formula>$H617="SUBETAPA"</formula>
    </cfRule>
  </conditionalFormatting>
  <conditionalFormatting sqref="J619">
    <cfRule type="expression" dxfId="14340" priority="15840">
      <formula>$H619="CÉLULA CONSTRUTIVA"</formula>
    </cfRule>
    <cfRule type="expression" dxfId="14339" priority="15841">
      <formula>$H619="ETAPA"</formula>
    </cfRule>
    <cfRule type="expression" dxfId="14338" priority="15839">
      <formula>$H619="SUBETAPA"</formula>
    </cfRule>
  </conditionalFormatting>
  <conditionalFormatting sqref="J631">
    <cfRule type="expression" dxfId="14337" priority="15700">
      <formula>$H631="ETAPA"</formula>
    </cfRule>
    <cfRule type="expression" dxfId="14336" priority="15699">
      <formula>$H631="CÉLULA CONSTRUTIVA"</formula>
    </cfRule>
    <cfRule type="expression" dxfId="14335" priority="15698">
      <formula>$H631="SUBETAPA"</formula>
    </cfRule>
  </conditionalFormatting>
  <conditionalFormatting sqref="J633">
    <cfRule type="expression" dxfId="14334" priority="15680">
      <formula>$H633="ETAPA"</formula>
    </cfRule>
    <cfRule type="expression" dxfId="14333" priority="15679">
      <formula>$H633="CÉLULA CONSTRUTIVA"</formula>
    </cfRule>
    <cfRule type="expression" dxfId="14332" priority="15678">
      <formula>$H633="SUBETAPA"</formula>
    </cfRule>
  </conditionalFormatting>
  <conditionalFormatting sqref="J645">
    <cfRule type="expression" dxfId="14331" priority="15372">
      <formula>$H645="SUBETAPA"</formula>
    </cfRule>
    <cfRule type="expression" dxfId="14330" priority="15373">
      <formula>$H645="CÉLULA CONSTRUTIVA"</formula>
    </cfRule>
    <cfRule type="expression" dxfId="14329" priority="15374">
      <formula>$H645="ETAPA"</formula>
    </cfRule>
  </conditionalFormatting>
  <conditionalFormatting sqref="J647">
    <cfRule type="expression" dxfId="14328" priority="15352">
      <formula>$H647="SUBETAPA"</formula>
    </cfRule>
    <cfRule type="expression" dxfId="14327" priority="15354">
      <formula>$H647="ETAPA"</formula>
    </cfRule>
    <cfRule type="expression" dxfId="14326" priority="15353">
      <formula>$H647="CÉLULA CONSTRUTIVA"</formula>
    </cfRule>
  </conditionalFormatting>
  <conditionalFormatting sqref="J659">
    <cfRule type="expression" dxfId="14325" priority="15210">
      <formula>$H659="ETAPA"</formula>
    </cfRule>
    <cfRule type="expression" dxfId="14324" priority="15208">
      <formula>$H659="SUBETAPA"</formula>
    </cfRule>
    <cfRule type="expression" dxfId="14323" priority="15209">
      <formula>$H659="CÉLULA CONSTRUTIVA"</formula>
    </cfRule>
  </conditionalFormatting>
  <conditionalFormatting sqref="J661">
    <cfRule type="expression" dxfId="14322" priority="15190">
      <formula>$H661="ETAPA"</formula>
    </cfRule>
    <cfRule type="expression" dxfId="14321" priority="15188">
      <formula>$H661="SUBETAPA"</formula>
    </cfRule>
    <cfRule type="expression" dxfId="14320" priority="15189">
      <formula>$H661="CÉLULA CONSTRUTIVA"</formula>
    </cfRule>
  </conditionalFormatting>
  <conditionalFormatting sqref="J673">
    <cfRule type="expression" dxfId="14319" priority="15044">
      <formula>$H673="SUBETAPA"</formula>
    </cfRule>
    <cfRule type="expression" dxfId="14318" priority="15045">
      <formula>$H673="CÉLULA CONSTRUTIVA"</formula>
    </cfRule>
    <cfRule type="expression" dxfId="14317" priority="15046">
      <formula>$H673="ETAPA"</formula>
    </cfRule>
  </conditionalFormatting>
  <conditionalFormatting sqref="J675">
    <cfRule type="expression" dxfId="14316" priority="15026">
      <formula>$H675="ETAPA"</formula>
    </cfRule>
    <cfRule type="expression" dxfId="14315" priority="15025">
      <formula>$H675="CÉLULA CONSTRUTIVA"</formula>
    </cfRule>
    <cfRule type="expression" dxfId="14314" priority="15024">
      <formula>$H675="SUBETAPA"</formula>
    </cfRule>
  </conditionalFormatting>
  <conditionalFormatting sqref="J687">
    <cfRule type="expression" dxfId="14313" priority="14364">
      <formula>$H687="SUBETAPA"</formula>
    </cfRule>
    <cfRule type="expression" dxfId="14312" priority="14366">
      <formula>$H687="ETAPA"</formula>
    </cfRule>
    <cfRule type="expression" dxfId="14311" priority="14365">
      <formula>$H687="CÉLULA CONSTRUTIVA"</formula>
    </cfRule>
  </conditionalFormatting>
  <conditionalFormatting sqref="J689">
    <cfRule type="expression" dxfId="14310" priority="14346">
      <formula>$H689="ETAPA"</formula>
    </cfRule>
    <cfRule type="expression" dxfId="14309" priority="14345">
      <formula>$H689="CÉLULA CONSTRUTIVA"</formula>
    </cfRule>
    <cfRule type="expression" dxfId="14308" priority="14344">
      <formula>$H689="SUBETAPA"</formula>
    </cfRule>
  </conditionalFormatting>
  <conditionalFormatting sqref="J701">
    <cfRule type="expression" dxfId="14307" priority="14882">
      <formula>$H701="ETAPA"</formula>
    </cfRule>
    <cfRule type="expression" dxfId="14306" priority="14880">
      <formula>$H701="SUBETAPA"</formula>
    </cfRule>
    <cfRule type="expression" dxfId="14305" priority="14881">
      <formula>$H701="CÉLULA CONSTRUTIVA"</formula>
    </cfRule>
  </conditionalFormatting>
  <conditionalFormatting sqref="J703">
    <cfRule type="expression" dxfId="14304" priority="4951">
      <formula>$H703="SUBETAPA"</formula>
    </cfRule>
    <cfRule type="expression" dxfId="14303" priority="4952">
      <formula>$H703="CÉLULA CONSTRUTIVA"</formula>
    </cfRule>
    <cfRule type="expression" dxfId="14302" priority="4953">
      <formula>$H703="ETAPA"</formula>
    </cfRule>
  </conditionalFormatting>
  <conditionalFormatting sqref="J766">
    <cfRule type="expression" dxfId="14301" priority="12685">
      <formula>$H766="CÉLULA CONSTRUTIVA"</formula>
    </cfRule>
    <cfRule type="expression" dxfId="14300" priority="12686">
      <formula>$H766="ETAPA"</formula>
    </cfRule>
    <cfRule type="expression" dxfId="14299" priority="12687">
      <formula>$H766="SUBETAPA"</formula>
    </cfRule>
  </conditionalFormatting>
  <conditionalFormatting sqref="J779">
    <cfRule type="expression" dxfId="14298" priority="12683">
      <formula>$H779="ETAPA"</formula>
    </cfRule>
    <cfRule type="expression" dxfId="14297" priority="12682">
      <formula>$H779="CÉLULA CONSTRUTIVA"</formula>
    </cfRule>
    <cfRule type="expression" dxfId="14296" priority="12684">
      <formula>$H779="SUBETAPA"</formula>
    </cfRule>
  </conditionalFormatting>
  <conditionalFormatting sqref="J792">
    <cfRule type="expression" dxfId="14295" priority="12681">
      <formula>$H792="SUBETAPA"</formula>
    </cfRule>
    <cfRule type="expression" dxfId="14294" priority="12679">
      <formula>$H792="CÉLULA CONSTRUTIVA"</formula>
    </cfRule>
    <cfRule type="expression" dxfId="14293" priority="12680">
      <formula>$H792="ETAPA"</formula>
    </cfRule>
  </conditionalFormatting>
  <conditionalFormatting sqref="J808">
    <cfRule type="expression" dxfId="14292" priority="12676">
      <formula>$H808="CÉLULA CONSTRUTIVA"</formula>
    </cfRule>
    <cfRule type="expression" dxfId="14291" priority="12677">
      <formula>$H808="ETAPA"</formula>
    </cfRule>
    <cfRule type="expression" dxfId="14290" priority="12678">
      <formula>$H808="SUBETAPA"</formula>
    </cfRule>
  </conditionalFormatting>
  <conditionalFormatting sqref="J814:J815">
    <cfRule type="expression" dxfId="14289" priority="771">
      <formula>$H814="SUBETAPA"</formula>
    </cfRule>
    <cfRule type="expression" dxfId="14288" priority="772">
      <formula>$H814="CÉLULA CONSTRUTIVA"</formula>
    </cfRule>
    <cfRule type="expression" dxfId="14287" priority="773">
      <formula>$H814="ETAPA"</formula>
    </cfRule>
  </conditionalFormatting>
  <conditionalFormatting sqref="J825">
    <cfRule type="expression" dxfId="14286" priority="12675">
      <formula>$H825="SUBETAPA"</formula>
    </cfRule>
    <cfRule type="expression" dxfId="14285" priority="12673">
      <formula>$H825="CÉLULA CONSTRUTIVA"</formula>
    </cfRule>
    <cfRule type="expression" dxfId="14284" priority="12674">
      <formula>$H825="ETAPA"</formula>
    </cfRule>
  </conditionalFormatting>
  <conditionalFormatting sqref="J831">
    <cfRule type="expression" dxfId="14283" priority="775">
      <formula>$H831="CÉLULA CONSTRUTIVA"</formula>
    </cfRule>
    <cfRule type="expression" dxfId="14282" priority="776">
      <formula>$H831="ETAPA"</formula>
    </cfRule>
    <cfRule type="expression" dxfId="14281" priority="774">
      <formula>$H831="SUBETAPA"</formula>
    </cfRule>
  </conditionalFormatting>
  <conditionalFormatting sqref="J832">
    <cfRule type="expression" dxfId="14280" priority="40">
      <formula>$H832="CÉLULA CONSTRUTIVA"</formula>
    </cfRule>
    <cfRule type="expression" dxfId="14279" priority="39">
      <formula>$H832="SUBETAPA"</formula>
    </cfRule>
    <cfRule type="expression" dxfId="14278" priority="41">
      <formula>$H832="ETAPA"</formula>
    </cfRule>
  </conditionalFormatting>
  <conditionalFormatting sqref="J848">
    <cfRule type="expression" dxfId="14277" priority="4">
      <formula>$H848="SUBETAPA"</formula>
    </cfRule>
    <cfRule type="expression" dxfId="14276" priority="5">
      <formula>$H848="CÉLULA CONSTRUTIVA"</formula>
    </cfRule>
    <cfRule type="expression" dxfId="14275" priority="6">
      <formula>$H848="ETAPA"</formula>
    </cfRule>
  </conditionalFormatting>
  <conditionalFormatting sqref="J956">
    <cfRule type="expression" dxfId="14274" priority="10617">
      <formula>$H956="CÉLULA CONSTRUTIVA"</formula>
    </cfRule>
    <cfRule type="expression" dxfId="14273" priority="10618">
      <formula>$H956="SUBETAPA"</formula>
    </cfRule>
    <cfRule type="expression" dxfId="14272" priority="10619">
      <formula>$H956="CÉLULA CONSTRUTIVA"</formula>
    </cfRule>
    <cfRule type="expression" dxfId="14271" priority="10616">
      <formula>$H956="SUBETAPA"</formula>
    </cfRule>
  </conditionalFormatting>
  <conditionalFormatting sqref="J973">
    <cfRule type="expression" dxfId="14270" priority="6330">
      <formula>$H973="CÉLULA CONSTRUTIVA"</formula>
    </cfRule>
    <cfRule type="expression" dxfId="14269" priority="6329">
      <formula>$H973="SUBETAPA"</formula>
    </cfRule>
    <cfRule type="expression" dxfId="14268" priority="6331">
      <formula>$H973="SUBETAPA"</formula>
    </cfRule>
    <cfRule type="expression" dxfId="14267" priority="6332">
      <formula>$H973="CÉLULA CONSTRUTIVA"</formula>
    </cfRule>
  </conditionalFormatting>
  <conditionalFormatting sqref="J991">
    <cfRule type="expression" dxfId="14266" priority="10613">
      <formula>$H991="SUBETAPA"</formula>
    </cfRule>
    <cfRule type="expression" dxfId="14265" priority="10615">
      <formula>$H991="ETAPA"</formula>
    </cfRule>
    <cfRule type="expression" dxfId="14264" priority="10614">
      <formula>$H991="CÉLULA CONSTRUTIVA"</formula>
    </cfRule>
  </conditionalFormatting>
  <conditionalFormatting sqref="J993">
    <cfRule type="expression" dxfId="14263" priority="6289">
      <formula>$H993="SUBETAPA"</formula>
    </cfRule>
    <cfRule type="expression" dxfId="14262" priority="6287">
      <formula>$H993="SUBETAPA"</formula>
    </cfRule>
    <cfRule type="expression" dxfId="14261" priority="6288">
      <formula>$H993="CÉLULA CONSTRUTIVA"</formula>
    </cfRule>
    <cfRule type="expression" dxfId="14260" priority="6290">
      <formula>$H993="CÉLULA CONSTRUTIVA"</formula>
    </cfRule>
  </conditionalFormatting>
  <conditionalFormatting sqref="J1011">
    <cfRule type="expression" dxfId="14259" priority="10361">
      <formula>$H1011="ETAPA"</formula>
    </cfRule>
    <cfRule type="expression" dxfId="14258" priority="10359">
      <formula>$H1011="SUBETAPA"</formula>
    </cfRule>
    <cfRule type="expression" dxfId="14257" priority="10360">
      <formula>$H1011="CÉLULA CONSTRUTIVA"</formula>
    </cfRule>
  </conditionalFormatting>
  <conditionalFormatting sqref="J1013">
    <cfRule type="expression" dxfId="14256" priority="6245">
      <formula>$H1013="SUBETAPA"</formula>
    </cfRule>
    <cfRule type="expression" dxfId="14255" priority="6246">
      <formula>$H1013="CÉLULA CONSTRUTIVA"</formula>
    </cfRule>
    <cfRule type="expression" dxfId="14254" priority="6247">
      <formula>$H1013="SUBETAPA"</formula>
    </cfRule>
    <cfRule type="expression" dxfId="14253" priority="6248">
      <formula>$H1013="CÉLULA CONSTRUTIVA"</formula>
    </cfRule>
  </conditionalFormatting>
  <conditionalFormatting sqref="J1018">
    <cfRule type="expression" dxfId="14252" priority="6032">
      <formula>$H1018="ETAPA"</formula>
    </cfRule>
    <cfRule type="expression" dxfId="14251" priority="6031">
      <formula>$H1018="CÉLULA CONSTRUTIVA"</formula>
    </cfRule>
    <cfRule type="expression" dxfId="14250" priority="6030">
      <formula>$H1018="SUBETAPA"</formula>
    </cfRule>
  </conditionalFormatting>
  <conditionalFormatting sqref="J1024">
    <cfRule type="expression" dxfId="14249" priority="5904">
      <formula>$H1024="ETAPA"</formula>
    </cfRule>
    <cfRule type="expression" dxfId="14248" priority="5903">
      <formula>$H1024="CÉLULA CONSTRUTIVA"</formula>
    </cfRule>
    <cfRule type="expression" dxfId="14247" priority="5902">
      <formula>$H1024="SUBETAPA"</formula>
    </cfRule>
  </conditionalFormatting>
  <conditionalFormatting sqref="J1030">
    <cfRule type="expression" dxfId="14246" priority="10193">
      <formula>$H1030="CÉLULA CONSTRUTIVA"</formula>
    </cfRule>
    <cfRule type="expression" dxfId="14245" priority="10194">
      <formula>$H1030="ETAPA"</formula>
    </cfRule>
    <cfRule type="expression" dxfId="14244" priority="10192">
      <formula>$H1030="SUBETAPA"</formula>
    </cfRule>
  </conditionalFormatting>
  <conditionalFormatting sqref="J1032">
    <cfRule type="expression" dxfId="14243" priority="6206">
      <formula>$H1032="CÉLULA CONSTRUTIVA"</formula>
    </cfRule>
    <cfRule type="expression" dxfId="14242" priority="6203">
      <formula>$H1032="SUBETAPA"</formula>
    </cfRule>
    <cfRule type="expression" dxfId="14241" priority="6205">
      <formula>$H1032="SUBETAPA"</formula>
    </cfRule>
    <cfRule type="expression" dxfId="14240" priority="6204">
      <formula>$H1032="CÉLULA CONSTRUTIVA"</formula>
    </cfRule>
  </conditionalFormatting>
  <conditionalFormatting sqref="J1043">
    <cfRule type="expression" dxfId="14239" priority="5892">
      <formula>$H1043="SUBETAPA"</formula>
    </cfRule>
    <cfRule type="expression" dxfId="14238" priority="5894">
      <formula>$H1043="ETAPA"</formula>
    </cfRule>
    <cfRule type="expression" dxfId="14237" priority="5893">
      <formula>$H1043="CÉLULA CONSTRUTIVA"</formula>
    </cfRule>
  </conditionalFormatting>
  <conditionalFormatting sqref="J1051">
    <cfRule type="expression" dxfId="14236" priority="6164">
      <formula>$H1051="CÉLULA CONSTRUTIVA"</formula>
    </cfRule>
    <cfRule type="expression" dxfId="14235" priority="6163">
      <formula>$H1051="SUBETAPA"</formula>
    </cfRule>
    <cfRule type="expression" dxfId="14234" priority="6162">
      <formula>$H1051="CÉLULA CONSTRUTIVA"</formula>
    </cfRule>
    <cfRule type="expression" dxfId="14233" priority="6161">
      <formula>$H1051="SUBETAPA"</formula>
    </cfRule>
  </conditionalFormatting>
  <conditionalFormatting sqref="J1054">
    <cfRule type="expression" dxfId="14232" priority="5868">
      <formula>$H1054="ETAPA"</formula>
    </cfRule>
    <cfRule type="expression" dxfId="14231" priority="5867">
      <formula>$H1054="CÉLULA CONSTRUTIVA"</formula>
    </cfRule>
    <cfRule type="expression" dxfId="14230" priority="5866">
      <formula>$H1054="SUBETAPA"</formula>
    </cfRule>
  </conditionalFormatting>
  <conditionalFormatting sqref="J1104 J1106 J1108">
    <cfRule type="expression" dxfId="14229" priority="5792">
      <formula>$H1104="SUBETAPA"</formula>
    </cfRule>
    <cfRule type="expression" dxfId="14228" priority="5793">
      <formula>$H1104="CÉLULA CONSTRUTIVA"</formula>
    </cfRule>
  </conditionalFormatting>
  <conditionalFormatting sqref="J1105">
    <cfRule type="expression" dxfId="14227" priority="5794">
      <formula>$H1105="SUBETAPA"</formula>
    </cfRule>
    <cfRule type="expression" dxfId="14226" priority="5795">
      <formula>$H1105="CÉLULA CONSTRUTIVA"</formula>
    </cfRule>
  </conditionalFormatting>
  <conditionalFormatting sqref="J1107">
    <cfRule type="expression" dxfId="14225" priority="5791">
      <formula>$H1107="CÉLULA CONSTRUTIVA"</formula>
    </cfRule>
    <cfRule type="expression" dxfId="14224" priority="5790">
      <formula>$H1107="SUBETAPA"</formula>
    </cfRule>
  </conditionalFormatting>
  <conditionalFormatting sqref="J1111">
    <cfRule type="expression" dxfId="14223" priority="5865">
      <formula>$H1111="ETAPA"</formula>
    </cfRule>
    <cfRule type="expression" dxfId="14222" priority="5863">
      <formula>$H1111="SUBETAPA"</formula>
    </cfRule>
    <cfRule type="expression" dxfId="14221" priority="5864">
      <formula>$H1111="CÉLULA CONSTRUTIVA"</formula>
    </cfRule>
  </conditionalFormatting>
  <conditionalFormatting sqref="J1122:J1123">
    <cfRule type="expression" dxfId="14220" priority="5789">
      <formula>$H1122="CÉLULA CONSTRUTIVA"</formula>
    </cfRule>
    <cfRule type="expression" dxfId="14219" priority="5788">
      <formula>$H1122="SUBETAPA"</formula>
    </cfRule>
  </conditionalFormatting>
  <conditionalFormatting sqref="J1125">
    <cfRule type="expression" dxfId="14218" priority="5786">
      <formula>$H1125="SUBETAPA"</formula>
    </cfRule>
    <cfRule type="expression" dxfId="14217" priority="5787">
      <formula>$H1125="CÉLULA CONSTRUTIVA"</formula>
    </cfRule>
  </conditionalFormatting>
  <conditionalFormatting sqref="J1129">
    <cfRule type="expression" dxfId="14216" priority="5862">
      <formula>$H1129="ETAPA"</formula>
    </cfRule>
    <cfRule type="expression" dxfId="14215" priority="5861">
      <formula>$H1129="CÉLULA CONSTRUTIVA"</formula>
    </cfRule>
    <cfRule type="expression" dxfId="14214" priority="5860">
      <formula>$H1129="SUBETAPA"</formula>
    </cfRule>
  </conditionalFormatting>
  <conditionalFormatting sqref="J1139:J1140">
    <cfRule type="expression" dxfId="14213" priority="5772">
      <formula>$H1139="SUBETAPA"</formula>
    </cfRule>
    <cfRule type="expression" dxfId="14212" priority="5773">
      <formula>$H1139="CÉLULA CONSTRUTIVA"</formula>
    </cfRule>
  </conditionalFormatting>
  <conditionalFormatting sqref="J1141">
    <cfRule type="expression" dxfId="14211" priority="5770">
      <formula>$H1141="SUBETAPA"</formula>
    </cfRule>
    <cfRule type="expression" dxfId="14210" priority="5771">
      <formula>$H1141="CÉLULA CONSTRUTIVA"</formula>
    </cfRule>
  </conditionalFormatting>
  <conditionalFormatting sqref="J1145">
    <cfRule type="expression" dxfId="14209" priority="5858">
      <formula>$H1145="CÉLULA CONSTRUTIVA"</formula>
    </cfRule>
    <cfRule type="expression" dxfId="14208" priority="5859">
      <formula>$H1145="ETAPA"</formula>
    </cfRule>
    <cfRule type="expression" dxfId="14207" priority="5857">
      <formula>$H1145="SUBETAPA"</formula>
    </cfRule>
  </conditionalFormatting>
  <conditionalFormatting sqref="J1154">
    <cfRule type="expression" dxfId="14206" priority="5768">
      <formula>$H1154="SUBETAPA"</formula>
    </cfRule>
    <cfRule type="expression" dxfId="14205" priority="5769">
      <formula>$H1154="CÉLULA CONSTRUTIVA"</formula>
    </cfRule>
  </conditionalFormatting>
  <conditionalFormatting sqref="J1155:J1156">
    <cfRule type="expression" dxfId="14204" priority="5763">
      <formula>$H1155="CÉLULA CONSTRUTIVA"</formula>
    </cfRule>
    <cfRule type="expression" dxfId="14203" priority="5762">
      <formula>$H1155="SUBETAPA"</formula>
    </cfRule>
    <cfRule type="expression" dxfId="14202" priority="5766">
      <formula>$H1155="SUBETAPA"</formula>
    </cfRule>
    <cfRule type="expression" dxfId="14201" priority="5767">
      <formula>$H1155="CÉLULA CONSTRUTIVA"</formula>
    </cfRule>
  </conditionalFormatting>
  <conditionalFormatting sqref="J1157">
    <cfRule type="expression" dxfId="14200" priority="5760">
      <formula>$H1157="SUBETAPA"</formula>
    </cfRule>
    <cfRule type="expression" dxfId="14199" priority="5764">
      <formula>$H1157="SUBETAPA"</formula>
    </cfRule>
    <cfRule type="expression" dxfId="14198" priority="5761">
      <formula>$H1157="CÉLULA CONSTRUTIVA"</formula>
    </cfRule>
    <cfRule type="expression" dxfId="14197" priority="5765">
      <formula>$H1157="CÉLULA CONSTRUTIVA"</formula>
    </cfRule>
  </conditionalFormatting>
  <conditionalFormatting sqref="J1169:J1170">
    <cfRule type="expression" dxfId="14196" priority="5742">
      <formula>$H1169="SUBETAPA"</formula>
    </cfRule>
    <cfRule type="expression" dxfId="14195" priority="5743">
      <formula>$H1169="CÉLULA CONSTRUTIVA"</formula>
    </cfRule>
  </conditionalFormatting>
  <conditionalFormatting sqref="J1172">
    <cfRule type="expression" dxfId="14194" priority="5741">
      <formula>$H1172="CÉLULA CONSTRUTIVA"</formula>
    </cfRule>
    <cfRule type="expression" dxfId="14193" priority="5740">
      <formula>$H1172="SUBETAPA"</formula>
    </cfRule>
  </conditionalFormatting>
  <conditionalFormatting sqref="J1180">
    <cfRule type="expression" dxfId="14192" priority="5829">
      <formula>$H1180="ETAPA"</formula>
    </cfRule>
    <cfRule type="expression" dxfId="14191" priority="5828">
      <formula>$H1180="CÉLULA CONSTRUTIVA"</formula>
    </cfRule>
    <cfRule type="expression" dxfId="14190" priority="5827">
      <formula>$H1180="SUBETAPA"</formula>
    </cfRule>
  </conditionalFormatting>
  <conditionalFormatting sqref="J1309">
    <cfRule type="expression" dxfId="14189" priority="13746">
      <formula>$H1309="CÉLULA CONSTRUTIVA"</formula>
    </cfRule>
    <cfRule type="expression" dxfId="14188" priority="13747">
      <formula>$H1309="ETAPA"</formula>
    </cfRule>
    <cfRule type="expression" dxfId="14187" priority="13745">
      <formula>$H1309="SUBETAPA"</formula>
    </cfRule>
  </conditionalFormatting>
  <conditionalFormatting sqref="J205:K205">
    <cfRule type="expression" dxfId="14186" priority="19804">
      <formula>$H205="ETAPA"</formula>
    </cfRule>
  </conditionalFormatting>
  <conditionalFormatting sqref="J339:K339">
    <cfRule type="expression" dxfId="14185" priority="6788">
      <formula>$H339="ETAPA"</formula>
    </cfRule>
    <cfRule type="expression" dxfId="14184" priority="6786">
      <formula>$H339="SUBETAPA"</formula>
    </cfRule>
    <cfRule type="expression" dxfId="14183" priority="6787">
      <formula>$H339="CÉLULA CONSTRUTIVA"</formula>
    </cfRule>
  </conditionalFormatting>
  <conditionalFormatting sqref="J349:K349 M349 O349:P349 M351">
    <cfRule type="expression" dxfId="14182" priority="7084">
      <formula>$H349="CÉLULA CONSTRUTIVA"</formula>
    </cfRule>
    <cfRule type="expression" dxfId="14181" priority="7083">
      <formula>$H349="SUBETAPA"</formula>
    </cfRule>
  </conditionalFormatting>
  <conditionalFormatting sqref="J349:K349 M349 O349:P349">
    <cfRule type="expression" dxfId="14180" priority="7085">
      <formula>$H349="ETAPA"</formula>
    </cfRule>
  </conditionalFormatting>
  <conditionalFormatting sqref="J366:K367 N369:O369">
    <cfRule type="expression" dxfId="14179" priority="19384">
      <formula>$H366="ETAPA"</formula>
    </cfRule>
  </conditionalFormatting>
  <conditionalFormatting sqref="J368:K368 M368 O368:P368 M370">
    <cfRule type="expression" dxfId="14178" priority="19357">
      <formula>$H368="SUBETAPA"</formula>
    </cfRule>
    <cfRule type="expression" dxfId="14177" priority="19358">
      <formula>$H368="CÉLULA CONSTRUTIVA"</formula>
    </cfRule>
  </conditionalFormatting>
  <conditionalFormatting sqref="J368:K368 M368 O368:P368">
    <cfRule type="expression" dxfId="14176" priority="19359">
      <formula>$H368="ETAPA"</formula>
    </cfRule>
  </conditionalFormatting>
  <conditionalFormatting sqref="J379:K380 J375:L376 M386:O386 P380:P382 J394:K395 M393:O393 J391:L393 M399:O401 P395:P400 J377:O378 P385:P386 P388 M388:O389">
    <cfRule type="expression" dxfId="14175" priority="19220">
      <formula>$H375="SUBETAPA"</formula>
    </cfRule>
  </conditionalFormatting>
  <conditionalFormatting sqref="J379:K380 M381">
    <cfRule type="expression" dxfId="14174" priority="19167">
      <formula>$H379="ETAPA"</formula>
    </cfRule>
  </conditionalFormatting>
  <conditionalFormatting sqref="J382:K382 J381:L381 J385:L386 J397:K397 J396:L396 J398:L401 J388:L389">
    <cfRule type="expression" dxfId="14173" priority="19223">
      <formula>$H381="SUBETAPA"</formula>
    </cfRule>
  </conditionalFormatting>
  <conditionalFormatting sqref="J383:K383 M383 O383:P383">
    <cfRule type="expression" dxfId="14172" priority="6675">
      <formula>$H383="ETAPA"</formula>
    </cfRule>
    <cfRule type="expression" dxfId="14171" priority="6673">
      <formula>$H383="SUBETAPA"</formula>
    </cfRule>
    <cfRule type="expression" dxfId="14170" priority="6674">
      <formula>$H383="CÉLULA CONSTRUTIVA"</formula>
    </cfRule>
  </conditionalFormatting>
  <conditionalFormatting sqref="J394:K395 M396">
    <cfRule type="expression" dxfId="14169" priority="19049">
      <formula>$H394="ETAPA"</formula>
    </cfRule>
  </conditionalFormatting>
  <conditionalFormatting sqref="J411:K411 J410:L410">
    <cfRule type="expression" dxfId="14168" priority="18959">
      <formula>$H410="SUBETAPA"</formula>
    </cfRule>
  </conditionalFormatting>
  <conditionalFormatting sqref="J422:K424 K425">
    <cfRule type="expression" dxfId="14167" priority="18715">
      <formula>$H422="ETAPA"</formula>
    </cfRule>
  </conditionalFormatting>
  <conditionalFormatting sqref="J983:K983 G1185:K1185 G278:I278 K278 M343:P343 G343:I343 G885:L885 G892:L892 G899:L899 G906:L906 G938:L938 G942:L942 G944:O944 G1078:L1078 N1078:O1078 G1095:L1095 N1095:O1095 G1159:M1159 O1159:P1159 G1174:M1174 O1174:P1174 G1080:O1080 G1097:L1098 M1067 M1102 G1069:L1069 G1072:L1072 G1074:L1074 G1088:L1088 J1121 J1124 G1126:L1126 J1138 G1142:L1142 J1154 G1158:L1158 J1171 G1173:L1173 N942:O942 G1081:L1081 N1081:O1081 N1097:O1098 M1097 M1119 M1136 M1152 M1167 G928:O931">
    <cfRule type="expression" dxfId="14166" priority="24520">
      <formula>$H278="CÉLULA CONSTRUTIVA"</formula>
    </cfRule>
    <cfRule type="expression" dxfId="14165" priority="24519">
      <formula>$H278="SUBETAPA"</formula>
    </cfRule>
  </conditionalFormatting>
  <conditionalFormatting sqref="J984:K984">
    <cfRule type="expression" dxfId="14164" priority="5911">
      <formula>$H984="SUBETAPA"</formula>
    </cfRule>
    <cfRule type="expression" dxfId="14163" priority="5912">
      <formula>$H984="CÉLULA CONSTRUTIVA"</formula>
    </cfRule>
  </conditionalFormatting>
  <conditionalFormatting sqref="J1004:K1004">
    <cfRule type="expression" dxfId="14162" priority="5905">
      <formula>$H1004="SUBETAPA"</formula>
    </cfRule>
    <cfRule type="expression" dxfId="14161" priority="5906">
      <formula>$H1004="CÉLULA CONSTRUTIVA"</formula>
    </cfRule>
  </conditionalFormatting>
  <conditionalFormatting sqref="J80:L80">
    <cfRule type="expression" dxfId="14160" priority="20322">
      <formula>$H80="CÉLULA CONSTRUTIVA"</formula>
    </cfRule>
    <cfRule type="expression" dxfId="14159" priority="20321">
      <formula>$H80="SUBETAPA"</formula>
    </cfRule>
    <cfRule type="expression" dxfId="14158" priority="20323">
      <formula>$H80="ETAPA"</formula>
    </cfRule>
  </conditionalFormatting>
  <conditionalFormatting sqref="J205:L205">
    <cfRule type="expression" dxfId="14157" priority="19803">
      <formula>$H205="CÉLULA CONSTRUTIVA"</formula>
    </cfRule>
    <cfRule type="expression" dxfId="14156" priority="19802">
      <formula>$H205="SUBETAPA"</formula>
    </cfRule>
  </conditionalFormatting>
  <conditionalFormatting sqref="J207:L207">
    <cfRule type="expression" dxfId="14155" priority="19798">
      <formula>$H207="SUBETAPA"</formula>
    </cfRule>
    <cfRule type="expression" dxfId="14154" priority="19799">
      <formula>$H207="CÉLULA CONSTRUTIVA"</formula>
    </cfRule>
  </conditionalFormatting>
  <conditionalFormatting sqref="J331:L331">
    <cfRule type="expression" dxfId="14153" priority="19727">
      <formula>$H331="CÉLULA CONSTRUTIVA"</formula>
    </cfRule>
    <cfRule type="expression" dxfId="14152" priority="19728">
      <formula>$H331="ETAPA"</formula>
    </cfRule>
  </conditionalFormatting>
  <conditionalFormatting sqref="J345:L345">
    <cfRule type="expression" dxfId="14151" priority="6717">
      <formula>$H345="ETAPA"</formula>
    </cfRule>
    <cfRule type="expression" dxfId="14150" priority="6716">
      <formula>$H345="CÉLULA CONSTRUTIVA"</formula>
    </cfRule>
    <cfRule type="expression" dxfId="14149" priority="6715">
      <formula>$H345="SUBETAPA"</formula>
    </cfRule>
  </conditionalFormatting>
  <conditionalFormatting sqref="J347:L347">
    <cfRule type="expression" dxfId="14148" priority="7080">
      <formula>$H347="CÉLULA CONSTRUTIVA"</formula>
    </cfRule>
    <cfRule type="expression" dxfId="14147" priority="7081">
      <formula>$H347="ETAPA"</formula>
    </cfRule>
  </conditionalFormatting>
  <conditionalFormatting sqref="J355:L355">
    <cfRule type="expression" dxfId="14146" priority="6891">
      <formula>$H355="CÉLULA CONSTRUTIVA"</formula>
    </cfRule>
    <cfRule type="expression" dxfId="14145" priority="6892">
      <formula>$H355="ETAPA"</formula>
    </cfRule>
  </conditionalFormatting>
  <conditionalFormatting sqref="J356:L356 N356:P356">
    <cfRule type="expression" dxfId="14144" priority="6945">
      <formula>$H356="ETAPA"</formula>
    </cfRule>
    <cfRule type="expression" dxfId="14143" priority="6944">
      <formula>$H356="CÉLULA CONSTRUTIVA"</formula>
    </cfRule>
  </conditionalFormatting>
  <conditionalFormatting sqref="J359:L361">
    <cfRule type="expression" dxfId="14142" priority="6921">
      <formula>$H359="SUBETAPA"</formula>
    </cfRule>
    <cfRule type="expression" dxfId="14141" priority="6922">
      <formula>$H359="CÉLULA CONSTRUTIVA"</formula>
    </cfRule>
    <cfRule type="expression" dxfId="14140" priority="6923">
      <formula>$H359="ETAPA"</formula>
    </cfRule>
  </conditionalFormatting>
  <conditionalFormatting sqref="J362:L364 M364:O364 M371:O371 J366:K367 K365:O365 P373 M372:P372">
    <cfRule type="expression" dxfId="14139" priority="19385">
      <formula>$H362="SUBETAPA"</formula>
    </cfRule>
  </conditionalFormatting>
  <conditionalFormatting sqref="J370:L371 K374:L374 K372:L372">
    <cfRule type="expression" dxfId="14138" priority="19269">
      <formula>$H370="SUBETAPA"</formula>
    </cfRule>
    <cfRule type="expression" dxfId="14137" priority="19270">
      <formula>$H370="CÉLULA CONSTRUTIVA"</formula>
    </cfRule>
    <cfRule type="expression" dxfId="14136" priority="19271">
      <formula>$H370="ETAPA"</formula>
    </cfRule>
  </conditionalFormatting>
  <conditionalFormatting sqref="J381:L381 J382:K382 J385:L386 J396:L396 J397:K397 J398:L401 J388:L389">
    <cfRule type="expression" dxfId="14135" priority="19224">
      <formula>$H381="CÉLULA CONSTRUTIVA"</formula>
    </cfRule>
    <cfRule type="expression" dxfId="14134" priority="19225">
      <formula>$H381="ETAPA"</formula>
    </cfRule>
  </conditionalFormatting>
  <conditionalFormatting sqref="J402:L404 P409:P413 M413:O413 J406:K408 K405:L405 M415:O417 P415 M414:P414 G402:I417 N404:O405">
    <cfRule type="expression" dxfId="14133" priority="18919">
      <formula>$H402="SUBETAPA"</formula>
    </cfRule>
  </conditionalFormatting>
  <conditionalFormatting sqref="J404:L404 N404:O404">
    <cfRule type="expression" dxfId="14132" priority="18870">
      <formula>$H404="ETAPA"</formula>
    </cfRule>
    <cfRule type="expression" dxfId="14131" priority="18869">
      <formula>$H404="CÉLULA CONSTRUTIVA"</formula>
    </cfRule>
  </conditionalFormatting>
  <conditionalFormatting sqref="J410:L410 J411:K411">
    <cfRule type="expression" dxfId="14130" priority="18961">
      <formula>$H410="ETAPA"</formula>
    </cfRule>
    <cfRule type="expression" dxfId="14129" priority="18960">
      <formula>$H410="CÉLULA CONSTRUTIVA"</formula>
    </cfRule>
  </conditionalFormatting>
  <conditionalFormatting sqref="J418:L420 P425:P427 M427:O427 J422:K424 K421:L421 M428:P430 G418:I430 N420:O421">
    <cfRule type="expression" dxfId="14128" priority="18733">
      <formula>$H418="SUBETAPA"</formula>
    </cfRule>
  </conditionalFormatting>
  <conditionalFormatting sqref="J420:L420 N420:O420">
    <cfRule type="expression" dxfId="14127" priority="18686">
      <formula>$H420="ETAPA"</formula>
    </cfRule>
    <cfRule type="expression" dxfId="14126" priority="18685">
      <formula>$H420="CÉLULA CONSTRUTIVA"</formula>
    </cfRule>
  </conditionalFormatting>
  <conditionalFormatting sqref="J426:L427 K430:L430 J429:L429 K428:L428">
    <cfRule type="expression" dxfId="14125" priority="18638">
      <formula>$H426="SUBETAPA"</formula>
    </cfRule>
    <cfRule type="expression" dxfId="14124" priority="18639">
      <formula>$H426="CÉLULA CONSTRUTIVA"</formula>
    </cfRule>
    <cfRule type="expression" dxfId="14123" priority="18640">
      <formula>$H426="ETAPA"</formula>
    </cfRule>
  </conditionalFormatting>
  <conditionalFormatting sqref="J81:M81">
    <cfRule type="expression" dxfId="14122" priority="20320">
      <formula>$H81="ETAPA"</formula>
    </cfRule>
    <cfRule type="expression" dxfId="14121" priority="20319">
      <formula>$H81="CÉLULA CONSTRUTIVA"</formula>
    </cfRule>
    <cfRule type="expression" dxfId="14120" priority="20318">
      <formula>$H81="SUBETAPA"</formula>
    </cfRule>
  </conditionalFormatting>
  <conditionalFormatting sqref="J334:M334 L336:M336">
    <cfRule type="expression" dxfId="14119" priority="19726">
      <formula>$H334="CÉLULA CONSTRUTIVA"</formula>
    </cfRule>
    <cfRule type="expression" dxfId="14118" priority="19729">
      <formula>$H334="ETAPA"</formula>
    </cfRule>
  </conditionalFormatting>
  <conditionalFormatting sqref="J357:M357">
    <cfRule type="expression" dxfId="14117" priority="6893">
      <formula>$H357="ETAPA"</formula>
    </cfRule>
    <cfRule type="expression" dxfId="14116" priority="6890">
      <formula>$H357="CÉLULA CONSTRUTIVA"</formula>
    </cfRule>
  </conditionalFormatting>
  <conditionalFormatting sqref="J364:O364">
    <cfRule type="expression" dxfId="14115" priority="19353">
      <formula>$H364="ETAPA"</formula>
    </cfRule>
    <cfRule type="expression" dxfId="14114" priority="19352">
      <formula>$H364="CÉLULA CONSTRUTIVA"</formula>
    </cfRule>
  </conditionalFormatting>
  <conditionalFormatting sqref="J377:O377">
    <cfRule type="expression" dxfId="14113" priority="6792">
      <formula>$H377="ETAPA"</formula>
    </cfRule>
    <cfRule type="expression" dxfId="14112" priority="6791">
      <formula>$H377="CÉLULA CONSTRUTIVA"</formula>
    </cfRule>
  </conditionalFormatting>
  <conditionalFormatting sqref="J378:O378">
    <cfRule type="expression" dxfId="14111" priority="19136">
      <formula>$H378="CÉLULA CONSTRUTIVA"</formula>
    </cfRule>
    <cfRule type="expression" dxfId="14110" priority="19137">
      <formula>$H378="ETAPA"</formula>
    </cfRule>
  </conditionalFormatting>
  <conditionalFormatting sqref="J393:O393">
    <cfRule type="expression" dxfId="14109" priority="19019">
      <formula>$H393="ETAPA"</formula>
    </cfRule>
    <cfRule type="expression" dxfId="14108" priority="19018">
      <formula>$H393="CÉLULA CONSTRUTIVA"</formula>
    </cfRule>
  </conditionalFormatting>
  <conditionalFormatting sqref="J332:P332 J333:L333 N333:P333">
    <cfRule type="expression" dxfId="14107" priority="19702">
      <formula>$H332="CÉLULA CONSTRUTIVA"</formula>
    </cfRule>
    <cfRule type="expression" dxfId="14106" priority="19703">
      <formula>$H332="ETAPA"</formula>
    </cfRule>
  </conditionalFormatting>
  <conditionalFormatting sqref="K207">
    <cfRule type="expression" dxfId="14105" priority="19797">
      <formula>$H207="ETAPA"</formula>
    </cfRule>
  </conditionalFormatting>
  <conditionalFormatting sqref="K335">
    <cfRule type="expression" dxfId="14104" priority="19746">
      <formula>$H335="CÉLULA CONSTRUTIVA"</formula>
    </cfRule>
    <cfRule type="expression" dxfId="14103" priority="19759">
      <formula>$H335="ETAPA"</formula>
    </cfRule>
  </conditionalFormatting>
  <conditionalFormatting sqref="K336:K337 M340">
    <cfRule type="expression" dxfId="14102" priority="19730">
      <formula>$H336="SUBETAPA"</formula>
    </cfRule>
    <cfRule type="expression" dxfId="14101" priority="19731">
      <formula>$H336="CÉLULA CONSTRUTIVA"</formula>
    </cfRule>
  </conditionalFormatting>
  <conditionalFormatting sqref="K336:K337">
    <cfRule type="expression" dxfId="14100" priority="19732">
      <formula>$H336="ETAPA"</formula>
    </cfRule>
  </conditionalFormatting>
  <conditionalFormatting sqref="K358">
    <cfRule type="expression" dxfId="14099" priority="6908">
      <formula>$H358="CÉLULA CONSTRUTIVA"</formula>
    </cfRule>
    <cfRule type="expression" dxfId="14098" priority="6917">
      <formula>$H358="ETAPA"</formula>
    </cfRule>
  </conditionalFormatting>
  <conditionalFormatting sqref="K409">
    <cfRule type="expression" dxfId="14097" priority="18894">
      <formula>$H409="CÉLULA CONSTRUTIVA"</formula>
    </cfRule>
  </conditionalFormatting>
  <conditionalFormatting sqref="K425">
    <cfRule type="expression" dxfId="14096" priority="18708">
      <formula>$H425="CÉLULA CONSTRUTIVA"</formula>
    </cfRule>
  </conditionalFormatting>
  <conditionalFormatting sqref="K721">
    <cfRule type="expression" dxfId="14095" priority="4849">
      <formula>$H721="ETAPA"</formula>
    </cfRule>
    <cfRule type="expression" dxfId="14094" priority="4848">
      <formula>$H721="CÉLULA CONSTRUTIVA"</formula>
    </cfRule>
  </conditionalFormatting>
  <conditionalFormatting sqref="K724">
    <cfRule type="expression" dxfId="14093" priority="24950">
      <formula>$H724="ETAPA"</formula>
    </cfRule>
    <cfRule type="expression" dxfId="14092" priority="24949">
      <formula>$H724="CÉLULA CONSTRUTIVA"</formula>
    </cfRule>
  </conditionalFormatting>
  <conditionalFormatting sqref="K725">
    <cfRule type="expression" dxfId="14091" priority="14206">
      <formula>$H725="ETAPA"</formula>
    </cfRule>
    <cfRule type="expression" dxfId="14090" priority="14205">
      <formula>$H725="CÉLULA CONSTRUTIVA"</formula>
    </cfRule>
  </conditionalFormatting>
  <conditionalFormatting sqref="K731">
    <cfRule type="expression" dxfId="14089" priority="14261">
      <formula>$H731="ETAPA"</formula>
    </cfRule>
    <cfRule type="expression" dxfId="14088" priority="14260">
      <formula>$H731="CÉLULA CONSTRUTIVA"</formula>
    </cfRule>
  </conditionalFormatting>
  <conditionalFormatting sqref="K737">
    <cfRule type="expression" dxfId="14087" priority="14159">
      <formula>$H737="CÉLULA CONSTRUTIVA"</formula>
    </cfRule>
    <cfRule type="expression" dxfId="14086" priority="14160">
      <formula>$H737="ETAPA"</formula>
    </cfRule>
  </conditionalFormatting>
  <conditionalFormatting sqref="K743">
    <cfRule type="expression" dxfId="14085" priority="14087">
      <formula>$H743="CÉLULA CONSTRUTIVA"</formula>
    </cfRule>
    <cfRule type="expression" dxfId="14084" priority="14088">
      <formula>$H743="ETAPA"</formula>
    </cfRule>
  </conditionalFormatting>
  <conditionalFormatting sqref="K338:L338">
    <cfRule type="expression" dxfId="14083" priority="6772">
      <formula>$H338="CÉLULA CONSTRUTIVA"</formula>
    </cfRule>
    <cfRule type="expression" dxfId="14082" priority="6771">
      <formula>$H338="SUBETAPA"</formula>
    </cfRule>
    <cfRule type="expression" dxfId="14081" priority="6773">
      <formula>$H338="ETAPA"</formula>
    </cfRule>
  </conditionalFormatting>
  <conditionalFormatting sqref="K350:L350">
    <cfRule type="expression" dxfId="14080" priority="7124">
      <formula>$H350="ETAPA"</formula>
    </cfRule>
    <cfRule type="expression" dxfId="14079" priority="7123">
      <formula>$H350="CÉLULA CONSTRUTIVA"</formula>
    </cfRule>
  </conditionalFormatting>
  <conditionalFormatting sqref="K353:L353">
    <cfRule type="expression" dxfId="14078" priority="6977">
      <formula>$H353="ETAPA"</formula>
    </cfRule>
    <cfRule type="expression" dxfId="14077" priority="6975">
      <formula>$H353="SUBETAPA"</formula>
    </cfRule>
    <cfRule type="expression" dxfId="14076" priority="6976">
      <formula>$H353="CÉLULA CONSTRUTIVA"</formula>
    </cfRule>
  </conditionalFormatting>
  <conditionalFormatting sqref="K384:L384">
    <cfRule type="expression" dxfId="14075" priority="6643">
      <formula>$H384="ETAPA"</formula>
    </cfRule>
    <cfRule type="expression" dxfId="14074" priority="6642">
      <formula>$H384="CÉLULA CONSTRUTIVA"</formula>
    </cfRule>
    <cfRule type="expression" dxfId="14073" priority="6641">
      <formula>$H384="SUBETAPA"</formula>
    </cfRule>
  </conditionalFormatting>
  <conditionalFormatting sqref="K387:L387">
    <cfRule type="expression" dxfId="14072" priority="6618">
      <formula>$H387="CÉLULA CONSTRUTIVA"</formula>
    </cfRule>
    <cfRule type="expression" dxfId="14071" priority="6619">
      <formula>$H387="ETAPA"</formula>
    </cfRule>
    <cfRule type="expression" dxfId="14070" priority="6617">
      <formula>$H387="SUBETAPA"</formula>
    </cfRule>
  </conditionalFormatting>
  <conditionalFormatting sqref="K390:L390">
    <cfRule type="expression" dxfId="14069" priority="6587">
      <formula>$H390="SUBETAPA"</formula>
    </cfRule>
    <cfRule type="expression" dxfId="14068" priority="6588">
      <formula>$H390="CÉLULA CONSTRUTIVA"</formula>
    </cfRule>
    <cfRule type="expression" dxfId="14067" priority="6589">
      <formula>$H390="ETAPA"</formula>
    </cfRule>
  </conditionalFormatting>
  <conditionalFormatting sqref="K405:L405 N405:P405">
    <cfRule type="expression" dxfId="14066" priority="18769">
      <formula>$H405="CÉLULA CONSTRUTIVA"</formula>
    </cfRule>
    <cfRule type="expression" dxfId="14065" priority="18770">
      <formula>$H405="ETAPA"</formula>
    </cfRule>
  </conditionalFormatting>
  <conditionalFormatting sqref="K417:L417 J412:L413 J415:L416 K414:L414">
    <cfRule type="expression" dxfId="14064" priority="18802">
      <formula>$H412="ETAPA"</formula>
    </cfRule>
    <cfRule type="expression" dxfId="14063" priority="18801">
      <formula>$H412="CÉLULA CONSTRUTIVA"</formula>
    </cfRule>
    <cfRule type="expression" dxfId="14062" priority="18800">
      <formula>$H412="SUBETAPA"</formula>
    </cfRule>
  </conditionalFormatting>
  <conditionalFormatting sqref="K421:L421 N421:P421">
    <cfRule type="expression" dxfId="14061" priority="18610">
      <formula>$H421="CÉLULA CONSTRUTIVA"</formula>
    </cfRule>
    <cfRule type="expression" dxfId="14060" priority="18611">
      <formula>$H421="ETAPA"</formula>
    </cfRule>
  </conditionalFormatting>
  <conditionalFormatting sqref="K1345:M1345 G1344:M1344 O1344:P1344 K1347:M1347 G1346:M1346 O1346:P1346 O1345 O1347">
    <cfRule type="expression" dxfId="14059" priority="697">
      <formula>$H1344="SUBETAPA"</formula>
    </cfRule>
  </conditionalFormatting>
  <conditionalFormatting sqref="K1352:M1352 G1351:M1351 O1351:P1351 O1352">
    <cfRule type="expression" dxfId="14058" priority="654">
      <formula>$H1351="SUBETAPA"</formula>
    </cfRule>
  </conditionalFormatting>
  <conditionalFormatting sqref="K365:P365">
    <cfRule type="expression" dxfId="14057" priority="19242">
      <formula>$H365="ETAPA"</formula>
    </cfRule>
    <cfRule type="expression" dxfId="14056" priority="19241">
      <formula>$H365="CÉLULA CONSTRUTIVA"</formula>
    </cfRule>
  </conditionalFormatting>
  <conditionalFormatting sqref="L70">
    <cfRule type="expression" dxfId="14055" priority="21536">
      <formula>$H70="CÉLULA CONSTRUTIVA"</formula>
    </cfRule>
    <cfRule type="expression" dxfId="14054" priority="21535">
      <formula>$H70="SUBETAPA"</formula>
    </cfRule>
    <cfRule type="expression" dxfId="14053" priority="21537">
      <formula>$H70="ETAPA"</formula>
    </cfRule>
  </conditionalFormatting>
  <conditionalFormatting sqref="L82:L88">
    <cfRule type="expression" dxfId="14052" priority="20335">
      <formula>$H82="ETAPA"</formula>
    </cfRule>
    <cfRule type="expression" dxfId="14051" priority="20334">
      <formula>$H82="CÉLULA CONSTRUTIVA"</formula>
    </cfRule>
    <cfRule type="expression" dxfId="14050" priority="20333">
      <formula>$H82="SUBETAPA"</formula>
    </cfRule>
  </conditionalFormatting>
  <conditionalFormatting sqref="L89:L93 O87:O93 L65:L69 M62 O63:O70 L73:O74 L95:L96 L98:L100 M100:O100 L110:L114 O108:O114 L116:L117 L119:L121 M121:O121 L131:L135 O129:O135 L137:L138 L140:L142 M142:O142 L170 L172:L174 M174:O174 L150:L155 O148:O156 M160:O160 L183 L185:L187 M187:O187 L159:L160 L180:L181 O179:O181 L197 L199:L201 M201:O201 O192:O195 L217:L219 M219:O219 L209:L211 M206 O207:O211 L706 P706 G748:L756 M798:N798 L870:P870 G869:K870 M86 M107 M147 M178 M191 L215 L72 N72:O72 N95:O96 M96 N116:O117 N137:O138 M128 N170:O170 N183:O183 L193:L195 N197:O197 N215:O215 M117 M138 L158:O158">
    <cfRule type="expression" dxfId="14049" priority="24810">
      <formula>$H62="CÉLULA CONSTRUTIVA"</formula>
    </cfRule>
    <cfRule type="expression" dxfId="14048" priority="24811">
      <formula>$H62="ETAPA"</formula>
    </cfRule>
  </conditionalFormatting>
  <conditionalFormatting sqref="L103:L109">
    <cfRule type="expression" dxfId="14047" priority="20251">
      <formula>$H103="ETAPA"</formula>
    </cfRule>
    <cfRule type="expression" dxfId="14046" priority="20250">
      <formula>$H103="CÉLULA CONSTRUTIVA"</formula>
    </cfRule>
    <cfRule type="expression" dxfId="14045" priority="20249">
      <formula>$H103="SUBETAPA"</formula>
    </cfRule>
  </conditionalFormatting>
  <conditionalFormatting sqref="L124:L130">
    <cfRule type="expression" dxfId="14044" priority="20150">
      <formula>$H124="ETAPA"</formula>
    </cfRule>
    <cfRule type="expression" dxfId="14043" priority="20149">
      <formula>$H124="CÉLULA CONSTRUTIVA"</formula>
    </cfRule>
    <cfRule type="expression" dxfId="14042" priority="20148">
      <formula>$H124="SUBETAPA"</formula>
    </cfRule>
  </conditionalFormatting>
  <conditionalFormatting sqref="L136 L122:M123">
    <cfRule type="expression" dxfId="14041" priority="20196">
      <formula>$H122="ETAPA"</formula>
    </cfRule>
    <cfRule type="expression" dxfId="14040" priority="20195">
      <formula>$H122="CÉLULA CONSTRUTIVA"</formula>
    </cfRule>
    <cfRule type="expression" dxfId="14039" priority="20194">
      <formula>$H122="SUBETAPA"</formula>
    </cfRule>
  </conditionalFormatting>
  <conditionalFormatting sqref="L139">
    <cfRule type="expression" dxfId="14038" priority="20175">
      <formula>$H139="SUBETAPA"</formula>
    </cfRule>
    <cfRule type="expression" dxfId="14037" priority="20176">
      <formula>$H139="CÉLULA CONSTRUTIVA"</formula>
    </cfRule>
    <cfRule type="expression" dxfId="14036" priority="20177">
      <formula>$H139="ETAPA"</formula>
    </cfRule>
  </conditionalFormatting>
  <conditionalFormatting sqref="L156">
    <cfRule type="expression" dxfId="14035" priority="20078">
      <formula>$H156="CÉLULA CONSTRUTIVA"</formula>
    </cfRule>
    <cfRule type="expression" dxfId="14034" priority="20077">
      <formula>$H156="SUBETAPA"</formula>
    </cfRule>
    <cfRule type="expression" dxfId="14033" priority="20079">
      <formula>$H156="ETAPA"</formula>
    </cfRule>
  </conditionalFormatting>
  <conditionalFormatting sqref="L182">
    <cfRule type="expression" dxfId="14032" priority="20010">
      <formula>$H182="ETAPA"</formula>
    </cfRule>
    <cfRule type="expression" dxfId="14031" priority="20009">
      <formula>$H182="CÉLULA CONSTRUTIVA"</formula>
    </cfRule>
    <cfRule type="expression" dxfId="14030" priority="20008">
      <formula>$H182="SUBETAPA"</formula>
    </cfRule>
  </conditionalFormatting>
  <conditionalFormatting sqref="L184">
    <cfRule type="expression" dxfId="14029" priority="20037">
      <formula>$H184="ETAPA"</formula>
    </cfRule>
    <cfRule type="expression" dxfId="14028" priority="20036">
      <formula>$H184="CÉLULA CONSTRUTIVA"</formula>
    </cfRule>
    <cfRule type="expression" dxfId="14027" priority="20035">
      <formula>$H184="SUBETAPA"</formula>
    </cfRule>
  </conditionalFormatting>
  <conditionalFormatting sqref="L190:L192">
    <cfRule type="expression" dxfId="14026" priority="19978">
      <formula>$H190="ETAPA"</formula>
    </cfRule>
    <cfRule type="expression" dxfId="14025" priority="19977">
      <formula>$H190="CÉLULA CONSTRUTIVA"</formula>
    </cfRule>
    <cfRule type="expression" dxfId="14024" priority="19976">
      <formula>$H190="SUBETAPA"</formula>
    </cfRule>
  </conditionalFormatting>
  <conditionalFormatting sqref="L198">
    <cfRule type="expression" dxfId="14023" priority="19937">
      <formula>$H198="ETAPA"</formula>
    </cfRule>
    <cfRule type="expression" dxfId="14022" priority="19936">
      <formula>$H198="CÉLULA CONSTRUTIVA"</formula>
    </cfRule>
    <cfRule type="expression" dxfId="14021" priority="19935">
      <formula>$H198="SUBETAPA"</formula>
    </cfRule>
  </conditionalFormatting>
  <conditionalFormatting sqref="L204 L206 L208">
    <cfRule type="expression" dxfId="14020" priority="19881">
      <formula>$H204="ETAPA"</formula>
    </cfRule>
    <cfRule type="expression" dxfId="14019" priority="19880">
      <formula>$H204="CÉLULA CONSTRUTIVA"</formula>
    </cfRule>
    <cfRule type="expression" dxfId="14018" priority="19879">
      <formula>$H204="SUBETAPA"</formula>
    </cfRule>
  </conditionalFormatting>
  <conditionalFormatting sqref="L205">
    <cfRule type="expression" dxfId="14017" priority="19801">
      <formula>$H205="ETAPA"</formula>
    </cfRule>
  </conditionalFormatting>
  <conditionalFormatting sqref="L207">
    <cfRule type="expression" dxfId="14016" priority="19796">
      <formula>$H207="ETAPA"</formula>
    </cfRule>
  </conditionalFormatting>
  <conditionalFormatting sqref="L212:L213 N212:N213">
    <cfRule type="expression" dxfId="14015" priority="19763">
      <formula>$H212="SUBETAPA"</formula>
    </cfRule>
  </conditionalFormatting>
  <conditionalFormatting sqref="L212:L213">
    <cfRule type="expression" dxfId="14014" priority="19765">
      <formula>$H212="ETAPA"</formula>
    </cfRule>
    <cfRule type="expression" dxfId="14013" priority="19764">
      <formula>$H212="CÉLULA CONSTRUTIVA"</formula>
    </cfRule>
  </conditionalFormatting>
  <conditionalFormatting sqref="L280 N280:O280">
    <cfRule type="expression" dxfId="14012" priority="21418">
      <formula>$H280="ETAPA"</formula>
    </cfRule>
  </conditionalFormatting>
  <conditionalFormatting sqref="L280">
    <cfRule type="expression" dxfId="14011" priority="21419">
      <formula>$H280="CÉLULA CONSTRUTIVA"</formula>
    </cfRule>
    <cfRule type="expression" dxfId="14010" priority="21420">
      <formula>$H280="ETAPA"</formula>
    </cfRule>
  </conditionalFormatting>
  <conditionalFormatting sqref="L281:L282">
    <cfRule type="expression" dxfId="14009" priority="24558">
      <formula>$H281="ETAPA"</formula>
    </cfRule>
  </conditionalFormatting>
  <conditionalFormatting sqref="L291 N291:O291">
    <cfRule type="expression" dxfId="14008" priority="21297">
      <formula>$H291="ETAPA"</formula>
    </cfRule>
  </conditionalFormatting>
  <conditionalFormatting sqref="L291">
    <cfRule type="expression" dxfId="14007" priority="21299">
      <formula>$H291="ETAPA"</formula>
    </cfRule>
    <cfRule type="expression" dxfId="14006" priority="21298">
      <formula>$H291="CÉLULA CONSTRUTIVA"</formula>
    </cfRule>
  </conditionalFormatting>
  <conditionalFormatting sqref="L292:L293">
    <cfRule type="expression" dxfId="14005" priority="21368">
      <formula>$H292="ETAPA"</formula>
    </cfRule>
  </conditionalFormatting>
  <conditionalFormatting sqref="L302 N302:O302">
    <cfRule type="expression" dxfId="14004" priority="21176">
      <formula>$H302="ETAPA"</formula>
    </cfRule>
  </conditionalFormatting>
  <conditionalFormatting sqref="L302">
    <cfRule type="expression" dxfId="14003" priority="21178">
      <formula>$H302="ETAPA"</formula>
    </cfRule>
    <cfRule type="expression" dxfId="14002" priority="21177">
      <formula>$H302="CÉLULA CONSTRUTIVA"</formula>
    </cfRule>
  </conditionalFormatting>
  <conditionalFormatting sqref="L303:L304">
    <cfRule type="expression" dxfId="14001" priority="21247">
      <formula>$H303="ETAPA"</formula>
    </cfRule>
  </conditionalFormatting>
  <conditionalFormatting sqref="L313 N313:O313">
    <cfRule type="expression" dxfId="14000" priority="21055">
      <formula>$H313="ETAPA"</formula>
    </cfRule>
  </conditionalFormatting>
  <conditionalFormatting sqref="L313">
    <cfRule type="expression" dxfId="13999" priority="21057">
      <formula>$H313="ETAPA"</formula>
    </cfRule>
    <cfRule type="expression" dxfId="13998" priority="21056">
      <formula>$H313="CÉLULA CONSTRUTIVA"</formula>
    </cfRule>
  </conditionalFormatting>
  <conditionalFormatting sqref="L314:L315">
    <cfRule type="expression" dxfId="13997" priority="21126">
      <formula>$H314="ETAPA"</formula>
    </cfRule>
  </conditionalFormatting>
  <conditionalFormatting sqref="L320">
    <cfRule type="expression" dxfId="13996" priority="7133">
      <formula>$H320="CÉLULA CONSTRUTIVA"</formula>
    </cfRule>
    <cfRule type="expression" dxfId="13995" priority="7134">
      <formula>$H320="ETAPA"</formula>
    </cfRule>
  </conditionalFormatting>
  <conditionalFormatting sqref="L322 N322:O322">
    <cfRule type="expression" dxfId="13994" priority="20677">
      <formula>$H322="ETAPA"</formula>
    </cfRule>
  </conditionalFormatting>
  <conditionalFormatting sqref="L322">
    <cfRule type="expression" dxfId="13993" priority="20678">
      <formula>$H322="CÉLULA CONSTRUTIVA"</formula>
    </cfRule>
    <cfRule type="expression" dxfId="13992" priority="20679">
      <formula>$H322="ETAPA"</formula>
    </cfRule>
  </conditionalFormatting>
  <conditionalFormatting sqref="L325 N325:O325">
    <cfRule type="expression" dxfId="13991" priority="20639">
      <formula>$H325="ETAPA"</formula>
    </cfRule>
  </conditionalFormatting>
  <conditionalFormatting sqref="L325">
    <cfRule type="expression" dxfId="13990" priority="20641">
      <formula>$H325="ETAPA"</formula>
    </cfRule>
    <cfRule type="expression" dxfId="13989" priority="20640">
      <formula>$H325="CÉLULA CONSTRUTIVA"</formula>
    </cfRule>
  </conditionalFormatting>
  <conditionalFormatting sqref="L328 N328:O328">
    <cfRule type="expression" dxfId="13988" priority="20601">
      <formula>$H328="ETAPA"</formula>
    </cfRule>
  </conditionalFormatting>
  <conditionalFormatting sqref="L328">
    <cfRule type="expression" dxfId="13987" priority="20603">
      <formula>$H328="ETAPA"</formula>
    </cfRule>
    <cfRule type="expression" dxfId="13986" priority="20602">
      <formula>$H328="CÉLULA CONSTRUTIVA"</formula>
    </cfRule>
  </conditionalFormatting>
  <conditionalFormatting sqref="L329">
    <cfRule type="expression" dxfId="13985" priority="24726">
      <formula>$H329="ETAPA"</formula>
    </cfRule>
  </conditionalFormatting>
  <conditionalFormatting sqref="L330">
    <cfRule type="expression" dxfId="13984" priority="24551">
      <formula>$H330="CÉLULA CONSTRUTIVA"</formula>
    </cfRule>
    <cfRule type="expression" dxfId="13983" priority="24552">
      <formula>$H330="ETAPA"</formula>
    </cfRule>
    <cfRule type="expression" dxfId="13982" priority="24550">
      <formula>$H330="SUBETAPA"</formula>
    </cfRule>
  </conditionalFormatting>
  <conditionalFormatting sqref="L346">
    <cfRule type="expression" dxfId="13981" priority="7119">
      <formula>$H346="ETAPA"</formula>
    </cfRule>
    <cfRule type="expression" dxfId="13980" priority="7117">
      <formula>$H346="SUBETAPA"</formula>
    </cfRule>
    <cfRule type="expression" dxfId="13979" priority="7118">
      <formula>$H346="CÉLULA CONSTRUTIVA"</formula>
    </cfRule>
  </conditionalFormatting>
  <conditionalFormatting sqref="L354">
    <cfRule type="expression" dxfId="13978" priority="6930">
      <formula>$H354="ETAPA"</formula>
    </cfRule>
    <cfRule type="expression" dxfId="13977" priority="6929">
      <formula>$H354="CÉLULA CONSTRUTIVA"</formula>
    </cfRule>
    <cfRule type="expression" dxfId="13976" priority="6928">
      <formula>$H354="SUBETAPA"</formula>
    </cfRule>
  </conditionalFormatting>
  <conditionalFormatting sqref="L358 N358:P358">
    <cfRule type="expression" dxfId="13975" priority="6864">
      <formula>$H358="SUBETAPA"</formula>
    </cfRule>
    <cfRule type="expression" dxfId="13974" priority="6865">
      <formula>$H358="CÉLULA CONSTRUTIVA"</formula>
    </cfRule>
    <cfRule type="expression" dxfId="13973" priority="6866">
      <formula>$H358="ETAPA"</formula>
    </cfRule>
  </conditionalFormatting>
  <conditionalFormatting sqref="L362:L363">
    <cfRule type="expression" dxfId="13972" priority="19355">
      <formula>$H362="ETAPA"</formula>
    </cfRule>
    <cfRule type="expression" dxfId="13971" priority="19354">
      <formula>$H362="CÉLULA CONSTRUTIVA"</formula>
    </cfRule>
  </conditionalFormatting>
  <conditionalFormatting sqref="L367 N367:O367">
    <cfRule type="expression" dxfId="13970" priority="19347">
      <formula>$H367="ETAPA"</formula>
    </cfRule>
    <cfRule type="expression" dxfId="13969" priority="19346">
      <formula>$H367="CÉLULA CONSTRUTIVA"</formula>
    </cfRule>
  </conditionalFormatting>
  <conditionalFormatting sqref="L367 N367:P367">
    <cfRule type="expression" dxfId="13968" priority="19322">
      <formula>$H367="SUBETAPA"</formula>
    </cfRule>
  </conditionalFormatting>
  <conditionalFormatting sqref="L368">
    <cfRule type="expression" dxfId="13967" priority="19439">
      <formula>$H368="CÉLULA CONSTRUTIVA"</formula>
    </cfRule>
    <cfRule type="expression" dxfId="13966" priority="19440">
      <formula>$H368="ETAPA"</formula>
    </cfRule>
    <cfRule type="expression" dxfId="13965" priority="19438">
      <formula>$H368="SUBETAPA"</formula>
    </cfRule>
  </conditionalFormatting>
  <conditionalFormatting sqref="L375:L376">
    <cfRule type="expression" dxfId="13964" priority="19138">
      <formula>$H375="CÉLULA CONSTRUTIVA"</formula>
    </cfRule>
    <cfRule type="expression" dxfId="13963" priority="19139">
      <formula>$H375="ETAPA"</formula>
    </cfRule>
  </conditionalFormatting>
  <conditionalFormatting sqref="L383">
    <cfRule type="expression" dxfId="13962" priority="6685">
      <formula>$H383="SUBETAPA"</formula>
    </cfRule>
    <cfRule type="expression" dxfId="13961" priority="6686">
      <formula>$H383="CÉLULA CONSTRUTIVA"</formula>
    </cfRule>
    <cfRule type="expression" dxfId="13960" priority="6687">
      <formula>$H383="ETAPA"</formula>
    </cfRule>
  </conditionalFormatting>
  <conditionalFormatting sqref="L391:L392">
    <cfRule type="expression" dxfId="13959" priority="19020">
      <formula>$H391="CÉLULA CONSTRUTIVA"</formula>
    </cfRule>
    <cfRule type="expression" dxfId="13958" priority="19021">
      <formula>$H391="ETAPA"</formula>
    </cfRule>
  </conditionalFormatting>
  <conditionalFormatting sqref="L402:L403">
    <cfRule type="expression" dxfId="13957" priority="18872">
      <formula>$H402="ETAPA"</formula>
    </cfRule>
    <cfRule type="expression" dxfId="13956" priority="18871">
      <formula>$H402="CÉLULA CONSTRUTIVA"</formula>
    </cfRule>
  </conditionalFormatting>
  <conditionalFormatting sqref="L407 L409 N407:O407 N409:O409">
    <cfRule type="expression" dxfId="13955" priority="18864">
      <formula>$H407="ETAPA"</formula>
    </cfRule>
    <cfRule type="expression" dxfId="13954" priority="18863">
      <formula>$H407="CÉLULA CONSTRUTIVA"</formula>
    </cfRule>
  </conditionalFormatting>
  <conditionalFormatting sqref="L407 L409 N407:P407 N409:P409">
    <cfRule type="expression" dxfId="13953" priority="18843">
      <formula>$H407="SUBETAPA"</formula>
    </cfRule>
  </conditionalFormatting>
  <conditionalFormatting sqref="L411 N411:O411">
    <cfRule type="expression" dxfId="13952" priority="18865">
      <formula>$H411="CÉLULA CONSTRUTIVA"</formula>
    </cfRule>
    <cfRule type="expression" dxfId="13951" priority="18866">
      <formula>$H411="ETAPA"</formula>
    </cfRule>
  </conditionalFormatting>
  <conditionalFormatting sqref="L411 N411:P411">
    <cfRule type="expression" dxfId="13950" priority="18823">
      <formula>$H411="SUBETAPA"</formula>
    </cfRule>
  </conditionalFormatting>
  <conditionalFormatting sqref="L418:L419">
    <cfRule type="expression" dxfId="13949" priority="18687">
      <formula>$H418="CÉLULA CONSTRUTIVA"</formula>
    </cfRule>
    <cfRule type="expression" dxfId="13948" priority="18688">
      <formula>$H418="ETAPA"</formula>
    </cfRule>
  </conditionalFormatting>
  <conditionalFormatting sqref="L423 L425 N423:O423 N425:O425">
    <cfRule type="expression" dxfId="13947" priority="18681">
      <formula>$H423="CÉLULA CONSTRUTIVA"</formula>
    </cfRule>
    <cfRule type="expression" dxfId="13946" priority="18682">
      <formula>$H423="ETAPA"</formula>
    </cfRule>
  </conditionalFormatting>
  <conditionalFormatting sqref="L423 L425 N423:P423 N425:P425">
    <cfRule type="expression" dxfId="13945" priority="18661">
      <formula>$H423="SUBETAPA"</formula>
    </cfRule>
  </conditionalFormatting>
  <conditionalFormatting sqref="L436 L441 L446 L451 L456 L466 L461">
    <cfRule type="expression" dxfId="13944" priority="18566">
      <formula>$H436="ETAPA"</formula>
    </cfRule>
    <cfRule type="expression" dxfId="13943" priority="18565">
      <formula>$H436="CÉLULA CONSTRUTIVA"</formula>
    </cfRule>
  </conditionalFormatting>
  <conditionalFormatting sqref="L472:L473">
    <cfRule type="expression" dxfId="13942" priority="17363">
      <formula>$H472="ETAPA"</formula>
    </cfRule>
  </conditionalFormatting>
  <conditionalFormatting sqref="L490">
    <cfRule type="expression" dxfId="13941" priority="17162">
      <formula>$H490="CÉLULA CONSTRUTIVA"</formula>
    </cfRule>
    <cfRule type="expression" dxfId="13940" priority="17163">
      <formula>$H490="ETAPA"</formula>
    </cfRule>
  </conditionalFormatting>
  <conditionalFormatting sqref="L491:L492">
    <cfRule type="expression" dxfId="13939" priority="17161">
      <formula>$H491="ETAPA"</formula>
    </cfRule>
  </conditionalFormatting>
  <conditionalFormatting sqref="L507">
    <cfRule type="expression" dxfId="13938" priority="17006">
      <formula>$H507="ETAPA"</formula>
    </cfRule>
    <cfRule type="expression" dxfId="13937" priority="17005">
      <formula>$H507="CÉLULA CONSTRUTIVA"</formula>
    </cfRule>
  </conditionalFormatting>
  <conditionalFormatting sqref="L508:L509">
    <cfRule type="expression" dxfId="13936" priority="17004">
      <formula>$H508="ETAPA"</formula>
    </cfRule>
  </conditionalFormatting>
  <conditionalFormatting sqref="L524">
    <cfRule type="expression" dxfId="13935" priority="16847">
      <formula>$H524="CÉLULA CONSTRUTIVA"</formula>
    </cfRule>
    <cfRule type="expression" dxfId="13934" priority="16848">
      <formula>$H524="ETAPA"</formula>
    </cfRule>
  </conditionalFormatting>
  <conditionalFormatting sqref="L525:L526">
    <cfRule type="expression" dxfId="13933" priority="16846">
      <formula>$H525="ETAPA"</formula>
    </cfRule>
  </conditionalFormatting>
  <conditionalFormatting sqref="L543">
    <cfRule type="expression" dxfId="13932" priority="16668">
      <formula>$H543="CÉLULA CONSTRUTIVA"</formula>
    </cfRule>
    <cfRule type="expression" dxfId="13931" priority="16669">
      <formula>$H543="ETAPA"</formula>
    </cfRule>
  </conditionalFormatting>
  <conditionalFormatting sqref="L544:L545">
    <cfRule type="expression" dxfId="13930" priority="16667">
      <formula>$H544="ETAPA"</formula>
    </cfRule>
  </conditionalFormatting>
  <conditionalFormatting sqref="L560">
    <cfRule type="expression" dxfId="13929" priority="16489">
      <formula>$H560="CÉLULA CONSTRUTIVA"</formula>
    </cfRule>
    <cfRule type="expression" dxfId="13928" priority="16490">
      <formula>$H560="ETAPA"</formula>
    </cfRule>
  </conditionalFormatting>
  <conditionalFormatting sqref="L561:L562">
    <cfRule type="expression" dxfId="13927" priority="16488">
      <formula>$H561="ETAPA"</formula>
    </cfRule>
  </conditionalFormatting>
  <conditionalFormatting sqref="L577">
    <cfRule type="expression" dxfId="13926" priority="16176">
      <formula>$H577="CÉLULA CONSTRUTIVA"</formula>
    </cfRule>
    <cfRule type="expression" dxfId="13925" priority="16177">
      <formula>$H577="ETAPA"</formula>
    </cfRule>
  </conditionalFormatting>
  <conditionalFormatting sqref="L578:L579">
    <cfRule type="expression" dxfId="13924" priority="16175">
      <formula>$H578="ETAPA"</formula>
    </cfRule>
  </conditionalFormatting>
  <conditionalFormatting sqref="L594">
    <cfRule type="expression" dxfId="13923" priority="16313">
      <formula>$H594="CÉLULA CONSTRUTIVA"</formula>
    </cfRule>
    <cfRule type="expression" dxfId="13922" priority="16314">
      <formula>$H594="ETAPA"</formula>
    </cfRule>
  </conditionalFormatting>
  <conditionalFormatting sqref="L595:L596">
    <cfRule type="expression" dxfId="13921" priority="16312">
      <formula>$H595="ETAPA"</formula>
    </cfRule>
  </conditionalFormatting>
  <conditionalFormatting sqref="L611">
    <cfRule type="expression" dxfId="13920" priority="15880">
      <formula>$H611="CÉLULA CONSTRUTIVA"</formula>
    </cfRule>
    <cfRule type="expression" dxfId="13919" priority="15879">
      <formula>$H611="SUBETAPA"</formula>
    </cfRule>
    <cfRule type="expression" dxfId="13918" priority="15881">
      <formula>$H611="ETAPA"</formula>
    </cfRule>
  </conditionalFormatting>
  <conditionalFormatting sqref="L614">
    <cfRule type="expression" dxfId="13917" priority="14841">
      <formula>$H614="CÉLULA CONSTRUTIVA"</formula>
    </cfRule>
    <cfRule type="expression" dxfId="13916" priority="14842">
      <formula>$H614="ETAPA"</formula>
    </cfRule>
    <cfRule type="expression" dxfId="13915" priority="14840">
      <formula>$H614="SUBETAPA"</formula>
    </cfRule>
  </conditionalFormatting>
  <conditionalFormatting sqref="L616">
    <cfRule type="expression" dxfId="13914" priority="15984">
      <formula>$H616="CÉLULA CONSTRUTIVA"</formula>
    </cfRule>
    <cfRule type="expression" dxfId="13913" priority="15985">
      <formula>$H616="ETAPA"</formula>
    </cfRule>
    <cfRule type="expression" dxfId="13912" priority="15983">
      <formula>$H616="SUBETAPA"</formula>
    </cfRule>
  </conditionalFormatting>
  <conditionalFormatting sqref="L617">
    <cfRule type="expression" dxfId="13911" priority="15862">
      <formula>$H617="SUBETAPA"</formula>
    </cfRule>
    <cfRule type="expression" dxfId="13910" priority="15863">
      <formula>$H617="CÉLULA CONSTRUTIVA"</formula>
    </cfRule>
    <cfRule type="expression" dxfId="13909" priority="15864">
      <formula>$H617="ETAPA"</formula>
    </cfRule>
  </conditionalFormatting>
  <conditionalFormatting sqref="L619">
    <cfRule type="expression" dxfId="13908" priority="15842">
      <formula>$H619="SUBETAPA"</formula>
    </cfRule>
    <cfRule type="expression" dxfId="13907" priority="15843">
      <formula>$H619="CÉLULA CONSTRUTIVA"</formula>
    </cfRule>
    <cfRule type="expression" dxfId="13906" priority="15844">
      <formula>$H619="ETAPA"</formula>
    </cfRule>
  </conditionalFormatting>
  <conditionalFormatting sqref="L621">
    <cfRule type="expression" dxfId="13905" priority="15935">
      <formula>$H621="SUBETAPA"</formula>
    </cfRule>
    <cfRule type="expression" dxfId="13904" priority="15936">
      <formula>$H621="CÉLULA CONSTRUTIVA"</formula>
    </cfRule>
    <cfRule type="expression" dxfId="13903" priority="15937">
      <formula>$H621="ETAPA"</formula>
    </cfRule>
  </conditionalFormatting>
  <conditionalFormatting sqref="L625">
    <cfRule type="expression" dxfId="13902" priority="15718">
      <formula>$H625="SUBETAPA"</formula>
    </cfRule>
    <cfRule type="expression" dxfId="13901" priority="15719">
      <formula>$H625="CÉLULA CONSTRUTIVA"</formula>
    </cfRule>
    <cfRule type="expression" dxfId="13900" priority="15720">
      <formula>$H625="ETAPA"</formula>
    </cfRule>
  </conditionalFormatting>
  <conditionalFormatting sqref="L627">
    <cfRule type="expression" dxfId="13899" priority="14805">
      <formula>$H627="SUBETAPA"</formula>
    </cfRule>
    <cfRule type="expression" dxfId="13898" priority="14807">
      <formula>$H627="ETAPA"</formula>
    </cfRule>
    <cfRule type="expression" dxfId="13897" priority="14806">
      <formula>$H627="CÉLULA CONSTRUTIVA"</formula>
    </cfRule>
  </conditionalFormatting>
  <conditionalFormatting sqref="L630">
    <cfRule type="expression" dxfId="13896" priority="15809">
      <formula>$H630="ETAPA"</formula>
    </cfRule>
    <cfRule type="expression" dxfId="13895" priority="15807">
      <formula>$H630="SUBETAPA"</formula>
    </cfRule>
    <cfRule type="expression" dxfId="13894" priority="15808">
      <formula>$H630="CÉLULA CONSTRUTIVA"</formula>
    </cfRule>
  </conditionalFormatting>
  <conditionalFormatting sqref="L631">
    <cfRule type="expression" dxfId="13893" priority="15703">
      <formula>$H631="ETAPA"</formula>
    </cfRule>
    <cfRule type="expression" dxfId="13892" priority="15702">
      <formula>$H631="CÉLULA CONSTRUTIVA"</formula>
    </cfRule>
    <cfRule type="expression" dxfId="13891" priority="15701">
      <formula>$H631="SUBETAPA"</formula>
    </cfRule>
  </conditionalFormatting>
  <conditionalFormatting sqref="L633">
    <cfRule type="expression" dxfId="13890" priority="15681">
      <formula>$H633="SUBETAPA"</formula>
    </cfRule>
    <cfRule type="expression" dxfId="13889" priority="15683">
      <formula>$H633="ETAPA"</formula>
    </cfRule>
    <cfRule type="expression" dxfId="13888" priority="15682">
      <formula>$H633="CÉLULA CONSTRUTIVA"</formula>
    </cfRule>
  </conditionalFormatting>
  <conditionalFormatting sqref="L635">
    <cfRule type="expression" dxfId="13887" priority="15774">
      <formula>$H635="SUBETAPA"</formula>
    </cfRule>
    <cfRule type="expression" dxfId="13886" priority="15775">
      <formula>$H635="CÉLULA CONSTRUTIVA"</formula>
    </cfRule>
    <cfRule type="expression" dxfId="13885" priority="15776">
      <formula>$H635="ETAPA"</formula>
    </cfRule>
  </conditionalFormatting>
  <conditionalFormatting sqref="L639">
    <cfRule type="expression" dxfId="13884" priority="15392">
      <formula>$H639="SUBETAPA"</formula>
    </cfRule>
    <cfRule type="expression" dxfId="13883" priority="15394">
      <formula>$H639="ETAPA"</formula>
    </cfRule>
    <cfRule type="expression" dxfId="13882" priority="15393">
      <formula>$H639="CÉLULA CONSTRUTIVA"</formula>
    </cfRule>
  </conditionalFormatting>
  <conditionalFormatting sqref="L641">
    <cfRule type="expression" dxfId="13881" priority="14730">
      <formula>$H641="CÉLULA CONSTRUTIVA"</formula>
    </cfRule>
    <cfRule type="expression" dxfId="13880" priority="14729">
      <formula>$H641="SUBETAPA"</formula>
    </cfRule>
    <cfRule type="expression" dxfId="13879" priority="14731">
      <formula>$H641="ETAPA"</formula>
    </cfRule>
  </conditionalFormatting>
  <conditionalFormatting sqref="L644">
    <cfRule type="expression" dxfId="13878" priority="15482">
      <formula>$H644="CÉLULA CONSTRUTIVA"</formula>
    </cfRule>
    <cfRule type="expression" dxfId="13877" priority="15483">
      <formula>$H644="ETAPA"</formula>
    </cfRule>
    <cfRule type="expression" dxfId="13876" priority="15481">
      <formula>$H644="SUBETAPA"</formula>
    </cfRule>
  </conditionalFormatting>
  <conditionalFormatting sqref="L645">
    <cfRule type="expression" dxfId="13875" priority="15376">
      <formula>$H645="CÉLULA CONSTRUTIVA"</formula>
    </cfRule>
    <cfRule type="expression" dxfId="13874" priority="15377">
      <formula>$H645="ETAPA"</formula>
    </cfRule>
    <cfRule type="expression" dxfId="13873" priority="15375">
      <formula>$H645="SUBETAPA"</formula>
    </cfRule>
  </conditionalFormatting>
  <conditionalFormatting sqref="L647">
    <cfRule type="expression" dxfId="13872" priority="15355">
      <formula>$H647="SUBETAPA"</formula>
    </cfRule>
    <cfRule type="expression" dxfId="13871" priority="15356">
      <formula>$H647="CÉLULA CONSTRUTIVA"</formula>
    </cfRule>
    <cfRule type="expression" dxfId="13870" priority="15357">
      <formula>$H647="ETAPA"</formula>
    </cfRule>
  </conditionalFormatting>
  <conditionalFormatting sqref="L649">
    <cfRule type="expression" dxfId="13869" priority="15449">
      <formula>$H649="CÉLULA CONSTRUTIVA"</formula>
    </cfRule>
    <cfRule type="expression" dxfId="13868" priority="15448">
      <formula>$H649="SUBETAPA"</formula>
    </cfRule>
    <cfRule type="expression" dxfId="13867" priority="15450">
      <formula>$H649="ETAPA"</formula>
    </cfRule>
  </conditionalFormatting>
  <conditionalFormatting sqref="L653">
    <cfRule type="expression" dxfId="13866" priority="15230">
      <formula>$H653="ETAPA"</formula>
    </cfRule>
    <cfRule type="expression" dxfId="13865" priority="15228">
      <formula>$H653="SUBETAPA"</formula>
    </cfRule>
    <cfRule type="expression" dxfId="13864" priority="15229">
      <formula>$H653="CÉLULA CONSTRUTIVA"</formula>
    </cfRule>
  </conditionalFormatting>
  <conditionalFormatting sqref="L655">
    <cfRule type="expression" dxfId="13863" priority="14692">
      <formula>$H655="CÉLULA CONSTRUTIVA"</formula>
    </cfRule>
    <cfRule type="expression" dxfId="13862" priority="14691">
      <formula>$H655="SUBETAPA"</formula>
    </cfRule>
    <cfRule type="expression" dxfId="13861" priority="14693">
      <formula>$H655="ETAPA"</formula>
    </cfRule>
  </conditionalFormatting>
  <conditionalFormatting sqref="L658">
    <cfRule type="expression" dxfId="13860" priority="15320">
      <formula>$H658="ETAPA"</formula>
    </cfRule>
    <cfRule type="expression" dxfId="13859" priority="15318">
      <formula>$H658="SUBETAPA"</formula>
    </cfRule>
    <cfRule type="expression" dxfId="13858" priority="15319">
      <formula>$H658="CÉLULA CONSTRUTIVA"</formula>
    </cfRule>
  </conditionalFormatting>
  <conditionalFormatting sqref="L659">
    <cfRule type="expression" dxfId="13857" priority="15211">
      <formula>$H659="SUBETAPA"</formula>
    </cfRule>
    <cfRule type="expression" dxfId="13856" priority="15212">
      <formula>$H659="CÉLULA CONSTRUTIVA"</formula>
    </cfRule>
    <cfRule type="expression" dxfId="13855" priority="15213">
      <formula>$H659="ETAPA"</formula>
    </cfRule>
  </conditionalFormatting>
  <conditionalFormatting sqref="L661">
    <cfRule type="expression" dxfId="13854" priority="15192">
      <formula>$H661="CÉLULA CONSTRUTIVA"</formula>
    </cfRule>
    <cfRule type="expression" dxfId="13853" priority="15193">
      <formula>$H661="ETAPA"</formula>
    </cfRule>
    <cfRule type="expression" dxfId="13852" priority="15191">
      <formula>$H661="SUBETAPA"</formula>
    </cfRule>
  </conditionalFormatting>
  <conditionalFormatting sqref="L663">
    <cfRule type="expression" dxfId="13851" priority="15284">
      <formula>$H663="SUBETAPA"</formula>
    </cfRule>
    <cfRule type="expression" dxfId="13850" priority="15286">
      <formula>$H663="ETAPA"</formula>
    </cfRule>
    <cfRule type="expression" dxfId="13849" priority="15285">
      <formula>$H663="CÉLULA CONSTRUTIVA"</formula>
    </cfRule>
  </conditionalFormatting>
  <conditionalFormatting sqref="L667">
    <cfRule type="expression" dxfId="13848" priority="15065">
      <formula>$H667="CÉLULA CONSTRUTIVA"</formula>
    </cfRule>
    <cfRule type="expression" dxfId="13847" priority="15066">
      <formula>$H667="ETAPA"</formula>
    </cfRule>
    <cfRule type="expression" dxfId="13846" priority="15064">
      <formula>$H667="SUBETAPA"</formula>
    </cfRule>
  </conditionalFormatting>
  <conditionalFormatting sqref="L669">
    <cfRule type="expression" dxfId="13845" priority="14655">
      <formula>$H669="ETAPA"</formula>
    </cfRule>
    <cfRule type="expression" dxfId="13844" priority="14653">
      <formula>$H669="SUBETAPA"</formula>
    </cfRule>
    <cfRule type="expression" dxfId="13843" priority="14654">
      <formula>$H669="CÉLULA CONSTRUTIVA"</formula>
    </cfRule>
  </conditionalFormatting>
  <conditionalFormatting sqref="L672">
    <cfRule type="expression" dxfId="13842" priority="15156">
      <formula>$H672="ETAPA"</formula>
    </cfRule>
    <cfRule type="expression" dxfId="13841" priority="15154">
      <formula>$H672="SUBETAPA"</formula>
    </cfRule>
    <cfRule type="expression" dxfId="13840" priority="15155">
      <formula>$H672="CÉLULA CONSTRUTIVA"</formula>
    </cfRule>
  </conditionalFormatting>
  <conditionalFormatting sqref="L673">
    <cfRule type="expression" dxfId="13839" priority="15047">
      <formula>$H673="SUBETAPA"</formula>
    </cfRule>
    <cfRule type="expression" dxfId="13838" priority="15048">
      <formula>$H673="CÉLULA CONSTRUTIVA"</formula>
    </cfRule>
    <cfRule type="expression" dxfId="13837" priority="15049">
      <formula>$H673="ETAPA"</formula>
    </cfRule>
  </conditionalFormatting>
  <conditionalFormatting sqref="L675">
    <cfRule type="expression" dxfId="13836" priority="15029">
      <formula>$H675="ETAPA"</formula>
    </cfRule>
    <cfRule type="expression" dxfId="13835" priority="15028">
      <formula>$H675="CÉLULA CONSTRUTIVA"</formula>
    </cfRule>
    <cfRule type="expression" dxfId="13834" priority="15027">
      <formula>$H675="SUBETAPA"</formula>
    </cfRule>
  </conditionalFormatting>
  <conditionalFormatting sqref="L677">
    <cfRule type="expression" dxfId="13833" priority="15120">
      <formula>$H677="SUBETAPA"</formula>
    </cfRule>
    <cfRule type="expression" dxfId="13832" priority="15122">
      <formula>$H677="ETAPA"</formula>
    </cfRule>
    <cfRule type="expression" dxfId="13831" priority="15121">
      <formula>$H677="CÉLULA CONSTRUTIVA"</formula>
    </cfRule>
  </conditionalFormatting>
  <conditionalFormatting sqref="L681">
    <cfRule type="expression" dxfId="13830" priority="14384">
      <formula>$H681="SUBETAPA"</formula>
    </cfRule>
    <cfRule type="expression" dxfId="13829" priority="14386">
      <formula>$H681="ETAPA"</formula>
    </cfRule>
    <cfRule type="expression" dxfId="13828" priority="14385">
      <formula>$H681="CÉLULA CONSTRUTIVA"</formula>
    </cfRule>
  </conditionalFormatting>
  <conditionalFormatting sqref="L683">
    <cfRule type="expression" dxfId="13827" priority="14307">
      <formula>$H683="CÉLULA CONSTRUTIVA"</formula>
    </cfRule>
    <cfRule type="expression" dxfId="13826" priority="14306">
      <formula>$H683="SUBETAPA"</formula>
    </cfRule>
    <cfRule type="expression" dxfId="13825" priority="14308">
      <formula>$H683="ETAPA"</formula>
    </cfRule>
  </conditionalFormatting>
  <conditionalFormatting sqref="L686">
    <cfRule type="expression" dxfId="13824" priority="14474">
      <formula>$H686="SUBETAPA"</formula>
    </cfRule>
    <cfRule type="expression" dxfId="13823" priority="14475">
      <formula>$H686="CÉLULA CONSTRUTIVA"</formula>
    </cfRule>
    <cfRule type="expression" dxfId="13822" priority="14476">
      <formula>$H686="ETAPA"</formula>
    </cfRule>
  </conditionalFormatting>
  <conditionalFormatting sqref="L687">
    <cfRule type="expression" dxfId="13821" priority="14368">
      <formula>$H687="CÉLULA CONSTRUTIVA"</formula>
    </cfRule>
    <cfRule type="expression" dxfId="13820" priority="14367">
      <formula>$H687="SUBETAPA"</formula>
    </cfRule>
    <cfRule type="expression" dxfId="13819" priority="14369">
      <formula>$H687="ETAPA"</formula>
    </cfRule>
  </conditionalFormatting>
  <conditionalFormatting sqref="L689">
    <cfRule type="expression" dxfId="13818" priority="14349">
      <formula>$H689="ETAPA"</formula>
    </cfRule>
    <cfRule type="expression" dxfId="13817" priority="14348">
      <formula>$H689="CÉLULA CONSTRUTIVA"</formula>
    </cfRule>
    <cfRule type="expression" dxfId="13816" priority="14347">
      <formula>$H689="SUBETAPA"</formula>
    </cfRule>
  </conditionalFormatting>
  <conditionalFormatting sqref="L691">
    <cfRule type="expression" dxfId="13815" priority="14441">
      <formula>$H691="CÉLULA CONSTRUTIVA"</formula>
    </cfRule>
    <cfRule type="expression" dxfId="13814" priority="14442">
      <formula>$H691="ETAPA"</formula>
    </cfRule>
    <cfRule type="expression" dxfId="13813" priority="14440">
      <formula>$H691="SUBETAPA"</formula>
    </cfRule>
  </conditionalFormatting>
  <conditionalFormatting sqref="L695">
    <cfRule type="expression" dxfId="13812" priority="14900">
      <formula>$H695="SUBETAPA"</formula>
    </cfRule>
    <cfRule type="expression" dxfId="13811" priority="14902">
      <formula>$H695="ETAPA"</formula>
    </cfRule>
    <cfRule type="expression" dxfId="13810" priority="14901">
      <formula>$H695="CÉLULA CONSTRUTIVA"</formula>
    </cfRule>
  </conditionalFormatting>
  <conditionalFormatting sqref="L697">
    <cfRule type="expression" dxfId="13809" priority="14617">
      <formula>$H697="ETAPA"</formula>
    </cfRule>
    <cfRule type="expression" dxfId="13808" priority="14615">
      <formula>$H697="SUBETAPA"</formula>
    </cfRule>
    <cfRule type="expression" dxfId="13807" priority="14616">
      <formula>$H697="CÉLULA CONSTRUTIVA"</formula>
    </cfRule>
  </conditionalFormatting>
  <conditionalFormatting sqref="L700">
    <cfRule type="expression" dxfId="13806" priority="14990">
      <formula>$H700="SUBETAPA"</formula>
    </cfRule>
    <cfRule type="expression" dxfId="13805" priority="14991">
      <formula>$H700="CÉLULA CONSTRUTIVA"</formula>
    </cfRule>
    <cfRule type="expression" dxfId="13804" priority="14992">
      <formula>$H700="ETAPA"</formula>
    </cfRule>
  </conditionalFormatting>
  <conditionalFormatting sqref="L701">
    <cfRule type="expression" dxfId="13803" priority="14883">
      <formula>$H701="SUBETAPA"</formula>
    </cfRule>
    <cfRule type="expression" dxfId="13802" priority="14884">
      <formula>$H701="CÉLULA CONSTRUTIVA"</formula>
    </cfRule>
    <cfRule type="expression" dxfId="13801" priority="14885">
      <formula>$H701="ETAPA"</formula>
    </cfRule>
  </conditionalFormatting>
  <conditionalFormatting sqref="L703">
    <cfRule type="expression" dxfId="13800" priority="4955">
      <formula>$H703="CÉLULA CONSTRUTIVA"</formula>
    </cfRule>
    <cfRule type="expression" dxfId="13799" priority="4956">
      <formula>$H703="ETAPA"</formula>
    </cfRule>
    <cfRule type="expression" dxfId="13798" priority="4954">
      <formula>$H703="SUBETAPA"</formula>
    </cfRule>
  </conditionalFormatting>
  <conditionalFormatting sqref="L705">
    <cfRule type="expression" dxfId="13797" priority="14958">
      <formula>$H705="ETAPA"</formula>
    </cfRule>
    <cfRule type="expression" dxfId="13796" priority="14957">
      <formula>$H705="CÉLULA CONSTRUTIVA"</formula>
    </cfRule>
    <cfRule type="expression" dxfId="13795" priority="14956">
      <formula>$H705="SUBETAPA"</formula>
    </cfRule>
  </conditionalFormatting>
  <conditionalFormatting sqref="L709">
    <cfRule type="expression" dxfId="13794" priority="24470">
      <formula>$H709="CÉLULA CONSTRUTIVA"</formula>
    </cfRule>
    <cfRule type="expression" dxfId="13793" priority="24471">
      <formula>$H709="ETAPA"</formula>
    </cfRule>
  </conditionalFormatting>
  <conditionalFormatting sqref="L721">
    <cfRule type="expression" dxfId="13792" priority="4845">
      <formula>$H721="CÉLULA CONSTRUTIVA"</formula>
    </cfRule>
    <cfRule type="expression" dxfId="13791" priority="4846">
      <formula>$H721="ETAPA"</formula>
    </cfRule>
  </conditionalFormatting>
  <conditionalFormatting sqref="L722:L724">
    <cfRule type="expression" dxfId="13790" priority="24735">
      <formula>$H722="ETAPA"</formula>
    </cfRule>
    <cfRule type="expression" dxfId="13789" priority="24734">
      <formula>$H722="CÉLULA CONSTRUTIVA"</formula>
    </cfRule>
  </conditionalFormatting>
  <conditionalFormatting sqref="L725">
    <cfRule type="expression" dxfId="13788" priority="14203">
      <formula>$H725="ETAPA"</formula>
    </cfRule>
    <cfRule type="expression" dxfId="13787" priority="14202">
      <formula>$H725="CÉLULA CONSTRUTIVA"</formula>
    </cfRule>
  </conditionalFormatting>
  <conditionalFormatting sqref="L729:L731">
    <cfRule type="expression" dxfId="13786" priority="14259">
      <formula>$H729="ETAPA"</formula>
    </cfRule>
    <cfRule type="expression" dxfId="13785" priority="14258">
      <formula>$H729="CÉLULA CONSTRUTIVA"</formula>
    </cfRule>
  </conditionalFormatting>
  <conditionalFormatting sqref="L735:L737">
    <cfRule type="expression" dxfId="13784" priority="14158">
      <formula>$H735="ETAPA"</formula>
    </cfRule>
    <cfRule type="expression" dxfId="13783" priority="14157">
      <formula>$H735="CÉLULA CONSTRUTIVA"</formula>
    </cfRule>
  </conditionalFormatting>
  <conditionalFormatting sqref="L741:L743">
    <cfRule type="expression" dxfId="13782" priority="14085">
      <formula>$H741="CÉLULA CONSTRUTIVA"</formula>
    </cfRule>
    <cfRule type="expression" dxfId="13781" priority="14086">
      <formula>$H741="ETAPA"</formula>
    </cfRule>
  </conditionalFormatting>
  <conditionalFormatting sqref="L1056:L1058 G1113:L1115 G1176:O1178 G1179:M1179 O1068:P1068 G1060:M1060 O1060:P1060 L1064:O1064 G1065:O1065 L1075:L1077 G1079:M1079 O1079:P1079 L1082 G1083:L1083 M1084 M1086 O1086:P1086 L1092:L1094 G1096:M1096 O1096:P1096 L1099 G1100:L1100 O1103:P1103 L1109:L1110 G1112:M1112 O1112:P1112 L1116 G1117:L1117 O1120:P1120 L1127:L1128 G1130:M1130 O1130:P1130 O1137:P1137 L1143:L1144 G1146:M1146 O1146:P1146 O1153:P1153 G1175:M1175 O1175:P1175 O1181:P1181 G1181:M1181 G1180:I1180 K1180:L1180 M1082:O1083 M1099:O1100 N1113:O1117 M1116:M1117 G1131:O1134 G1147:O1150 N1180:O1180">
    <cfRule type="expression" dxfId="13780" priority="10178">
      <formula>$H1056="ETAPA"</formula>
    </cfRule>
  </conditionalFormatting>
  <conditionalFormatting sqref="L1082 N1082:O1082">
    <cfRule type="expression" dxfId="13779" priority="9717">
      <formula>$H1082="CÉLULA CONSTRUTIVA"</formula>
    </cfRule>
    <cfRule type="expression" dxfId="13778" priority="9716">
      <formula>$H1082="SUBETAPA"</formula>
    </cfRule>
  </conditionalFormatting>
  <conditionalFormatting sqref="L1099 N1099:O1099">
    <cfRule type="expression" dxfId="13777" priority="9709">
      <formula>$H1099="SUBETAPA"</formula>
    </cfRule>
    <cfRule type="expression" dxfId="13776" priority="9710">
      <formula>$H1099="CÉLULA CONSTRUTIVA"</formula>
    </cfRule>
  </conditionalFormatting>
  <conditionalFormatting sqref="L1116 N1116:O1116">
    <cfRule type="expression" dxfId="13775" priority="9703">
      <formula>$H1116="CÉLULA CONSTRUTIVA"</formula>
    </cfRule>
    <cfRule type="expression" dxfId="13774" priority="9702">
      <formula>$H1116="SUBETAPA"</formula>
    </cfRule>
  </conditionalFormatting>
  <conditionalFormatting sqref="L1196:L1198">
    <cfRule type="expression" dxfId="13773" priority="5424">
      <formula>$H1196="SUBETAPA"</formula>
    </cfRule>
    <cfRule type="expression" dxfId="13772" priority="5425">
      <formula>$H1196="CÉLULA CONSTRUTIVA"</formula>
    </cfRule>
  </conditionalFormatting>
  <conditionalFormatting sqref="L1207:L1208">
    <cfRule type="expression" dxfId="13771" priority="5350">
      <formula>$H1207="CÉLULA CONSTRUTIVA"</formula>
    </cfRule>
    <cfRule type="expression" dxfId="13770" priority="5349">
      <formula>$H1207="SUBETAPA"</formula>
    </cfRule>
  </conditionalFormatting>
  <conditionalFormatting sqref="L1217:L1218">
    <cfRule type="expression" dxfId="13769" priority="5308">
      <formula>$H1217="CÉLULA CONSTRUTIVA"</formula>
    </cfRule>
    <cfRule type="expression" dxfId="13768" priority="5307">
      <formula>$H1217="SUBETAPA"</formula>
    </cfRule>
  </conditionalFormatting>
  <conditionalFormatting sqref="L1221:L1222">
    <cfRule type="expression" dxfId="13767" priority="8651">
      <formula>$H1221="SUBETAPA"</formula>
    </cfRule>
    <cfRule type="expression" dxfId="13766" priority="8652">
      <formula>$H1221="CÉLULA CONSTRUTIVA"</formula>
    </cfRule>
    <cfRule type="expression" dxfId="13765" priority="8653">
      <formula>$H1221="ETAPA"</formula>
    </cfRule>
  </conditionalFormatting>
  <conditionalFormatting sqref="L1234:L1235">
    <cfRule type="expression" dxfId="13764" priority="5265">
      <formula>$H1234="SUBETAPA"</formula>
    </cfRule>
    <cfRule type="expression" dxfId="13763" priority="5266">
      <formula>$H1234="CÉLULA CONSTRUTIVA"</formula>
    </cfRule>
  </conditionalFormatting>
  <conditionalFormatting sqref="L1238">
    <cfRule type="expression" dxfId="13762" priority="8579">
      <formula>$H1238="CÉLULA CONSTRUTIVA"</formula>
    </cfRule>
    <cfRule type="expression" dxfId="13761" priority="8578">
      <formula>$H1238="SUBETAPA"</formula>
    </cfRule>
    <cfRule type="expression" dxfId="13760" priority="8580">
      <formula>$H1238="ETAPA"</formula>
    </cfRule>
  </conditionalFormatting>
  <conditionalFormatting sqref="L1239">
    <cfRule type="expression" dxfId="13759" priority="163">
      <formula>$H1239="SUBETAPA"</formula>
    </cfRule>
    <cfRule type="expression" dxfId="13758" priority="164">
      <formula>$H1239="CÉLULA CONSTRUTIVA"</formula>
    </cfRule>
    <cfRule type="expression" dxfId="13757" priority="165">
      <formula>$H1239="ETAPA"</formula>
    </cfRule>
  </conditionalFormatting>
  <conditionalFormatting sqref="L1255:L1258">
    <cfRule type="expression" dxfId="13756" priority="5224">
      <formula>$H1255="CÉLULA CONSTRUTIVA"</formula>
    </cfRule>
    <cfRule type="expression" dxfId="13755" priority="5223">
      <formula>$H1255="SUBETAPA"</formula>
    </cfRule>
  </conditionalFormatting>
  <conditionalFormatting sqref="L1262">
    <cfRule type="expression" dxfId="13754" priority="137">
      <formula>$H1262="ETAPA"</formula>
    </cfRule>
    <cfRule type="expression" dxfId="13753" priority="136">
      <formula>$H1262="CÉLULA CONSTRUTIVA"</formula>
    </cfRule>
    <cfRule type="expression" dxfId="13752" priority="135">
      <formula>$H1262="SUBETAPA"</formula>
    </cfRule>
  </conditionalFormatting>
  <conditionalFormatting sqref="L1278:L1281">
    <cfRule type="expression" dxfId="13751" priority="5165">
      <formula>$H1278="SUBETAPA"</formula>
    </cfRule>
    <cfRule type="expression" dxfId="13750" priority="5166">
      <formula>$H1278="CÉLULA CONSTRUTIVA"</formula>
    </cfRule>
  </conditionalFormatting>
  <conditionalFormatting sqref="L1285">
    <cfRule type="expression" dxfId="13749" priority="107">
      <formula>$H1285="ETAPA"</formula>
    </cfRule>
    <cfRule type="expression" dxfId="13748" priority="105">
      <formula>$H1285="SUBETAPA"</formula>
    </cfRule>
    <cfRule type="expression" dxfId="13747" priority="106">
      <formula>$H1285="CÉLULA CONSTRUTIVA"</formula>
    </cfRule>
  </conditionalFormatting>
  <conditionalFormatting sqref="L1297:L1300">
    <cfRule type="expression" dxfId="13746" priority="5107">
      <formula>$H1297="SUBETAPA"</formula>
    </cfRule>
    <cfRule type="expression" dxfId="13745" priority="5108">
      <formula>$H1297="CÉLULA CONSTRUTIVA"</formula>
    </cfRule>
  </conditionalFormatting>
  <conditionalFormatting sqref="L1303">
    <cfRule type="expression" dxfId="13744" priority="8359">
      <formula>$H1303="ETAPA"</formula>
    </cfRule>
    <cfRule type="expression" dxfId="13743" priority="8358">
      <formula>$H1303="CÉLULA CONSTRUTIVA"</formula>
    </cfRule>
    <cfRule type="expression" dxfId="13742" priority="8357">
      <formula>$H1303="SUBETAPA"</formula>
    </cfRule>
  </conditionalFormatting>
  <conditionalFormatting sqref="L1309">
    <cfRule type="expression" dxfId="13741" priority="13540">
      <formula>$H1309="SUBETAPA"</formula>
    </cfRule>
    <cfRule type="expression" dxfId="13740" priority="13541">
      <formula>$H1309="CÉLULA CONSTRUTIVA"</formula>
    </cfRule>
  </conditionalFormatting>
  <conditionalFormatting sqref="L1312:L1313">
    <cfRule type="expression" dxfId="13739" priority="13935">
      <formula>$H1312="SUBETAPA"</formula>
    </cfRule>
    <cfRule type="expression" dxfId="13738" priority="13937">
      <formula>$H1312="ETAPA"</formula>
    </cfRule>
    <cfRule type="expression" dxfId="13737" priority="13936">
      <formula>$H1312="CÉLULA CONSTRUTIVA"</formula>
    </cfRule>
  </conditionalFormatting>
  <conditionalFormatting sqref="L1321:L1322">
    <cfRule type="expression" dxfId="13736" priority="13897">
      <formula>$H1321="ETAPA"</formula>
    </cfRule>
    <cfRule type="expression" dxfId="13735" priority="13895">
      <formula>$H1321="SUBETAPA"</formula>
    </cfRule>
    <cfRule type="expression" dxfId="13734" priority="13896">
      <formula>$H1321="CÉLULA CONSTRUTIVA"</formula>
    </cfRule>
  </conditionalFormatting>
  <conditionalFormatting sqref="L1324">
    <cfRule type="expression" dxfId="13733" priority="4779">
      <formula>$H1324="ETAPA"</formula>
    </cfRule>
    <cfRule type="expression" dxfId="13732" priority="4778">
      <formula>$H1324="CÉLULA CONSTRUTIVA"</formula>
    </cfRule>
    <cfRule type="expression" dxfId="13731" priority="4777">
      <formula>$H1324="SUBETAPA"</formula>
    </cfRule>
  </conditionalFormatting>
  <conditionalFormatting sqref="L1328:L1329">
    <cfRule type="expression" dxfId="13730" priority="13817">
      <formula>$H1328="SUBETAPA"</formula>
    </cfRule>
    <cfRule type="expression" dxfId="13729" priority="13818">
      <formula>$H1328="CÉLULA CONSTRUTIVA"</formula>
    </cfRule>
    <cfRule type="expression" dxfId="13728" priority="13819">
      <formula>$H1328="ETAPA"</formula>
    </cfRule>
  </conditionalFormatting>
  <conditionalFormatting sqref="L1331">
    <cfRule type="expression" dxfId="13727" priority="4733">
      <formula>$H1331="ETAPA"</formula>
    </cfRule>
    <cfRule type="expression" dxfId="13726" priority="4731">
      <formula>$H1331="SUBETAPA"</formula>
    </cfRule>
    <cfRule type="expression" dxfId="13725" priority="4732">
      <formula>$H1331="CÉLULA CONSTRUTIVA"</formula>
    </cfRule>
  </conditionalFormatting>
  <conditionalFormatting sqref="L1335:L1336">
    <cfRule type="expression" dxfId="13724" priority="24598">
      <formula>$H1335="SUBETAPA"</formula>
    </cfRule>
    <cfRule type="expression" dxfId="13723" priority="24600">
      <formula>$H1335="ETAPA"</formula>
    </cfRule>
    <cfRule type="expression" dxfId="13722" priority="24599">
      <formula>$H1335="CÉLULA CONSTRUTIVA"</formula>
    </cfRule>
  </conditionalFormatting>
  <conditionalFormatting sqref="L1338">
    <cfRule type="expression" dxfId="13721" priority="4687">
      <formula>$H1338="ETAPA"</formula>
    </cfRule>
    <cfRule type="expression" dxfId="13720" priority="4686">
      <formula>$H1338="CÉLULA CONSTRUTIVA"</formula>
    </cfRule>
    <cfRule type="expression" dxfId="13719" priority="4685">
      <formula>$H1338="SUBETAPA"</formula>
    </cfRule>
  </conditionalFormatting>
  <conditionalFormatting sqref="L1356:L1359 N1356:P1357">
    <cfRule type="expression" dxfId="13718" priority="7554">
      <formula>$H1356="SUBETAPA"</formula>
    </cfRule>
    <cfRule type="expression" dxfId="13717" priority="7556">
      <formula>$H1356="ETAPA"</formula>
    </cfRule>
    <cfRule type="expression" dxfId="13716" priority="7555">
      <formula>$H1356="CÉLULA CONSTRUTIVA"</formula>
    </cfRule>
  </conditionalFormatting>
  <conditionalFormatting sqref="L94:M94 L78:M79 L19:L64 L71:M71 L161:M162 L169:M169 L143:M144 L145:L149 L163:L166 M159 L177:L179 J340:L341 G747:L747 G797:L798 G881:M881 G890:M890 G897:M897 J344:L344">
    <cfRule type="expression" dxfId="13715" priority="21564">
      <formula>$H19="SUBETAPA"</formula>
    </cfRule>
    <cfRule type="expression" dxfId="13714" priority="21565">
      <formula>$H19="CÉLULA CONSTRUTIVA"</formula>
    </cfRule>
    <cfRule type="expression" dxfId="13713" priority="21566">
      <formula>$H19="ETAPA"</formula>
    </cfRule>
  </conditionalFormatting>
  <conditionalFormatting sqref="L97:M97">
    <cfRule type="expression" dxfId="13712" priority="20409">
      <formula>$H97="SUBETAPA"</formula>
    </cfRule>
    <cfRule type="expression" dxfId="13711" priority="20412">
      <formula>$H97="CÉLULA CONSTRUTIVA"</formula>
    </cfRule>
    <cfRule type="expression" dxfId="13710" priority="20413">
      <formula>$H97="ETAPA"</formula>
    </cfRule>
  </conditionalFormatting>
  <conditionalFormatting sqref="L115:M115 L101:M102">
    <cfRule type="expression" dxfId="13709" priority="20296">
      <formula>$H101="CÉLULA CONSTRUTIVA"</formula>
    </cfRule>
    <cfRule type="expression" dxfId="13708" priority="20297">
      <formula>$H101="ETAPA"</formula>
    </cfRule>
    <cfRule type="expression" dxfId="13707" priority="20295">
      <formula>$H101="SUBETAPA"</formula>
    </cfRule>
  </conditionalFormatting>
  <conditionalFormatting sqref="L118:M118">
    <cfRule type="expression" dxfId="13706" priority="20278">
      <formula>$H118="ETAPA"</formula>
    </cfRule>
    <cfRule type="expression" dxfId="13705" priority="20277">
      <formula>$H118="CÉLULA CONSTRUTIVA"</formula>
    </cfRule>
    <cfRule type="expression" dxfId="13704" priority="20276">
      <formula>$H118="SUBETAPA"</formula>
    </cfRule>
  </conditionalFormatting>
  <conditionalFormatting sqref="L157:M157">
    <cfRule type="expression" dxfId="13703" priority="20086">
      <formula>$H157="SUBETAPA"</formula>
    </cfRule>
    <cfRule type="expression" dxfId="13702" priority="20087">
      <formula>$H157="CÉLULA CONSTRUTIVA"</formula>
    </cfRule>
    <cfRule type="expression" dxfId="13701" priority="20088">
      <formula>$H157="ETAPA"</formula>
    </cfRule>
  </conditionalFormatting>
  <conditionalFormatting sqref="L171:M171">
    <cfRule type="expression" dxfId="13700" priority="20548">
      <formula>$H171="CÉLULA CONSTRUTIVA"</formula>
    </cfRule>
    <cfRule type="expression" dxfId="13699" priority="20545">
      <formula>$H171="SUBETAPA"</formula>
    </cfRule>
    <cfRule type="expression" dxfId="13698" priority="20549">
      <formula>$H171="ETAPA"</formula>
    </cfRule>
  </conditionalFormatting>
  <conditionalFormatting sqref="L175:M176">
    <cfRule type="expression" dxfId="13697" priority="20056">
      <formula>$H175="ETAPA"</formula>
    </cfRule>
    <cfRule type="expression" dxfId="13696" priority="20054">
      <formula>$H175="SUBETAPA"</formula>
    </cfRule>
    <cfRule type="expression" dxfId="13695" priority="20055">
      <formula>$H175="CÉLULA CONSTRUTIVA"</formula>
    </cfRule>
  </conditionalFormatting>
  <conditionalFormatting sqref="L188:M189">
    <cfRule type="expression" dxfId="13694" priority="19953">
      <formula>$H188="SUBETAPA"</formula>
    </cfRule>
    <cfRule type="expression" dxfId="13693" priority="19954">
      <formula>$H188="CÉLULA CONSTRUTIVA"</formula>
    </cfRule>
    <cfRule type="expression" dxfId="13692" priority="19955">
      <formula>$H188="ETAPA"</formula>
    </cfRule>
  </conditionalFormatting>
  <conditionalFormatting sqref="L196:M196">
    <cfRule type="expression" dxfId="13691" priority="19910">
      <formula>$H196="ETAPA"</formula>
    </cfRule>
    <cfRule type="expression" dxfId="13690" priority="19909">
      <formula>$H196="CÉLULA CONSTRUTIVA"</formula>
    </cfRule>
    <cfRule type="expression" dxfId="13689" priority="19908">
      <formula>$H196="SUBETAPA"</formula>
    </cfRule>
  </conditionalFormatting>
  <conditionalFormatting sqref="L202:M203">
    <cfRule type="expression" dxfId="13688" priority="19857">
      <formula>$H202="CÉLULA CONSTRUTIVA"</formula>
    </cfRule>
    <cfRule type="expression" dxfId="13687" priority="19856">
      <formula>$H202="SUBETAPA"</formula>
    </cfRule>
    <cfRule type="expression" dxfId="13686" priority="19858">
      <formula>$H202="ETAPA"</formula>
    </cfRule>
  </conditionalFormatting>
  <conditionalFormatting sqref="L214:M214">
    <cfRule type="expression" dxfId="13685" priority="19813">
      <formula>$H214="ETAPA"</formula>
    </cfRule>
    <cfRule type="expression" dxfId="13684" priority="19812">
      <formula>$H214="CÉLULA CONSTRUTIVA"</formula>
    </cfRule>
    <cfRule type="expression" dxfId="13683" priority="19811">
      <formula>$H214="SUBETAPA"</formula>
    </cfRule>
  </conditionalFormatting>
  <conditionalFormatting sqref="L216:M216">
    <cfRule type="expression" dxfId="13682" priority="19838">
      <formula>$H216="SUBETAPA"</formula>
    </cfRule>
    <cfRule type="expression" dxfId="13681" priority="19839">
      <formula>$H216="CÉLULA CONSTRUTIVA"</formula>
    </cfRule>
    <cfRule type="expression" dxfId="13680" priority="19840">
      <formula>$H216="ETAPA"</formula>
    </cfRule>
  </conditionalFormatting>
  <conditionalFormatting sqref="L279:M279 O279:P279 G279:K280">
    <cfRule type="expression" dxfId="13679" priority="21423">
      <formula>$H279="CÉLULA CONSTRUTIVA"</formula>
    </cfRule>
  </conditionalFormatting>
  <conditionalFormatting sqref="L301:M301 O301:P301 G301:K302">
    <cfRule type="expression" dxfId="13678" priority="21181">
      <formula>$H301="CÉLULA CONSTRUTIVA"</formula>
    </cfRule>
  </conditionalFormatting>
  <conditionalFormatting sqref="L334:M334 L336:M336">
    <cfRule type="expression" dxfId="13677" priority="19725">
      <formula>$H334="SUBETAPA"</formula>
    </cfRule>
  </conditionalFormatting>
  <conditionalFormatting sqref="L357:M357">
    <cfRule type="expression" dxfId="13676" priority="6889">
      <formula>$H357="SUBETAPA"</formula>
    </cfRule>
  </conditionalFormatting>
  <conditionalFormatting sqref="L366:M366">
    <cfRule type="expression" dxfId="13675" priority="19356">
      <formula>$H366="ETAPA"</formula>
    </cfRule>
    <cfRule type="expression" dxfId="13674" priority="19351">
      <formula>$H366="CÉLULA CONSTRUTIVA"</formula>
    </cfRule>
    <cfRule type="expression" dxfId="13673" priority="19350">
      <formula>$H366="SUBETAPA"</formula>
    </cfRule>
  </conditionalFormatting>
  <conditionalFormatting sqref="L379:M379">
    <cfRule type="expression" dxfId="13672" priority="19135">
      <formula>$H379="CÉLULA CONSTRUTIVA"</formula>
    </cfRule>
    <cfRule type="expression" dxfId="13671" priority="19140">
      <formula>$H379="ETAPA"</formula>
    </cfRule>
    <cfRule type="expression" dxfId="13670" priority="19134">
      <formula>$H379="SUBETAPA"</formula>
    </cfRule>
  </conditionalFormatting>
  <conditionalFormatting sqref="L394:M394">
    <cfRule type="expression" dxfId="13669" priority="19017">
      <formula>$H394="CÉLULA CONSTRUTIVA"</formula>
    </cfRule>
    <cfRule type="expression" dxfId="13668" priority="19022">
      <formula>$H394="ETAPA"</formula>
    </cfRule>
    <cfRule type="expression" dxfId="13667" priority="19016">
      <formula>$H394="SUBETAPA"</formula>
    </cfRule>
  </conditionalFormatting>
  <conditionalFormatting sqref="L406:M406">
    <cfRule type="expression" dxfId="13666" priority="18873">
      <formula>$H406="ETAPA"</formula>
    </cfRule>
    <cfRule type="expression" dxfId="13665" priority="18867">
      <formula>$H406="SUBETAPA"</formula>
    </cfRule>
    <cfRule type="expression" dxfId="13664" priority="18868">
      <formula>$H406="CÉLULA CONSTRUTIVA"</formula>
    </cfRule>
  </conditionalFormatting>
  <conditionalFormatting sqref="L408:M408">
    <cfRule type="expression" dxfId="13663" priority="18806">
      <formula>$H408="SUBETAPA"</formula>
    </cfRule>
    <cfRule type="expression" dxfId="13662" priority="18807">
      <formula>$H408="CÉLULA CONSTRUTIVA"</formula>
    </cfRule>
    <cfRule type="expression" dxfId="13661" priority="18808">
      <formula>$H408="ETAPA"</formula>
    </cfRule>
  </conditionalFormatting>
  <conditionalFormatting sqref="L422:M422">
    <cfRule type="expression" dxfId="13660" priority="18683">
      <formula>$H422="SUBETAPA"</formula>
    </cfRule>
    <cfRule type="expression" dxfId="13659" priority="18684">
      <formula>$H422="CÉLULA CONSTRUTIVA"</formula>
    </cfRule>
    <cfRule type="expression" dxfId="13658" priority="18689">
      <formula>$H422="ETAPA"</formula>
    </cfRule>
  </conditionalFormatting>
  <conditionalFormatting sqref="L424:M424">
    <cfRule type="expression" dxfId="13657" priority="18644">
      <formula>$H424="SUBETAPA"</formula>
    </cfRule>
    <cfRule type="expression" dxfId="13656" priority="18646">
      <formula>$H424="ETAPA"</formula>
    </cfRule>
    <cfRule type="expression" dxfId="13655" priority="18645">
      <formula>$H424="CÉLULA CONSTRUTIVA"</formula>
    </cfRule>
  </conditionalFormatting>
  <conditionalFormatting sqref="L613:M613">
    <cfRule type="expression" dxfId="13654" priority="14845">
      <formula>$H613="ETAPA"</formula>
    </cfRule>
    <cfRule type="expression" dxfId="13653" priority="14843">
      <formula>$H613="SUBETAPA"</formula>
    </cfRule>
    <cfRule type="expression" dxfId="13652" priority="14844">
      <formula>$H613="CÉLULA CONSTRUTIVA"</formula>
    </cfRule>
  </conditionalFormatting>
  <conditionalFormatting sqref="L615:M615">
    <cfRule type="expression" dxfId="13651" priority="15988">
      <formula>$H615="ETAPA"</formula>
    </cfRule>
    <cfRule type="expression" dxfId="13650" priority="15987">
      <formula>$H615="CÉLULA CONSTRUTIVA"</formula>
    </cfRule>
    <cfRule type="expression" dxfId="13649" priority="15986">
      <formula>$H615="SUBETAPA"</formula>
    </cfRule>
  </conditionalFormatting>
  <conditionalFormatting sqref="L629:M629">
    <cfRule type="expression" dxfId="13648" priority="15810">
      <formula>$H629="SUBETAPA"</formula>
    </cfRule>
    <cfRule type="expression" dxfId="13647" priority="15811">
      <formula>$H629="CÉLULA CONSTRUTIVA"</formula>
    </cfRule>
    <cfRule type="expression" dxfId="13646" priority="15812">
      <formula>$H629="ETAPA"</formula>
    </cfRule>
  </conditionalFormatting>
  <conditionalFormatting sqref="L643:M643">
    <cfRule type="expression" dxfId="13645" priority="15484">
      <formula>$H643="SUBETAPA"</formula>
    </cfRule>
    <cfRule type="expression" dxfId="13644" priority="15486">
      <formula>$H643="ETAPA"</formula>
    </cfRule>
    <cfRule type="expression" dxfId="13643" priority="15485">
      <formula>$H643="CÉLULA CONSTRUTIVA"</formula>
    </cfRule>
  </conditionalFormatting>
  <conditionalFormatting sqref="L657:M657">
    <cfRule type="expression" dxfId="13642" priority="15323">
      <formula>$H657="ETAPA"</formula>
    </cfRule>
    <cfRule type="expression" dxfId="13641" priority="15321">
      <formula>$H657="SUBETAPA"</formula>
    </cfRule>
    <cfRule type="expression" dxfId="13640" priority="15322">
      <formula>$H657="CÉLULA CONSTRUTIVA"</formula>
    </cfRule>
  </conditionalFormatting>
  <conditionalFormatting sqref="L671:M671">
    <cfRule type="expression" dxfId="13639" priority="15157">
      <formula>$H671="SUBETAPA"</formula>
    </cfRule>
    <cfRule type="expression" dxfId="13638" priority="15158">
      <formula>$H671="CÉLULA CONSTRUTIVA"</formula>
    </cfRule>
    <cfRule type="expression" dxfId="13637" priority="15159">
      <formula>$H671="ETAPA"</formula>
    </cfRule>
  </conditionalFormatting>
  <conditionalFormatting sqref="L685:M685">
    <cfRule type="expression" dxfId="13636" priority="14477">
      <formula>$H685="SUBETAPA"</formula>
    </cfRule>
    <cfRule type="expression" dxfId="13635" priority="14479">
      <formula>$H685="ETAPA"</formula>
    </cfRule>
    <cfRule type="expression" dxfId="13634" priority="14478">
      <formula>$H685="CÉLULA CONSTRUTIVA"</formula>
    </cfRule>
  </conditionalFormatting>
  <conditionalFormatting sqref="L699:M699">
    <cfRule type="expression" dxfId="13633" priority="14994">
      <formula>$H699="CÉLULA CONSTRUTIVA"</formula>
    </cfRule>
    <cfRule type="expression" dxfId="13632" priority="14995">
      <formula>$H699="ETAPA"</formula>
    </cfRule>
    <cfRule type="expression" dxfId="13631" priority="14993">
      <formula>$H699="SUBETAPA"</formula>
    </cfRule>
  </conditionalFormatting>
  <conditionalFormatting sqref="L869:M869">
    <cfRule type="expression" dxfId="13630" priority="12212">
      <formula>$H869="ETAPA"</formula>
    </cfRule>
    <cfRule type="expression" dxfId="13629" priority="12210">
      <formula>$H869="SUBETAPA"</formula>
    </cfRule>
    <cfRule type="expression" dxfId="13628" priority="12211">
      <formula>$H869="CÉLULA CONSTRUTIVA"</formula>
    </cfRule>
  </conditionalFormatting>
  <conditionalFormatting sqref="L874:M874">
    <cfRule type="expression" dxfId="13627" priority="12100">
      <formula>$H874="SUBETAPA"</formula>
    </cfRule>
    <cfRule type="expression" dxfId="13626" priority="12102">
      <formula>$H874="ETAPA"</formula>
    </cfRule>
    <cfRule type="expression" dxfId="13625" priority="12101">
      <formula>$H874="CÉLULA CONSTRUTIVA"</formula>
    </cfRule>
  </conditionalFormatting>
  <conditionalFormatting sqref="L879:M879">
    <cfRule type="expression" dxfId="13624" priority="12024">
      <formula>$H879="SUBETAPA"</formula>
    </cfRule>
    <cfRule type="expression" dxfId="13623" priority="12026">
      <formula>$H879="ETAPA"</formula>
    </cfRule>
    <cfRule type="expression" dxfId="13622" priority="12025">
      <formula>$H879="CÉLULA CONSTRUTIVA"</formula>
    </cfRule>
  </conditionalFormatting>
  <conditionalFormatting sqref="L888:M888">
    <cfRule type="expression" dxfId="13621" priority="6477">
      <formula>$H888="SUBETAPA"</formula>
    </cfRule>
    <cfRule type="expression" dxfId="13620" priority="6478">
      <formula>$H888="CÉLULA CONSTRUTIVA"</formula>
    </cfRule>
    <cfRule type="expression" dxfId="13619" priority="6479">
      <formula>$H888="ETAPA"</formula>
    </cfRule>
  </conditionalFormatting>
  <conditionalFormatting sqref="L895:M895">
    <cfRule type="expression" dxfId="13618" priority="2330">
      <formula>$H895="ETAPA"</formula>
    </cfRule>
    <cfRule type="expression" dxfId="13617" priority="2329">
      <formula>$H895="CÉLULA CONSTRUTIVA"</formula>
    </cfRule>
    <cfRule type="expression" dxfId="13616" priority="2328">
      <formula>$H895="SUBETAPA"</formula>
    </cfRule>
  </conditionalFormatting>
  <conditionalFormatting sqref="L902:M902">
    <cfRule type="expression" dxfId="13615" priority="2256">
      <formula>$H902="CÉLULA CONSTRUTIVA"</formula>
    </cfRule>
    <cfRule type="expression" dxfId="13614" priority="2255">
      <formula>$H902="SUBETAPA"</formula>
    </cfRule>
    <cfRule type="expression" dxfId="13613" priority="2257">
      <formula>$H902="ETAPA"</formula>
    </cfRule>
  </conditionalFormatting>
  <conditionalFormatting sqref="L910:M910">
    <cfRule type="expression" dxfId="13612" priority="11728">
      <formula>$H910="SUBETAPA"</formula>
    </cfRule>
    <cfRule type="expression" dxfId="13611" priority="11729">
      <formula>$H910="CÉLULA CONSTRUTIVA"</formula>
    </cfRule>
    <cfRule type="expression" dxfId="13610" priority="11730">
      <formula>$H910="ETAPA"</formula>
    </cfRule>
  </conditionalFormatting>
  <conditionalFormatting sqref="L913:M914">
    <cfRule type="expression" dxfId="13609" priority="11278">
      <formula>$H913="CÉLULA CONSTRUTIVA"</formula>
    </cfRule>
    <cfRule type="expression" dxfId="13608" priority="11279">
      <formula>$H913="ETAPA"</formula>
    </cfRule>
    <cfRule type="expression" dxfId="13607" priority="11277">
      <formula>$H913="SUBETAPA"</formula>
    </cfRule>
  </conditionalFormatting>
  <conditionalFormatting sqref="L933:M934">
    <cfRule type="expression" dxfId="13606" priority="11154">
      <formula>$H933="SUBETAPA"</formula>
    </cfRule>
    <cfRule type="expression" dxfId="13605" priority="11155">
      <formula>$H933="CÉLULA CONSTRUTIVA"</formula>
    </cfRule>
    <cfRule type="expression" dxfId="13604" priority="11156">
      <formula>$H933="ETAPA"</formula>
    </cfRule>
  </conditionalFormatting>
  <conditionalFormatting sqref="L952:M953">
    <cfRule type="expression" dxfId="13603" priority="11071">
      <formula>$H952="SUBETAPA"</formula>
    </cfRule>
    <cfRule type="expression" dxfId="13602" priority="11072">
      <formula>$H952="CÉLULA CONSTRUTIVA"</formula>
    </cfRule>
    <cfRule type="expression" dxfId="13601" priority="11073">
      <formula>$H952="ETAPA"</formula>
    </cfRule>
  </conditionalFormatting>
  <conditionalFormatting sqref="L968:M969">
    <cfRule type="expression" dxfId="13600" priority="10990">
      <formula>$H968="ETAPA"</formula>
    </cfRule>
    <cfRule type="expression" dxfId="13599" priority="10989">
      <formula>$H968="CÉLULA CONSTRUTIVA"</formula>
    </cfRule>
    <cfRule type="expression" dxfId="13598" priority="10988">
      <formula>$H968="SUBETAPA"</formula>
    </cfRule>
  </conditionalFormatting>
  <conditionalFormatting sqref="L988:M989">
    <cfRule type="expression" dxfId="13597" priority="10867">
      <formula>$H988="ETAPA"</formula>
    </cfRule>
    <cfRule type="expression" dxfId="13596" priority="10865">
      <formula>$H988="SUBETAPA"</formula>
    </cfRule>
    <cfRule type="expression" dxfId="13595" priority="10866">
      <formula>$H988="CÉLULA CONSTRUTIVA"</formula>
    </cfRule>
  </conditionalFormatting>
  <conditionalFormatting sqref="L1008:M1009">
    <cfRule type="expression" dxfId="13594" priority="10430">
      <formula>$H1008="SUBETAPA"</formula>
    </cfRule>
    <cfRule type="expression" dxfId="13593" priority="10431">
      <formula>$H1008="CÉLULA CONSTRUTIVA"</formula>
    </cfRule>
    <cfRule type="expression" dxfId="13592" priority="10432">
      <formula>$H1008="ETAPA"</formula>
    </cfRule>
  </conditionalFormatting>
  <conditionalFormatting sqref="L1026:M1026 G1022:M1022 O1022:P1022">
    <cfRule type="expression" dxfId="13591" priority="10514">
      <formula>$H1022="SUBETAPA"</formula>
    </cfRule>
  </conditionalFormatting>
  <conditionalFormatting sqref="L1028:M1029">
    <cfRule type="expression" dxfId="13590" priority="10265">
      <formula>$H1028="ETAPA"</formula>
    </cfRule>
    <cfRule type="expression" dxfId="13589" priority="10264">
      <formula>$H1028="CÉLULA CONSTRUTIVA"</formula>
    </cfRule>
    <cfRule type="expression" dxfId="13588" priority="10263">
      <formula>$H1028="SUBETAPA"</formula>
    </cfRule>
  </conditionalFormatting>
  <conditionalFormatting sqref="L1045:M1045 G1041:M1041 O1041:P1041">
    <cfRule type="expression" dxfId="13587" priority="10347">
      <formula>$H1041="SUBETAPA"</formula>
    </cfRule>
  </conditionalFormatting>
  <conditionalFormatting sqref="L1047:M1048">
    <cfRule type="expression" dxfId="13586" priority="10674">
      <formula>$H1047="CÉLULA CONSTRUTIVA"</formula>
    </cfRule>
    <cfRule type="expression" dxfId="13585" priority="10673">
      <formula>$H1047="SUBETAPA"</formula>
    </cfRule>
    <cfRule type="expression" dxfId="13584" priority="10675">
      <formula>$H1047="ETAPA"</formula>
    </cfRule>
  </conditionalFormatting>
  <conditionalFormatting sqref="L1066:M1066">
    <cfRule type="expression" dxfId="13583" priority="9776">
      <formula>$H1066="SUBETAPA"</formula>
    </cfRule>
    <cfRule type="expression" dxfId="13582" priority="9777">
      <formula>$H1066="CÉLULA CONSTRUTIVA"</formula>
    </cfRule>
  </conditionalFormatting>
  <conditionalFormatting sqref="L1084:M1084">
    <cfRule type="expression" dxfId="13581" priority="10082">
      <formula>$H1084="SUBETAPA"</formula>
    </cfRule>
    <cfRule type="expression" dxfId="13580" priority="10083">
      <formula>$H1084="CÉLULA CONSTRUTIVA"</formula>
    </cfRule>
  </conditionalFormatting>
  <conditionalFormatting sqref="L1101:M1101">
    <cfRule type="expression" dxfId="13579" priority="10027">
      <formula>$H1101="CÉLULA CONSTRUTIVA"</formula>
    </cfRule>
    <cfRule type="expression" dxfId="13578" priority="10026">
      <formula>$H1101="SUBETAPA"</formula>
    </cfRule>
  </conditionalFormatting>
  <conditionalFormatting sqref="L1118:M1118">
    <cfRule type="expression" dxfId="13577" priority="9972">
      <formula>$H1118="CÉLULA CONSTRUTIVA"</formula>
    </cfRule>
    <cfRule type="expression" dxfId="13576" priority="9971">
      <formula>$H1118="SUBETAPA"</formula>
    </cfRule>
  </conditionalFormatting>
  <conditionalFormatting sqref="L1135:M1135">
    <cfRule type="expression" dxfId="13575" priority="9916">
      <formula>$H1135="SUBETAPA"</formula>
    </cfRule>
    <cfRule type="expression" dxfId="13574" priority="9917">
      <formula>$H1135="CÉLULA CONSTRUTIVA"</formula>
    </cfRule>
  </conditionalFormatting>
  <conditionalFormatting sqref="L1151:M1151">
    <cfRule type="expression" dxfId="13573" priority="9861">
      <formula>$H1151="SUBETAPA"</formula>
    </cfRule>
    <cfRule type="expression" dxfId="13572" priority="9862">
      <formula>$H1151="CÉLULA CONSTRUTIVA"</formula>
    </cfRule>
  </conditionalFormatting>
  <conditionalFormatting sqref="L1166:M1166">
    <cfRule type="expression" dxfId="13571" priority="9499">
      <formula>$H1166="SUBETAPA"</formula>
    </cfRule>
    <cfRule type="expression" dxfId="13570" priority="9500">
      <formula>$H1166="CÉLULA CONSTRUTIVA"</formula>
    </cfRule>
  </conditionalFormatting>
  <conditionalFormatting sqref="L1179:M1179">
    <cfRule type="expression" dxfId="13569" priority="9806">
      <formula>$H1179="SUBETAPA"</formula>
    </cfRule>
    <cfRule type="expression" dxfId="13568" priority="9807">
      <formula>$H1179="CÉLULA CONSTRUTIVA"</formula>
    </cfRule>
  </conditionalFormatting>
  <conditionalFormatting sqref="L1185:M1185">
    <cfRule type="expression" dxfId="13567" priority="24597">
      <formula>$H1185="ETAPA"</formula>
    </cfRule>
    <cfRule type="expression" dxfId="13566" priority="24596">
      <formula>$H1185="CÉLULA CONSTRUTIVA"</formula>
    </cfRule>
    <cfRule type="expression" dxfId="13565" priority="24595">
      <formula>$H1185="SUBETAPA"</formula>
    </cfRule>
  </conditionalFormatting>
  <conditionalFormatting sqref="L1190:M1190 O1190:P1190">
    <cfRule type="expression" dxfId="13564" priority="8241">
      <formula>$H1190="CÉLULA CONSTRUTIVA"</formula>
    </cfRule>
    <cfRule type="expression" dxfId="13563" priority="8240">
      <formula>$H1190="SUBETAPA"</formula>
    </cfRule>
  </conditionalFormatting>
  <conditionalFormatting sqref="L1192:M1192 O1192:P1192">
    <cfRule type="expression" dxfId="13562" priority="5728">
      <formula>$H1192="CÉLULA CONSTRUTIVA"</formula>
    </cfRule>
    <cfRule type="expression" dxfId="13561" priority="5727">
      <formula>$H1192="SUBETAPA"</formula>
    </cfRule>
  </conditionalFormatting>
  <conditionalFormatting sqref="L1203:M1203 O1203:P1203">
    <cfRule type="expression" dxfId="13560" priority="5711">
      <formula>$H1203="SUBETAPA"</formula>
    </cfRule>
    <cfRule type="expression" dxfId="13559" priority="5712">
      <formula>$H1203="CÉLULA CONSTRUTIVA"</formula>
    </cfRule>
  </conditionalFormatting>
  <conditionalFormatting sqref="L1213:M1213 O1213:P1213">
    <cfRule type="expression" dxfId="13558" priority="5695">
      <formula>$H1213="SUBETAPA"</formula>
    </cfRule>
    <cfRule type="expression" dxfId="13557" priority="5696">
      <formula>$H1213="CÉLULA CONSTRUTIVA"</formula>
    </cfRule>
  </conditionalFormatting>
  <conditionalFormatting sqref="L1223:M1223 O1223:P1223">
    <cfRule type="expression" dxfId="13556" priority="5656">
      <formula>$H1223="SUBETAPA"</formula>
    </cfRule>
    <cfRule type="expression" dxfId="13555" priority="5657">
      <formula>$H1223="CÉLULA CONSTRUTIVA"</formula>
    </cfRule>
  </conditionalFormatting>
  <conditionalFormatting sqref="L1240:M1240 O1240:P1240">
    <cfRule type="expression" dxfId="13554" priority="5614">
      <formula>$H1240="SUBETAPA"</formula>
    </cfRule>
    <cfRule type="expression" dxfId="13553" priority="5615">
      <formula>$H1240="CÉLULA CONSTRUTIVA"</formula>
    </cfRule>
  </conditionalFormatting>
  <conditionalFormatting sqref="L1241:M1241">
    <cfRule type="expression" dxfId="13552" priority="5651">
      <formula>$H1241="CÉLULA CONSTRUTIVA"</formula>
    </cfRule>
    <cfRule type="expression" dxfId="13551" priority="5652">
      <formula>$H1241="ETAPA"</formula>
    </cfRule>
    <cfRule type="expression" dxfId="13550" priority="5650">
      <formula>$H1241="SUBETAPA"</formula>
    </cfRule>
  </conditionalFormatting>
  <conditionalFormatting sqref="L1263:M1263 O1263:P1263">
    <cfRule type="expression" dxfId="13549" priority="5573">
      <formula>$H1263="CÉLULA CONSTRUTIVA"</formula>
    </cfRule>
    <cfRule type="expression" dxfId="13548" priority="5572">
      <formula>$H1263="SUBETAPA"</formula>
    </cfRule>
  </conditionalFormatting>
  <conditionalFormatting sqref="L1264:M1264">
    <cfRule type="expression" dxfId="13547" priority="5609">
      <formula>$H1264="CÉLULA CONSTRUTIVA"</formula>
    </cfRule>
    <cfRule type="expression" dxfId="13546" priority="5610">
      <formula>$H1264="ETAPA"</formula>
    </cfRule>
    <cfRule type="expression" dxfId="13545" priority="5608">
      <formula>$H1264="SUBETAPA"</formula>
    </cfRule>
  </conditionalFormatting>
  <conditionalFormatting sqref="L1306:M1306">
    <cfRule type="expression" dxfId="13544" priority="908">
      <formula>$H1306="CÉLULA CONSTRUTIVA"</formula>
    </cfRule>
    <cfRule type="expression" dxfId="13543" priority="909">
      <formula>$H1306="ETAPA"</formula>
    </cfRule>
    <cfRule type="expression" dxfId="13542" priority="907">
      <formula>$H1306="SUBETAPA"</formula>
    </cfRule>
  </conditionalFormatting>
  <conditionalFormatting sqref="L1354:M1355 O1354:P1355 M1358 O1358:P1358">
    <cfRule type="expression" dxfId="13541" priority="7676">
      <formula>$H1354="ETAPA"</formula>
    </cfRule>
    <cfRule type="expression" dxfId="13540" priority="7675">
      <formula>$H1354="CÉLULA CONSTRUTIVA"</formula>
    </cfRule>
  </conditionalFormatting>
  <conditionalFormatting sqref="L1360:M1361 L1362:L1363">
    <cfRule type="expression" dxfId="13539" priority="7662">
      <formula>$H1360="CÉLULA CONSTRUTIVA"</formula>
    </cfRule>
    <cfRule type="expression" dxfId="13538" priority="7661">
      <formula>$H1360="SUBETAPA"</formula>
    </cfRule>
    <cfRule type="expression" dxfId="13537" priority="7663">
      <formula>$H1360="ETAPA"</formula>
    </cfRule>
  </conditionalFormatting>
  <conditionalFormatting sqref="L339:O339">
    <cfRule type="expression" dxfId="13536" priority="6770">
      <formula>$H339="ETAPA"</formula>
    </cfRule>
    <cfRule type="expression" dxfId="13535" priority="6769">
      <formula>$H339="CÉLULA CONSTRUTIVA"</formula>
    </cfRule>
  </conditionalFormatting>
  <conditionalFormatting sqref="L380:O380">
    <cfRule type="expression" dxfId="13534" priority="19131">
      <formula>$H380="ETAPA"</formula>
    </cfRule>
    <cfRule type="expression" dxfId="13533" priority="19130">
      <formula>$H380="CÉLULA CONSTRUTIVA"</formula>
    </cfRule>
  </conditionalFormatting>
  <conditionalFormatting sqref="L382:O382">
    <cfRule type="expression" dxfId="13532" priority="19132">
      <formula>$H382="CÉLULA CONSTRUTIVA"</formula>
    </cfRule>
    <cfRule type="expression" dxfId="13531" priority="19133">
      <formula>$H382="ETAPA"</formula>
    </cfRule>
  </conditionalFormatting>
  <conditionalFormatting sqref="L395:O395">
    <cfRule type="expression" dxfId="13530" priority="19012">
      <formula>$H395="CÉLULA CONSTRUTIVA"</formula>
    </cfRule>
    <cfRule type="expression" dxfId="13529" priority="19013">
      <formula>$H395="ETAPA"</formula>
    </cfRule>
  </conditionalFormatting>
  <conditionalFormatting sqref="L397:O397">
    <cfRule type="expression" dxfId="13528" priority="19014">
      <formula>$H397="CÉLULA CONSTRUTIVA"</formula>
    </cfRule>
    <cfRule type="expression" dxfId="13527" priority="19015">
      <formula>$H397="ETAPA"</formula>
    </cfRule>
  </conditionalFormatting>
  <conditionalFormatting sqref="L875:O875 L880:O880 L911:O911">
    <cfRule type="expression" dxfId="13526" priority="12215">
      <formula>$H875="ETAPA"</formula>
    </cfRule>
    <cfRule type="expression" dxfId="13525" priority="12214">
      <formula>$H875="CÉLULA CONSTRUTIVA"</formula>
    </cfRule>
    <cfRule type="expression" dxfId="13524" priority="12213">
      <formula>$H875="SUBETAPA"</formula>
    </cfRule>
  </conditionalFormatting>
  <conditionalFormatting sqref="L889:O889">
    <cfRule type="expression" dxfId="13523" priority="6537">
      <formula>$H889="CÉLULA CONSTRUTIVA"</formula>
    </cfRule>
    <cfRule type="expression" dxfId="13522" priority="6536">
      <formula>$H889="SUBETAPA"</formula>
    </cfRule>
    <cfRule type="expression" dxfId="13521" priority="6538">
      <formula>$H889="ETAPA"</formula>
    </cfRule>
  </conditionalFormatting>
  <conditionalFormatting sqref="L896:O896">
    <cfRule type="expression" dxfId="13520" priority="2353">
      <formula>$H896="SUBETAPA"</formula>
    </cfRule>
    <cfRule type="expression" dxfId="13519" priority="2355">
      <formula>$H896="ETAPA"</formula>
    </cfRule>
    <cfRule type="expression" dxfId="13518" priority="2354">
      <formula>$H896="CÉLULA CONSTRUTIVA"</formula>
    </cfRule>
  </conditionalFormatting>
  <conditionalFormatting sqref="L903:O903">
    <cfRule type="expression" dxfId="13517" priority="2280">
      <formula>$H903="SUBETAPA"</formula>
    </cfRule>
    <cfRule type="expression" dxfId="13516" priority="2282">
      <formula>$H903="ETAPA"</formula>
    </cfRule>
    <cfRule type="expression" dxfId="13515" priority="2281">
      <formula>$H903="CÉLULA CONSTRUTIVA"</formula>
    </cfRule>
  </conditionalFormatting>
  <conditionalFormatting sqref="L932:O932">
    <cfRule type="expression" dxfId="13514" priority="11281">
      <formula>$H932="CÉLULA CONSTRUTIVA"</formula>
    </cfRule>
    <cfRule type="expression" dxfId="13513" priority="11280">
      <formula>$H932="SUBETAPA"</formula>
    </cfRule>
  </conditionalFormatting>
  <conditionalFormatting sqref="L950:O951">
    <cfRule type="expression" dxfId="13512" priority="5917">
      <formula>$H950="ETAPA"</formula>
    </cfRule>
    <cfRule type="expression" dxfId="13511" priority="5916">
      <formula>$H950="CÉLULA CONSTRUTIVA"</formula>
    </cfRule>
    <cfRule type="expression" dxfId="13510" priority="5915">
      <formula>$H950="SUBETAPA"</formula>
    </cfRule>
  </conditionalFormatting>
  <conditionalFormatting sqref="L1007:O1007">
    <cfRule type="expression" dxfId="13509" priority="10869">
      <formula>$H1007="CÉLULA CONSTRUTIVA"</formula>
    </cfRule>
    <cfRule type="expression" dxfId="13508" priority="10868">
      <formula>$H1007="SUBETAPA"</formula>
    </cfRule>
  </conditionalFormatting>
  <conditionalFormatting sqref="L1027:O1027">
    <cfRule type="expression" dxfId="13507" priority="10433">
      <formula>$H1027="SUBETAPA"</formula>
    </cfRule>
    <cfRule type="expression" dxfId="13506" priority="10434">
      <formula>$H1027="CÉLULA CONSTRUTIVA"</formula>
    </cfRule>
  </conditionalFormatting>
  <conditionalFormatting sqref="L1046:O1046">
    <cfRule type="expression" dxfId="13505" priority="10267">
      <formula>$H1046="CÉLULA CONSTRUTIVA"</formula>
    </cfRule>
    <cfRule type="expression" dxfId="13504" priority="10266">
      <formula>$H1046="SUBETAPA"</formula>
    </cfRule>
  </conditionalFormatting>
  <conditionalFormatting sqref="L1064:O1064">
    <cfRule type="expression" dxfId="13503" priority="9775">
      <formula>$H1064="CÉLULA CONSTRUTIVA"</formula>
    </cfRule>
    <cfRule type="expression" dxfId="13502" priority="9774">
      <formula>$H1064="SUBETAPA"</formula>
    </cfRule>
  </conditionalFormatting>
  <conditionalFormatting sqref="L1165:O1165">
    <cfRule type="expression" dxfId="13501" priority="5856">
      <formula>$H1165="ETAPA"</formula>
    </cfRule>
    <cfRule type="expression" dxfId="13500" priority="5831">
      <formula>$H1165="CÉLULA CONSTRUTIVA"</formula>
    </cfRule>
    <cfRule type="expression" dxfId="13499" priority="5830">
      <formula>$H1165="SUBETAPA"</formula>
    </cfRule>
  </conditionalFormatting>
  <conditionalFormatting sqref="L335:P335">
    <cfRule type="expression" dxfId="13498" priority="19682">
      <formula>$H335="ETAPA"</formula>
    </cfRule>
    <cfRule type="expression" dxfId="13497" priority="19681">
      <formula>$H335="CÉLULA CONSTRUTIVA"</formula>
    </cfRule>
    <cfRule type="expression" dxfId="13496" priority="19680">
      <formula>$H335="SUBETAPA"</formula>
    </cfRule>
  </conditionalFormatting>
  <conditionalFormatting sqref="L339:P339">
    <cfRule type="expression" dxfId="13495" priority="6748">
      <formula>$H339="SUBETAPA"</formula>
    </cfRule>
  </conditionalFormatting>
  <conditionalFormatting sqref="L380:P380">
    <cfRule type="expression" dxfId="13494" priority="19108">
      <formula>$H380="SUBETAPA"</formula>
    </cfRule>
  </conditionalFormatting>
  <conditionalFormatting sqref="L382:P382">
    <cfRule type="expression" dxfId="13493" priority="19088">
      <formula>$H382="SUBETAPA"</formula>
    </cfRule>
  </conditionalFormatting>
  <conditionalFormatting sqref="L395:P395">
    <cfRule type="expression" dxfId="13492" priority="18990">
      <formula>$H395="SUBETAPA"</formula>
    </cfRule>
  </conditionalFormatting>
  <conditionalFormatting sqref="L397:P397">
    <cfRule type="expression" dxfId="13491" priority="18970">
      <formula>$H397="SUBETAPA"</formula>
    </cfRule>
  </conditionalFormatting>
  <conditionalFormatting sqref="M8:M10 O8:P10 M11:O11">
    <cfRule type="expression" dxfId="13490" priority="25077">
      <formula>$H8="ETAPA"</formula>
    </cfRule>
    <cfRule type="expression" dxfId="13489" priority="25076">
      <formula>$H8="CÉLULA CONSTRUTIVA"</formula>
    </cfRule>
  </conditionalFormatting>
  <conditionalFormatting sqref="M8:M10 O8:P10">
    <cfRule type="expression" dxfId="13488" priority="25075">
      <formula>$H8="SUBETAPA"</formula>
    </cfRule>
  </conditionalFormatting>
  <conditionalFormatting sqref="M12:M17">
    <cfRule type="expression" dxfId="13487" priority="24512">
      <formula>$H12="ETAPA"</formula>
    </cfRule>
    <cfRule type="expression" dxfId="13486" priority="24511">
      <formula>$H12="CÉLULA CONSTRUTIVA"</formula>
    </cfRule>
    <cfRule type="expression" dxfId="13485" priority="24510">
      <formula>$H12="SUBETAPA"</formula>
    </cfRule>
  </conditionalFormatting>
  <conditionalFormatting sqref="M19:M23">
    <cfRule type="expression" dxfId="13484" priority="24223">
      <formula>$H19="CÉLULA CONSTRUTIVA"</formula>
    </cfRule>
    <cfRule type="expression" dxfId="13483" priority="24222">
      <formula>$H19="SUBETAPA"</formula>
    </cfRule>
    <cfRule type="expression" dxfId="13482" priority="24224">
      <formula>$H19="ETAPA"</formula>
    </cfRule>
  </conditionalFormatting>
  <conditionalFormatting sqref="M24">
    <cfRule type="expression" dxfId="13481" priority="1213">
      <formula>$H24="SUBETAPA"</formula>
    </cfRule>
    <cfRule type="expression" dxfId="13480" priority="1215">
      <formula>$H24="ETAPA"</formula>
    </cfRule>
    <cfRule type="expression" dxfId="13479" priority="1214">
      <formula>$H24="CÉLULA CONSTRUTIVA"</formula>
    </cfRule>
  </conditionalFormatting>
  <conditionalFormatting sqref="M26">
    <cfRule type="expression" dxfId="13478" priority="1210">
      <formula>$H26="SUBETAPA"</formula>
    </cfRule>
    <cfRule type="expression" dxfId="13477" priority="1212">
      <formula>$H26="ETAPA"</formula>
    </cfRule>
    <cfRule type="expression" dxfId="13476" priority="1211">
      <formula>$H26="CÉLULA CONSTRUTIVA"</formula>
    </cfRule>
  </conditionalFormatting>
  <conditionalFormatting sqref="M28:M30 M34 M36:M37 M39">
    <cfRule type="expression" dxfId="13475" priority="24775">
      <formula>$H28="CÉLULA CONSTRUTIVA"</formula>
    </cfRule>
    <cfRule type="expression" dxfId="13474" priority="24774">
      <formula>$H28="SUBETAPA"</formula>
    </cfRule>
    <cfRule type="expression" dxfId="13473" priority="24776">
      <formula>$H28="ETAPA"</formula>
    </cfRule>
  </conditionalFormatting>
  <conditionalFormatting sqref="M31:M33">
    <cfRule type="expression" dxfId="13472" priority="1231">
      <formula>$H31="SUBETAPA"</formula>
    </cfRule>
    <cfRule type="expression" dxfId="13471" priority="1232">
      <formula>$H31="CÉLULA CONSTRUTIVA"</formula>
    </cfRule>
    <cfRule type="expression" dxfId="13470" priority="1233">
      <formula>$H31="ETAPA"</formula>
    </cfRule>
  </conditionalFormatting>
  <conditionalFormatting sqref="M35">
    <cfRule type="expression" dxfId="13469" priority="1230">
      <formula>$H35="ETAPA"</formula>
    </cfRule>
    <cfRule type="expression" dxfId="13468" priority="1229">
      <formula>$H35="CÉLULA CONSTRUTIVA"</formula>
    </cfRule>
    <cfRule type="expression" dxfId="13467" priority="1228">
      <formula>$H35="SUBETAPA"</formula>
    </cfRule>
  </conditionalFormatting>
  <conditionalFormatting sqref="M38">
    <cfRule type="expression" dxfId="13466" priority="1227">
      <formula>$H38="ETAPA"</formula>
    </cfRule>
    <cfRule type="expression" dxfId="13465" priority="1226">
      <formula>$H38="CÉLULA CONSTRUTIVA"</formula>
    </cfRule>
    <cfRule type="expression" dxfId="13464" priority="1225">
      <formula>$H38="SUBETAPA"</formula>
    </cfRule>
  </conditionalFormatting>
  <conditionalFormatting sqref="M40:M41">
    <cfRule type="expression" dxfId="13463" priority="1222">
      <formula>$H40="SUBETAPA"</formula>
    </cfRule>
    <cfRule type="expression" dxfId="13462" priority="1224">
      <formula>$H40="ETAPA"</formula>
    </cfRule>
    <cfRule type="expression" dxfId="13461" priority="1223">
      <formula>$H40="CÉLULA CONSTRUTIVA"</formula>
    </cfRule>
  </conditionalFormatting>
  <conditionalFormatting sqref="M42:M47">
    <cfRule type="expression" dxfId="13460" priority="1219">
      <formula>$H42="SUBETAPA"</formula>
    </cfRule>
    <cfRule type="expression" dxfId="13459" priority="1220">
      <formula>$H42="CÉLULA CONSTRUTIVA"</formula>
    </cfRule>
    <cfRule type="expression" dxfId="13458" priority="1221">
      <formula>$H42="ETAPA"</formula>
    </cfRule>
  </conditionalFormatting>
  <conditionalFormatting sqref="M48">
    <cfRule type="expression" dxfId="13457" priority="25054">
      <formula>$H48="SUBETAPA"</formula>
    </cfRule>
    <cfRule type="expression" dxfId="13456" priority="25056">
      <formula>$H48="ETAPA"</formula>
    </cfRule>
    <cfRule type="expression" dxfId="13455" priority="25055">
      <formula>$H48="CÉLULA CONSTRUTIVA"</formula>
    </cfRule>
  </conditionalFormatting>
  <conditionalFormatting sqref="M49">
    <cfRule type="expression" dxfId="13454" priority="1209">
      <formula>$H49="ETAPA"</formula>
    </cfRule>
    <cfRule type="expression" dxfId="13453" priority="1207">
      <formula>$H49="SUBETAPA"</formula>
    </cfRule>
    <cfRule type="expression" dxfId="13452" priority="1208">
      <formula>$H49="CÉLULA CONSTRUTIVA"</formula>
    </cfRule>
  </conditionalFormatting>
  <conditionalFormatting sqref="M53:M55">
    <cfRule type="expression" dxfId="13451" priority="24760">
      <formula>$H53="CÉLULA CONSTRUTIVA"</formula>
    </cfRule>
    <cfRule type="expression" dxfId="13450" priority="24761">
      <formula>$H53="ETAPA"</formula>
    </cfRule>
    <cfRule type="expression" dxfId="13449" priority="24759">
      <formula>$H53="SUBETAPA"</formula>
    </cfRule>
  </conditionalFormatting>
  <conditionalFormatting sqref="M56">
    <cfRule type="expression" dxfId="13448" priority="1201">
      <formula>$H56="SUBETAPA"</formula>
    </cfRule>
    <cfRule type="expression" dxfId="13447" priority="1202">
      <formula>$H56="CÉLULA CONSTRUTIVA"</formula>
    </cfRule>
    <cfRule type="expression" dxfId="13446" priority="1203">
      <formula>$H56="ETAPA"</formula>
    </cfRule>
  </conditionalFormatting>
  <conditionalFormatting sqref="M62">
    <cfRule type="expression" dxfId="13445" priority="24835">
      <formula>$H62="SUBETAPA"</formula>
    </cfRule>
  </conditionalFormatting>
  <conditionalFormatting sqref="M63:M64">
    <cfRule type="expression" dxfId="13444" priority="1199">
      <formula>$H63="CÉLULA CONSTRUTIVA"</formula>
    </cfRule>
    <cfRule type="expression" dxfId="13443" priority="1200">
      <formula>$H63="ETAPA"</formula>
    </cfRule>
    <cfRule type="expression" dxfId="13442" priority="1198">
      <formula>$H63="SUBETAPA"</formula>
    </cfRule>
  </conditionalFormatting>
  <conditionalFormatting sqref="M65:M69">
    <cfRule type="expression" dxfId="13441" priority="1197">
      <formula>$H65="ETAPA"</formula>
    </cfRule>
    <cfRule type="expression" dxfId="13440" priority="1196">
      <formula>$H65="CÉLULA CONSTRUTIVA"</formula>
    </cfRule>
    <cfRule type="expression" dxfId="13439" priority="1195">
      <formula>$H65="SUBETAPA"</formula>
    </cfRule>
  </conditionalFormatting>
  <conditionalFormatting sqref="M70">
    <cfRule type="expression" dxfId="13438" priority="1069">
      <formula>$H70="CÉLULA CONSTRUTIVA"</formula>
    </cfRule>
    <cfRule type="expression" dxfId="13437" priority="1068">
      <formula>$H70="SUBETAPA"</formula>
    </cfRule>
    <cfRule type="expression" dxfId="13436" priority="1070">
      <formula>$H70="ETAPA"</formula>
    </cfRule>
  </conditionalFormatting>
  <conditionalFormatting sqref="M72">
    <cfRule type="expression" dxfId="13435" priority="276">
      <formula>$H72="ETAPA"</formula>
    </cfRule>
    <cfRule type="expression" dxfId="13434" priority="275">
      <formula>$H72="CÉLULA CONSTRUTIVA"</formula>
    </cfRule>
    <cfRule type="expression" dxfId="13433" priority="274">
      <formula>$H72="SUBETAPA"</formula>
    </cfRule>
  </conditionalFormatting>
  <conditionalFormatting sqref="M80">
    <cfRule type="expression" dxfId="13432" priority="373">
      <formula>$H80="SUBETAPA"</formula>
    </cfRule>
    <cfRule type="expression" dxfId="13431" priority="374">
      <formula>$H80="CÉLULA CONSTRUTIVA"</formula>
    </cfRule>
    <cfRule type="expression" dxfId="13430" priority="375">
      <formula>$H80="ETAPA"</formula>
    </cfRule>
  </conditionalFormatting>
  <conditionalFormatting sqref="M83">
    <cfRule type="expression" dxfId="13429" priority="1193">
      <formula>$H83="CÉLULA CONSTRUTIVA"</formula>
    </cfRule>
    <cfRule type="expression" dxfId="13428" priority="1194">
      <formula>$H83="ETAPA"</formula>
    </cfRule>
    <cfRule type="expression" dxfId="13427" priority="1192">
      <formula>$H83="SUBETAPA"</formula>
    </cfRule>
  </conditionalFormatting>
  <conditionalFormatting sqref="M86">
    <cfRule type="expression" dxfId="13426" priority="20423">
      <formula>$H86="SUBETAPA"</formula>
    </cfRule>
  </conditionalFormatting>
  <conditionalFormatting sqref="M87:M88">
    <cfRule type="expression" dxfId="13425" priority="354">
      <formula>$H87="ETAPA"</formula>
    </cfRule>
    <cfRule type="expression" dxfId="13424" priority="353">
      <formula>$H87="CÉLULA CONSTRUTIVA"</formula>
    </cfRule>
    <cfRule type="expression" dxfId="13423" priority="352">
      <formula>$H87="SUBETAPA"</formula>
    </cfRule>
  </conditionalFormatting>
  <conditionalFormatting sqref="M89:M93">
    <cfRule type="expression" dxfId="13422" priority="351">
      <formula>$H89="ETAPA"</formula>
    </cfRule>
    <cfRule type="expression" dxfId="13421" priority="350">
      <formula>$H89="CÉLULA CONSTRUTIVA"</formula>
    </cfRule>
    <cfRule type="expression" dxfId="13420" priority="349">
      <formula>$H89="SUBETAPA"</formula>
    </cfRule>
  </conditionalFormatting>
  <conditionalFormatting sqref="M95">
    <cfRule type="expression" dxfId="13419" priority="279">
      <formula>$H95="ETAPA"</formula>
    </cfRule>
    <cfRule type="expression" dxfId="13418" priority="278">
      <formula>$H95="CÉLULA CONSTRUTIVA"</formula>
    </cfRule>
    <cfRule type="expression" dxfId="13417" priority="277">
      <formula>$H95="SUBETAPA"</formula>
    </cfRule>
  </conditionalFormatting>
  <conditionalFormatting sqref="M98">
    <cfRule type="expression" dxfId="13416" priority="1180">
      <formula>$H98="SUBETAPA"</formula>
    </cfRule>
    <cfRule type="expression" dxfId="13415" priority="1181">
      <formula>$H98="CÉLULA CONSTRUTIVA"</formula>
    </cfRule>
    <cfRule type="expression" dxfId="13414" priority="1182">
      <formula>$H98="ETAPA"</formula>
    </cfRule>
  </conditionalFormatting>
  <conditionalFormatting sqref="M99">
    <cfRule type="expression" dxfId="13413" priority="20399">
      <formula>$H99="SUBETAPA"</formula>
    </cfRule>
    <cfRule type="expression" dxfId="13412" priority="20401">
      <formula>$H99="ETAPA"</formula>
    </cfRule>
    <cfRule type="expression" dxfId="13411" priority="20400">
      <formula>$H99="CÉLULA CONSTRUTIVA"</formula>
    </cfRule>
  </conditionalFormatting>
  <conditionalFormatting sqref="M104">
    <cfRule type="expression" dxfId="13410" priority="372">
      <formula>$H104="ETAPA"</formula>
    </cfRule>
    <cfRule type="expression" dxfId="13409" priority="371">
      <formula>$H104="CÉLULA CONSTRUTIVA"</formula>
    </cfRule>
    <cfRule type="expression" dxfId="13408" priority="370">
      <formula>$H104="SUBETAPA"</formula>
    </cfRule>
  </conditionalFormatting>
  <conditionalFormatting sqref="M107">
    <cfRule type="expression" dxfId="13407" priority="20282">
      <formula>$H107="SUBETAPA"</formula>
    </cfRule>
  </conditionalFormatting>
  <conditionalFormatting sqref="M108:M109">
    <cfRule type="expression" dxfId="13406" priority="346">
      <formula>$H108="SUBETAPA"</formula>
    </cfRule>
    <cfRule type="expression" dxfId="13405" priority="348">
      <formula>$H108="ETAPA"</formula>
    </cfRule>
    <cfRule type="expression" dxfId="13404" priority="347">
      <formula>$H108="CÉLULA CONSTRUTIVA"</formula>
    </cfRule>
  </conditionalFormatting>
  <conditionalFormatting sqref="M110:M114">
    <cfRule type="expression" dxfId="13403" priority="345">
      <formula>$H110="ETAPA"</formula>
    </cfRule>
    <cfRule type="expression" dxfId="13402" priority="343">
      <formula>$H110="SUBETAPA"</formula>
    </cfRule>
    <cfRule type="expression" dxfId="13401" priority="344">
      <formula>$H110="CÉLULA CONSTRUTIVA"</formula>
    </cfRule>
  </conditionalFormatting>
  <conditionalFormatting sqref="M116">
    <cfRule type="expression" dxfId="13400" priority="282">
      <formula>$H116="ETAPA"</formula>
    </cfRule>
    <cfRule type="expression" dxfId="13399" priority="281">
      <formula>$H116="CÉLULA CONSTRUTIVA"</formula>
    </cfRule>
    <cfRule type="expression" dxfId="13398" priority="280">
      <formula>$H116="SUBETAPA"</formula>
    </cfRule>
  </conditionalFormatting>
  <conditionalFormatting sqref="M119">
    <cfRule type="expression" dxfId="13397" priority="1165">
      <formula>$H119="SUBETAPA"</formula>
    </cfRule>
    <cfRule type="expression" dxfId="13396" priority="1166">
      <formula>$H119="CÉLULA CONSTRUTIVA"</formula>
    </cfRule>
    <cfRule type="expression" dxfId="13395" priority="1167">
      <formula>$H119="ETAPA"</formula>
    </cfRule>
  </conditionalFormatting>
  <conditionalFormatting sqref="M120">
    <cfRule type="expression" dxfId="13394" priority="20275">
      <formula>$H120="ETAPA"</formula>
    </cfRule>
    <cfRule type="expression" dxfId="13393" priority="20273">
      <formula>$H120="SUBETAPA"</formula>
    </cfRule>
    <cfRule type="expression" dxfId="13392" priority="20274">
      <formula>$H120="CÉLULA CONSTRUTIVA"</formula>
    </cfRule>
  </conditionalFormatting>
  <conditionalFormatting sqref="M125">
    <cfRule type="expression" dxfId="13391" priority="367">
      <formula>$H125="SUBETAPA"</formula>
    </cfRule>
    <cfRule type="expression" dxfId="13390" priority="369">
      <formula>$H125="ETAPA"</formula>
    </cfRule>
    <cfRule type="expression" dxfId="13389" priority="368">
      <formula>$H125="CÉLULA CONSTRUTIVA"</formula>
    </cfRule>
  </conditionalFormatting>
  <conditionalFormatting sqref="M128">
    <cfRule type="expression" dxfId="13388" priority="1161">
      <formula>$H128="SUBETAPA"</formula>
    </cfRule>
  </conditionalFormatting>
  <conditionalFormatting sqref="M129:M130">
    <cfRule type="expression" dxfId="13387" priority="340">
      <formula>$H129="SUBETAPA"</formula>
    </cfRule>
    <cfRule type="expression" dxfId="13386" priority="341">
      <formula>$H129="CÉLULA CONSTRUTIVA"</formula>
    </cfRule>
    <cfRule type="expression" dxfId="13385" priority="342">
      <formula>$H129="ETAPA"</formula>
    </cfRule>
  </conditionalFormatting>
  <conditionalFormatting sqref="M131:M135">
    <cfRule type="expression" dxfId="13384" priority="337">
      <formula>$H131="SUBETAPA"</formula>
    </cfRule>
    <cfRule type="expression" dxfId="13383" priority="338">
      <formula>$H131="CÉLULA CONSTRUTIVA"</formula>
    </cfRule>
    <cfRule type="expression" dxfId="13382" priority="339">
      <formula>$H131="ETAPA"</formula>
    </cfRule>
  </conditionalFormatting>
  <conditionalFormatting sqref="M136">
    <cfRule type="expression" dxfId="13381" priority="1162">
      <formula>$H136="SUBETAPA"</formula>
    </cfRule>
    <cfRule type="expression" dxfId="13380" priority="1163">
      <formula>$H136="CÉLULA CONSTRUTIVA"</formula>
    </cfRule>
    <cfRule type="expression" dxfId="13379" priority="1164">
      <formula>$H136="ETAPA"</formula>
    </cfRule>
  </conditionalFormatting>
  <conditionalFormatting sqref="M137">
    <cfRule type="expression" dxfId="13378" priority="285">
      <formula>$H137="ETAPA"</formula>
    </cfRule>
    <cfRule type="expression" dxfId="13377" priority="284">
      <formula>$H137="CÉLULA CONSTRUTIVA"</formula>
    </cfRule>
    <cfRule type="expression" dxfId="13376" priority="283">
      <formula>$H137="SUBETAPA"</formula>
    </cfRule>
  </conditionalFormatting>
  <conditionalFormatting sqref="M139">
    <cfRule type="expression" dxfId="13375" priority="1160">
      <formula>$H139="ETAPA"</formula>
    </cfRule>
    <cfRule type="expression" dxfId="13374" priority="1159">
      <formula>$H139="CÉLULA CONSTRUTIVA"</formula>
    </cfRule>
    <cfRule type="expression" dxfId="13373" priority="1158">
      <formula>$H139="SUBETAPA"</formula>
    </cfRule>
  </conditionalFormatting>
  <conditionalFormatting sqref="M140">
    <cfRule type="expression" dxfId="13372" priority="1145">
      <formula>$H140="ETAPA"</formula>
    </cfRule>
    <cfRule type="expression" dxfId="13371" priority="1144">
      <formula>$H140="CÉLULA CONSTRUTIVA"</formula>
    </cfRule>
    <cfRule type="expression" dxfId="13370" priority="1143">
      <formula>$H140="SUBETAPA"</formula>
    </cfRule>
  </conditionalFormatting>
  <conditionalFormatting sqref="M141">
    <cfRule type="expression" dxfId="13369" priority="20174">
      <formula>$H141="ETAPA"</formula>
    </cfRule>
    <cfRule type="expression" dxfId="13368" priority="20172">
      <formula>$H141="SUBETAPA"</formula>
    </cfRule>
    <cfRule type="expression" dxfId="13367" priority="20173">
      <formula>$H141="CÉLULA CONSTRUTIVA"</formula>
    </cfRule>
  </conditionalFormatting>
  <conditionalFormatting sqref="M147">
    <cfRule type="expression" dxfId="13366" priority="20127">
      <formula>$H147="SUBETAPA"</formula>
    </cfRule>
  </conditionalFormatting>
  <conditionalFormatting sqref="M148:M149">
    <cfRule type="expression" dxfId="13365" priority="336">
      <formula>$H148="ETAPA"</formula>
    </cfRule>
    <cfRule type="expression" dxfId="13364" priority="334">
      <formula>$H148="SUBETAPA"</formula>
    </cfRule>
    <cfRule type="expression" dxfId="13363" priority="335">
      <formula>$H148="CÉLULA CONSTRUTIVA"</formula>
    </cfRule>
  </conditionalFormatting>
  <conditionalFormatting sqref="M150:M154">
    <cfRule type="expression" dxfId="13362" priority="333">
      <formula>$H150="ETAPA"</formula>
    </cfRule>
    <cfRule type="expression" dxfId="13361" priority="332">
      <formula>$H150="CÉLULA CONSTRUTIVA"</formula>
    </cfRule>
    <cfRule type="expression" dxfId="13360" priority="331">
      <formula>$H150="SUBETAPA"</formula>
    </cfRule>
  </conditionalFormatting>
  <conditionalFormatting sqref="M155">
    <cfRule type="expression" dxfId="13359" priority="1131">
      <formula>$H155="SUBETAPA"</formula>
    </cfRule>
    <cfRule type="expression" dxfId="13358" priority="1132">
      <formula>$H155="CÉLULA CONSTRUTIVA"</formula>
    </cfRule>
    <cfRule type="expression" dxfId="13357" priority="1133">
      <formula>$H155="ETAPA"</formula>
    </cfRule>
  </conditionalFormatting>
  <conditionalFormatting sqref="M156">
    <cfRule type="expression" dxfId="13356" priority="329">
      <formula>$H156="CÉLULA CONSTRUTIVA"</formula>
    </cfRule>
    <cfRule type="expression" dxfId="13355" priority="328">
      <formula>$H156="SUBETAPA"</formula>
    </cfRule>
    <cfRule type="expression" dxfId="13354" priority="330">
      <formula>$H156="ETAPA"</formula>
    </cfRule>
  </conditionalFormatting>
  <conditionalFormatting sqref="M166">
    <cfRule type="expression" dxfId="13353" priority="326">
      <formula>$H166="CÉLULA CONSTRUTIVA"</formula>
    </cfRule>
    <cfRule type="expression" dxfId="13352" priority="327">
      <formula>$H166="ETAPA"</formula>
    </cfRule>
    <cfRule type="expression" dxfId="13351" priority="325">
      <formula>$H166="SUBETAPA"</formula>
    </cfRule>
  </conditionalFormatting>
  <conditionalFormatting sqref="M167:M168">
    <cfRule type="expression" dxfId="13350" priority="324">
      <formula>$H167="ETAPA"</formula>
    </cfRule>
    <cfRule type="expression" dxfId="13349" priority="323">
      <formula>$H167="CÉLULA CONSTRUTIVA"</formula>
    </cfRule>
    <cfRule type="expression" dxfId="13348" priority="322">
      <formula>$H167="SUBETAPA"</formula>
    </cfRule>
  </conditionalFormatting>
  <conditionalFormatting sqref="M170">
    <cfRule type="expression" dxfId="13347" priority="360">
      <formula>$H170="ETAPA"</formula>
    </cfRule>
    <cfRule type="expression" dxfId="13346" priority="358">
      <formula>$H170="SUBETAPA"</formula>
    </cfRule>
    <cfRule type="expression" dxfId="13345" priority="359">
      <formula>$H170="CÉLULA CONSTRUTIVA"</formula>
    </cfRule>
  </conditionalFormatting>
  <conditionalFormatting sqref="M172">
    <cfRule type="expression" dxfId="13344" priority="1119">
      <formula>$H172="SUBETAPA"</formula>
    </cfRule>
    <cfRule type="expression" dxfId="13343" priority="1120">
      <formula>$H172="CÉLULA CONSTRUTIVA"</formula>
    </cfRule>
    <cfRule type="expression" dxfId="13342" priority="1121">
      <formula>$H172="ETAPA"</formula>
    </cfRule>
  </conditionalFormatting>
  <conditionalFormatting sqref="M173">
    <cfRule type="expression" dxfId="13341" priority="20536">
      <formula>$H173="ETAPA"</formula>
    </cfRule>
    <cfRule type="expression" dxfId="13340" priority="20535">
      <formula>$H173="CÉLULA CONSTRUTIVA"</formula>
    </cfRule>
    <cfRule type="expression" dxfId="13339" priority="20534">
      <formula>$H173="SUBETAPA"</formula>
    </cfRule>
  </conditionalFormatting>
  <conditionalFormatting sqref="M179">
    <cfRule type="expression" dxfId="13338" priority="321">
      <formula>$H179="ETAPA"</formula>
    </cfRule>
    <cfRule type="expression" dxfId="13337" priority="320">
      <formula>$H179="CÉLULA CONSTRUTIVA"</formula>
    </cfRule>
    <cfRule type="expression" dxfId="13336" priority="319">
      <formula>$H179="SUBETAPA"</formula>
    </cfRule>
  </conditionalFormatting>
  <conditionalFormatting sqref="M180:M181">
    <cfRule type="expression" dxfId="13335" priority="318">
      <formula>$H180="ETAPA"</formula>
    </cfRule>
    <cfRule type="expression" dxfId="13334" priority="316">
      <formula>$H180="SUBETAPA"</formula>
    </cfRule>
    <cfRule type="expression" dxfId="13333" priority="317">
      <formula>$H180="CÉLULA CONSTRUTIVA"</formula>
    </cfRule>
  </conditionalFormatting>
  <conditionalFormatting sqref="M182">
    <cfRule type="expression" dxfId="13332" priority="1116">
      <formula>$H182="SUBETAPA"</formula>
    </cfRule>
    <cfRule type="expression" dxfId="13331" priority="1117">
      <formula>$H182="CÉLULA CONSTRUTIVA"</formula>
    </cfRule>
    <cfRule type="expression" dxfId="13330" priority="1118">
      <formula>$H182="ETAPA"</formula>
    </cfRule>
  </conditionalFormatting>
  <conditionalFormatting sqref="M183">
    <cfRule type="expression" dxfId="13329" priority="294">
      <formula>$H183="ETAPA"</formula>
    </cfRule>
    <cfRule type="expression" dxfId="13328" priority="293">
      <formula>$H183="CÉLULA CONSTRUTIVA"</formula>
    </cfRule>
    <cfRule type="expression" dxfId="13327" priority="292">
      <formula>$H183="SUBETAPA"</formula>
    </cfRule>
  </conditionalFormatting>
  <conditionalFormatting sqref="M184">
    <cfRule type="expression" dxfId="13326" priority="1113">
      <formula>$H184="SUBETAPA"</formula>
    </cfRule>
    <cfRule type="expression" dxfId="13325" priority="1114">
      <formula>$H184="CÉLULA CONSTRUTIVA"</formula>
    </cfRule>
    <cfRule type="expression" dxfId="13324" priority="1115">
      <formula>$H184="ETAPA"</formula>
    </cfRule>
  </conditionalFormatting>
  <conditionalFormatting sqref="M185">
    <cfRule type="expression" dxfId="13323" priority="1102">
      <formula>$H185="CÉLULA CONSTRUTIVA"</formula>
    </cfRule>
    <cfRule type="expression" dxfId="13322" priority="1103">
      <formula>$H185="ETAPA"</formula>
    </cfRule>
    <cfRule type="expression" dxfId="13321" priority="1101">
      <formula>$H185="SUBETAPA"</formula>
    </cfRule>
  </conditionalFormatting>
  <conditionalFormatting sqref="M186">
    <cfRule type="expression" dxfId="13320" priority="20032">
      <formula>$H186="SUBETAPA"</formula>
    </cfRule>
    <cfRule type="expression" dxfId="13319" priority="20033">
      <formula>$H186="CÉLULA CONSTRUTIVA"</formula>
    </cfRule>
    <cfRule type="expression" dxfId="13318" priority="20034">
      <formula>$H186="ETAPA"</formula>
    </cfRule>
  </conditionalFormatting>
  <conditionalFormatting sqref="M192">
    <cfRule type="expression" dxfId="13317" priority="300">
      <formula>$H192="ETAPA"</formula>
    </cfRule>
    <cfRule type="expression" dxfId="13316" priority="299">
      <formula>$H192="CÉLULA CONSTRUTIVA"</formula>
    </cfRule>
    <cfRule type="expression" dxfId="13315" priority="298">
      <formula>$H192="SUBETAPA"</formula>
    </cfRule>
  </conditionalFormatting>
  <conditionalFormatting sqref="M193:M195">
    <cfRule type="expression" dxfId="13314" priority="295">
      <formula>$H193="SUBETAPA"</formula>
    </cfRule>
    <cfRule type="expression" dxfId="13313" priority="296">
      <formula>$H193="CÉLULA CONSTRUTIVA"</formula>
    </cfRule>
    <cfRule type="expression" dxfId="13312" priority="297">
      <formula>$H193="ETAPA"</formula>
    </cfRule>
  </conditionalFormatting>
  <conditionalFormatting sqref="M197">
    <cfRule type="expression" dxfId="13311" priority="289">
      <formula>$H197="SUBETAPA"</formula>
    </cfRule>
    <cfRule type="expression" dxfId="13310" priority="291">
      <formula>$H197="ETAPA"</formula>
    </cfRule>
    <cfRule type="expression" dxfId="13309" priority="290">
      <formula>$H197="CÉLULA CONSTRUTIVA"</formula>
    </cfRule>
  </conditionalFormatting>
  <conditionalFormatting sqref="M198">
    <cfRule type="expression" dxfId="13308" priority="1093">
      <formula>$H198="CÉLULA CONSTRUTIVA"</formula>
    </cfRule>
    <cfRule type="expression" dxfId="13307" priority="1094">
      <formula>$H198="ETAPA"</formula>
    </cfRule>
    <cfRule type="expression" dxfId="13306" priority="1092">
      <formula>$H198="SUBETAPA"</formula>
    </cfRule>
  </conditionalFormatting>
  <conditionalFormatting sqref="M199">
    <cfRule type="expression" dxfId="13305" priority="1086">
      <formula>$H199="SUBETAPA"</formula>
    </cfRule>
    <cfRule type="expression" dxfId="13304" priority="1087">
      <formula>$H199="CÉLULA CONSTRUTIVA"</formula>
    </cfRule>
    <cfRule type="expression" dxfId="13303" priority="1088">
      <formula>$H199="ETAPA"</formula>
    </cfRule>
  </conditionalFormatting>
  <conditionalFormatting sqref="M200">
    <cfRule type="expression" dxfId="13302" priority="19934">
      <formula>$H200="ETAPA"</formula>
    </cfRule>
    <cfRule type="expression" dxfId="13301" priority="19933">
      <formula>$H200="CÉLULA CONSTRUTIVA"</formula>
    </cfRule>
    <cfRule type="expression" dxfId="13300" priority="19932">
      <formula>$H200="SUBETAPA"</formula>
    </cfRule>
  </conditionalFormatting>
  <conditionalFormatting sqref="M207:M208">
    <cfRule type="expression" dxfId="13299" priority="304">
      <formula>$H207="SUBETAPA"</formula>
    </cfRule>
    <cfRule type="expression" dxfId="13298" priority="306">
      <formula>$H207="ETAPA"</formula>
    </cfRule>
    <cfRule type="expression" dxfId="13297" priority="305">
      <formula>$H207="CÉLULA CONSTRUTIVA"</formula>
    </cfRule>
  </conditionalFormatting>
  <conditionalFormatting sqref="M209:M213">
    <cfRule type="expression" dxfId="13296" priority="301">
      <formula>$H209="SUBETAPA"</formula>
    </cfRule>
    <cfRule type="expression" dxfId="13295" priority="303">
      <formula>$H209="ETAPA"</formula>
    </cfRule>
    <cfRule type="expression" dxfId="13294" priority="302">
      <formula>$H209="CÉLULA CONSTRUTIVA"</formula>
    </cfRule>
  </conditionalFormatting>
  <conditionalFormatting sqref="M215">
    <cfRule type="expression" dxfId="13293" priority="287">
      <formula>$H215="CÉLULA CONSTRUTIVA"</formula>
    </cfRule>
    <cfRule type="expression" dxfId="13292" priority="286">
      <formula>$H215="SUBETAPA"</formula>
    </cfRule>
    <cfRule type="expression" dxfId="13291" priority="288">
      <formula>$H215="ETAPA"</formula>
    </cfRule>
  </conditionalFormatting>
  <conditionalFormatting sqref="M217">
    <cfRule type="expression" dxfId="13290" priority="1072">
      <formula>$H217="CÉLULA CONSTRUTIVA"</formula>
    </cfRule>
    <cfRule type="expression" dxfId="13289" priority="1073">
      <formula>$H217="ETAPA"</formula>
    </cfRule>
    <cfRule type="expression" dxfId="13288" priority="1071">
      <formula>$H217="SUBETAPA"</formula>
    </cfRule>
  </conditionalFormatting>
  <conditionalFormatting sqref="M218">
    <cfRule type="expression" dxfId="13287" priority="19835">
      <formula>$H218="SUBETAPA"</formula>
    </cfRule>
    <cfRule type="expression" dxfId="13286" priority="19837">
      <formula>$H218="ETAPA"</formula>
    </cfRule>
    <cfRule type="expression" dxfId="13285" priority="19836">
      <formula>$H218="CÉLULA CONSTRUTIVA"</formula>
    </cfRule>
  </conditionalFormatting>
  <conditionalFormatting sqref="M271">
    <cfRule type="expression" dxfId="13284" priority="7402">
      <formula>$H271="SUBETAPA"</formula>
    </cfRule>
  </conditionalFormatting>
  <conditionalFormatting sqref="M272:M274">
    <cfRule type="expression" dxfId="13283" priority="1062">
      <formula>$H272="SUBETAPA"</formula>
    </cfRule>
    <cfRule type="expression" dxfId="13282" priority="1063">
      <formula>$H272="CÉLULA CONSTRUTIVA"</formula>
    </cfRule>
    <cfRule type="expression" dxfId="13281" priority="1064">
      <formula>$H272="ETAPA"</formula>
    </cfRule>
  </conditionalFormatting>
  <conditionalFormatting sqref="M279 O279:P279">
    <cfRule type="expression" dxfId="13280" priority="21422">
      <formula>$H279="SUBETAPA"</formula>
    </cfRule>
  </conditionalFormatting>
  <conditionalFormatting sqref="M280">
    <cfRule type="expression" dxfId="13279" priority="166">
      <formula>$H280="SUBETAPA"</formula>
    </cfRule>
    <cfRule type="expression" dxfId="13278" priority="167">
      <formula>$H280="CÉLULA CONSTRUTIVA"</formula>
    </cfRule>
    <cfRule type="expression" dxfId="13277" priority="168">
      <formula>$H280="ETAPA"</formula>
    </cfRule>
  </conditionalFormatting>
  <conditionalFormatting sqref="M281 O281:P281">
    <cfRule type="expression" dxfId="13276" priority="25369">
      <formula>$H281="ETAPA"</formula>
    </cfRule>
  </conditionalFormatting>
  <conditionalFormatting sqref="M287:M288 O287:P288">
    <cfRule type="expression" dxfId="13275" priority="21383">
      <formula>$H287="SUBETAPA"</formula>
    </cfRule>
  </conditionalFormatting>
  <conditionalFormatting sqref="M290 O290:P290">
    <cfRule type="expression" dxfId="13274" priority="21301">
      <formula>$H290="SUBETAPA"</formula>
    </cfRule>
  </conditionalFormatting>
  <conditionalFormatting sqref="M291">
    <cfRule type="expression" dxfId="13273" priority="169">
      <formula>$H291="SUBETAPA"</formula>
    </cfRule>
    <cfRule type="expression" dxfId="13272" priority="170">
      <formula>$H291="CÉLULA CONSTRUTIVA"</formula>
    </cfRule>
    <cfRule type="expression" dxfId="13271" priority="171">
      <formula>$H291="ETAPA"</formula>
    </cfRule>
  </conditionalFormatting>
  <conditionalFormatting sqref="M292 O292:P292">
    <cfRule type="expression" dxfId="13270" priority="21376">
      <formula>$H292="ETAPA"</formula>
    </cfRule>
  </conditionalFormatting>
  <conditionalFormatting sqref="M295">
    <cfRule type="expression" dxfId="13269" priority="189">
      <formula>$H295="CÉLULA CONSTRUTIVA"</formula>
    </cfRule>
    <cfRule type="expression" dxfId="13268" priority="188">
      <formula>$H295="SUBETAPA"</formula>
    </cfRule>
  </conditionalFormatting>
  <conditionalFormatting sqref="M298:M299 O298:P299">
    <cfRule type="expression" dxfId="13267" priority="21262">
      <formula>$H298="SUBETAPA"</formula>
    </cfRule>
  </conditionalFormatting>
  <conditionalFormatting sqref="M301 O301:P301">
    <cfRule type="expression" dxfId="13266" priority="21180">
      <formula>$H301="SUBETAPA"</formula>
    </cfRule>
  </conditionalFormatting>
  <conditionalFormatting sqref="M302">
    <cfRule type="expression" dxfId="13265" priority="174">
      <formula>$H302="ETAPA"</formula>
    </cfRule>
    <cfRule type="expression" dxfId="13264" priority="172">
      <formula>$H302="SUBETAPA"</formula>
    </cfRule>
    <cfRule type="expression" dxfId="13263" priority="173">
      <formula>$H302="CÉLULA CONSTRUTIVA"</formula>
    </cfRule>
  </conditionalFormatting>
  <conditionalFormatting sqref="M303 O303:P303">
    <cfRule type="expression" dxfId="13262" priority="21255">
      <formula>$H303="ETAPA"</formula>
    </cfRule>
  </conditionalFormatting>
  <conditionalFormatting sqref="M306">
    <cfRule type="expression" dxfId="13261" priority="187">
      <formula>$H306="CÉLULA CONSTRUTIVA"</formula>
    </cfRule>
    <cfRule type="expression" dxfId="13260" priority="186">
      <formula>$H306="SUBETAPA"</formula>
    </cfRule>
  </conditionalFormatting>
  <conditionalFormatting sqref="M309:M310 O309:P310">
    <cfRule type="expression" dxfId="13259" priority="21141">
      <formula>$H309="SUBETAPA"</formula>
    </cfRule>
  </conditionalFormatting>
  <conditionalFormatting sqref="M312 O312:P312">
    <cfRule type="expression" dxfId="13258" priority="21059">
      <formula>$H312="SUBETAPA"</formula>
    </cfRule>
  </conditionalFormatting>
  <conditionalFormatting sqref="M313">
    <cfRule type="expression" dxfId="13257" priority="177">
      <formula>$H313="ETAPA"</formula>
    </cfRule>
    <cfRule type="expression" dxfId="13256" priority="176">
      <formula>$H313="CÉLULA CONSTRUTIVA"</formula>
    </cfRule>
    <cfRule type="expression" dxfId="13255" priority="175">
      <formula>$H313="SUBETAPA"</formula>
    </cfRule>
  </conditionalFormatting>
  <conditionalFormatting sqref="M314 O314:P314">
    <cfRule type="expression" dxfId="13254" priority="21134">
      <formula>$H314="ETAPA"</formula>
    </cfRule>
  </conditionalFormatting>
  <conditionalFormatting sqref="M317">
    <cfRule type="expression" dxfId="13253" priority="185">
      <formula>$H317="CÉLULA CONSTRUTIVA"</formula>
    </cfRule>
    <cfRule type="expression" dxfId="13252" priority="184">
      <formula>$H317="SUBETAPA"</formula>
    </cfRule>
  </conditionalFormatting>
  <conditionalFormatting sqref="M320 O320:P320">
    <cfRule type="expression" dxfId="13251" priority="7141">
      <formula>$H320="SUBETAPA"</formula>
    </cfRule>
  </conditionalFormatting>
  <conditionalFormatting sqref="M321 O321:P321">
    <cfRule type="expression" dxfId="13250" priority="20681">
      <formula>$H321="SUBETAPA"</formula>
    </cfRule>
  </conditionalFormatting>
  <conditionalFormatting sqref="M322">
    <cfRule type="expression" dxfId="13249" priority="178">
      <formula>$H322="SUBETAPA"</formula>
    </cfRule>
    <cfRule type="expression" dxfId="13248" priority="179">
      <formula>$H322="CÉLULA CONSTRUTIVA"</formula>
    </cfRule>
    <cfRule type="expression" dxfId="13247" priority="180">
      <formula>$H322="ETAPA"</formula>
    </cfRule>
  </conditionalFormatting>
  <conditionalFormatting sqref="M324 O324:P324">
    <cfRule type="expression" dxfId="13246" priority="20643">
      <formula>$H324="SUBETAPA"</formula>
    </cfRule>
  </conditionalFormatting>
  <conditionalFormatting sqref="M325">
    <cfRule type="expression" dxfId="13245" priority="183">
      <formula>$H325="ETAPA"</formula>
    </cfRule>
    <cfRule type="expression" dxfId="13244" priority="181">
      <formula>$H325="SUBETAPA"</formula>
    </cfRule>
    <cfRule type="expression" dxfId="13243" priority="182">
      <formula>$H325="CÉLULA CONSTRUTIVA"</formula>
    </cfRule>
  </conditionalFormatting>
  <conditionalFormatting sqref="M327 O327:P327">
    <cfRule type="expression" dxfId="13242" priority="20605">
      <formula>$H327="SUBETAPA"</formula>
    </cfRule>
  </conditionalFormatting>
  <conditionalFormatting sqref="M328">
    <cfRule type="expression" dxfId="13241" priority="4651">
      <formula>$H328="ETAPA"</formula>
    </cfRule>
    <cfRule type="expression" dxfId="13240" priority="4650">
      <formula>$H328="CÉLULA CONSTRUTIVA"</formula>
    </cfRule>
    <cfRule type="expression" dxfId="13239" priority="4649">
      <formula>$H328="SUBETAPA"</formula>
    </cfRule>
  </conditionalFormatting>
  <conditionalFormatting sqref="M329:M330 G330:H330 J330:K330 O330">
    <cfRule type="expression" dxfId="13238" priority="24814">
      <formula>$H329="ETAPA"</formula>
    </cfRule>
    <cfRule type="expression" dxfId="13237" priority="24813">
      <formula>$H329="CÉLULA CONSTRUTIVA"</formula>
    </cfRule>
  </conditionalFormatting>
  <conditionalFormatting sqref="M331 O331">
    <cfRule type="expression" dxfId="13236" priority="19744">
      <formula>$H331="CÉLULA CONSTRUTIVA"</formula>
    </cfRule>
    <cfRule type="expression" dxfId="13235" priority="19745">
      <formula>$H331="ETAPA"</formula>
    </cfRule>
  </conditionalFormatting>
  <conditionalFormatting sqref="M333">
    <cfRule type="expression" dxfId="13234" priority="428">
      <formula>$H333="CÉLULA CONSTRUTIVA"</formula>
    </cfRule>
    <cfRule type="expression" dxfId="13233" priority="429">
      <formula>$H333="ETAPA"</formula>
    </cfRule>
    <cfRule type="expression" dxfId="13232" priority="427">
      <formula>$H333="SUBETAPA"</formula>
    </cfRule>
  </conditionalFormatting>
  <conditionalFormatting sqref="M338 O338:P338">
    <cfRule type="expression" dxfId="13231" priority="6777">
      <formula>$H338="CÉLULA CONSTRUTIVA"</formula>
    </cfRule>
  </conditionalFormatting>
  <conditionalFormatting sqref="M338">
    <cfRule type="expression" dxfId="13230" priority="6784">
      <formula>$H338="ETAPA"</formula>
    </cfRule>
  </conditionalFormatting>
  <conditionalFormatting sqref="M346 G346:H346 J346:K346 O346">
    <cfRule type="expression" dxfId="13229" priority="7127">
      <formula>$H346="ETAPA"</formula>
    </cfRule>
    <cfRule type="expression" dxfId="13228" priority="7126">
      <formula>$H346="CÉLULA CONSTRUTIVA"</formula>
    </cfRule>
  </conditionalFormatting>
  <conditionalFormatting sqref="M347 O347">
    <cfRule type="expression" dxfId="13227" priority="7096">
      <formula>$H347="ETAPA"</formula>
    </cfRule>
    <cfRule type="expression" dxfId="13226" priority="7095">
      <formula>$H347="CÉLULA CONSTRUTIVA"</formula>
    </cfRule>
  </conditionalFormatting>
  <conditionalFormatting sqref="M354 G354:H354 J354:K354 O354">
    <cfRule type="expression" dxfId="13225" priority="6937">
      <formula>$H354="CÉLULA CONSTRUTIVA"</formula>
    </cfRule>
    <cfRule type="expression" dxfId="13224" priority="6938">
      <formula>$H354="ETAPA"</formula>
    </cfRule>
  </conditionalFormatting>
  <conditionalFormatting sqref="M355 O355">
    <cfRule type="expression" dxfId="13223" priority="6907">
      <formula>$H355="ETAPA"</formula>
    </cfRule>
    <cfRule type="expression" dxfId="13222" priority="6906">
      <formula>$H355="CÉLULA CONSTRUTIVA"</formula>
    </cfRule>
  </conditionalFormatting>
  <conditionalFormatting sqref="M356">
    <cfRule type="expression" dxfId="13221" priority="448">
      <formula>$H356="ETAPA"</formula>
    </cfRule>
    <cfRule type="expression" dxfId="13220" priority="447">
      <formula>$H356="CÉLULA CONSTRUTIVA"</formula>
    </cfRule>
    <cfRule type="expression" dxfId="13219" priority="446">
      <formula>$H356="SUBETAPA"</formula>
    </cfRule>
  </conditionalFormatting>
  <conditionalFormatting sqref="M358">
    <cfRule type="expression" dxfId="13218" priority="443">
      <formula>$H358="SUBETAPA"</formula>
    </cfRule>
    <cfRule type="expression" dxfId="13217" priority="444">
      <formula>$H358="CÉLULA CONSTRUTIVA"</formula>
    </cfRule>
    <cfRule type="expression" dxfId="13216" priority="445">
      <formula>$H358="ETAPA"</formula>
    </cfRule>
  </conditionalFormatting>
  <conditionalFormatting sqref="M359">
    <cfRule type="expression" dxfId="13215" priority="6894">
      <formula>$H359="SUBETAPA"</formula>
    </cfRule>
    <cfRule type="expression" dxfId="13214" priority="6895">
      <formula>$H359="CÉLULA CONSTRUTIVA"</formula>
    </cfRule>
  </conditionalFormatting>
  <conditionalFormatting sqref="M362:M363 G362:H363 J362:K363 O362:O363">
    <cfRule type="expression" dxfId="13213" priority="19377">
      <formula>$H362="ETAPA"</formula>
    </cfRule>
    <cfRule type="expression" dxfId="13212" priority="19376">
      <formula>$H362="CÉLULA CONSTRUTIVA"</formula>
    </cfRule>
  </conditionalFormatting>
  <conditionalFormatting sqref="M365">
    <cfRule type="expression" dxfId="13211" priority="19237">
      <formula>$H365="ETAPA"</formula>
    </cfRule>
    <cfRule type="expression" dxfId="13210" priority="19236">
      <formula>$H365="CÉLULA CONSTRUTIVA"</formula>
    </cfRule>
    <cfRule type="expression" dxfId="13209" priority="19235">
      <formula>$H365="ETAPA"</formula>
    </cfRule>
    <cfRule type="expression" dxfId="13208" priority="19234">
      <formula>$H365="CÉLULA CONSTRUTIVA"</formula>
    </cfRule>
  </conditionalFormatting>
  <conditionalFormatting sqref="M367">
    <cfRule type="expression" dxfId="13207" priority="19266">
      <formula>$H367="SUBETAPA"</formula>
    </cfRule>
    <cfRule type="expression" dxfId="13206" priority="19267">
      <formula>$H367="CÉLULA CONSTRUTIVA"</formula>
    </cfRule>
    <cfRule type="expression" dxfId="13205" priority="19268">
      <formula>$H367="ETAPA"</formula>
    </cfRule>
  </conditionalFormatting>
  <conditionalFormatting sqref="M369">
    <cfRule type="expression" dxfId="13204" priority="19231">
      <formula>$H369="SUBETAPA"</formula>
    </cfRule>
    <cfRule type="expression" dxfId="13203" priority="19233">
      <formula>$H369="ETAPA"</formula>
    </cfRule>
    <cfRule type="expression" dxfId="13202" priority="19232">
      <formula>$H369="CÉLULA CONSTRUTIVA"</formula>
    </cfRule>
  </conditionalFormatting>
  <conditionalFormatting sqref="M375:M376 G375:H376 J375:K376 O375:O376">
    <cfRule type="expression" dxfId="13201" priority="19159">
      <formula>$H375="CÉLULA CONSTRUTIVA"</formula>
    </cfRule>
    <cfRule type="expression" dxfId="13200" priority="19160">
      <formula>$H375="ETAPA"</formula>
    </cfRule>
  </conditionalFormatting>
  <conditionalFormatting sqref="M384">
    <cfRule type="expression" dxfId="13199" priority="6645">
      <formula>$H384="CÉLULA CONSTRUTIVA"</formula>
    </cfRule>
    <cfRule type="expression" dxfId="13198" priority="6646">
      <formula>$H384="ETAPA"</formula>
    </cfRule>
    <cfRule type="expression" dxfId="13197" priority="6644">
      <formula>$H384="SUBETAPA"</formula>
    </cfRule>
  </conditionalFormatting>
  <conditionalFormatting sqref="M385">
    <cfRule type="expression" dxfId="13196" priority="19141">
      <formula>$H385="SUBETAPA"</formula>
    </cfRule>
    <cfRule type="expression" dxfId="13195" priority="19142">
      <formula>$H385="CÉLULA CONSTRUTIVA"</formula>
    </cfRule>
  </conditionalFormatting>
  <conditionalFormatting sqref="M391:M392 G391:H392 J391:K392 O391:O392">
    <cfRule type="expression" dxfId="13194" priority="19041">
      <formula>$H391="CÉLULA CONSTRUTIVA"</formula>
    </cfRule>
    <cfRule type="expression" dxfId="13193" priority="19042">
      <formula>$H391="ETAPA"</formula>
    </cfRule>
  </conditionalFormatting>
  <conditionalFormatting sqref="M398">
    <cfRule type="expression" dxfId="13192" priority="19023">
      <formula>$H398="SUBETAPA"</formula>
    </cfRule>
    <cfRule type="expression" dxfId="13191" priority="19024">
      <formula>$H398="CÉLULA CONSTRUTIVA"</formula>
    </cfRule>
  </conditionalFormatting>
  <conditionalFormatting sqref="M402:M403 G402:H403 J402:K403 O402:O403">
    <cfRule type="expression" dxfId="13190" priority="18893">
      <formula>$H402="ETAPA"</formula>
    </cfRule>
    <cfRule type="expression" dxfId="13189" priority="18892">
      <formula>$H402="CÉLULA CONSTRUTIVA"</formula>
    </cfRule>
  </conditionalFormatting>
  <conditionalFormatting sqref="M404">
    <cfRule type="expression" dxfId="13188" priority="438">
      <formula>$H404="CÉLULA CONSTRUTIVA"</formula>
    </cfRule>
    <cfRule type="expression" dxfId="13187" priority="439">
      <formula>$H404="ETAPA"</formula>
    </cfRule>
  </conditionalFormatting>
  <conditionalFormatting sqref="M404:M405">
    <cfRule type="expression" dxfId="13186" priority="442">
      <formula>$H404="SUBETAPA"</formula>
    </cfRule>
  </conditionalFormatting>
  <conditionalFormatting sqref="M405">
    <cfRule type="expression" dxfId="13185" priority="441">
      <formula>$H405="ETAPA"</formula>
    </cfRule>
    <cfRule type="expression" dxfId="13184" priority="440">
      <formula>$H405="CÉLULA CONSTRUTIVA"</formula>
    </cfRule>
  </conditionalFormatting>
  <conditionalFormatting sqref="M407">
    <cfRule type="expression" dxfId="13183" priority="18797">
      <formula>$H407="SUBETAPA"</formula>
    </cfRule>
    <cfRule type="expression" dxfId="13182" priority="18799">
      <formula>$H407="ETAPA"</formula>
    </cfRule>
    <cfRule type="expression" dxfId="13181" priority="18798">
      <formula>$H407="CÉLULA CONSTRUTIVA"</formula>
    </cfRule>
  </conditionalFormatting>
  <conditionalFormatting sqref="M409">
    <cfRule type="expression" dxfId="13180" priority="436">
      <formula>$H409="CÉLULA CONSTRUTIVA"</formula>
    </cfRule>
    <cfRule type="expression" dxfId="13179" priority="437">
      <formula>$H409="ETAPA"</formula>
    </cfRule>
    <cfRule type="expression" dxfId="13178" priority="435">
      <formula>$H409="SUBETAPA"</formula>
    </cfRule>
  </conditionalFormatting>
  <conditionalFormatting sqref="M410 J406:K408 K409">
    <cfRule type="expression" dxfId="13177" priority="18901">
      <formula>$H406="ETAPA"</formula>
    </cfRule>
  </conditionalFormatting>
  <conditionalFormatting sqref="M411">
    <cfRule type="expression" dxfId="13176" priority="18796">
      <formula>$H411="ETAPA"</formula>
    </cfRule>
    <cfRule type="expression" dxfId="13175" priority="18794">
      <formula>$H411="SUBETAPA"</formula>
    </cfRule>
    <cfRule type="expression" dxfId="13174" priority="18795">
      <formula>$H411="CÉLULA CONSTRUTIVA"</formula>
    </cfRule>
  </conditionalFormatting>
  <conditionalFormatting sqref="M412">
    <cfRule type="expression" dxfId="13173" priority="18875">
      <formula>$H412="CÉLULA CONSTRUTIVA"</formula>
    </cfRule>
    <cfRule type="expression" dxfId="13172" priority="18874">
      <formula>$H412="SUBETAPA"</formula>
    </cfRule>
  </conditionalFormatting>
  <conditionalFormatting sqref="M418:M419 G418:H419 J418:K419 O418:O419">
    <cfRule type="expression" dxfId="13171" priority="18706">
      <formula>$H418="CÉLULA CONSTRUTIVA"</formula>
    </cfRule>
    <cfRule type="expression" dxfId="13170" priority="18707">
      <formula>$H418="ETAPA"</formula>
    </cfRule>
  </conditionalFormatting>
  <conditionalFormatting sqref="M420">
    <cfRule type="expression" dxfId="13169" priority="431">
      <formula>$H420="ETAPA"</formula>
    </cfRule>
    <cfRule type="expression" dxfId="13168" priority="430">
      <formula>$H420="CÉLULA CONSTRUTIVA"</formula>
    </cfRule>
  </conditionalFormatting>
  <conditionalFormatting sqref="M420:M421">
    <cfRule type="expression" dxfId="13167" priority="434">
      <formula>$H420="SUBETAPA"</formula>
    </cfRule>
  </conditionalFormatting>
  <conditionalFormatting sqref="M421">
    <cfRule type="expression" dxfId="13166" priority="432">
      <formula>$H421="CÉLULA CONSTRUTIVA"</formula>
    </cfRule>
    <cfRule type="expression" dxfId="13165" priority="433">
      <formula>$H421="ETAPA"</formula>
    </cfRule>
  </conditionalFormatting>
  <conditionalFormatting sqref="M423">
    <cfRule type="expression" dxfId="13164" priority="18635">
      <formula>$H423="SUBETAPA"</formula>
    </cfRule>
    <cfRule type="expression" dxfId="13163" priority="18637">
      <formula>$H423="ETAPA"</formula>
    </cfRule>
    <cfRule type="expression" dxfId="13162" priority="18636">
      <formula>$H423="CÉLULA CONSTRUTIVA"</formula>
    </cfRule>
  </conditionalFormatting>
  <conditionalFormatting sqref="M425">
    <cfRule type="expression" dxfId="13161" priority="18602">
      <formula>$H425="ETAPA"</formula>
    </cfRule>
    <cfRule type="expression" dxfId="13160" priority="18601">
      <formula>$H425="CÉLULA CONSTRUTIVA"</formula>
    </cfRule>
    <cfRule type="expression" dxfId="13159" priority="18600">
      <formula>$H425="SUBETAPA"</formula>
    </cfRule>
  </conditionalFormatting>
  <conditionalFormatting sqref="M426">
    <cfRule type="expression" dxfId="13158" priority="18690">
      <formula>$H426="SUBETAPA"</formula>
    </cfRule>
    <cfRule type="expression" dxfId="13157" priority="18691">
      <formula>$H426="CÉLULA CONSTRUTIVA"</formula>
    </cfRule>
  </conditionalFormatting>
  <conditionalFormatting sqref="M431 O431:P431">
    <cfRule type="expression" dxfId="13156" priority="25163">
      <formula>$H431="SUBETAPA"</formula>
    </cfRule>
    <cfRule type="expression" dxfId="13155" priority="25164">
      <formula>$H431="CÉLULA CONSTRUTIVA"</formula>
    </cfRule>
    <cfRule type="expression" dxfId="13154" priority="25165">
      <formula>$H431="ETAPA"</formula>
    </cfRule>
  </conditionalFormatting>
  <conditionalFormatting sqref="M432:M433 O432:P433 M434:O434">
    <cfRule type="expression" dxfId="13153" priority="18574">
      <formula>$H432="ETAPA"</formula>
    </cfRule>
    <cfRule type="expression" dxfId="13152" priority="18573">
      <formula>$H432="CÉLULA CONSTRUTIVA"</formula>
    </cfRule>
  </conditionalFormatting>
  <conditionalFormatting sqref="M432:M433 O432:P433">
    <cfRule type="expression" dxfId="13151" priority="18572">
      <formula>$H432="SUBETAPA"</formula>
    </cfRule>
  </conditionalFormatting>
  <conditionalFormatting sqref="M435 O435:P435">
    <cfRule type="expression" dxfId="13150" priority="18580">
      <formula>$H435="SUBETAPA"</formula>
    </cfRule>
    <cfRule type="expression" dxfId="13149" priority="18584">
      <formula>$H435="ETAPA"</formula>
    </cfRule>
  </conditionalFormatting>
  <conditionalFormatting sqref="M437:M438 O437:P438 M439:O439">
    <cfRule type="expression" dxfId="13148" priority="18531">
      <formula>$H437="CÉLULA CONSTRUTIVA"</formula>
    </cfRule>
    <cfRule type="expression" dxfId="13147" priority="18532">
      <formula>$H437="ETAPA"</formula>
    </cfRule>
  </conditionalFormatting>
  <conditionalFormatting sqref="M437:M438 O437:P438">
    <cfRule type="expression" dxfId="13146" priority="18530">
      <formula>$H437="SUBETAPA"</formula>
    </cfRule>
  </conditionalFormatting>
  <conditionalFormatting sqref="M440 O440:P440">
    <cfRule type="expression" dxfId="13145" priority="18538">
      <formula>$H440="SUBETAPA"</formula>
    </cfRule>
    <cfRule type="expression" dxfId="13144" priority="18542">
      <formula>$H440="ETAPA"</formula>
    </cfRule>
  </conditionalFormatting>
  <conditionalFormatting sqref="M442:M443 O442:P443 M444:O444">
    <cfRule type="expression" dxfId="13143" priority="18494">
      <formula>$H442="ETAPA"</formula>
    </cfRule>
    <cfRule type="expression" dxfId="13142" priority="18493">
      <formula>$H442="CÉLULA CONSTRUTIVA"</formula>
    </cfRule>
  </conditionalFormatting>
  <conditionalFormatting sqref="M442:M443 O442:P443">
    <cfRule type="expression" dxfId="13141" priority="18492">
      <formula>$H442="SUBETAPA"</formula>
    </cfRule>
  </conditionalFormatting>
  <conditionalFormatting sqref="M445 O445">
    <cfRule type="expression" dxfId="13140" priority="18502">
      <formula>$H445="ETAPA"</formula>
    </cfRule>
    <cfRule type="expression" dxfId="13139" priority="18500">
      <formula>$H445="SUBETAPA"</formula>
    </cfRule>
  </conditionalFormatting>
  <conditionalFormatting sqref="M447:M448 O447:P448 M449:O449">
    <cfRule type="expression" dxfId="13138" priority="18471">
      <formula>$H447="ETAPA"</formula>
    </cfRule>
    <cfRule type="expression" dxfId="13137" priority="18470">
      <formula>$H447="CÉLULA CONSTRUTIVA"</formula>
    </cfRule>
  </conditionalFormatting>
  <conditionalFormatting sqref="M447:M448 O447:P448">
    <cfRule type="expression" dxfId="13136" priority="18469">
      <formula>$H447="SUBETAPA"</formula>
    </cfRule>
  </conditionalFormatting>
  <conditionalFormatting sqref="M450 O450">
    <cfRule type="expression" dxfId="13135" priority="18477">
      <formula>$H450="SUBETAPA"</formula>
    </cfRule>
    <cfRule type="expression" dxfId="13134" priority="18479">
      <formula>$H450="ETAPA"</formula>
    </cfRule>
  </conditionalFormatting>
  <conditionalFormatting sqref="M452:M453 O452:P453 M454:O454">
    <cfRule type="expression" dxfId="13133" priority="18448">
      <formula>$H452="ETAPA"</formula>
    </cfRule>
    <cfRule type="expression" dxfId="13132" priority="18447">
      <formula>$H452="CÉLULA CONSTRUTIVA"</formula>
    </cfRule>
  </conditionalFormatting>
  <conditionalFormatting sqref="M452:M453 O452:P453">
    <cfRule type="expression" dxfId="13131" priority="18446">
      <formula>$H452="SUBETAPA"</formula>
    </cfRule>
  </conditionalFormatting>
  <conditionalFormatting sqref="M455 O455">
    <cfRule type="expression" dxfId="13130" priority="18456">
      <formula>$H455="ETAPA"</formula>
    </cfRule>
    <cfRule type="expression" dxfId="13129" priority="18454">
      <formula>$H455="SUBETAPA"</formula>
    </cfRule>
  </conditionalFormatting>
  <conditionalFormatting sqref="M457:M458 O457:P458 M459:O459">
    <cfRule type="expression" dxfId="13128" priority="17511">
      <formula>$H457="ETAPA"</formula>
    </cfRule>
    <cfRule type="expression" dxfId="13127" priority="17510">
      <formula>$H457="CÉLULA CONSTRUTIVA"</formula>
    </cfRule>
  </conditionalFormatting>
  <conditionalFormatting sqref="M457:M458 O457:P458">
    <cfRule type="expression" dxfId="13126" priority="17509">
      <formula>$H457="SUBETAPA"</formula>
    </cfRule>
  </conditionalFormatting>
  <conditionalFormatting sqref="M460 O460">
    <cfRule type="expression" dxfId="13125" priority="17519">
      <formula>$H460="ETAPA"</formula>
    </cfRule>
    <cfRule type="expression" dxfId="13124" priority="17517">
      <formula>$H460="SUBETAPA"</formula>
    </cfRule>
  </conditionalFormatting>
  <conditionalFormatting sqref="M462:M463 O462:P463 M464:O464">
    <cfRule type="expression" dxfId="13123" priority="18425">
      <formula>$H462="ETAPA"</formula>
    </cfRule>
    <cfRule type="expression" dxfId="13122" priority="18424">
      <formula>$H462="CÉLULA CONSTRUTIVA"</formula>
    </cfRule>
  </conditionalFormatting>
  <conditionalFormatting sqref="M462:M463 O462:P463">
    <cfRule type="expression" dxfId="13121" priority="18423">
      <formula>$H462="SUBETAPA"</formula>
    </cfRule>
  </conditionalFormatting>
  <conditionalFormatting sqref="M465 O465">
    <cfRule type="expression" dxfId="13120" priority="18433">
      <formula>$H465="ETAPA"</formula>
    </cfRule>
    <cfRule type="expression" dxfId="13119" priority="18431">
      <formula>$H465="SUBETAPA"</formula>
    </cfRule>
  </conditionalFormatting>
  <conditionalFormatting sqref="M467:M468 O467:P468 M469:O469">
    <cfRule type="expression" dxfId="13118" priority="18397">
      <formula>$H467="ETAPA"</formula>
    </cfRule>
    <cfRule type="expression" dxfId="13117" priority="18396">
      <formula>$H467="CÉLULA CONSTRUTIVA"</formula>
    </cfRule>
  </conditionalFormatting>
  <conditionalFormatting sqref="M467:M468 O467:P468">
    <cfRule type="expression" dxfId="13116" priority="18395">
      <formula>$H467="SUBETAPA"</formula>
    </cfRule>
  </conditionalFormatting>
  <conditionalFormatting sqref="M471:M472 M473:O473">
    <cfRule type="expression" dxfId="13115" priority="17371">
      <formula>$H471="SUBETAPA"</formula>
    </cfRule>
  </conditionalFormatting>
  <conditionalFormatting sqref="M474 O474:P474 M475:O475 M476 O476:P476 M477:O477 M478 O478:P478 M479:O479 M480 O480:P480 M481:O481 M488 O488:P488 M489:O489 M482 O482:P482 M483:O483 M484 O484:P484 M485:O485 M486 O486:P486 M487:O487 M493 O493:P493 M494:O494 M495 O495:P495 M496:O496 M497 O497:P497 M498:O498 M505 O505:P505 M506:O506 M499 O499:P499 M500:O500 M501 O501:P501 M502:O502 M503 O503:P503 M504:O504 M510 O510:P510 M511:O511 M512 O512:P512 M513:O513 M514 O514:P514 M515:O515 M522 O522:P522 M523:O523 M516 O516:P516 M517:O517 M518 O518:P518 M519:O519 M520 O520:P520 M521:O521 M528:O528 M529 O529:P529 M530:O530 M531 O531:P531 M532:O532 M533 O533:P533 M534:O534 M541 O541:P541 M542:O542 M535 O535:P535 M536:O536 M537 O537:P537 M538:O538 M539 O539:P539 M540:O540 M546 O546:P546 M547:O547 M548 O548:P548 M549:O549 M550 O550:P550 M551:O551 M558 O558:P558 M559:O559 M552 O552:P552 M553:O553 M554 O554:P554 M555:O555 M556 O556:P556 M557:O557 M563 O563:P563 M564:O564 M565 O565:P565 M566:O566 M567 O567:P567 M568:O568 M575 O575:P575 M576:O576 M569 O569:P569 M570:O570 M571 O571:P571 M572:O572 M573 O573:P573 M574:O574 M597 O597:P597 M598:O598 M599 O599:P599 M600:O600 M607 O607:P607 M608:O608 M601 O601:P601 M602:O602 M603 O603:P603 M604:O604 M605 O605:P605 M606:O606 M580 O580:P580 M581:O581 M582 O582:P582 M583:O583 M584 O584:P584 M585:O585 M592 O592:P592 M593:O593 M586 O586:P586 M587:O587 M588 O588:P588 M589:O589 M590 O590:P590 M591:O591">
    <cfRule type="expression" dxfId="13114" priority="17366">
      <formula>$H474="SUBETAPA"</formula>
    </cfRule>
  </conditionalFormatting>
  <conditionalFormatting sqref="M474">
    <cfRule type="expression" dxfId="13113" priority="17382">
      <formula>$H474="ETAPA"</formula>
    </cfRule>
  </conditionalFormatting>
  <conditionalFormatting sqref="M476 O476:P476">
    <cfRule type="expression" dxfId="13112" priority="17370">
      <formula>$H476="ETAPA"</formula>
    </cfRule>
    <cfRule type="expression" dxfId="13111" priority="17369">
      <formula>$H476="CÉLULA CONSTRUTIVA"</formula>
    </cfRule>
  </conditionalFormatting>
  <conditionalFormatting sqref="M490:M491 M492:O492">
    <cfRule type="expression" dxfId="13110" priority="17167">
      <formula>$H490="SUBETAPA"</formula>
    </cfRule>
  </conditionalFormatting>
  <conditionalFormatting sqref="M493 O493:P493">
    <cfRule type="expression" dxfId="13109" priority="17165">
      <formula>$H493="CÉLULA CONSTRUTIVA"</formula>
    </cfRule>
    <cfRule type="expression" dxfId="13108" priority="17166">
      <formula>$H493="ETAPA"</formula>
    </cfRule>
  </conditionalFormatting>
  <conditionalFormatting sqref="M507:M508 M509:O509">
    <cfRule type="expression" dxfId="13107" priority="17010">
      <formula>$H507="SUBETAPA"</formula>
    </cfRule>
  </conditionalFormatting>
  <conditionalFormatting sqref="M510 O510:P510">
    <cfRule type="expression" dxfId="13106" priority="17009">
      <formula>$H510="ETAPA"</formula>
    </cfRule>
    <cfRule type="expression" dxfId="13105" priority="17008">
      <formula>$H510="CÉLULA CONSTRUTIVA"</formula>
    </cfRule>
  </conditionalFormatting>
  <conditionalFormatting sqref="M529 O529:P529">
    <cfRule type="expression" dxfId="13104" priority="16850">
      <formula>$H529="CÉLULA CONSTRUTIVA"</formula>
    </cfRule>
    <cfRule type="expression" dxfId="13103" priority="16851">
      <formula>$H529="ETAPA"</formula>
    </cfRule>
  </conditionalFormatting>
  <conditionalFormatting sqref="M543:M544 M545:O545">
    <cfRule type="expression" dxfId="13102" priority="16673">
      <formula>$H543="SUBETAPA"</formula>
    </cfRule>
  </conditionalFormatting>
  <conditionalFormatting sqref="M546 O546:P546">
    <cfRule type="expression" dxfId="13101" priority="16672">
      <formula>$H546="ETAPA"</formula>
    </cfRule>
    <cfRule type="expression" dxfId="13100" priority="16671">
      <formula>$H546="CÉLULA CONSTRUTIVA"</formula>
    </cfRule>
  </conditionalFormatting>
  <conditionalFormatting sqref="M560:M561 M562:O562">
    <cfRule type="expression" dxfId="13099" priority="16494">
      <formula>$H560="SUBETAPA"</formula>
    </cfRule>
  </conditionalFormatting>
  <conditionalFormatting sqref="M563 O563:P563">
    <cfRule type="expression" dxfId="13098" priority="16493">
      <formula>$H563="ETAPA"</formula>
    </cfRule>
    <cfRule type="expression" dxfId="13097" priority="16492">
      <formula>$H563="CÉLULA CONSTRUTIVA"</formula>
    </cfRule>
  </conditionalFormatting>
  <conditionalFormatting sqref="M577:M578 M579:O579">
    <cfRule type="expression" dxfId="13096" priority="16181">
      <formula>$H577="SUBETAPA"</formula>
    </cfRule>
  </conditionalFormatting>
  <conditionalFormatting sqref="M580 O580:P580">
    <cfRule type="expression" dxfId="13095" priority="16180">
      <formula>$H580="ETAPA"</formula>
    </cfRule>
    <cfRule type="expression" dxfId="13094" priority="16179">
      <formula>$H580="CÉLULA CONSTRUTIVA"</formula>
    </cfRule>
  </conditionalFormatting>
  <conditionalFormatting sqref="M594:M595 M596:O596">
    <cfRule type="expression" dxfId="13093" priority="16316">
      <formula>$H594="SUBETAPA"</formula>
    </cfRule>
  </conditionalFormatting>
  <conditionalFormatting sqref="M609">
    <cfRule type="expression" dxfId="13092" priority="25489">
      <formula>$H609="ETAPA"</formula>
    </cfRule>
    <cfRule type="expression" dxfId="13091" priority="25219">
      <formula>$H609="SUBETAPA"</formula>
    </cfRule>
  </conditionalFormatting>
  <conditionalFormatting sqref="M610 O610:P610">
    <cfRule type="expression" dxfId="13090" priority="16007">
      <formula>$H610="CÉLULA CONSTRUTIVA"</formula>
    </cfRule>
  </conditionalFormatting>
  <conditionalFormatting sqref="M610">
    <cfRule type="expression" dxfId="13089" priority="16006">
      <formula>$H610="SUBETAPA"</formula>
    </cfRule>
  </conditionalFormatting>
  <conditionalFormatting sqref="M614">
    <cfRule type="expression" dxfId="13088" priority="14816">
      <formula>$H614="SUBETAPA"</formula>
    </cfRule>
    <cfRule type="expression" dxfId="13087" priority="14817">
      <formula>$H614="CÉLULA CONSTRUTIVA"</formula>
    </cfRule>
    <cfRule type="expression" dxfId="13086" priority="14818">
      <formula>$H614="ETAPA"</formula>
    </cfRule>
  </conditionalFormatting>
  <conditionalFormatting sqref="M624 O624:P624">
    <cfRule type="expression" dxfId="13085" priority="15829">
      <formula>$H624="CÉLULA CONSTRUTIVA"</formula>
    </cfRule>
  </conditionalFormatting>
  <conditionalFormatting sqref="M624">
    <cfRule type="expression" dxfId="13084" priority="15828">
      <formula>$H624="SUBETAPA"</formula>
    </cfRule>
  </conditionalFormatting>
  <conditionalFormatting sqref="M638 O638:P638">
    <cfRule type="expression" dxfId="13083" priority="15503">
      <formula>$H638="CÉLULA CONSTRUTIVA"</formula>
    </cfRule>
  </conditionalFormatting>
  <conditionalFormatting sqref="M638">
    <cfRule type="expression" dxfId="13082" priority="15502">
      <formula>$H638="SUBETAPA"</formula>
    </cfRule>
  </conditionalFormatting>
  <conditionalFormatting sqref="M652 O652:P652">
    <cfRule type="expression" dxfId="13081" priority="15340">
      <formula>$H652="CÉLULA CONSTRUTIVA"</formula>
    </cfRule>
  </conditionalFormatting>
  <conditionalFormatting sqref="M652">
    <cfRule type="expression" dxfId="13080" priority="15339">
      <formula>$H652="SUBETAPA"</formula>
    </cfRule>
  </conditionalFormatting>
  <conditionalFormatting sqref="M666 O666:P666">
    <cfRule type="expression" dxfId="13079" priority="15176">
      <formula>$H666="CÉLULA CONSTRUTIVA"</formula>
    </cfRule>
  </conditionalFormatting>
  <conditionalFormatting sqref="M666">
    <cfRule type="expression" dxfId="13078" priority="15175">
      <formula>$H666="SUBETAPA"</formula>
    </cfRule>
  </conditionalFormatting>
  <conditionalFormatting sqref="M680 O680:P680">
    <cfRule type="expression" dxfId="13077" priority="14496">
      <formula>$H680="CÉLULA CONSTRUTIVA"</formula>
    </cfRule>
  </conditionalFormatting>
  <conditionalFormatting sqref="M680">
    <cfRule type="expression" dxfId="13076" priority="14495">
      <formula>$H680="SUBETAPA"</formula>
    </cfRule>
  </conditionalFormatting>
  <conditionalFormatting sqref="M694 O694:P694">
    <cfRule type="expression" dxfId="13075" priority="15012">
      <formula>$H694="CÉLULA CONSTRUTIVA"</formula>
    </cfRule>
  </conditionalFormatting>
  <conditionalFormatting sqref="M694">
    <cfRule type="expression" dxfId="13074" priority="15011">
      <formula>$H694="SUBETAPA"</formula>
    </cfRule>
  </conditionalFormatting>
  <conditionalFormatting sqref="M711">
    <cfRule type="expression" dxfId="13073" priority="14035">
      <formula>$H711="ETAPA"</formula>
    </cfRule>
    <cfRule type="expression" dxfId="13072" priority="14036">
      <formula>$H711="SUBETAPA"</formula>
    </cfRule>
    <cfRule type="expression" dxfId="13071" priority="14034">
      <formula>$H711="CÉLULA CONSTRUTIVA"</formula>
    </cfRule>
  </conditionalFormatting>
  <conditionalFormatting sqref="M747">
    <cfRule type="expression" dxfId="13070" priority="24910">
      <formula>$H747="SUBETAPA"</formula>
    </cfRule>
    <cfRule type="expression" dxfId="13069" priority="24911">
      <formula>$H747="CÉLULA CONSTRUTIVA"</formula>
    </cfRule>
    <cfRule type="expression" dxfId="13068" priority="24912">
      <formula>$H747="ETAPA"</formula>
    </cfRule>
  </conditionalFormatting>
  <conditionalFormatting sqref="M748:M750">
    <cfRule type="expression" dxfId="13067" priority="13485">
      <formula>$H748="SUBETAPA"</formula>
    </cfRule>
    <cfRule type="expression" dxfId="13066" priority="13486">
      <formula>$H748="CÉLULA CONSTRUTIVA"</formula>
    </cfRule>
    <cfRule type="expression" dxfId="13065" priority="13487">
      <formula>$H748="ETAPA"</formula>
    </cfRule>
  </conditionalFormatting>
  <conditionalFormatting sqref="M753:M754">
    <cfRule type="expression" dxfId="13064" priority="12783">
      <formula>$H753="ETAPA"</formula>
    </cfRule>
    <cfRule type="expression" dxfId="13063" priority="12782">
      <formula>$H753="CÉLULA CONSTRUTIVA"</formula>
    </cfRule>
    <cfRule type="expression" dxfId="13062" priority="12781">
      <formula>$H753="SUBETAPA"</formula>
    </cfRule>
  </conditionalFormatting>
  <conditionalFormatting sqref="M755 M759">
    <cfRule type="expression" dxfId="13061" priority="13525">
      <formula>$H755="ETAPA"</formula>
    </cfRule>
    <cfRule type="expression" dxfId="13060" priority="13524">
      <formula>$H755="CÉLULA CONSTRUTIVA"</formula>
    </cfRule>
    <cfRule type="expression" dxfId="13059" priority="13523">
      <formula>$H755="SUBETAPA"</formula>
    </cfRule>
  </conditionalFormatting>
  <conditionalFormatting sqref="M757 M758:O758">
    <cfRule type="expression" dxfId="13058" priority="12770">
      <formula>$H757="CÉLULA CONSTRUTIVA"</formula>
    </cfRule>
    <cfRule type="expression" dxfId="13057" priority="12771">
      <formula>$H757="ETAPA"</formula>
    </cfRule>
  </conditionalFormatting>
  <conditionalFormatting sqref="M757">
    <cfRule type="expression" dxfId="13056" priority="12769">
      <formula>$H757="SUBETAPA"</formula>
    </cfRule>
  </conditionalFormatting>
  <conditionalFormatting sqref="M764:M765">
    <cfRule type="expression" dxfId="13055" priority="13350">
      <formula>$H764="ETAPA"</formula>
    </cfRule>
    <cfRule type="expression" dxfId="13054" priority="13348">
      <formula>$H764="SUBETAPA"</formula>
    </cfRule>
    <cfRule type="expression" dxfId="13053" priority="13349">
      <formula>$H764="CÉLULA CONSTRUTIVA"</formula>
    </cfRule>
  </conditionalFormatting>
  <conditionalFormatting sqref="M766">
    <cfRule type="expression" dxfId="13052" priority="529">
      <formula>$H766="ETAPA"</formula>
    </cfRule>
    <cfRule type="expression" dxfId="13051" priority="528">
      <formula>$H766="CÉLULA CONSTRUTIVA"</formula>
    </cfRule>
    <cfRule type="expression" dxfId="13050" priority="527">
      <formula>$H766="SUBETAPA"</formula>
    </cfRule>
  </conditionalFormatting>
  <conditionalFormatting sqref="M767">
    <cfRule type="expression" dxfId="13049" priority="12799">
      <formula>$H767="SUBETAPA"</formula>
    </cfRule>
    <cfRule type="expression" dxfId="13048" priority="12801">
      <formula>$H767="ETAPA"</formula>
    </cfRule>
    <cfRule type="expression" dxfId="13047" priority="12800">
      <formula>$H767="CÉLULA CONSTRUTIVA"</formula>
    </cfRule>
  </conditionalFormatting>
  <conditionalFormatting sqref="M769:M770">
    <cfRule type="expression" dxfId="13046" priority="12780">
      <formula>$H769="ETAPA"</formula>
    </cfRule>
    <cfRule type="expression" dxfId="13045" priority="12778">
      <formula>$H769="SUBETAPA"</formula>
    </cfRule>
    <cfRule type="expression" dxfId="13044" priority="12779">
      <formula>$H769="CÉLULA CONSTRUTIVA"</formula>
    </cfRule>
  </conditionalFormatting>
  <conditionalFormatting sqref="M771 M772:O772">
    <cfRule type="expression" dxfId="13043" priority="6579">
      <formula>$H771="CÉLULA CONSTRUTIVA"</formula>
    </cfRule>
    <cfRule type="expression" dxfId="13042" priority="6580">
      <formula>$H771="ETAPA"</formula>
    </cfRule>
  </conditionalFormatting>
  <conditionalFormatting sqref="M771">
    <cfRule type="expression" dxfId="13041" priority="6578">
      <formula>$H771="SUBETAPA"</formula>
    </cfRule>
  </conditionalFormatting>
  <conditionalFormatting sqref="M777:M778">
    <cfRule type="expression" dxfId="13040" priority="13259">
      <formula>$H777="ETAPA"</formula>
    </cfRule>
    <cfRule type="expression" dxfId="13039" priority="13258">
      <formula>$H777="CÉLULA CONSTRUTIVA"</formula>
    </cfRule>
    <cfRule type="expression" dxfId="13038" priority="13257">
      <formula>$H777="SUBETAPA"</formula>
    </cfRule>
  </conditionalFormatting>
  <conditionalFormatting sqref="M779">
    <cfRule type="expression" dxfId="13037" priority="526">
      <formula>$H779="ETAPA"</formula>
    </cfRule>
    <cfRule type="expression" dxfId="13036" priority="525">
      <formula>$H779="CÉLULA CONSTRUTIVA"</formula>
    </cfRule>
    <cfRule type="expression" dxfId="13035" priority="524">
      <formula>$H779="SUBETAPA"</formula>
    </cfRule>
  </conditionalFormatting>
  <conditionalFormatting sqref="M780">
    <cfRule type="expression" dxfId="13034" priority="467">
      <formula>$H780="SUBETAPA"</formula>
    </cfRule>
    <cfRule type="expression" dxfId="13033" priority="468">
      <formula>$H780="CÉLULA CONSTRUTIVA"</formula>
    </cfRule>
    <cfRule type="expression" dxfId="13032" priority="469">
      <formula>$H780="ETAPA"</formula>
    </cfRule>
  </conditionalFormatting>
  <conditionalFormatting sqref="M782:M783">
    <cfRule type="expression" dxfId="13031" priority="12776">
      <formula>$H782="CÉLULA CONSTRUTIVA"</formula>
    </cfRule>
    <cfRule type="expression" dxfId="13030" priority="12777">
      <formula>$H782="ETAPA"</formula>
    </cfRule>
    <cfRule type="expression" dxfId="13029" priority="12775">
      <formula>$H782="SUBETAPA"</formula>
    </cfRule>
  </conditionalFormatting>
  <conditionalFormatting sqref="M784 N785:O785">
    <cfRule type="expression" dxfId="13028" priority="12726">
      <formula>$H784="ETAPA"</formula>
    </cfRule>
    <cfRule type="expression" dxfId="13027" priority="12725">
      <formula>$H784="CÉLULA CONSTRUTIVA"</formula>
    </cfRule>
  </conditionalFormatting>
  <conditionalFormatting sqref="M784">
    <cfRule type="expression" dxfId="13026" priority="12724">
      <formula>$H784="SUBETAPA"</formula>
    </cfRule>
  </conditionalFormatting>
  <conditionalFormatting sqref="M785">
    <cfRule type="expression" dxfId="13025" priority="12690">
      <formula>$H785="ETAPA"</formula>
    </cfRule>
    <cfRule type="expression" dxfId="13024" priority="12689">
      <formula>$H785="CÉLULA CONSTRUTIVA"</formula>
    </cfRule>
    <cfRule type="expression" dxfId="13023" priority="12688">
      <formula>$H785="SUBETAPA"</formula>
    </cfRule>
  </conditionalFormatting>
  <conditionalFormatting sqref="M790:M791">
    <cfRule type="expression" dxfId="13022" priority="13153">
      <formula>$H790="SUBETAPA"</formula>
    </cfRule>
    <cfRule type="expression" dxfId="13021" priority="13154">
      <formula>$H790="CÉLULA CONSTRUTIVA"</formula>
    </cfRule>
    <cfRule type="expression" dxfId="13020" priority="13155">
      <formula>$H790="ETAPA"</formula>
    </cfRule>
  </conditionalFormatting>
  <conditionalFormatting sqref="M792">
    <cfRule type="expression" dxfId="13019" priority="522">
      <formula>$H792="CÉLULA CONSTRUTIVA"</formula>
    </cfRule>
    <cfRule type="expression" dxfId="13018" priority="521">
      <formula>$H792="SUBETAPA"</formula>
    </cfRule>
    <cfRule type="expression" dxfId="13017" priority="523">
      <formula>$H792="ETAPA"</formula>
    </cfRule>
  </conditionalFormatting>
  <conditionalFormatting sqref="M793">
    <cfRule type="expression" dxfId="13016" priority="464">
      <formula>$H793="SUBETAPA"</formula>
    </cfRule>
    <cfRule type="expression" dxfId="13015" priority="465">
      <formula>$H793="CÉLULA CONSTRUTIVA"</formula>
    </cfRule>
    <cfRule type="expression" dxfId="13014" priority="466">
      <formula>$H793="ETAPA"</formula>
    </cfRule>
  </conditionalFormatting>
  <conditionalFormatting sqref="M796">
    <cfRule type="expression" dxfId="13013" priority="12611">
      <formula>$H796="SUBETAPA"</formula>
    </cfRule>
    <cfRule type="expression" dxfId="13012" priority="12612">
      <formula>$H796="CÉLULA CONSTRUTIVA"</formula>
    </cfRule>
    <cfRule type="expression" dxfId="13011" priority="12613">
      <formula>$H796="ETAPA"</formula>
    </cfRule>
  </conditionalFormatting>
  <conditionalFormatting sqref="M797 M799 M801">
    <cfRule type="expression" dxfId="13010" priority="13189">
      <formula>$H797="SUBETAPA"</formula>
    </cfRule>
  </conditionalFormatting>
  <conditionalFormatting sqref="M797 M799 N800:O800 M801">
    <cfRule type="expression" dxfId="13009" priority="13191">
      <formula>$H797="ETAPA"</formula>
    </cfRule>
    <cfRule type="expression" dxfId="13008" priority="13190">
      <formula>$H797="CÉLULA CONSTRUTIVA"</formula>
    </cfRule>
  </conditionalFormatting>
  <conditionalFormatting sqref="M800">
    <cfRule type="expression" dxfId="13007" priority="12735">
      <formula>$H800="ETAPA"</formula>
    </cfRule>
    <cfRule type="expression" dxfId="13006" priority="12734">
      <formula>$H800="CÉLULA CONSTRUTIVA"</formula>
    </cfRule>
    <cfRule type="expression" dxfId="13005" priority="12733">
      <formula>$H800="SUBETAPA"</formula>
    </cfRule>
  </conditionalFormatting>
  <conditionalFormatting sqref="M806:M807">
    <cfRule type="expression" dxfId="13004" priority="13047">
      <formula>$H806="SUBETAPA"</formula>
    </cfRule>
    <cfRule type="expression" dxfId="13003" priority="13049">
      <formula>$H806="ETAPA"</formula>
    </cfRule>
    <cfRule type="expression" dxfId="13002" priority="13048">
      <formula>$H806="CÉLULA CONSTRUTIVA"</formula>
    </cfRule>
  </conditionalFormatting>
  <conditionalFormatting sqref="M808">
    <cfRule type="expression" dxfId="13001" priority="520">
      <formula>$H808="ETAPA"</formula>
    </cfRule>
    <cfRule type="expression" dxfId="13000" priority="518">
      <formula>$H808="SUBETAPA"</formula>
    </cfRule>
    <cfRule type="expression" dxfId="12999" priority="519">
      <formula>$H808="CÉLULA CONSTRUTIVA"</formula>
    </cfRule>
  </conditionalFormatting>
  <conditionalFormatting sqref="M809">
    <cfRule type="expression" dxfId="12998" priority="461">
      <formula>$H809="SUBETAPA"</formula>
    </cfRule>
    <cfRule type="expression" dxfId="12997" priority="463">
      <formula>$H809="ETAPA"</formula>
    </cfRule>
    <cfRule type="expression" dxfId="12996" priority="462">
      <formula>$H809="CÉLULA CONSTRUTIVA"</formula>
    </cfRule>
  </conditionalFormatting>
  <conditionalFormatting sqref="M812">
    <cfRule type="expression" dxfId="12995" priority="12582">
      <formula>$H812="CÉLULA CONSTRUTIVA"</formula>
    </cfRule>
    <cfRule type="expression" dxfId="12994" priority="12583">
      <formula>$H812="ETAPA"</formula>
    </cfRule>
    <cfRule type="expression" dxfId="12993" priority="12581">
      <formula>$H812="SUBETAPA"</formula>
    </cfRule>
  </conditionalFormatting>
  <conditionalFormatting sqref="M813">
    <cfRule type="expression" dxfId="12992" priority="869">
      <formula>$H813="ETAPA"</formula>
    </cfRule>
    <cfRule type="expression" dxfId="12991" priority="867">
      <formula>$H813="SUBETAPA"</formula>
    </cfRule>
    <cfRule type="expression" dxfId="12990" priority="868">
      <formula>$H813="CÉLULA CONSTRUTIVA"</formula>
    </cfRule>
  </conditionalFormatting>
  <conditionalFormatting sqref="M814:M815">
    <cfRule type="expression" dxfId="12989" priority="767">
      <formula>$H814="SUBETAPA"</formula>
    </cfRule>
    <cfRule type="expression" dxfId="12988" priority="765">
      <formula>$H814="CÉLULA CONSTRUTIVA"</formula>
    </cfRule>
    <cfRule type="expression" dxfId="12987" priority="766">
      <formula>$H814="ETAPA"</formula>
    </cfRule>
  </conditionalFormatting>
  <conditionalFormatting sqref="M816 M818">
    <cfRule type="expression" dxfId="12986" priority="13083">
      <formula>$H816="SUBETAPA"</formula>
    </cfRule>
  </conditionalFormatting>
  <conditionalFormatting sqref="M816 N817:O817 M818">
    <cfRule type="expression" dxfId="12985" priority="13085">
      <formula>$H816="ETAPA"</formula>
    </cfRule>
    <cfRule type="expression" dxfId="12984" priority="13084">
      <formula>$H816="CÉLULA CONSTRUTIVA"</formula>
    </cfRule>
  </conditionalFormatting>
  <conditionalFormatting sqref="M817">
    <cfRule type="expression" dxfId="12983" priority="12731">
      <formula>$H817="CÉLULA CONSTRUTIVA"</formula>
    </cfRule>
    <cfRule type="expression" dxfId="12982" priority="12732">
      <formula>$H817="ETAPA"</formula>
    </cfRule>
    <cfRule type="expression" dxfId="12981" priority="12730">
      <formula>$H817="SUBETAPA"</formula>
    </cfRule>
  </conditionalFormatting>
  <conditionalFormatting sqref="M823:M824">
    <cfRule type="expression" dxfId="12980" priority="12940">
      <formula>$H823="ETAPA"</formula>
    </cfRule>
    <cfRule type="expression" dxfId="12979" priority="12939">
      <formula>$H823="CÉLULA CONSTRUTIVA"</formula>
    </cfRule>
    <cfRule type="expression" dxfId="12978" priority="12938">
      <formula>$H823="SUBETAPA"</formula>
    </cfRule>
  </conditionalFormatting>
  <conditionalFormatting sqref="M825">
    <cfRule type="expression" dxfId="12977" priority="517">
      <formula>$H825="ETAPA"</formula>
    </cfRule>
    <cfRule type="expression" dxfId="12976" priority="515">
      <formula>$H825="SUBETAPA"</formula>
    </cfRule>
    <cfRule type="expression" dxfId="12975" priority="516">
      <formula>$H825="CÉLULA CONSTRUTIVA"</formula>
    </cfRule>
  </conditionalFormatting>
  <conditionalFormatting sqref="M826">
    <cfRule type="expression" dxfId="12974" priority="460">
      <formula>$H826="ETAPA"</formula>
    </cfRule>
    <cfRule type="expression" dxfId="12973" priority="459">
      <formula>$H826="CÉLULA CONSTRUTIVA"</formula>
    </cfRule>
    <cfRule type="expression" dxfId="12972" priority="458">
      <formula>$H826="SUBETAPA"</formula>
    </cfRule>
  </conditionalFormatting>
  <conditionalFormatting sqref="M829">
    <cfRule type="expression" dxfId="12971" priority="12552">
      <formula>$H829="CÉLULA CONSTRUTIVA"</formula>
    </cfRule>
    <cfRule type="expression" dxfId="12970" priority="12553">
      <formula>$H829="ETAPA"</formula>
    </cfRule>
    <cfRule type="expression" dxfId="12969" priority="12551">
      <formula>$H829="SUBETAPA"</formula>
    </cfRule>
  </conditionalFormatting>
  <conditionalFormatting sqref="M830">
    <cfRule type="expression" dxfId="12968" priority="820">
      <formula>$H830="ETAPA"</formula>
    </cfRule>
    <cfRule type="expression" dxfId="12967" priority="818">
      <formula>$H830="SUBETAPA"</formula>
    </cfRule>
    <cfRule type="expression" dxfId="12966" priority="819">
      <formula>$H830="CÉLULA CONSTRUTIVA"</formula>
    </cfRule>
  </conditionalFormatting>
  <conditionalFormatting sqref="M831">
    <cfRule type="expression" dxfId="12965" priority="475">
      <formula>$H831="SUBETAPA"</formula>
    </cfRule>
    <cfRule type="expression" dxfId="12964" priority="474">
      <formula>$H831="ETAPA"</formula>
    </cfRule>
    <cfRule type="expression" dxfId="12963" priority="473">
      <formula>$H831="CÉLULA CONSTRUTIVA"</formula>
    </cfRule>
  </conditionalFormatting>
  <conditionalFormatting sqref="M832">
    <cfRule type="expression" dxfId="12962" priority="36">
      <formula>$H832="CÉLULA CONSTRUTIVA"</formula>
    </cfRule>
    <cfRule type="expression" dxfId="12961" priority="37">
      <formula>$H832="ETAPA"</formula>
    </cfRule>
    <cfRule type="expression" dxfId="12960" priority="38">
      <formula>$H832="SUBETAPA"</formula>
    </cfRule>
  </conditionalFormatting>
  <conditionalFormatting sqref="M833 M835">
    <cfRule type="expression" dxfId="12959" priority="12974">
      <formula>$H833="SUBETAPA"</formula>
    </cfRule>
  </conditionalFormatting>
  <conditionalFormatting sqref="M833 N834:O834 M835">
    <cfRule type="expression" dxfId="12958" priority="12976">
      <formula>$H833="ETAPA"</formula>
    </cfRule>
    <cfRule type="expression" dxfId="12957" priority="12975">
      <formula>$H833="CÉLULA CONSTRUTIVA"</formula>
    </cfRule>
  </conditionalFormatting>
  <conditionalFormatting sqref="M834">
    <cfRule type="expression" dxfId="12956" priority="12729">
      <formula>$H834="ETAPA"</formula>
    </cfRule>
    <cfRule type="expression" dxfId="12955" priority="12728">
      <formula>$H834="CÉLULA CONSTRUTIVA"</formula>
    </cfRule>
    <cfRule type="expression" dxfId="12954" priority="12727">
      <formula>$H834="SUBETAPA"</formula>
    </cfRule>
  </conditionalFormatting>
  <conditionalFormatting sqref="M840:M841">
    <cfRule type="expression" dxfId="12953" priority="12376">
      <formula>$H840="ETAPA"</formula>
    </cfRule>
    <cfRule type="expression" dxfId="12952" priority="12375">
      <formula>$H840="CÉLULA CONSTRUTIVA"</formula>
    </cfRule>
    <cfRule type="expression" dxfId="12951" priority="12374">
      <formula>$H840="SUBETAPA"</formula>
    </cfRule>
  </conditionalFormatting>
  <conditionalFormatting sqref="M842">
    <cfRule type="expression" dxfId="12950" priority="457">
      <formula>$H842="ETAPA"</formula>
    </cfRule>
    <cfRule type="expression" dxfId="12949" priority="455">
      <formula>$H842="SUBETAPA"</formula>
    </cfRule>
    <cfRule type="expression" dxfId="12948" priority="456">
      <formula>$H842="CÉLULA CONSTRUTIVA"</formula>
    </cfRule>
  </conditionalFormatting>
  <conditionalFormatting sqref="M845">
    <cfRule type="expression" dxfId="12947" priority="12268">
      <formula>$H845="ETAPA"</formula>
    </cfRule>
    <cfRule type="expression" dxfId="12946" priority="12267">
      <formula>$H845="CÉLULA CONSTRUTIVA"</formula>
    </cfRule>
    <cfRule type="expression" dxfId="12945" priority="12266">
      <formula>$H845="SUBETAPA"</formula>
    </cfRule>
  </conditionalFormatting>
  <conditionalFormatting sqref="M846 M849 M851">
    <cfRule type="expression" dxfId="12944" priority="12410">
      <formula>$H846="SUBETAPA"</formula>
    </cfRule>
  </conditionalFormatting>
  <conditionalFormatting sqref="M846 M849 N850:O850 M851">
    <cfRule type="expression" dxfId="12943" priority="12412">
      <formula>$H846="ETAPA"</formula>
    </cfRule>
    <cfRule type="expression" dxfId="12942" priority="12411">
      <formula>$H846="CÉLULA CONSTRUTIVA"</formula>
    </cfRule>
  </conditionalFormatting>
  <conditionalFormatting sqref="M847">
    <cfRule type="expression" dxfId="12941" priority="472">
      <formula>$H847="SUBETAPA"</formula>
    </cfRule>
    <cfRule type="expression" dxfId="12940" priority="470">
      <formula>$H847="CÉLULA CONSTRUTIVA"</formula>
    </cfRule>
    <cfRule type="expression" dxfId="12939" priority="471">
      <formula>$H847="ETAPA"</formula>
    </cfRule>
  </conditionalFormatting>
  <conditionalFormatting sqref="M848">
    <cfRule type="expression" dxfId="12938" priority="1">
      <formula>$H848="CÉLULA CONSTRUTIVA"</formula>
    </cfRule>
    <cfRule type="expression" dxfId="12937" priority="2">
      <formula>$H848="ETAPA"</formula>
    </cfRule>
    <cfRule type="expression" dxfId="12936" priority="3">
      <formula>$H848="SUBETAPA"</formula>
    </cfRule>
  </conditionalFormatting>
  <conditionalFormatting sqref="M850">
    <cfRule type="expression" dxfId="12935" priority="12310">
      <formula>$H850="ETAPA"</formula>
    </cfRule>
    <cfRule type="expression" dxfId="12934" priority="12309">
      <formula>$H850="CÉLULA CONSTRUTIVA"</formula>
    </cfRule>
    <cfRule type="expression" dxfId="12933" priority="12308">
      <formula>$H850="SUBETAPA"</formula>
    </cfRule>
  </conditionalFormatting>
  <conditionalFormatting sqref="M856:M857">
    <cfRule type="expression" dxfId="12932" priority="12844">
      <formula>$H856="ETAPA"</formula>
    </cfRule>
    <cfRule type="expression" dxfId="12931" priority="12842">
      <formula>$H856="SUBETAPA"</formula>
    </cfRule>
    <cfRule type="expression" dxfId="12930" priority="12843">
      <formula>$H856="CÉLULA CONSTRUTIVA"</formula>
    </cfRule>
  </conditionalFormatting>
  <conditionalFormatting sqref="M858">
    <cfRule type="expression" dxfId="12929" priority="452">
      <formula>$H858="SUBETAPA"</formula>
    </cfRule>
    <cfRule type="expression" dxfId="12928" priority="453">
      <formula>$H858="CÉLULA CONSTRUTIVA"</formula>
    </cfRule>
    <cfRule type="expression" dxfId="12927" priority="454">
      <formula>$H858="ETAPA"</formula>
    </cfRule>
  </conditionalFormatting>
  <conditionalFormatting sqref="M859">
    <cfRule type="expression" dxfId="12926" priority="12868">
      <formula>$H859="SUBETAPA"</formula>
    </cfRule>
    <cfRule type="expression" dxfId="12925" priority="12869">
      <formula>$H859="CÉLULA CONSTRUTIVA"</formula>
    </cfRule>
    <cfRule type="expression" dxfId="12924" priority="12870">
      <formula>$H859="ETAPA"</formula>
    </cfRule>
  </conditionalFormatting>
  <conditionalFormatting sqref="M861">
    <cfRule type="expression" dxfId="12923" priority="12490">
      <formula>$H861="ETAPA"</formula>
    </cfRule>
    <cfRule type="expression" dxfId="12922" priority="12489">
      <formula>$H861="CÉLULA CONSTRUTIVA"</formula>
    </cfRule>
    <cfRule type="expression" dxfId="12921" priority="12488">
      <formula>$H861="SUBETAPA"</formula>
    </cfRule>
  </conditionalFormatting>
  <conditionalFormatting sqref="M862">
    <cfRule type="expression" dxfId="12920" priority="12867">
      <formula>$H862="ETAPA"</formula>
    </cfRule>
    <cfRule type="expression" dxfId="12919" priority="12865">
      <formula>$H862="SUBETAPA"</formula>
    </cfRule>
    <cfRule type="expression" dxfId="12918" priority="12866">
      <formula>$H862="CÉLULA CONSTRUTIVA"</formula>
    </cfRule>
  </conditionalFormatting>
  <conditionalFormatting sqref="M915">
    <cfRule type="expression" dxfId="12917" priority="1335">
      <formula>$H915="ETAPA"</formula>
    </cfRule>
    <cfRule type="expression" dxfId="12916" priority="1333">
      <formula>$H915="SUBETAPA"</formula>
    </cfRule>
    <cfRule type="expression" dxfId="12915" priority="1334">
      <formula>$H915="CÉLULA CONSTRUTIVA"</formula>
    </cfRule>
  </conditionalFormatting>
  <conditionalFormatting sqref="M916 O916:P916 M919 O919:P919 M923 O923:P923 L932:O932 G924:O924 G925:L925 N925:O925">
    <cfRule type="expression" dxfId="12914" priority="11311">
      <formula>$H916="ETAPA"</formula>
    </cfRule>
  </conditionalFormatting>
  <conditionalFormatting sqref="M916 O916:P916 M919 O919:P919 M923 O923:P923">
    <cfRule type="expression" dxfId="12913" priority="11309">
      <formula>$H916="SUBETAPA"</formula>
    </cfRule>
    <cfRule type="expression" dxfId="12912" priority="11310">
      <formula>$H916="CÉLULA CONSTRUTIVA"</formula>
    </cfRule>
  </conditionalFormatting>
  <conditionalFormatting sqref="M917">
    <cfRule type="expression" dxfId="12911" priority="1303">
      <formula>$H917="SUBETAPA"</formula>
    </cfRule>
    <cfRule type="expression" dxfId="12910" priority="1304">
      <formula>$H917="CÉLULA CONSTRUTIVA"</formula>
    </cfRule>
    <cfRule type="expression" dxfId="12909" priority="1305">
      <formula>$H917="ETAPA"</formula>
    </cfRule>
  </conditionalFormatting>
  <conditionalFormatting sqref="M918">
    <cfRule type="expression" dxfId="12908" priority="2197">
      <formula>$H918="ETAPA"</formula>
    </cfRule>
    <cfRule type="expression" dxfId="12907" priority="2196">
      <formula>$H918="CÉLULA CONSTRUTIVA"</formula>
    </cfRule>
    <cfRule type="expression" dxfId="12906" priority="2195">
      <formula>$H918="SUBETAPA"</formula>
    </cfRule>
  </conditionalFormatting>
  <conditionalFormatting sqref="M925">
    <cfRule type="expression" dxfId="12905" priority="1295">
      <formula>$H925="CÉLULA CONSTRUTIVA"</formula>
    </cfRule>
    <cfRule type="expression" dxfId="12904" priority="1296">
      <formula>$H925="ETAPA"</formula>
    </cfRule>
    <cfRule type="expression" dxfId="12903" priority="1294">
      <formula>$H925="SUBETAPA"</formula>
    </cfRule>
  </conditionalFormatting>
  <conditionalFormatting sqref="M935">
    <cfRule type="expression" dxfId="12902" priority="1330">
      <formula>$H935="SUBETAPA"</formula>
    </cfRule>
    <cfRule type="expression" dxfId="12901" priority="1332">
      <formula>$H935="ETAPA"</formula>
    </cfRule>
    <cfRule type="expression" dxfId="12900" priority="1331">
      <formula>$H935="CÉLULA CONSTRUTIVA"</formula>
    </cfRule>
  </conditionalFormatting>
  <conditionalFormatting sqref="M936 O936:P936">
    <cfRule type="expression" dxfId="12899" priority="11179">
      <formula>$H936="ETAPA"</formula>
    </cfRule>
    <cfRule type="expression" dxfId="12898" priority="11178">
      <formula>$H936="CÉLULA CONSTRUTIVA"</formula>
    </cfRule>
    <cfRule type="expression" dxfId="12897" priority="11177">
      <formula>$H936="SUBETAPA"</formula>
    </cfRule>
  </conditionalFormatting>
  <conditionalFormatting sqref="M937">
    <cfRule type="expression" dxfId="12896" priority="273">
      <formula>$H937="ETAPA"</formula>
    </cfRule>
    <cfRule type="expression" dxfId="12895" priority="271">
      <formula>$H937="SUBETAPA"</formula>
    </cfRule>
    <cfRule type="expression" dxfId="12894" priority="272">
      <formula>$H937="CÉLULA CONSTRUTIVA"</formula>
    </cfRule>
  </conditionalFormatting>
  <conditionalFormatting sqref="M938">
    <cfRule type="expression" dxfId="12893" priority="2200">
      <formula>$H938="ETAPA"</formula>
    </cfRule>
    <cfRule type="expression" dxfId="12892" priority="2199">
      <formula>$H938="CÉLULA CONSTRUTIVA"</formula>
    </cfRule>
    <cfRule type="expression" dxfId="12891" priority="2198">
      <formula>$H938="SUBETAPA"</formula>
    </cfRule>
  </conditionalFormatting>
  <conditionalFormatting sqref="M939 O939:P939">
    <cfRule type="expression" dxfId="12890" priority="6150">
      <formula>$H939="ETAPA"</formula>
    </cfRule>
    <cfRule type="expression" dxfId="12889" priority="6149">
      <formula>$H939="CÉLULA CONSTRUTIVA"</formula>
    </cfRule>
    <cfRule type="expression" dxfId="12888" priority="6148">
      <formula>$H939="SUBETAPA"</formula>
    </cfRule>
  </conditionalFormatting>
  <conditionalFormatting sqref="M940">
    <cfRule type="expression" dxfId="12887" priority="268">
      <formula>$H940="SUBETAPA"</formula>
    </cfRule>
    <cfRule type="expression" dxfId="12886" priority="269">
      <formula>$H940="CÉLULA CONSTRUTIVA"</formula>
    </cfRule>
    <cfRule type="expression" dxfId="12885" priority="270">
      <formula>$H940="ETAPA"</formula>
    </cfRule>
  </conditionalFormatting>
  <conditionalFormatting sqref="M941 O941:P941">
    <cfRule type="expression" dxfId="12884" priority="6015">
      <formula>$H941="SUBETAPA"</formula>
    </cfRule>
    <cfRule type="expression" dxfId="12883" priority="6016">
      <formula>$H941="CÉLULA CONSTRUTIVA"</formula>
    </cfRule>
    <cfRule type="expression" dxfId="12882" priority="6017">
      <formula>$H941="ETAPA"</formula>
    </cfRule>
  </conditionalFormatting>
  <conditionalFormatting sqref="M942">
    <cfRule type="expression" dxfId="12881" priority="265">
      <formula>$H942="SUBETAPA"</formula>
    </cfRule>
    <cfRule type="expression" dxfId="12880" priority="266">
      <formula>$H942="CÉLULA CONSTRUTIVA"</formula>
    </cfRule>
    <cfRule type="expression" dxfId="12879" priority="267">
      <formula>$H942="ETAPA"</formula>
    </cfRule>
  </conditionalFormatting>
  <conditionalFormatting sqref="M943 O943:P943">
    <cfRule type="expression" dxfId="12878" priority="5932">
      <formula>$H943="CÉLULA CONSTRUTIVA"</formula>
    </cfRule>
    <cfRule type="expression" dxfId="12877" priority="5931">
      <formula>$H943="SUBETAPA"</formula>
    </cfRule>
    <cfRule type="expression" dxfId="12876" priority="5933">
      <formula>$H943="ETAPA"</formula>
    </cfRule>
  </conditionalFormatting>
  <conditionalFormatting sqref="M954">
    <cfRule type="expression" dxfId="12875" priority="262">
      <formula>$H954="SUBETAPA"</formula>
    </cfRule>
    <cfRule type="expression" dxfId="12874" priority="264">
      <formula>$H954="ETAPA"</formula>
    </cfRule>
    <cfRule type="expression" dxfId="12873" priority="263">
      <formula>$H954="CÉLULA CONSTRUTIVA"</formula>
    </cfRule>
  </conditionalFormatting>
  <conditionalFormatting sqref="M955 O955:P955">
    <cfRule type="expression" dxfId="12872" priority="11097">
      <formula>$H955="SUBETAPA"</formula>
    </cfRule>
    <cfRule type="expression" dxfId="12871" priority="11098">
      <formula>$H955="CÉLULA CONSTRUTIVA"</formula>
    </cfRule>
    <cfRule type="expression" dxfId="12870" priority="11099">
      <formula>$H955="ETAPA"</formula>
    </cfRule>
  </conditionalFormatting>
  <conditionalFormatting sqref="M956">
    <cfRule type="expression" dxfId="12869" priority="260">
      <formula>$H956="CÉLULA CONSTRUTIVA"</formula>
    </cfRule>
    <cfRule type="expression" dxfId="12868" priority="261">
      <formula>$H956="ETAPA"</formula>
    </cfRule>
    <cfRule type="expression" dxfId="12867" priority="259">
      <formula>$H956="SUBETAPA"</formula>
    </cfRule>
  </conditionalFormatting>
  <conditionalFormatting sqref="M957">
    <cfRule type="expression" dxfId="12866" priority="2203">
      <formula>$H957="ETAPA"</formula>
    </cfRule>
    <cfRule type="expression" dxfId="12865" priority="2202">
      <formula>$H957="CÉLULA CONSTRUTIVA"</formula>
    </cfRule>
    <cfRule type="expression" dxfId="12864" priority="2201">
      <formula>$H957="SUBETAPA"</formula>
    </cfRule>
  </conditionalFormatting>
  <conditionalFormatting sqref="M958 O958:P958">
    <cfRule type="expression" dxfId="12863" priority="6087">
      <formula>$H958="ETAPA"</formula>
    </cfRule>
    <cfRule type="expression" dxfId="12862" priority="6086">
      <formula>$H958="CÉLULA CONSTRUTIVA"</formula>
    </cfRule>
    <cfRule type="expression" dxfId="12861" priority="6085">
      <formula>$H958="SUBETAPA"</formula>
    </cfRule>
  </conditionalFormatting>
  <conditionalFormatting sqref="M959">
    <cfRule type="expression" dxfId="12860" priority="258">
      <formula>$H959="ETAPA"</formula>
    </cfRule>
    <cfRule type="expression" dxfId="12859" priority="257">
      <formula>$H959="CÉLULA CONSTRUTIVA"</formula>
    </cfRule>
    <cfRule type="expression" dxfId="12858" priority="256">
      <formula>$H959="SUBETAPA"</formula>
    </cfRule>
  </conditionalFormatting>
  <conditionalFormatting sqref="M960">
    <cfRule type="expression" dxfId="12857" priority="1285">
      <formula>$H960="SUBETAPA"</formula>
    </cfRule>
    <cfRule type="expression" dxfId="12856" priority="1287">
      <formula>$H960="ETAPA"</formula>
    </cfRule>
    <cfRule type="expression" dxfId="12855" priority="1286">
      <formula>$H960="CÉLULA CONSTRUTIVA"</formula>
    </cfRule>
  </conditionalFormatting>
  <conditionalFormatting sqref="M961">
    <cfRule type="expression" dxfId="12854" priority="253">
      <formula>$H961="SUBETAPA"</formula>
    </cfRule>
    <cfRule type="expression" dxfId="12853" priority="255">
      <formula>$H961="ETAPA"</formula>
    </cfRule>
    <cfRule type="expression" dxfId="12852" priority="254">
      <formula>$H961="CÉLULA CONSTRUTIVA"</formula>
    </cfRule>
  </conditionalFormatting>
  <conditionalFormatting sqref="M970">
    <cfRule type="expression" dxfId="12851" priority="250">
      <formula>$H970="SUBETAPA"</formula>
    </cfRule>
    <cfRule type="expression" dxfId="12850" priority="251">
      <formula>$H970="CÉLULA CONSTRUTIVA"</formula>
    </cfRule>
    <cfRule type="expression" dxfId="12849" priority="252">
      <formula>$H970="ETAPA"</formula>
    </cfRule>
  </conditionalFormatting>
  <conditionalFormatting sqref="M971">
    <cfRule type="expression" dxfId="12848" priority="1355">
      <formula>$H971="CÉLULA CONSTRUTIVA"</formula>
    </cfRule>
    <cfRule type="expression" dxfId="12847" priority="1356">
      <formula>$H971="ETAPA"</formula>
    </cfRule>
    <cfRule type="expression" dxfId="12846" priority="1354">
      <formula>$H971="SUBETAPA"</formula>
    </cfRule>
  </conditionalFormatting>
  <conditionalFormatting sqref="M972 O972:P972">
    <cfRule type="expression" dxfId="12845" priority="6360">
      <formula>$H972="SUBETAPA"</formula>
    </cfRule>
    <cfRule type="expression" dxfId="12844" priority="6361">
      <formula>$H972="CÉLULA CONSTRUTIVA"</formula>
    </cfRule>
    <cfRule type="expression" dxfId="12843" priority="6362">
      <formula>$H972="ETAPA"</formula>
    </cfRule>
  </conditionalFormatting>
  <conditionalFormatting sqref="M973">
    <cfRule type="expression" dxfId="12842" priority="2204">
      <formula>$H973="SUBETAPA"</formula>
    </cfRule>
    <cfRule type="expression" dxfId="12841" priority="2206">
      <formula>$H973="ETAPA"</formula>
    </cfRule>
    <cfRule type="expression" dxfId="12840" priority="2205">
      <formula>$H973="CÉLULA CONSTRUTIVA"</formula>
    </cfRule>
  </conditionalFormatting>
  <conditionalFormatting sqref="M974 O974:P974 M979 O979:P979 G981:K981">
    <cfRule type="expression" dxfId="12839" priority="11013">
      <formula>$H974="ETAPA"</formula>
    </cfRule>
  </conditionalFormatting>
  <conditionalFormatting sqref="M974 O974:P974 M979 O979:P979">
    <cfRule type="expression" dxfId="12838" priority="11011">
      <formula>$H974="SUBETAPA"</formula>
    </cfRule>
    <cfRule type="expression" dxfId="12837" priority="11012">
      <formula>$H974="CÉLULA CONSTRUTIVA"</formula>
    </cfRule>
  </conditionalFormatting>
  <conditionalFormatting sqref="M975">
    <cfRule type="expression" dxfId="12836" priority="1278">
      <formula>$H975="ETAPA"</formula>
    </cfRule>
    <cfRule type="expression" dxfId="12835" priority="1277">
      <formula>$H975="CÉLULA CONSTRUTIVA"</formula>
    </cfRule>
    <cfRule type="expression" dxfId="12834" priority="1276">
      <formula>$H975="SUBETAPA"</formula>
    </cfRule>
  </conditionalFormatting>
  <conditionalFormatting sqref="M976">
    <cfRule type="expression" dxfId="12833" priority="1274">
      <formula>$H976="CÉLULA CONSTRUTIVA"</formula>
    </cfRule>
    <cfRule type="expression" dxfId="12832" priority="1273">
      <formula>$H976="SUBETAPA"</formula>
    </cfRule>
    <cfRule type="expression" dxfId="12831" priority="1275">
      <formula>$H976="ETAPA"</formula>
    </cfRule>
  </conditionalFormatting>
  <conditionalFormatting sqref="M977 O977 N978:O978">
    <cfRule type="expression" dxfId="12830" priority="6062">
      <formula>$H977="CÉLULA CONSTRUTIVA"</formula>
    </cfRule>
    <cfRule type="expression" dxfId="12829" priority="6063">
      <formula>$H977="ETAPA"</formula>
    </cfRule>
  </conditionalFormatting>
  <conditionalFormatting sqref="M977 O977">
    <cfRule type="expression" dxfId="12828" priority="6061">
      <formula>$H977="SUBETAPA"</formula>
    </cfRule>
  </conditionalFormatting>
  <conditionalFormatting sqref="M978">
    <cfRule type="expression" dxfId="12827" priority="6033">
      <formula>$H978="SUBETAPA"</formula>
    </cfRule>
    <cfRule type="expression" dxfId="12826" priority="6035">
      <formula>$H978="ETAPA"</formula>
    </cfRule>
    <cfRule type="expression" dxfId="12825" priority="6034">
      <formula>$H978="CÉLULA CONSTRUTIVA"</formula>
    </cfRule>
  </conditionalFormatting>
  <conditionalFormatting sqref="M980">
    <cfRule type="expression" dxfId="12824" priority="1272">
      <formula>$H980="ETAPA"</formula>
    </cfRule>
    <cfRule type="expression" dxfId="12823" priority="1271">
      <formula>$H980="CÉLULA CONSTRUTIVA"</formula>
    </cfRule>
    <cfRule type="expression" dxfId="12822" priority="1270">
      <formula>$H980="SUBETAPA"</formula>
    </cfRule>
  </conditionalFormatting>
  <conditionalFormatting sqref="M981">
    <cfRule type="expression" dxfId="12821" priority="1267">
      <formula>$H981="SUBETAPA"</formula>
    </cfRule>
    <cfRule type="expression" dxfId="12820" priority="1269">
      <formula>$H981="ETAPA"</formula>
    </cfRule>
    <cfRule type="expression" dxfId="12819" priority="1268">
      <formula>$H981="CÉLULA CONSTRUTIVA"</formula>
    </cfRule>
  </conditionalFormatting>
  <conditionalFormatting sqref="M990">
    <cfRule type="expression" dxfId="12818" priority="244">
      <formula>$H990="SUBETAPA"</formula>
    </cfRule>
    <cfRule type="expression" dxfId="12817" priority="246">
      <formula>$H990="ETAPA"</formula>
    </cfRule>
    <cfRule type="expression" dxfId="12816" priority="245">
      <formula>$H990="CÉLULA CONSTRUTIVA"</formula>
    </cfRule>
  </conditionalFormatting>
  <conditionalFormatting sqref="M991">
    <cfRule type="expression" dxfId="12815" priority="249">
      <formula>$H991="ETAPA"</formula>
    </cfRule>
    <cfRule type="expression" dxfId="12814" priority="248">
      <formula>$H991="CÉLULA CONSTRUTIVA"</formula>
    </cfRule>
    <cfRule type="expression" dxfId="12813" priority="247">
      <formula>$H991="SUBETAPA"</formula>
    </cfRule>
  </conditionalFormatting>
  <conditionalFormatting sqref="M992 O992:P992">
    <cfRule type="expression" dxfId="12812" priority="6319">
      <formula>$H992="CÉLULA CONSTRUTIVA"</formula>
    </cfRule>
    <cfRule type="expression" dxfId="12811" priority="6320">
      <formula>$H992="ETAPA"</formula>
    </cfRule>
    <cfRule type="expression" dxfId="12810" priority="6318">
      <formula>$H992="SUBETAPA"</formula>
    </cfRule>
  </conditionalFormatting>
  <conditionalFormatting sqref="M993">
    <cfRule type="expression" dxfId="12809" priority="2209">
      <formula>$H993="ETAPA"</formula>
    </cfRule>
    <cfRule type="expression" dxfId="12808" priority="2207">
      <formula>$H993="SUBETAPA"</formula>
    </cfRule>
    <cfRule type="expression" dxfId="12807" priority="2208">
      <formula>$H993="CÉLULA CONSTRUTIVA"</formula>
    </cfRule>
  </conditionalFormatting>
  <conditionalFormatting sqref="M994 O994:P994 M999 O999:P999 G1001:K1001 M1007:O1007">
    <cfRule type="expression" dxfId="12806" priority="10892">
      <formula>$H994="ETAPA"</formula>
    </cfRule>
  </conditionalFormatting>
  <conditionalFormatting sqref="M994 O994:P994 M999 O999:P999">
    <cfRule type="expression" dxfId="12805" priority="10890">
      <formula>$H994="SUBETAPA"</formula>
    </cfRule>
    <cfRule type="expression" dxfId="12804" priority="10891">
      <formula>$H994="CÉLULA CONSTRUTIVA"</formula>
    </cfRule>
  </conditionalFormatting>
  <conditionalFormatting sqref="M995">
    <cfRule type="expression" dxfId="12803" priority="243">
      <formula>$H995="ETAPA"</formula>
    </cfRule>
    <cfRule type="expression" dxfId="12802" priority="242">
      <formula>$H995="CÉLULA CONSTRUTIVA"</formula>
    </cfRule>
    <cfRule type="expression" dxfId="12801" priority="241">
      <formula>$H995="SUBETAPA"</formula>
    </cfRule>
  </conditionalFormatting>
  <conditionalFormatting sqref="M996">
    <cfRule type="expression" dxfId="12800" priority="1264">
      <formula>$H996="SUBETAPA"</formula>
    </cfRule>
    <cfRule type="expression" dxfId="12799" priority="1265">
      <formula>$H996="CÉLULA CONSTRUTIVA"</formula>
    </cfRule>
    <cfRule type="expression" dxfId="12798" priority="1266">
      <formula>$H996="ETAPA"</formula>
    </cfRule>
  </conditionalFormatting>
  <conditionalFormatting sqref="M997 O997 N998:O998">
    <cfRule type="expression" dxfId="12797" priority="10850">
      <formula>$H997="CÉLULA CONSTRUTIVA"</formula>
    </cfRule>
    <cfRule type="expression" dxfId="12796" priority="10851">
      <formula>$H997="ETAPA"</formula>
    </cfRule>
  </conditionalFormatting>
  <conditionalFormatting sqref="M997 O997">
    <cfRule type="expression" dxfId="12795" priority="10849">
      <formula>$H997="SUBETAPA"</formula>
    </cfRule>
  </conditionalFormatting>
  <conditionalFormatting sqref="M998">
    <cfRule type="expression" dxfId="12794" priority="1242">
      <formula>$H998="ETAPA"</formula>
    </cfRule>
    <cfRule type="expression" dxfId="12793" priority="1240">
      <formula>$H998="SUBETAPA"</formula>
    </cfRule>
    <cfRule type="expression" dxfId="12792" priority="1241">
      <formula>$H998="CÉLULA CONSTRUTIVA"</formula>
    </cfRule>
  </conditionalFormatting>
  <conditionalFormatting sqref="M1000">
    <cfRule type="expression" dxfId="12791" priority="1262">
      <formula>$H1000="CÉLULA CONSTRUTIVA"</formula>
    </cfRule>
    <cfRule type="expression" dxfId="12790" priority="1261">
      <formula>$H1000="SUBETAPA"</formula>
    </cfRule>
    <cfRule type="expression" dxfId="12789" priority="1263">
      <formula>$H1000="ETAPA"</formula>
    </cfRule>
  </conditionalFormatting>
  <conditionalFormatting sqref="M1001">
    <cfRule type="expression" dxfId="12788" priority="240">
      <formula>$H1001="ETAPA"</formula>
    </cfRule>
    <cfRule type="expression" dxfId="12787" priority="238">
      <formula>$H1001="SUBETAPA"</formula>
    </cfRule>
    <cfRule type="expression" dxfId="12786" priority="239">
      <formula>$H1001="CÉLULA CONSTRUTIVA"</formula>
    </cfRule>
  </conditionalFormatting>
  <conditionalFormatting sqref="M1010">
    <cfRule type="expression" dxfId="12785" priority="232">
      <formula>$H1010="SUBETAPA"</formula>
    </cfRule>
    <cfRule type="expression" dxfId="12784" priority="234">
      <formula>$H1010="ETAPA"</formula>
    </cfRule>
    <cfRule type="expression" dxfId="12783" priority="233">
      <formula>$H1010="CÉLULA CONSTRUTIVA"</formula>
    </cfRule>
  </conditionalFormatting>
  <conditionalFormatting sqref="M1011">
    <cfRule type="expression" dxfId="12782" priority="237">
      <formula>$H1011="ETAPA"</formula>
    </cfRule>
    <cfRule type="expression" dxfId="12781" priority="236">
      <formula>$H1011="CÉLULA CONSTRUTIVA"</formula>
    </cfRule>
    <cfRule type="expression" dxfId="12780" priority="235">
      <formula>$H1011="SUBETAPA"</formula>
    </cfRule>
  </conditionalFormatting>
  <conditionalFormatting sqref="M1012 O1012:P1012">
    <cfRule type="expression" dxfId="12779" priority="6278">
      <formula>$H1012="ETAPA"</formula>
    </cfRule>
    <cfRule type="expression" dxfId="12778" priority="6276">
      <formula>$H1012="SUBETAPA"</formula>
    </cfRule>
    <cfRule type="expression" dxfId="12777" priority="6277">
      <formula>$H1012="CÉLULA CONSTRUTIVA"</formula>
    </cfRule>
  </conditionalFormatting>
  <conditionalFormatting sqref="M1013">
    <cfRule type="expression" dxfId="12776" priority="2210">
      <formula>$H1013="SUBETAPA"</formula>
    </cfRule>
    <cfRule type="expression" dxfId="12775" priority="2212">
      <formula>$H1013="ETAPA"</formula>
    </cfRule>
    <cfRule type="expression" dxfId="12774" priority="2211">
      <formula>$H1013="CÉLULA CONSTRUTIVA"</formula>
    </cfRule>
  </conditionalFormatting>
  <conditionalFormatting sqref="M1014 O1014:P1014 O1019:P1019 G1021:K1021 M1027:O1027">
    <cfRule type="expression" dxfId="12773" priority="10457">
      <formula>$H1014="ETAPA"</formula>
    </cfRule>
  </conditionalFormatting>
  <conditionalFormatting sqref="M1014 O1014:P1014 O1019:P1019">
    <cfRule type="expression" dxfId="12772" priority="10455">
      <formula>$H1014="SUBETAPA"</formula>
    </cfRule>
    <cfRule type="expression" dxfId="12771" priority="10456">
      <formula>$H1014="CÉLULA CONSTRUTIVA"</formula>
    </cfRule>
  </conditionalFormatting>
  <conditionalFormatting sqref="M1015">
    <cfRule type="expression" dxfId="12770" priority="228">
      <formula>$H1015="ETAPA"</formula>
    </cfRule>
    <cfRule type="expression" dxfId="12769" priority="226">
      <formula>$H1015="SUBETAPA"</formula>
    </cfRule>
    <cfRule type="expression" dxfId="12768" priority="227">
      <formula>$H1015="CÉLULA CONSTRUTIVA"</formula>
    </cfRule>
  </conditionalFormatting>
  <conditionalFormatting sqref="M1016">
    <cfRule type="expression" dxfId="12767" priority="231">
      <formula>$H1016="ETAPA"</formula>
    </cfRule>
    <cfRule type="expression" dxfId="12766" priority="230">
      <formula>$H1016="CÉLULA CONSTRUTIVA"</formula>
    </cfRule>
    <cfRule type="expression" dxfId="12765" priority="229">
      <formula>$H1016="SUBETAPA"</formula>
    </cfRule>
  </conditionalFormatting>
  <conditionalFormatting sqref="M1017 O1017 N1018:O1018">
    <cfRule type="expression" dxfId="12764" priority="10416">
      <formula>$H1017="ETAPA"</formula>
    </cfRule>
    <cfRule type="expression" dxfId="12763" priority="10415">
      <formula>$H1017="CÉLULA CONSTRUTIVA"</formula>
    </cfRule>
  </conditionalFormatting>
  <conditionalFormatting sqref="M1017 O1017">
    <cfRule type="expression" dxfId="12762" priority="10414">
      <formula>$H1017="SUBETAPA"</formula>
    </cfRule>
  </conditionalFormatting>
  <conditionalFormatting sqref="M1018">
    <cfRule type="expression" dxfId="12761" priority="217">
      <formula>$H1018="SUBETAPA"</formula>
    </cfRule>
    <cfRule type="expression" dxfId="12760" priority="218">
      <formula>$H1018="CÉLULA CONSTRUTIVA"</formula>
    </cfRule>
    <cfRule type="expression" dxfId="12759" priority="219">
      <formula>$H1018="ETAPA"</formula>
    </cfRule>
  </conditionalFormatting>
  <conditionalFormatting sqref="M1019">
    <cfRule type="expression" dxfId="12758" priority="224">
      <formula>$H1019="CÉLULA CONSTRUTIVA"</formula>
    </cfRule>
    <cfRule type="expression" dxfId="12757" priority="225">
      <formula>$H1019="ETAPA"</formula>
    </cfRule>
    <cfRule type="expression" dxfId="12756" priority="223">
      <formula>$H1019="SUBETAPA"</formula>
    </cfRule>
  </conditionalFormatting>
  <conditionalFormatting sqref="M1020">
    <cfRule type="expression" dxfId="12755" priority="222">
      <formula>$H1020="ETAPA"</formula>
    </cfRule>
    <cfRule type="expression" dxfId="12754" priority="221">
      <formula>$H1020="CÉLULA CONSTRUTIVA"</formula>
    </cfRule>
    <cfRule type="expression" dxfId="12753" priority="220">
      <formula>$H1020="SUBETAPA"</formula>
    </cfRule>
  </conditionalFormatting>
  <conditionalFormatting sqref="M1021">
    <cfRule type="expression" dxfId="12752" priority="215">
      <formula>$H1021="CÉLULA CONSTRUTIVA"</formula>
    </cfRule>
    <cfRule type="expression" dxfId="12751" priority="216">
      <formula>$H1021="ETAPA"</formula>
    </cfRule>
    <cfRule type="expression" dxfId="12750" priority="214">
      <formula>$H1021="SUBETAPA"</formula>
    </cfRule>
  </conditionalFormatting>
  <conditionalFormatting sqref="M1030">
    <cfRule type="expression" dxfId="12749" priority="196">
      <formula>$H1030="SUBETAPA"</formula>
    </cfRule>
    <cfRule type="expression" dxfId="12748" priority="198">
      <formula>$H1030="ETAPA"</formula>
    </cfRule>
    <cfRule type="expression" dxfId="12747" priority="197">
      <formula>$H1030="CÉLULA CONSTRUTIVA"</formula>
    </cfRule>
  </conditionalFormatting>
  <conditionalFormatting sqref="M1031 O1031:P1031">
    <cfRule type="expression" dxfId="12746" priority="6234">
      <formula>$H1031="SUBETAPA"</formula>
    </cfRule>
    <cfRule type="expression" dxfId="12745" priority="6235">
      <formula>$H1031="CÉLULA CONSTRUTIVA"</formula>
    </cfRule>
    <cfRule type="expression" dxfId="12744" priority="6236">
      <formula>$H1031="ETAPA"</formula>
    </cfRule>
  </conditionalFormatting>
  <conditionalFormatting sqref="M1033 O1033:P1033 M1038 O1038:P1038 G1040:K1040 M1046:O1046">
    <cfRule type="expression" dxfId="12743" priority="10290">
      <formula>$H1033="ETAPA"</formula>
    </cfRule>
  </conditionalFormatting>
  <conditionalFormatting sqref="M1033 O1033:P1033 M1038 O1038:P1038">
    <cfRule type="expression" dxfId="12742" priority="10288">
      <formula>$H1033="SUBETAPA"</formula>
    </cfRule>
    <cfRule type="expression" dxfId="12741" priority="10289">
      <formula>$H1033="CÉLULA CONSTRUTIVA"</formula>
    </cfRule>
  </conditionalFormatting>
  <conditionalFormatting sqref="M1034">
    <cfRule type="expression" dxfId="12740" priority="201">
      <formula>$H1034="ETAPA"</formula>
    </cfRule>
    <cfRule type="expression" dxfId="12739" priority="199">
      <formula>$H1034="SUBETAPA"</formula>
    </cfRule>
    <cfRule type="expression" dxfId="12738" priority="200">
      <formula>$H1034="CÉLULA CONSTRUTIVA"</formula>
    </cfRule>
  </conditionalFormatting>
  <conditionalFormatting sqref="M1035">
    <cfRule type="expression" dxfId="12737" priority="204">
      <formula>$H1035="ETAPA"</formula>
    </cfRule>
    <cfRule type="expression" dxfId="12736" priority="202">
      <formula>$H1035="SUBETAPA"</formula>
    </cfRule>
    <cfRule type="expression" dxfId="12735" priority="203">
      <formula>$H1035="CÉLULA CONSTRUTIVA"</formula>
    </cfRule>
  </conditionalFormatting>
  <conditionalFormatting sqref="M1036 O1036 N1037:O1037">
    <cfRule type="expression" dxfId="12734" priority="10249">
      <formula>$H1036="ETAPA"</formula>
    </cfRule>
    <cfRule type="expression" dxfId="12733" priority="10248">
      <formula>$H1036="CÉLULA CONSTRUTIVA"</formula>
    </cfRule>
  </conditionalFormatting>
  <conditionalFormatting sqref="M1036 O1036">
    <cfRule type="expression" dxfId="12732" priority="10247">
      <formula>$H1036="SUBETAPA"</formula>
    </cfRule>
  </conditionalFormatting>
  <conditionalFormatting sqref="M1037">
    <cfRule type="expression" dxfId="12731" priority="190">
      <formula>$H1037="SUBETAPA"</formula>
    </cfRule>
    <cfRule type="expression" dxfId="12730" priority="192">
      <formula>$H1037="ETAPA"</formula>
    </cfRule>
    <cfRule type="expression" dxfId="12729" priority="191">
      <formula>$H1037="CÉLULA CONSTRUTIVA"</formula>
    </cfRule>
  </conditionalFormatting>
  <conditionalFormatting sqref="M1039">
    <cfRule type="expression" dxfId="12728" priority="208">
      <formula>$H1039="SUBETAPA"</formula>
    </cfRule>
    <cfRule type="expression" dxfId="12727" priority="210">
      <formula>$H1039="ETAPA"</formula>
    </cfRule>
    <cfRule type="expression" dxfId="12726" priority="209">
      <formula>$H1039="CÉLULA CONSTRUTIVA"</formula>
    </cfRule>
  </conditionalFormatting>
  <conditionalFormatting sqref="M1040">
    <cfRule type="expression" dxfId="12725" priority="205">
      <formula>$H1040="SUBETAPA"</formula>
    </cfRule>
    <cfRule type="expression" dxfId="12724" priority="206">
      <formula>$H1040="CÉLULA CONSTRUTIVA"</formula>
    </cfRule>
    <cfRule type="expression" dxfId="12723" priority="207">
      <formula>$H1040="ETAPA"</formula>
    </cfRule>
  </conditionalFormatting>
  <conditionalFormatting sqref="M1045 N1040:O1040 G1033:L1035 G1044:O1044 L1046 N1034:O1035">
    <cfRule type="expression" dxfId="12722" priority="10350">
      <formula>$H1033="ETAPA"</formula>
    </cfRule>
  </conditionalFormatting>
  <conditionalFormatting sqref="M1045">
    <cfRule type="expression" dxfId="12721" priority="10341">
      <formula>$H1045="SUBETAPA"</formula>
    </cfRule>
  </conditionalFormatting>
  <conditionalFormatting sqref="M1049">
    <cfRule type="expression" dxfId="12720" priority="193">
      <formula>$H1049="SUBETAPA"</formula>
    </cfRule>
    <cfRule type="expression" dxfId="12719" priority="194">
      <formula>$H1049="CÉLULA CONSTRUTIVA"</formula>
    </cfRule>
    <cfRule type="expression" dxfId="12718" priority="195">
      <formula>$H1049="ETAPA"</formula>
    </cfRule>
  </conditionalFormatting>
  <conditionalFormatting sqref="M1050 O1050:P1050">
    <cfRule type="expression" dxfId="12717" priority="6192">
      <formula>$H1050="SUBETAPA"</formula>
    </cfRule>
    <cfRule type="expression" dxfId="12716" priority="6193">
      <formula>$H1050="CÉLULA CONSTRUTIVA"</formula>
    </cfRule>
    <cfRule type="expression" dxfId="12715" priority="6194">
      <formula>$H1050="ETAPA"</formula>
    </cfRule>
  </conditionalFormatting>
  <conditionalFormatting sqref="M1051">
    <cfRule type="expression" dxfId="12714" priority="2213">
      <formula>$H1051="SUBETAPA"</formula>
    </cfRule>
    <cfRule type="expression" dxfId="12713" priority="2214">
      <formula>$H1051="CÉLULA CONSTRUTIVA"</formula>
    </cfRule>
    <cfRule type="expression" dxfId="12712" priority="2215">
      <formula>$H1051="ETAPA"</formula>
    </cfRule>
  </conditionalFormatting>
  <conditionalFormatting sqref="M1068 O1068:P1068">
    <cfRule type="expression" dxfId="12711" priority="10175">
      <formula>$H1068="CÉLULA CONSTRUTIVA"</formula>
    </cfRule>
    <cfRule type="expression" dxfId="12710" priority="10174">
      <formula>$H1068="SUBETAPA"</formula>
    </cfRule>
  </conditionalFormatting>
  <conditionalFormatting sqref="M1077">
    <cfRule type="expression" dxfId="12709" priority="592">
      <formula>$H1077="ETAPA"</formula>
    </cfRule>
  </conditionalFormatting>
  <conditionalFormatting sqref="M1077:M1078">
    <cfRule type="expression" dxfId="12708" priority="593">
      <formula>$H1077="SUBETAPA"</formula>
    </cfRule>
    <cfRule type="expression" dxfId="12707" priority="594">
      <formula>$H1077="CÉLULA CONSTRUTIVA"</formula>
    </cfRule>
  </conditionalFormatting>
  <conditionalFormatting sqref="M1080">
    <cfRule type="expression" dxfId="12706" priority="591">
      <formula>$H1080="CÉLULA CONSTRUTIVA"</formula>
    </cfRule>
    <cfRule type="expression" dxfId="12705" priority="590">
      <formula>$H1080="SUBETAPA"</formula>
    </cfRule>
  </conditionalFormatting>
  <conditionalFormatting sqref="M1081">
    <cfRule type="expression" dxfId="12704" priority="589">
      <formula>$H1081="CÉLULA CONSTRUTIVA"</formula>
    </cfRule>
    <cfRule type="expression" dxfId="12703" priority="588">
      <formula>$H1081="SUBETAPA"</formula>
    </cfRule>
  </conditionalFormatting>
  <conditionalFormatting sqref="M1082">
    <cfRule type="expression" dxfId="12702" priority="587">
      <formula>$H1082="CÉLULA CONSTRUTIVA"</formula>
    </cfRule>
    <cfRule type="expression" dxfId="12701" priority="586">
      <formula>$H1082="SUBETAPA"</formula>
    </cfRule>
  </conditionalFormatting>
  <conditionalFormatting sqref="M1083">
    <cfRule type="expression" dxfId="12700" priority="585">
      <formula>$H1083="CÉLULA CONSTRUTIVA"</formula>
    </cfRule>
    <cfRule type="expression" dxfId="12699" priority="584">
      <formula>$H1083="SUBETAPA"</formula>
    </cfRule>
  </conditionalFormatting>
  <conditionalFormatting sqref="M1085">
    <cfRule type="expression" dxfId="12698" priority="583">
      <formula>$H1085="CÉLULA CONSTRUTIVA"</formula>
    </cfRule>
    <cfRule type="expression" dxfId="12697" priority="582">
      <formula>$H1085="SUBETAPA"</formula>
    </cfRule>
  </conditionalFormatting>
  <conditionalFormatting sqref="M1094">
    <cfRule type="expression" dxfId="12696" priority="579">
      <formula>$H1094="ETAPA"</formula>
    </cfRule>
  </conditionalFormatting>
  <conditionalFormatting sqref="M1094:M1095">
    <cfRule type="expression" dxfId="12695" priority="581">
      <formula>$H1094="CÉLULA CONSTRUTIVA"</formula>
    </cfRule>
    <cfRule type="expression" dxfId="12694" priority="580">
      <formula>$H1094="SUBETAPA"</formula>
    </cfRule>
  </conditionalFormatting>
  <conditionalFormatting sqref="M1097">
    <cfRule type="expression" dxfId="12693" priority="577">
      <formula>$H1097="SUBETAPA"</formula>
    </cfRule>
    <cfRule type="expression" dxfId="12692" priority="578">
      <formula>$H1097="CÉLULA CONSTRUTIVA"</formula>
    </cfRule>
  </conditionalFormatting>
  <conditionalFormatting sqref="M1098">
    <cfRule type="expression" dxfId="12691" priority="575">
      <formula>$H1098="SUBETAPA"</formula>
    </cfRule>
    <cfRule type="expression" dxfId="12690" priority="576">
      <formula>$H1098="CÉLULA CONSTRUTIVA"</formula>
    </cfRule>
  </conditionalFormatting>
  <conditionalFormatting sqref="M1099">
    <cfRule type="expression" dxfId="12689" priority="573">
      <formula>$H1099="SUBETAPA"</formula>
    </cfRule>
    <cfRule type="expression" dxfId="12688" priority="574">
      <formula>$H1099="CÉLULA CONSTRUTIVA"</formula>
    </cfRule>
  </conditionalFormatting>
  <conditionalFormatting sqref="M1100">
    <cfRule type="expression" dxfId="12687" priority="571">
      <formula>$H1100="SUBETAPA"</formula>
    </cfRule>
    <cfRule type="expression" dxfId="12686" priority="572">
      <formula>$H1100="CÉLULA CONSTRUTIVA"</formula>
    </cfRule>
  </conditionalFormatting>
  <conditionalFormatting sqref="M1102">
    <cfRule type="expression" dxfId="12685" priority="569">
      <formula>$H1102="SUBETAPA"</formula>
    </cfRule>
    <cfRule type="expression" dxfId="12684" priority="570">
      <formula>$H1102="CÉLULA CONSTRUTIVA"</formula>
    </cfRule>
  </conditionalFormatting>
  <conditionalFormatting sqref="M1111">
    <cfRule type="expression" dxfId="12683" priority="9736">
      <formula>$H1111="CÉLULA CONSTRUTIVA"</formula>
    </cfRule>
    <cfRule type="expression" dxfId="12682" priority="9735">
      <formula>$H1111="SUBETAPA"</formula>
    </cfRule>
  </conditionalFormatting>
  <conditionalFormatting sqref="M1113:M1115">
    <cfRule type="expression" dxfId="12681" priority="568">
      <formula>$H1113="ETAPA"</formula>
    </cfRule>
    <cfRule type="expression" dxfId="12680" priority="567">
      <formula>$H1113="CÉLULA CONSTRUTIVA"</formula>
    </cfRule>
    <cfRule type="expression" dxfId="12679" priority="566">
      <formula>$H1113="SUBETAPA"</formula>
    </cfRule>
  </conditionalFormatting>
  <conditionalFormatting sqref="M1116">
    <cfRule type="expression" dxfId="12678" priority="565">
      <formula>$H1116="CÉLULA CONSTRUTIVA"</formula>
    </cfRule>
    <cfRule type="expression" dxfId="12677" priority="564">
      <formula>$H1116="SUBETAPA"</formula>
    </cfRule>
  </conditionalFormatting>
  <conditionalFormatting sqref="M1117">
    <cfRule type="expression" dxfId="12676" priority="563">
      <formula>$H1117="CÉLULA CONSTRUTIVA"</formula>
    </cfRule>
    <cfRule type="expression" dxfId="12675" priority="562">
      <formula>$H1117="SUBETAPA"</formula>
    </cfRule>
  </conditionalFormatting>
  <conditionalFormatting sqref="M1119">
    <cfRule type="expression" dxfId="12674" priority="560">
      <formula>$H1119="SUBETAPA"</formula>
    </cfRule>
    <cfRule type="expression" dxfId="12673" priority="561">
      <formula>$H1119="CÉLULA CONSTRUTIVA"</formula>
    </cfRule>
  </conditionalFormatting>
  <conditionalFormatting sqref="M1129">
    <cfRule type="expression" dxfId="12672" priority="9731">
      <formula>$H1129="SUBETAPA"</formula>
    </cfRule>
    <cfRule type="expression" dxfId="12671" priority="9732">
      <formula>$H1129="CÉLULA CONSTRUTIVA"</formula>
    </cfRule>
  </conditionalFormatting>
  <conditionalFormatting sqref="M1134">
    <cfRule type="expression" dxfId="12670" priority="558">
      <formula>$H1134="SUBETAPA"</formula>
    </cfRule>
    <cfRule type="expression" dxfId="12669" priority="559">
      <formula>$H1134="CÉLULA CONSTRUTIVA"</formula>
    </cfRule>
  </conditionalFormatting>
  <conditionalFormatting sqref="M1136">
    <cfRule type="expression" dxfId="12668" priority="556">
      <formula>$H1136="SUBETAPA"</formula>
    </cfRule>
    <cfRule type="expression" dxfId="12667" priority="557">
      <formula>$H1136="CÉLULA CONSTRUTIVA"</formula>
    </cfRule>
  </conditionalFormatting>
  <conditionalFormatting sqref="M1145">
    <cfRule type="expression" dxfId="12666" priority="9727">
      <formula>$H1145="SUBETAPA"</formula>
    </cfRule>
    <cfRule type="expression" dxfId="12665" priority="9728">
      <formula>$H1145="CÉLULA CONSTRUTIVA"</formula>
    </cfRule>
  </conditionalFormatting>
  <conditionalFormatting sqref="M1150">
    <cfRule type="expression" dxfId="12664" priority="550">
      <formula>$H1150="SUBETAPA"</formula>
    </cfRule>
    <cfRule type="expression" dxfId="12663" priority="551">
      <formula>$H1150="CÉLULA CONSTRUTIVA"</formula>
    </cfRule>
    <cfRule type="expression" dxfId="12662" priority="552">
      <formula>$H1150="SUBETAPA"</formula>
    </cfRule>
    <cfRule type="expression" dxfId="12661" priority="553">
      <formula>$H1150="CÉLULA CONSTRUTIVA"</formula>
    </cfRule>
  </conditionalFormatting>
  <conditionalFormatting sqref="M1152">
    <cfRule type="expression" dxfId="12660" priority="554">
      <formula>$H1152="SUBETAPA"</formula>
    </cfRule>
    <cfRule type="expression" dxfId="12659" priority="555">
      <formula>$H1152="CÉLULA CONSTRUTIVA"</formula>
    </cfRule>
  </conditionalFormatting>
  <conditionalFormatting sqref="M1161:M1163">
    <cfRule type="expression" dxfId="12658" priority="548">
      <formula>$H1161="CÉLULA CONSTRUTIVA"</formula>
    </cfRule>
    <cfRule type="expression" dxfId="12657" priority="547">
      <formula>$H1161="SUBETAPA"</formula>
    </cfRule>
  </conditionalFormatting>
  <conditionalFormatting sqref="M1161:M1164">
    <cfRule type="expression" dxfId="12656" priority="549">
      <formula>$H1161="ETAPA"</formula>
    </cfRule>
  </conditionalFormatting>
  <conditionalFormatting sqref="M1164">
    <cfRule type="expression" dxfId="12655" priority="543">
      <formula>$H1164="SUBETAPA"</formula>
    </cfRule>
    <cfRule type="expression" dxfId="12654" priority="546">
      <formula>$H1164="CÉLULA CONSTRUTIVA"</formula>
    </cfRule>
    <cfRule type="expression" dxfId="12653" priority="545">
      <formula>$H1164="SUBETAPA"</formula>
    </cfRule>
    <cfRule type="expression" dxfId="12652" priority="544">
      <formula>$H1164="CÉLULA CONSTRUTIVA"</formula>
    </cfRule>
  </conditionalFormatting>
  <conditionalFormatting sqref="M1167">
    <cfRule type="expression" dxfId="12651" priority="542">
      <formula>$H1167="CÉLULA CONSTRUTIVA"</formula>
    </cfRule>
    <cfRule type="expression" dxfId="12650" priority="541">
      <formula>$H1167="SUBETAPA"</formula>
    </cfRule>
    <cfRule type="expression" dxfId="12649" priority="540">
      <formula>$H1167="CÉLULA CONSTRUTIVA"</formula>
    </cfRule>
    <cfRule type="expression" dxfId="12648" priority="539">
      <formula>$H1167="SUBETAPA"</formula>
    </cfRule>
  </conditionalFormatting>
  <conditionalFormatting sqref="M1180">
    <cfRule type="expression" dxfId="12647" priority="538">
      <formula>$H1180="ETAPA"</formula>
    </cfRule>
    <cfRule type="expression" dxfId="12646" priority="530">
      <formula>$H1180="SUBETAPA"</formula>
    </cfRule>
    <cfRule type="expression" dxfId="12645" priority="531">
      <formula>$H1180="CÉLULA CONSTRUTIVA"</formula>
    </cfRule>
    <cfRule type="expression" dxfId="12644" priority="532">
      <formula>$H1180="SUBETAPA"</formula>
    </cfRule>
    <cfRule type="expression" dxfId="12643" priority="533">
      <formula>$H1180="CÉLULA CONSTRUTIVA"</formula>
    </cfRule>
    <cfRule type="expression" dxfId="12642" priority="534">
      <formula>$H1180="SUBETAPA"</formula>
    </cfRule>
    <cfRule type="expression" dxfId="12641" priority="535">
      <formula>$H1180="CÉLULA CONSTRUTIVA"</formula>
    </cfRule>
    <cfRule type="expression" dxfId="12640" priority="536">
      <formula>$H1180="SUBETAPA"</formula>
    </cfRule>
    <cfRule type="expression" dxfId="12639" priority="537">
      <formula>$H1180="CÉLULA CONSTRUTIVA"</formula>
    </cfRule>
  </conditionalFormatting>
  <conditionalFormatting sqref="M1189">
    <cfRule type="expression" dxfId="12638" priority="978">
      <formula>$H1189="SUBETAPA"</formula>
    </cfRule>
    <cfRule type="expression" dxfId="12637" priority="979">
      <formula>$H1189="CÉLULA CONSTRUTIVA"</formula>
    </cfRule>
    <cfRule type="expression" dxfId="12636" priority="980">
      <formula>$H1189="ETAPA"</formula>
    </cfRule>
  </conditionalFormatting>
  <conditionalFormatting sqref="M1196 O1196:P1196">
    <cfRule type="expression" dxfId="12635" priority="5415">
      <formula>$H1196="CÉLULA CONSTRUTIVA"</formula>
    </cfRule>
    <cfRule type="expression" dxfId="12634" priority="5416">
      <formula>$H1196="ETAPA"</formula>
    </cfRule>
  </conditionalFormatting>
  <conditionalFormatting sqref="M1202">
    <cfRule type="expression" dxfId="12633" priority="955">
      <formula>$H1202="ETAPA"</formula>
    </cfRule>
    <cfRule type="expression" dxfId="12632" priority="953">
      <formula>$H1202="SUBETAPA"</formula>
    </cfRule>
    <cfRule type="expression" dxfId="12631" priority="954">
      <formula>$H1202="CÉLULA CONSTRUTIVA"</formula>
    </cfRule>
  </conditionalFormatting>
  <conditionalFormatting sqref="M1207 O1207:P1207">
    <cfRule type="expression" dxfId="12630" priority="5341">
      <formula>$H1207="ETAPA"</formula>
    </cfRule>
    <cfRule type="expression" dxfId="12629" priority="5340">
      <formula>$H1207="CÉLULA CONSTRUTIVA"</formula>
    </cfRule>
  </conditionalFormatting>
  <conditionalFormatting sqref="M1208">
    <cfRule type="expression" dxfId="12628" priority="4234">
      <formula>$H1208="ETAPA"</formula>
    </cfRule>
    <cfRule type="expression" dxfId="12627" priority="4232">
      <formula>$H1208="SUBETAPA"</formula>
    </cfRule>
    <cfRule type="expression" dxfId="12626" priority="4233">
      <formula>$H1208="CÉLULA CONSTRUTIVA"</formula>
    </cfRule>
  </conditionalFormatting>
  <conditionalFormatting sqref="M1212">
    <cfRule type="expression" dxfId="12625" priority="928">
      <formula>$H1212="SUBETAPA"</formula>
    </cfRule>
    <cfRule type="expression" dxfId="12624" priority="929">
      <formula>$H1212="CÉLULA CONSTRUTIVA"</formula>
    </cfRule>
    <cfRule type="expression" dxfId="12623" priority="930">
      <formula>$H1212="ETAPA"</formula>
    </cfRule>
  </conditionalFormatting>
  <conditionalFormatting sqref="M1216">
    <cfRule type="expression" dxfId="12622" priority="7545">
      <formula>$H1216="SUBETAPA"</formula>
    </cfRule>
    <cfRule type="expression" dxfId="12621" priority="7544">
      <formula>$H1216="SUBETAPA"</formula>
    </cfRule>
  </conditionalFormatting>
  <conditionalFormatting sqref="M1217 O1217:P1217">
    <cfRule type="expression" dxfId="12620" priority="5299">
      <formula>$H1217="ETAPA"</formula>
    </cfRule>
    <cfRule type="expression" dxfId="12619" priority="5298">
      <formula>$H1217="CÉLULA CONSTRUTIVA"</formula>
    </cfRule>
  </conditionalFormatting>
  <conditionalFormatting sqref="M1218">
    <cfRule type="expression" dxfId="12618" priority="4230">
      <formula>$H1218="CÉLULA CONSTRUTIVA"</formula>
    </cfRule>
    <cfRule type="expression" dxfId="12617" priority="4231">
      <formula>$H1218="ETAPA"</formula>
    </cfRule>
    <cfRule type="expression" dxfId="12616" priority="4229">
      <formula>$H1218="SUBETAPA"</formula>
    </cfRule>
  </conditionalFormatting>
  <conditionalFormatting sqref="M1225">
    <cfRule type="expression" dxfId="12615" priority="7496">
      <formula>$H1225="ETAPA"</formula>
    </cfRule>
    <cfRule type="expression" dxfId="12614" priority="7494">
      <formula>$H1225="SUBETAPA"</formula>
    </cfRule>
    <cfRule type="expression" dxfId="12613" priority="7495">
      <formula>$H1225="CÉLULA CONSTRUTIVA"</formula>
    </cfRule>
  </conditionalFormatting>
  <conditionalFormatting sqref="M1228:M1229">
    <cfRule type="expression" dxfId="12612" priority="4208">
      <formula>$H1228="SUBETAPA"</formula>
    </cfRule>
    <cfRule type="expression" dxfId="12611" priority="4209">
      <formula>$H1228="CÉLULA CONSTRUTIVA"</formula>
    </cfRule>
    <cfRule type="expression" dxfId="12610" priority="4210">
      <formula>$H1228="ETAPA"</formula>
    </cfRule>
  </conditionalFormatting>
  <conditionalFormatting sqref="M1234 O1234:P1234">
    <cfRule type="expression" dxfId="12609" priority="5257">
      <formula>$H1234="ETAPA"</formula>
    </cfRule>
    <cfRule type="expression" dxfId="12608" priority="5256">
      <formula>$H1234="CÉLULA CONSTRUTIVA"</formula>
    </cfRule>
  </conditionalFormatting>
  <conditionalFormatting sqref="M1235">
    <cfRule type="expression" dxfId="12607" priority="4228">
      <formula>$H1235="ETAPA"</formula>
    </cfRule>
    <cfRule type="expression" dxfId="12606" priority="4227">
      <formula>$H1235="CÉLULA CONSTRUTIVA"</formula>
    </cfRule>
    <cfRule type="expression" dxfId="12605" priority="4226">
      <formula>$H1235="SUBETAPA"</formula>
    </cfRule>
  </conditionalFormatting>
  <conditionalFormatting sqref="M1238">
    <cfRule type="expression" dxfId="12604" priority="8085">
      <formula>$H1238="CÉLULA CONSTRUTIVA"</formula>
    </cfRule>
    <cfRule type="expression" dxfId="12603" priority="8086">
      <formula>$H1238="ETAPA"</formula>
    </cfRule>
    <cfRule type="expression" dxfId="12602" priority="8084">
      <formula>$H1238="SUBETAPA"</formula>
    </cfRule>
  </conditionalFormatting>
  <conditionalFormatting sqref="M1239">
    <cfRule type="expression" dxfId="12601" priority="161">
      <formula>$H1239="ETAPA"</formula>
    </cfRule>
    <cfRule type="expression" dxfId="12600" priority="160">
      <formula>$H1239="CÉLULA CONSTRUTIVA"</formula>
    </cfRule>
    <cfRule type="expression" dxfId="12599" priority="159">
      <formula>$H1239="SUBETAPA"</formula>
    </cfRule>
  </conditionalFormatting>
  <conditionalFormatting sqref="M1245:M1248">
    <cfRule type="expression" dxfId="12598" priority="4213">
      <formula>$H1245="ETAPA"</formula>
    </cfRule>
    <cfRule type="expression" dxfId="12597" priority="4212">
      <formula>$H1245="CÉLULA CONSTRUTIVA"</formula>
    </cfRule>
    <cfRule type="expression" dxfId="12596" priority="4211">
      <formula>$H1245="SUBETAPA"</formula>
    </cfRule>
  </conditionalFormatting>
  <conditionalFormatting sqref="M1255 O1255:P1255">
    <cfRule type="expression" dxfId="12595" priority="5215">
      <formula>$H1255="ETAPA"</formula>
    </cfRule>
    <cfRule type="expression" dxfId="12594" priority="5214">
      <formula>$H1255="CÉLULA CONSTRUTIVA"</formula>
    </cfRule>
  </conditionalFormatting>
  <conditionalFormatting sqref="M1256">
    <cfRule type="expression" dxfId="12593" priority="4225">
      <formula>$H1256="ETAPA"</formula>
    </cfRule>
    <cfRule type="expression" dxfId="12592" priority="4223">
      <formula>$H1256="SUBETAPA"</formula>
    </cfRule>
    <cfRule type="expression" dxfId="12591" priority="4224">
      <formula>$H1256="CÉLULA CONSTRUTIVA"</formula>
    </cfRule>
  </conditionalFormatting>
  <conditionalFormatting sqref="M1257 O1257:P1257">
    <cfRule type="expression" dxfId="12590" priority="5176">
      <formula>$H1257="CÉLULA CONSTRUTIVA"</formula>
    </cfRule>
    <cfRule type="expression" dxfId="12589" priority="5177">
      <formula>$H1257="ETAPA"</formula>
    </cfRule>
  </conditionalFormatting>
  <conditionalFormatting sqref="M1261">
    <cfRule type="expression" dxfId="12588" priority="7475">
      <formula>$H1261="SUBETAPA"</formula>
    </cfRule>
    <cfRule type="expression" dxfId="12587" priority="7476">
      <formula>$H1261="CÉLULA CONSTRUTIVA"</formula>
    </cfRule>
    <cfRule type="expression" dxfId="12586" priority="7477">
      <formula>$H1261="ETAPA"</formula>
    </cfRule>
  </conditionalFormatting>
  <conditionalFormatting sqref="M1262">
    <cfRule type="expression" dxfId="12585" priority="131">
      <formula>$H1262="SUBETAPA"</formula>
    </cfRule>
    <cfRule type="expression" dxfId="12584" priority="133">
      <formula>$H1262="ETAPA"</formula>
    </cfRule>
    <cfRule type="expression" dxfId="12583" priority="132">
      <formula>$H1262="CÉLULA CONSTRUTIVA"</formula>
    </cfRule>
  </conditionalFormatting>
  <conditionalFormatting sqref="M1265">
    <cfRule type="expression" dxfId="12582" priority="7490">
      <formula>$H1265="SUBETAPA"</formula>
    </cfRule>
  </conditionalFormatting>
  <conditionalFormatting sqref="M1278 O1278:P1278">
    <cfRule type="expression" dxfId="12581" priority="5157">
      <formula>$H1278="ETAPA"</formula>
    </cfRule>
    <cfRule type="expression" dxfId="12580" priority="5156">
      <formula>$H1278="CÉLULA CONSTRUTIVA"</formula>
    </cfRule>
  </conditionalFormatting>
  <conditionalFormatting sqref="M1279">
    <cfRule type="expression" dxfId="12579" priority="4222">
      <formula>$H1279="ETAPA"</formula>
    </cfRule>
    <cfRule type="expression" dxfId="12578" priority="4221">
      <formula>$H1279="CÉLULA CONSTRUTIVA"</formula>
    </cfRule>
    <cfRule type="expression" dxfId="12577" priority="4220">
      <formula>$H1279="SUBETAPA"</formula>
    </cfRule>
  </conditionalFormatting>
  <conditionalFormatting sqref="M1280 O1280:P1280">
    <cfRule type="expression" dxfId="12576" priority="5118">
      <formula>$H1280="CÉLULA CONSTRUTIVA"</formula>
    </cfRule>
    <cfRule type="expression" dxfId="12575" priority="5119">
      <formula>$H1280="ETAPA"</formula>
    </cfRule>
  </conditionalFormatting>
  <conditionalFormatting sqref="M1284">
    <cfRule type="expression" dxfId="12574" priority="7457">
      <formula>$H1284="SUBETAPA"</formula>
    </cfRule>
    <cfRule type="expression" dxfId="12573" priority="7458">
      <formula>$H1284="CÉLULA CONSTRUTIVA"</formula>
    </cfRule>
    <cfRule type="expression" dxfId="12572" priority="7459">
      <formula>$H1284="ETAPA"</formula>
    </cfRule>
  </conditionalFormatting>
  <conditionalFormatting sqref="M1285">
    <cfRule type="expression" dxfId="12571" priority="101">
      <formula>$H1285="SUBETAPA"</formula>
    </cfRule>
    <cfRule type="expression" dxfId="12570" priority="102">
      <formula>$H1285="CÉLULA CONSTRUTIVA"</formula>
    </cfRule>
    <cfRule type="expression" dxfId="12569" priority="103">
      <formula>$H1285="ETAPA"</formula>
    </cfRule>
  </conditionalFormatting>
  <conditionalFormatting sqref="M1286">
    <cfRule type="expression" dxfId="12568" priority="7473">
      <formula>$H1286="CÉLULA CONSTRUTIVA"</formula>
    </cfRule>
    <cfRule type="expression" dxfId="12567" priority="7472">
      <formula>$H1286="SUBETAPA"</formula>
    </cfRule>
    <cfRule type="expression" dxfId="12566" priority="7474">
      <formula>$H1286="ETAPA"</formula>
    </cfRule>
  </conditionalFormatting>
  <conditionalFormatting sqref="M1297 O1297:P1297">
    <cfRule type="expression" dxfId="12565" priority="5099">
      <formula>$H1297="ETAPA"</formula>
    </cfRule>
    <cfRule type="expression" dxfId="12564" priority="5098">
      <formula>$H1297="CÉLULA CONSTRUTIVA"</formula>
    </cfRule>
  </conditionalFormatting>
  <conditionalFormatting sqref="M1298">
    <cfRule type="expression" dxfId="12563" priority="4219">
      <formula>$H1298="ETAPA"</formula>
    </cfRule>
    <cfRule type="expression" dxfId="12562" priority="4218">
      <formula>$H1298="CÉLULA CONSTRUTIVA"</formula>
    </cfRule>
    <cfRule type="expression" dxfId="12561" priority="4217">
      <formula>$H1298="SUBETAPA"</formula>
    </cfRule>
  </conditionalFormatting>
  <conditionalFormatting sqref="M1299 O1299:P1299">
    <cfRule type="expression" dxfId="12560" priority="5061">
      <formula>$H1299="ETAPA"</formula>
    </cfRule>
    <cfRule type="expression" dxfId="12559" priority="5060">
      <formula>$H1299="CÉLULA CONSTRUTIVA"</formula>
    </cfRule>
  </conditionalFormatting>
  <conditionalFormatting sqref="M1303">
    <cfRule type="expression" dxfId="12558" priority="7454">
      <formula>$H1303="SUBETAPA"</formula>
    </cfRule>
    <cfRule type="expression" dxfId="12557" priority="7455">
      <formula>$H1303="CÉLULA CONSTRUTIVA"</formula>
    </cfRule>
    <cfRule type="expression" dxfId="12556" priority="7456">
      <formula>$H1303="ETAPA"</formula>
    </cfRule>
  </conditionalFormatting>
  <conditionalFormatting sqref="M1304 O1304:P1304">
    <cfRule type="expression" dxfId="12555" priority="5039">
      <formula>$H1304="ETAPA"</formula>
    </cfRule>
    <cfRule type="expression" dxfId="12554" priority="5038">
      <formula>$H1304="CÉLULA CONSTRUTIVA"</formula>
    </cfRule>
  </conditionalFormatting>
  <conditionalFormatting sqref="M1305">
    <cfRule type="expression" dxfId="12553" priority="4216">
      <formula>$H1305="ETAPA"</formula>
    </cfRule>
    <cfRule type="expression" dxfId="12552" priority="4214">
      <formula>$H1305="SUBETAPA"</formula>
    </cfRule>
    <cfRule type="expression" dxfId="12551" priority="4215">
      <formula>$H1305="CÉLULA CONSTRUTIVA"</formula>
    </cfRule>
  </conditionalFormatting>
  <conditionalFormatting sqref="M1307">
    <cfRule type="expression" dxfId="12550" priority="879">
      <formula>$H1307="CÉLULA CONSTRUTIVA"</formula>
    </cfRule>
    <cfRule type="expression" dxfId="12549" priority="878">
      <formula>$H1307="SUBETAPA"</formula>
    </cfRule>
    <cfRule type="expression" dxfId="12548" priority="880">
      <formula>$H1307="ETAPA"</formula>
    </cfRule>
  </conditionalFormatting>
  <conditionalFormatting sqref="M1308 G1335:K1336 M1335:M1336">
    <cfRule type="expression" dxfId="12547" priority="25110">
      <formula>$H1308="ETAPA"</formula>
    </cfRule>
  </conditionalFormatting>
  <conditionalFormatting sqref="M1308 G1335:K1336 O1335:P1336 M1335:M1336">
    <cfRule type="expression" dxfId="12546" priority="25100">
      <formula>$H1308="CÉLULA CONSTRUTIVA"</formula>
    </cfRule>
  </conditionalFormatting>
  <conditionalFormatting sqref="M1356">
    <cfRule type="expression" dxfId="12545" priority="7595">
      <formula>$H1356="SUBETAPA"</formula>
    </cfRule>
    <cfRule type="expression" dxfId="12544" priority="7596">
      <formula>$H1356="CÉLULA CONSTRUTIVA"</formula>
    </cfRule>
    <cfRule type="expression" dxfId="12543" priority="7597">
      <formula>$H1356="ETAPA"</formula>
    </cfRule>
  </conditionalFormatting>
  <conditionalFormatting sqref="M1357">
    <cfRule type="expression" dxfId="12542" priority="7587">
      <formula>$H1357="CÉLULA CONSTRUTIVA"</formula>
    </cfRule>
    <cfRule type="expression" dxfId="12541" priority="7586">
      <formula>$H1357="SUBETAPA"</formula>
    </cfRule>
    <cfRule type="expression" dxfId="12540" priority="7588">
      <formula>$H1357="ETAPA"</formula>
    </cfRule>
  </conditionalFormatting>
  <conditionalFormatting sqref="M1362">
    <cfRule type="expression" dxfId="12539" priority="7592">
      <formula>$H1362="SUBETAPA"</formula>
    </cfRule>
    <cfRule type="expression" dxfId="12538" priority="7593">
      <formula>$H1362="CÉLULA CONSTRUTIVA"</formula>
    </cfRule>
    <cfRule type="expression" dxfId="12537" priority="7594">
      <formula>$H1362="ETAPA"</formula>
    </cfRule>
  </conditionalFormatting>
  <conditionalFormatting sqref="M1363">
    <cfRule type="expression" dxfId="12536" priority="7589">
      <formula>$H1363="SUBETAPA"</formula>
    </cfRule>
    <cfRule type="expression" dxfId="12535" priority="7590">
      <formula>$H1363="CÉLULA CONSTRUTIVA"</formula>
    </cfRule>
    <cfRule type="expression" dxfId="12534" priority="7591">
      <formula>$H1363="ETAPA"</formula>
    </cfRule>
  </conditionalFormatting>
  <conditionalFormatting sqref="M1371:M1372 O1371:P1372 M1373:P1373">
    <cfRule type="expression" dxfId="12533" priority="25496">
      <formula>$H1371="ETAPA"</formula>
    </cfRule>
  </conditionalFormatting>
  <conditionalFormatting sqref="M1371:M1372 O1371:P1372">
    <cfRule type="expression" dxfId="12532" priority="25495">
      <formula>$H1371="CÉLULA CONSTRUTIVA"</formula>
    </cfRule>
  </conditionalFormatting>
  <conditionalFormatting sqref="M1376 O1376:P1376">
    <cfRule type="expression" dxfId="12531" priority="7552">
      <formula>$H1376="ETAPA"</formula>
    </cfRule>
    <cfRule type="expression" dxfId="12530" priority="7550">
      <formula>$H1376="SUBETAPA"</formula>
    </cfRule>
    <cfRule type="expression" dxfId="12529" priority="7551">
      <formula>$H1376="CÉLULA CONSTRUTIVA"</formula>
    </cfRule>
  </conditionalFormatting>
  <conditionalFormatting sqref="M1391">
    <cfRule type="expression" dxfId="12528" priority="25535">
      <formula>$H1390="ETAPA"</formula>
    </cfRule>
    <cfRule type="expression" dxfId="12527" priority="25537">
      <formula>$H1390="CÉLULA CONSTRUTIVA"</formula>
    </cfRule>
    <cfRule type="expression" dxfId="12526" priority="25539">
      <formula>$H1390="SUBETAPA"</formula>
    </cfRule>
  </conditionalFormatting>
  <conditionalFormatting sqref="M1393">
    <cfRule type="expression" dxfId="12525" priority="25532">
      <formula>$H1390="CÉLULA CONSTRUTIVA"</formula>
    </cfRule>
    <cfRule type="expression" dxfId="12524" priority="25533">
      <formula>$H1390="ETAPA"</formula>
    </cfRule>
    <cfRule type="expression" dxfId="12523" priority="25531">
      <formula>$H1390="SUBETAPA"</formula>
    </cfRule>
  </conditionalFormatting>
  <conditionalFormatting sqref="M795:N795 N811 N828">
    <cfRule type="expression" dxfId="12522" priority="13390">
      <formula>$H795="CÉLULA CONSTRUTIVA"</formula>
    </cfRule>
    <cfRule type="expression" dxfId="12521" priority="13391">
      <formula>$H795="ETAPA"</formula>
    </cfRule>
  </conditionalFormatting>
  <conditionalFormatting sqref="M50:O50 N49:O49">
    <cfRule type="expression" dxfId="12520" priority="24766">
      <formula>$H49="CÉLULA CONSTRUTIVA"</formula>
    </cfRule>
    <cfRule type="expression" dxfId="12519" priority="24767">
      <formula>$H49="ETAPA"</formula>
    </cfRule>
  </conditionalFormatting>
  <conditionalFormatting sqref="M76:O77">
    <cfRule type="expression" dxfId="12518" priority="24908">
      <formula>$H76="CÉLULA CONSTRUTIVA"</formula>
    </cfRule>
    <cfRule type="expression" dxfId="12517" priority="24909">
      <formula>$H76="ETAPA"</formula>
    </cfRule>
  </conditionalFormatting>
  <conditionalFormatting sqref="M282:O282">
    <cfRule type="expression" dxfId="12516" priority="25270">
      <formula>$H282="ETAPA"</formula>
    </cfRule>
  </conditionalFormatting>
  <conditionalFormatting sqref="M293:O293">
    <cfRule type="expression" dxfId="12515" priority="21371">
      <formula>$H293="ETAPA"</formula>
    </cfRule>
  </conditionalFormatting>
  <conditionalFormatting sqref="M304:O304">
    <cfRule type="expression" dxfId="12514" priority="21250">
      <formula>$H304="ETAPA"</formula>
    </cfRule>
  </conditionalFormatting>
  <conditionalFormatting sqref="M315:O315">
    <cfRule type="expression" dxfId="12513" priority="21129">
      <formula>$H315="ETAPA"</formula>
    </cfRule>
  </conditionalFormatting>
  <conditionalFormatting sqref="M332:O332 M341:O341 J334:K334 G331:L333 N333:O333">
    <cfRule type="expression" dxfId="12512" priority="19595">
      <formula>$H331="SUBETAPA"</formula>
    </cfRule>
  </conditionalFormatting>
  <conditionalFormatting sqref="M345:O345 G345:I345">
    <cfRule type="expression" dxfId="12511" priority="6740">
      <formula>$H345="CÉLULA CONSTRUTIVA"</formula>
    </cfRule>
    <cfRule type="expression" dxfId="12510" priority="6718">
      <formula>$H345="SUBETAPA"</formula>
    </cfRule>
  </conditionalFormatting>
  <conditionalFormatting sqref="M352:O352 G348:O348">
    <cfRule type="expression" dxfId="12509" priority="6978">
      <formula>$H348="SUBETAPA"</formula>
    </cfRule>
  </conditionalFormatting>
  <conditionalFormatting sqref="M360:O360 J357:K357 G356:L356 N356:O356">
    <cfRule type="expression" dxfId="12508" priority="6807">
      <formula>$H356="SUBETAPA"</formula>
    </cfRule>
  </conditionalFormatting>
  <conditionalFormatting sqref="M434:O434">
    <cfRule type="expression" dxfId="12507" priority="18571">
      <formula>$H434="SUBETAPA"</formula>
    </cfRule>
  </conditionalFormatting>
  <conditionalFormatting sqref="M436:O436 M441:O441 M446:O446 M451:O451 M456:O456 M466:O466 G436:K436 G441:K441 G446:K446 G451:K451 G456:K456 G466:K466 M461:O461 G461:K461">
    <cfRule type="expression" dxfId="12506" priority="18590">
      <formula>$H436="CÉLULA CONSTRUTIVA"</formula>
    </cfRule>
  </conditionalFormatting>
  <conditionalFormatting sqref="M436:O436 M441:O441 M446:O446 M451:O451 M456:O456 M466:O466 M461:O461">
    <cfRule type="expression" dxfId="12505" priority="18568">
      <formula>$H436="SUBETAPA"</formula>
    </cfRule>
  </conditionalFormatting>
  <conditionalFormatting sqref="M439:O439">
    <cfRule type="expression" dxfId="12504" priority="18529">
      <formula>$H439="SUBETAPA"</formula>
    </cfRule>
  </conditionalFormatting>
  <conditionalFormatting sqref="M444:O444">
    <cfRule type="expression" dxfId="12503" priority="18491">
      <formula>$H444="SUBETAPA"</formula>
    </cfRule>
  </conditionalFormatting>
  <conditionalFormatting sqref="M449:O449">
    <cfRule type="expression" dxfId="12502" priority="18468">
      <formula>$H449="SUBETAPA"</formula>
    </cfRule>
  </conditionalFormatting>
  <conditionalFormatting sqref="M454:O454">
    <cfRule type="expression" dxfId="12501" priority="18445">
      <formula>$H454="SUBETAPA"</formula>
    </cfRule>
  </conditionalFormatting>
  <conditionalFormatting sqref="M459:O459">
    <cfRule type="expression" dxfId="12500" priority="17508">
      <formula>$H459="SUBETAPA"</formula>
    </cfRule>
  </conditionalFormatting>
  <conditionalFormatting sqref="M464:O464">
    <cfRule type="expression" dxfId="12499" priority="18422">
      <formula>$H464="SUBETAPA"</formula>
    </cfRule>
  </conditionalFormatting>
  <conditionalFormatting sqref="M469:O469">
    <cfRule type="expression" dxfId="12498" priority="18394">
      <formula>$H469="SUBETAPA"</formula>
    </cfRule>
  </conditionalFormatting>
  <conditionalFormatting sqref="M475:O475">
    <cfRule type="expression" dxfId="12497" priority="17367">
      <formula>$H475="CÉLULA CONSTRUTIVA"</formula>
    </cfRule>
    <cfRule type="expression" dxfId="12496" priority="17368">
      <formula>$H475="ETAPA"</formula>
    </cfRule>
  </conditionalFormatting>
  <conditionalFormatting sqref="M528:O528">
    <cfRule type="expression" dxfId="12495" priority="16861">
      <formula>$H528="ETAPA"</formula>
    </cfRule>
  </conditionalFormatting>
  <conditionalFormatting sqref="M612:O612">
    <cfRule type="expression" dxfId="12494" priority="15912">
      <formula>$H612="CÉLULA CONSTRUTIVA"</formula>
    </cfRule>
    <cfRule type="expression" dxfId="12493" priority="15913">
      <formula>$H612="ETAPA"</formula>
    </cfRule>
    <cfRule type="expression" dxfId="12492" priority="15911">
      <formula>$H612="SUBETAPA"</formula>
    </cfRule>
  </conditionalFormatting>
  <conditionalFormatting sqref="M618:O618 M620:O620">
    <cfRule type="expression" dxfId="12491" priority="15938">
      <formula>$H618="SUBETAPA"</formula>
    </cfRule>
    <cfRule type="expression" dxfId="12490" priority="15940">
      <formula>$H618="ETAPA"</formula>
    </cfRule>
    <cfRule type="expression" dxfId="12489" priority="15939">
      <formula>$H618="CÉLULA CONSTRUTIVA"</formula>
    </cfRule>
  </conditionalFormatting>
  <conditionalFormatting sqref="M626:O626 M628:O628">
    <cfRule type="expression" dxfId="12488" priority="15751">
      <formula>$H626="CÉLULA CONSTRUTIVA"</formula>
    </cfRule>
    <cfRule type="expression" dxfId="12487" priority="15750">
      <formula>$H626="SUBETAPA"</formula>
    </cfRule>
    <cfRule type="expression" dxfId="12486" priority="15752">
      <formula>$H626="ETAPA"</formula>
    </cfRule>
  </conditionalFormatting>
  <conditionalFormatting sqref="M632:O632 M634:O634">
    <cfRule type="expression" dxfId="12485" priority="15777">
      <formula>$H632="SUBETAPA"</formula>
    </cfRule>
    <cfRule type="expression" dxfId="12484" priority="15779">
      <formula>$H632="ETAPA"</formula>
    </cfRule>
    <cfRule type="expression" dxfId="12483" priority="15778">
      <formula>$H632="CÉLULA CONSTRUTIVA"</formula>
    </cfRule>
  </conditionalFormatting>
  <conditionalFormatting sqref="M640:O640">
    <cfRule type="expression" dxfId="12482" priority="15424">
      <formula>$H640="SUBETAPA"</formula>
    </cfRule>
    <cfRule type="expression" dxfId="12481" priority="15426">
      <formula>$H640="ETAPA"</formula>
    </cfRule>
    <cfRule type="expression" dxfId="12480" priority="15425">
      <formula>$H640="CÉLULA CONSTRUTIVA"</formula>
    </cfRule>
  </conditionalFormatting>
  <conditionalFormatting sqref="M642:O642">
    <cfRule type="expression" dxfId="12479" priority="14763">
      <formula>$H642="ETAPA"</formula>
    </cfRule>
    <cfRule type="expression" dxfId="12478" priority="14762">
      <formula>$H642="CÉLULA CONSTRUTIVA"</formula>
    </cfRule>
    <cfRule type="expression" dxfId="12477" priority="14761">
      <formula>$H642="SUBETAPA"</formula>
    </cfRule>
  </conditionalFormatting>
  <conditionalFormatting sqref="M646:O646 M648:O648">
    <cfRule type="expression" dxfId="12476" priority="15451">
      <formula>$H646="SUBETAPA"</formula>
    </cfRule>
    <cfRule type="expression" dxfId="12475" priority="15452">
      <formula>$H646="CÉLULA CONSTRUTIVA"</formula>
    </cfRule>
    <cfRule type="expression" dxfId="12474" priority="15453">
      <formula>$H646="ETAPA"</formula>
    </cfRule>
  </conditionalFormatting>
  <conditionalFormatting sqref="M654:O654">
    <cfRule type="expression" dxfId="12473" priority="15260">
      <formula>$H654="SUBETAPA"</formula>
    </cfRule>
    <cfRule type="expression" dxfId="12472" priority="15261">
      <formula>$H654="CÉLULA CONSTRUTIVA"</formula>
    </cfRule>
    <cfRule type="expression" dxfId="12471" priority="15262">
      <formula>$H654="ETAPA"</formula>
    </cfRule>
  </conditionalFormatting>
  <conditionalFormatting sqref="M656:O656">
    <cfRule type="expression" dxfId="12470" priority="14725">
      <formula>$H656="ETAPA"</formula>
    </cfRule>
    <cfRule type="expression" dxfId="12469" priority="14723">
      <formula>$H656="SUBETAPA"</formula>
    </cfRule>
    <cfRule type="expression" dxfId="12468" priority="14724">
      <formula>$H656="CÉLULA CONSTRUTIVA"</formula>
    </cfRule>
  </conditionalFormatting>
  <conditionalFormatting sqref="M660:O660 M662:O662">
    <cfRule type="expression" dxfId="12467" priority="15289">
      <formula>$H660="ETAPA"</formula>
    </cfRule>
    <cfRule type="expression" dxfId="12466" priority="15287">
      <formula>$H660="SUBETAPA"</formula>
    </cfRule>
    <cfRule type="expression" dxfId="12465" priority="15288">
      <formula>$H660="CÉLULA CONSTRUTIVA"</formula>
    </cfRule>
  </conditionalFormatting>
  <conditionalFormatting sqref="M668:O668">
    <cfRule type="expression" dxfId="12464" priority="15098">
      <formula>$H668="ETAPA"</formula>
    </cfRule>
    <cfRule type="expression" dxfId="12463" priority="15096">
      <formula>$H668="SUBETAPA"</formula>
    </cfRule>
    <cfRule type="expression" dxfId="12462" priority="15097">
      <formula>$H668="CÉLULA CONSTRUTIVA"</formula>
    </cfRule>
  </conditionalFormatting>
  <conditionalFormatting sqref="M670:O670">
    <cfRule type="expression" dxfId="12461" priority="14687">
      <formula>$H670="ETAPA"</formula>
    </cfRule>
    <cfRule type="expression" dxfId="12460" priority="14685">
      <formula>$H670="SUBETAPA"</formula>
    </cfRule>
    <cfRule type="expression" dxfId="12459" priority="14686">
      <formula>$H670="CÉLULA CONSTRUTIVA"</formula>
    </cfRule>
  </conditionalFormatting>
  <conditionalFormatting sqref="M674:O674 M676:O676">
    <cfRule type="expression" dxfId="12458" priority="15123">
      <formula>$H674="SUBETAPA"</formula>
    </cfRule>
    <cfRule type="expression" dxfId="12457" priority="15124">
      <formula>$H674="CÉLULA CONSTRUTIVA"</formula>
    </cfRule>
    <cfRule type="expression" dxfId="12456" priority="15125">
      <formula>$H674="ETAPA"</formula>
    </cfRule>
  </conditionalFormatting>
  <conditionalFormatting sqref="M682:O682">
    <cfRule type="expression" dxfId="12455" priority="14416">
      <formula>$H682="SUBETAPA"</formula>
    </cfRule>
    <cfRule type="expression" dxfId="12454" priority="14417">
      <formula>$H682="CÉLULA CONSTRUTIVA"</formula>
    </cfRule>
    <cfRule type="expression" dxfId="12453" priority="14418">
      <formula>$H682="ETAPA"</formula>
    </cfRule>
  </conditionalFormatting>
  <conditionalFormatting sqref="M684:O684">
    <cfRule type="expression" dxfId="12452" priority="14338">
      <formula>$H684="SUBETAPA"</formula>
    </cfRule>
    <cfRule type="expression" dxfId="12451" priority="14339">
      <formula>$H684="CÉLULA CONSTRUTIVA"</formula>
    </cfRule>
    <cfRule type="expression" dxfId="12450" priority="14340">
      <formula>$H684="ETAPA"</formula>
    </cfRule>
  </conditionalFormatting>
  <conditionalFormatting sqref="M688:O688 M690:O690">
    <cfRule type="expression" dxfId="12449" priority="14443">
      <formula>$H688="SUBETAPA"</formula>
    </cfRule>
    <cfRule type="expression" dxfId="12448" priority="14444">
      <formula>$H688="CÉLULA CONSTRUTIVA"</formula>
    </cfRule>
    <cfRule type="expression" dxfId="12447" priority="14445">
      <formula>$H688="ETAPA"</formula>
    </cfRule>
  </conditionalFormatting>
  <conditionalFormatting sqref="M696:O696">
    <cfRule type="expression" dxfId="12446" priority="14933">
      <formula>$H696="CÉLULA CONSTRUTIVA"</formula>
    </cfRule>
    <cfRule type="expression" dxfId="12445" priority="14932">
      <formula>$H696="SUBETAPA"</formula>
    </cfRule>
    <cfRule type="expression" dxfId="12444" priority="14934">
      <formula>$H696="ETAPA"</formula>
    </cfRule>
  </conditionalFormatting>
  <conditionalFormatting sqref="M698:O698">
    <cfRule type="expression" dxfId="12443" priority="14647">
      <formula>$H698="SUBETAPA"</formula>
    </cfRule>
    <cfRule type="expression" dxfId="12442" priority="14649">
      <formula>$H698="ETAPA"</formula>
    </cfRule>
    <cfRule type="expression" dxfId="12441" priority="14648">
      <formula>$H698="CÉLULA CONSTRUTIVA"</formula>
    </cfRule>
  </conditionalFormatting>
  <conditionalFormatting sqref="M702:O702">
    <cfRule type="expression" dxfId="12440" priority="14961">
      <formula>$H702="ETAPA"</formula>
    </cfRule>
    <cfRule type="expression" dxfId="12439" priority="14960">
      <formula>$H702="CÉLULA CONSTRUTIVA"</formula>
    </cfRule>
    <cfRule type="expression" dxfId="12438" priority="14959">
      <formula>$H702="SUBETAPA"</formula>
    </cfRule>
  </conditionalFormatting>
  <conditionalFormatting sqref="M704:O704">
    <cfRule type="expression" dxfId="12437" priority="4986">
      <formula>$H704="SUBETAPA"</formula>
    </cfRule>
    <cfRule type="expression" dxfId="12436" priority="4987">
      <formula>$H704="CÉLULA CONSTRUTIVA"</formula>
    </cfRule>
    <cfRule type="expression" dxfId="12435" priority="4988">
      <formula>$H704="ETAPA"</formula>
    </cfRule>
  </conditionalFormatting>
  <conditionalFormatting sqref="M721:O721">
    <cfRule type="expression" dxfId="12434" priority="4850">
      <formula>$H721="SUBETAPA"</formula>
    </cfRule>
  </conditionalFormatting>
  <conditionalFormatting sqref="M725:O725">
    <cfRule type="expression" dxfId="12433" priority="14207">
      <formula>$H725="SUBETAPA"</formula>
    </cfRule>
  </conditionalFormatting>
  <conditionalFormatting sqref="M728:O728">
    <cfRule type="expression" dxfId="12432" priority="4823">
      <formula>$H728="SUBETAPA"</formula>
    </cfRule>
  </conditionalFormatting>
  <conditionalFormatting sqref="M758:O758">
    <cfRule type="expression" dxfId="12431" priority="12760">
      <formula>$H758="SUBETAPA"</formula>
    </cfRule>
  </conditionalFormatting>
  <conditionalFormatting sqref="M760:O762 M774:O775 G759:L762 M787:O788 G805:O805 G763:O763 G764:L765 G767:L770 G766:I766 K766:L766 G780:L788 G779:I779 K779:L779 G789:O789 G773:L775 G777:L778 G776:O776">
    <cfRule type="expression" dxfId="12430" priority="13520">
      <formula>$H759="SUBETAPA"</formula>
    </cfRule>
  </conditionalFormatting>
  <conditionalFormatting sqref="M772:O772">
    <cfRule type="expression" dxfId="12429" priority="6569">
      <formula>$H772="SUBETAPA"</formula>
    </cfRule>
  </conditionalFormatting>
  <conditionalFormatting sqref="M883:O883">
    <cfRule type="expression" dxfId="12428" priority="6444">
      <formula>$H883="SUBETAPA"</formula>
    </cfRule>
  </conditionalFormatting>
  <conditionalFormatting sqref="M885:O885">
    <cfRule type="expression" dxfId="12427" priority="11947">
      <formula>$H885="SUBETAPA"</formula>
    </cfRule>
  </conditionalFormatting>
  <conditionalFormatting sqref="M892:O892">
    <cfRule type="expression" dxfId="12426" priority="11871">
      <formula>$H892="SUBETAPA"</formula>
    </cfRule>
  </conditionalFormatting>
  <conditionalFormatting sqref="M899:O899">
    <cfRule type="expression" dxfId="12425" priority="11795">
      <formula>$H899="SUBETAPA"</formula>
    </cfRule>
  </conditionalFormatting>
  <conditionalFormatting sqref="M906:O906">
    <cfRule type="expression" dxfId="12424" priority="11565">
      <formula>$H906="SUBETAPA"</formula>
    </cfRule>
  </conditionalFormatting>
  <conditionalFormatting sqref="M1032:O1032">
    <cfRule type="expression" dxfId="12423" priority="6207">
      <formula>$H1032="SUBETAPA"</formula>
    </cfRule>
    <cfRule type="expression" dxfId="12422" priority="6209">
      <formula>$H1032="ETAPA"</formula>
    </cfRule>
    <cfRule type="expression" dxfId="12421" priority="6208">
      <formula>$H1032="CÉLULA CONSTRUTIVA"</formula>
    </cfRule>
  </conditionalFormatting>
  <conditionalFormatting sqref="M1058:O1058">
    <cfRule type="expression" dxfId="12420" priority="10176">
      <formula>$H1058="ETAPA"</formula>
    </cfRule>
  </conditionalFormatting>
  <conditionalFormatting sqref="M1070:O1071">
    <cfRule type="expression" dxfId="12419" priority="9657">
      <formula>$H1070="CÉLULA CONSTRUTIVA"</formula>
    </cfRule>
    <cfRule type="expression" dxfId="12418" priority="9654">
      <formula>$H1070="SUBETAPA"</formula>
    </cfRule>
    <cfRule type="expression" dxfId="12417" priority="9658">
      <formula>$H1070="ETAPA"</formula>
    </cfRule>
  </conditionalFormatting>
  <conditionalFormatting sqref="M1073:O1073">
    <cfRule type="expression" dxfId="12416" priority="9653">
      <formula>$H1073="ETAPA"</formula>
    </cfRule>
    <cfRule type="expression" dxfId="12415" priority="9652">
      <formula>$H1073="CÉLULA CONSTRUTIVA"</formula>
    </cfRule>
    <cfRule type="expression" dxfId="12414" priority="9649">
      <formula>$H1073="SUBETAPA"</formula>
    </cfRule>
  </conditionalFormatting>
  <conditionalFormatting sqref="M1087:O1087 M1089:O1089 M1091:O1091">
    <cfRule type="expression" dxfId="12413" priority="5822">
      <formula>$H1087="CÉLULA CONSTRUTIVA"</formula>
    </cfRule>
    <cfRule type="expression" dxfId="12412" priority="5823">
      <formula>$H1087="ETAPA"</formula>
    </cfRule>
    <cfRule type="expression" dxfId="12411" priority="5821">
      <formula>$H1087="SUBETAPA"</formula>
    </cfRule>
  </conditionalFormatting>
  <conditionalFormatting sqref="M1090:O1090">
    <cfRule type="expression" dxfId="12410" priority="5799">
      <formula>$H1090="CÉLULA CONSTRUTIVA"</formula>
    </cfRule>
    <cfRule type="expression" dxfId="12409" priority="5800">
      <formula>$H1090="ETAPA"</formula>
    </cfRule>
    <cfRule type="expression" dxfId="12408" priority="5796">
      <formula>$H1090="SUBETAPA"</formula>
    </cfRule>
  </conditionalFormatting>
  <conditionalFormatting sqref="M1104:O1105 M1107:O1108">
    <cfRule type="expression" dxfId="12407" priority="10167">
      <formula>$H1104="CÉLULA CONSTRUTIVA"</formula>
    </cfRule>
    <cfRule type="expression" dxfId="12406" priority="10168">
      <formula>$H1104="ETAPA"</formula>
    </cfRule>
    <cfRule type="expression" dxfId="12405" priority="10166">
      <formula>$H1104="SUBETAPA"</formula>
    </cfRule>
  </conditionalFormatting>
  <conditionalFormatting sqref="M1121:O1121 M1124:O1124 M1154:O1154 M1106:O1106 M1184:O1184 M1138:O1138">
    <cfRule type="expression" dxfId="12404" priority="10112">
      <formula>$H1106="ETAPA"</formula>
    </cfRule>
    <cfRule type="expression" dxfId="12403" priority="10111">
      <formula>$H1106="CÉLULA CONSTRUTIVA"</formula>
    </cfRule>
    <cfRule type="expression" dxfId="12402" priority="10108">
      <formula>$H1106="SUBETAPA"</formula>
    </cfRule>
  </conditionalFormatting>
  <conditionalFormatting sqref="M1122:O1123">
    <cfRule type="expression" dxfId="12401" priority="9669">
      <formula>$H1122="SUBETAPA"</formula>
    </cfRule>
    <cfRule type="expression" dxfId="12400" priority="9673">
      <formula>$H1122="ETAPA"</formula>
    </cfRule>
    <cfRule type="expression" dxfId="12399" priority="9672">
      <formula>$H1122="CÉLULA CONSTRUTIVA"</formula>
    </cfRule>
  </conditionalFormatting>
  <conditionalFormatting sqref="M1125:O1125">
    <cfRule type="expression" dxfId="12398" priority="9668">
      <formula>$H1125="ETAPA"</formula>
    </cfRule>
    <cfRule type="expression" dxfId="12397" priority="9667">
      <formula>$H1125="CÉLULA CONSTRUTIVA"</formula>
    </cfRule>
    <cfRule type="expression" dxfId="12396" priority="9664">
      <formula>$H1125="SUBETAPA"</formula>
    </cfRule>
  </conditionalFormatting>
  <conditionalFormatting sqref="M1139:O1140">
    <cfRule type="expression" dxfId="12395" priority="5783">
      <formula>$H1139="ETAPA"</formula>
    </cfRule>
    <cfRule type="expression" dxfId="12394" priority="5782">
      <formula>$H1139="CÉLULA CONSTRUTIVA"</formula>
    </cfRule>
    <cfRule type="expression" dxfId="12393" priority="5779">
      <formula>$H1139="SUBETAPA"</formula>
    </cfRule>
  </conditionalFormatting>
  <conditionalFormatting sqref="M1141:O1141">
    <cfRule type="expression" dxfId="12392" priority="5778">
      <formula>$H1141="ETAPA"</formula>
    </cfRule>
    <cfRule type="expression" dxfId="12391" priority="5777">
      <formula>$H1141="CÉLULA CONSTRUTIVA"</formula>
    </cfRule>
    <cfRule type="expression" dxfId="12390" priority="5774">
      <formula>$H1141="SUBETAPA"</formula>
    </cfRule>
  </conditionalFormatting>
  <conditionalFormatting sqref="M1155:O1156">
    <cfRule type="expression" dxfId="12389" priority="9613">
      <formula>$H1155="ETAPA"</formula>
    </cfRule>
    <cfRule type="expression" dxfId="12388" priority="9609">
      <formula>$H1155="SUBETAPA"</formula>
    </cfRule>
    <cfRule type="expression" dxfId="12387" priority="9612">
      <formula>$H1155="CÉLULA CONSTRUTIVA"</formula>
    </cfRule>
  </conditionalFormatting>
  <conditionalFormatting sqref="M1157:O1157">
    <cfRule type="expression" dxfId="12386" priority="9604">
      <formula>$H1157="SUBETAPA"</formula>
    </cfRule>
    <cfRule type="expression" dxfId="12385" priority="9608">
      <formula>$H1157="ETAPA"</formula>
    </cfRule>
    <cfRule type="expression" dxfId="12384" priority="9607">
      <formula>$H1157="CÉLULA CONSTRUTIVA"</formula>
    </cfRule>
  </conditionalFormatting>
  <conditionalFormatting sqref="M1169:O1170">
    <cfRule type="expression" dxfId="12383" priority="5752">
      <formula>$H1169="CÉLULA CONSTRUTIVA"</formula>
    </cfRule>
    <cfRule type="expression" dxfId="12382" priority="5753">
      <formula>$H1169="ETAPA"</formula>
    </cfRule>
    <cfRule type="expression" dxfId="12381" priority="5749">
      <formula>$H1169="SUBETAPA"</formula>
    </cfRule>
  </conditionalFormatting>
  <conditionalFormatting sqref="M1171:O1171">
    <cfRule type="expression" dxfId="12380" priority="5758">
      <formula>$H1171="ETAPA"</formula>
    </cfRule>
    <cfRule type="expression" dxfId="12379" priority="5757">
      <formula>$H1171="CÉLULA CONSTRUTIVA"</formula>
    </cfRule>
    <cfRule type="expression" dxfId="12378" priority="5756">
      <formula>$H1171="SUBETAPA"</formula>
    </cfRule>
  </conditionalFormatting>
  <conditionalFormatting sqref="M1172:O1172">
    <cfRule type="expression" dxfId="12377" priority="5744">
      <formula>$H1172="SUBETAPA"</formula>
    </cfRule>
    <cfRule type="expression" dxfId="12376" priority="5748">
      <formula>$H1172="ETAPA"</formula>
    </cfRule>
    <cfRule type="expression" dxfId="12375" priority="5747">
      <formula>$H1172="CÉLULA CONSTRUTIVA"</formula>
    </cfRule>
  </conditionalFormatting>
  <conditionalFormatting sqref="M1183:O1183">
    <cfRule type="expression" dxfId="12374" priority="9601">
      <formula>$H1183="ETAPA"</formula>
    </cfRule>
    <cfRule type="expression" dxfId="12373" priority="9600">
      <formula>$H1183="CÉLULA CONSTRUTIVA"</formula>
    </cfRule>
    <cfRule type="expression" dxfId="12372" priority="9597">
      <formula>$H1183="SUBETAPA"</formula>
    </cfRule>
  </conditionalFormatting>
  <conditionalFormatting sqref="M1197:O1198">
    <cfRule type="expression" dxfId="12371" priority="5423">
      <formula>$H1197="ETAPA"</formula>
    </cfRule>
    <cfRule type="expression" dxfId="12370" priority="5422">
      <formula>$H1197="CÉLULA CONSTRUTIVA"</formula>
    </cfRule>
    <cfRule type="expression" dxfId="12369" priority="5405">
      <formula>$H1197="SUBETAPA"</formula>
    </cfRule>
  </conditionalFormatting>
  <conditionalFormatting sqref="M1381:O1382">
    <cfRule type="expression" dxfId="12368" priority="24205">
      <formula>$H1381="ETAPA"</formula>
    </cfRule>
    <cfRule type="expression" dxfId="12367" priority="24204">
      <formula>$H1381="CÉLULA CONSTRUTIVA"</formula>
    </cfRule>
    <cfRule type="expression" dxfId="12366" priority="24203">
      <formula>$H1381="SUBETAPA"</formula>
    </cfRule>
  </conditionalFormatting>
  <conditionalFormatting sqref="M11:P11">
    <cfRule type="expression" dxfId="12365" priority="22613">
      <formula>$H11="SUBETAPA"</formula>
    </cfRule>
  </conditionalFormatting>
  <conditionalFormatting sqref="M50:P50 N49:P49">
    <cfRule type="expression" dxfId="12364" priority="22655">
      <formula>$H49="SUBETAPA"</formula>
    </cfRule>
  </conditionalFormatting>
  <conditionalFormatting sqref="M52:P52">
    <cfRule type="expression" dxfId="12363" priority="22634">
      <formula>$H52="SUBETAPA"</formula>
    </cfRule>
  </conditionalFormatting>
  <conditionalFormatting sqref="M76:P77">
    <cfRule type="expression" dxfId="12362" priority="22768">
      <formula>$H76="SUBETAPA"</formula>
    </cfRule>
  </conditionalFormatting>
  <conditionalFormatting sqref="M337:P337">
    <cfRule type="expression" dxfId="12361" priority="19672">
      <formula>$H337="SUBETAPA"</formula>
    </cfRule>
    <cfRule type="expression" dxfId="12360" priority="19673">
      <formula>$H337="CÉLULA CONSTRUTIVA"</formula>
    </cfRule>
    <cfRule type="expression" dxfId="12359" priority="19674">
      <formula>$H337="ETAPA"</formula>
    </cfRule>
  </conditionalFormatting>
  <conditionalFormatting sqref="M350:P350">
    <cfRule type="expression" dxfId="12358" priority="6997">
      <formula>$H350="CÉLULA CONSTRUTIVA"</formula>
    </cfRule>
    <cfRule type="expression" dxfId="12357" priority="6998">
      <formula>$H350="ETAPA"</formula>
    </cfRule>
    <cfRule type="expression" dxfId="12356" priority="6996">
      <formula>$H350="SUBETAPA"</formula>
    </cfRule>
  </conditionalFormatting>
  <conditionalFormatting sqref="M387:P387">
    <cfRule type="expression" dxfId="12355" priority="6635">
      <formula>$H387="ETAPA"</formula>
    </cfRule>
    <cfRule type="expression" dxfId="12354" priority="6634">
      <formula>$H387="CÉLULA CONSTRUTIVA"</formula>
    </cfRule>
    <cfRule type="expression" dxfId="12353" priority="6620">
      <formula>$H387="SUBETAPA"</formula>
    </cfRule>
  </conditionalFormatting>
  <conditionalFormatting sqref="M1359:P1359">
    <cfRule type="expression" dxfId="12352" priority="7629">
      <formula>$H1359="ETAPA"</formula>
    </cfRule>
    <cfRule type="expression" dxfId="12351" priority="7628">
      <formula>$H1359="CÉLULA CONSTRUTIVA"</formula>
    </cfRule>
    <cfRule type="expression" dxfId="12350" priority="7627">
      <formula>$H1359="SUBETAPA"</formula>
    </cfRule>
  </conditionalFormatting>
  <conditionalFormatting sqref="N8 N21 N53 N275 N329 N431 N470 N609 N708 N718 N747 N865 N912 N1055 N1185 N1308 N1342 N1367 N1385 N1353">
    <cfRule type="expression" dxfId="12349" priority="21544">
      <formula>$H8="SUBETAPA"</formula>
    </cfRule>
    <cfRule type="expression" dxfId="12348" priority="21546">
      <formula>$H8="ETAPA"</formula>
    </cfRule>
    <cfRule type="expression" dxfId="12347" priority="21545">
      <formula>$H8="CÉLULA CONSTRUTIVA"</formula>
    </cfRule>
  </conditionalFormatting>
  <conditionalFormatting sqref="N9 N22 N36 N54 N276 N330 N709 N722 N1335 N1368 N1371 N1386">
    <cfRule type="expression" dxfId="12346" priority="21543">
      <formula>$H9="ETAPA"</formula>
    </cfRule>
    <cfRule type="expression" dxfId="12345" priority="21541">
      <formula>$H9="SUBETAPA"</formula>
    </cfRule>
    <cfRule type="expression" dxfId="12344" priority="21542">
      <formula>$H9="CÉLULA CONSTRUTIVA"</formula>
    </cfRule>
  </conditionalFormatting>
  <conditionalFormatting sqref="N10 N12 N15 N18 N23 N30 N34 N37 N39 N48 N51 N55 N62 N71 N75 N277 N281 N285 N710 N716 N723 N726 N1336 N1340 N1372 N1374 N1378 N1380 N1383 N1387">
    <cfRule type="expression" dxfId="12343" priority="21540">
      <formula>$H10="ETAPA"</formula>
    </cfRule>
    <cfRule type="expression" dxfId="12342" priority="21539">
      <formula>$H10="CÉLULA CONSTRUTIVA"</formula>
    </cfRule>
    <cfRule type="expression" dxfId="12341" priority="21538">
      <formula>$H10="SUBETAPA"</formula>
    </cfRule>
  </conditionalFormatting>
  <conditionalFormatting sqref="N40:N41">
    <cfRule type="expression" dxfId="12340" priority="25523">
      <formula>$H40="SUBETAPA"</formula>
    </cfRule>
  </conditionalFormatting>
  <conditionalFormatting sqref="N42:N47">
    <cfRule type="expression" dxfId="12339" priority="25384">
      <formula>$H42="SUBETAPA"</formula>
    </cfRule>
    <cfRule type="expression" dxfId="12338" priority="25385">
      <formula>$H42="CÉLULA CONSTRUTIVA"</formula>
    </cfRule>
    <cfRule type="expression" dxfId="12337" priority="25386">
      <formula>$H42="ETAPA"</formula>
    </cfRule>
  </conditionalFormatting>
  <conditionalFormatting sqref="N78">
    <cfRule type="expression" dxfId="12336" priority="20330">
      <formula>$H78="SUBETAPA"</formula>
    </cfRule>
    <cfRule type="expression" dxfId="12335" priority="20332">
      <formula>$H78="ETAPA"</formula>
    </cfRule>
    <cfRule type="expression" dxfId="12334" priority="20331">
      <formula>$H78="CÉLULA CONSTRUTIVA"</formula>
    </cfRule>
  </conditionalFormatting>
  <conditionalFormatting sqref="N79 N86 N94 N97 N99">
    <cfRule type="expression" dxfId="12333" priority="20327">
      <formula>$H79="SUBETAPA"</formula>
    </cfRule>
    <cfRule type="expression" dxfId="12332" priority="20328">
      <formula>$H79="CÉLULA CONSTRUTIVA"</formula>
    </cfRule>
    <cfRule type="expression" dxfId="12331" priority="20329">
      <formula>$H79="ETAPA"</formula>
    </cfRule>
  </conditionalFormatting>
  <conditionalFormatting sqref="N101">
    <cfRule type="expression" dxfId="12330" priority="20246">
      <formula>$H101="SUBETAPA"</formula>
    </cfRule>
    <cfRule type="expression" dxfId="12329" priority="20247">
      <formula>$H101="CÉLULA CONSTRUTIVA"</formula>
    </cfRule>
    <cfRule type="expression" dxfId="12328" priority="20248">
      <formula>$H101="ETAPA"</formula>
    </cfRule>
  </conditionalFormatting>
  <conditionalFormatting sqref="N102 N107 N115 N118 N120">
    <cfRule type="expression" dxfId="12327" priority="20243">
      <formula>$H102="SUBETAPA"</formula>
    </cfRule>
    <cfRule type="expression" dxfId="12326" priority="20245">
      <formula>$H102="ETAPA"</formula>
    </cfRule>
    <cfRule type="expression" dxfId="12325" priority="20244">
      <formula>$H102="CÉLULA CONSTRUTIVA"</formula>
    </cfRule>
  </conditionalFormatting>
  <conditionalFormatting sqref="N122">
    <cfRule type="expression" dxfId="12324" priority="20146">
      <formula>$H122="CÉLULA CONSTRUTIVA"</formula>
    </cfRule>
    <cfRule type="expression" dxfId="12323" priority="20145">
      <formula>$H122="SUBETAPA"</formula>
    </cfRule>
    <cfRule type="expression" dxfId="12322" priority="20147">
      <formula>$H122="ETAPA"</formula>
    </cfRule>
  </conditionalFormatting>
  <conditionalFormatting sqref="N123 N128 N136 N139 N141">
    <cfRule type="expression" dxfId="12321" priority="20144">
      <formula>$H123="ETAPA"</formula>
    </cfRule>
    <cfRule type="expression" dxfId="12320" priority="20143">
      <formula>$H123="CÉLULA CONSTRUTIVA"</formula>
    </cfRule>
    <cfRule type="expression" dxfId="12319" priority="20142">
      <formula>$H123="SUBETAPA"</formula>
    </cfRule>
  </conditionalFormatting>
  <conditionalFormatting sqref="N143">
    <cfRule type="expression" dxfId="12318" priority="20084">
      <formula>$H143="CÉLULA CONSTRUTIVA"</formula>
    </cfRule>
    <cfRule type="expression" dxfId="12317" priority="20085">
      <formula>$H143="ETAPA"</formula>
    </cfRule>
    <cfRule type="expression" dxfId="12316" priority="20083">
      <formula>$H143="SUBETAPA"</formula>
    </cfRule>
  </conditionalFormatting>
  <conditionalFormatting sqref="N144 N147 N157 N159">
    <cfRule type="expression" dxfId="12315" priority="20082">
      <formula>$H144="ETAPA"</formula>
    </cfRule>
    <cfRule type="expression" dxfId="12314" priority="20081">
      <formula>$H144="CÉLULA CONSTRUTIVA"</formula>
    </cfRule>
    <cfRule type="expression" dxfId="12313" priority="20080">
      <formula>$H144="SUBETAPA"</formula>
    </cfRule>
  </conditionalFormatting>
  <conditionalFormatting sqref="N161">
    <cfRule type="expression" dxfId="12312" priority="20446">
      <formula>$H161="ETAPA"</formula>
    </cfRule>
    <cfRule type="expression" dxfId="12311" priority="20445">
      <formula>$H161="CÉLULA CONSTRUTIVA"</formula>
    </cfRule>
    <cfRule type="expression" dxfId="12310" priority="20444">
      <formula>$H161="SUBETAPA"</formula>
    </cfRule>
  </conditionalFormatting>
  <conditionalFormatting sqref="N162 N165 N169 N171 N173">
    <cfRule type="expression" dxfId="12309" priority="20441">
      <formula>$H162="SUBETAPA"</formula>
    </cfRule>
    <cfRule type="expression" dxfId="12308" priority="20442">
      <formula>$H162="CÉLULA CONSTRUTIVA"</formula>
    </cfRule>
    <cfRule type="expression" dxfId="12307" priority="20443">
      <formula>$H162="ETAPA"</formula>
    </cfRule>
  </conditionalFormatting>
  <conditionalFormatting sqref="N175">
    <cfRule type="expression" dxfId="12306" priority="20006">
      <formula>$H175="CÉLULA CONSTRUTIVA"</formula>
    </cfRule>
    <cfRule type="expression" dxfId="12305" priority="20005">
      <formula>$H175="SUBETAPA"</formula>
    </cfRule>
    <cfRule type="expression" dxfId="12304" priority="20007">
      <formula>$H175="ETAPA"</formula>
    </cfRule>
  </conditionalFormatting>
  <conditionalFormatting sqref="N176 N178 N182 N184 N186">
    <cfRule type="expression" dxfId="12303" priority="20004">
      <formula>$H176="ETAPA"</formula>
    </cfRule>
    <cfRule type="expression" dxfId="12302" priority="20003">
      <formula>$H176="CÉLULA CONSTRUTIVA"</formula>
    </cfRule>
    <cfRule type="expression" dxfId="12301" priority="20002">
      <formula>$H176="SUBETAPA"</formula>
    </cfRule>
  </conditionalFormatting>
  <conditionalFormatting sqref="N188">
    <cfRule type="expression" dxfId="12300" priority="19905">
      <formula>$H188="SUBETAPA"</formula>
    </cfRule>
    <cfRule type="expression" dxfId="12299" priority="19907">
      <formula>$H188="ETAPA"</formula>
    </cfRule>
    <cfRule type="expression" dxfId="12298" priority="19906">
      <formula>$H188="CÉLULA CONSTRUTIVA"</formula>
    </cfRule>
  </conditionalFormatting>
  <conditionalFormatting sqref="N189 N191 N196 N198 N200">
    <cfRule type="expression" dxfId="12297" priority="19902">
      <formula>$H189="SUBETAPA"</formula>
    </cfRule>
    <cfRule type="expression" dxfId="12296" priority="19903">
      <formula>$H189="CÉLULA CONSTRUTIVA"</formula>
    </cfRule>
    <cfRule type="expression" dxfId="12295" priority="19904">
      <formula>$H189="ETAPA"</formula>
    </cfRule>
  </conditionalFormatting>
  <conditionalFormatting sqref="N202">
    <cfRule type="expression" dxfId="12294" priority="19808">
      <formula>$H202="SUBETAPA"</formula>
    </cfRule>
    <cfRule type="expression" dxfId="12293" priority="19809">
      <formula>$H202="CÉLULA CONSTRUTIVA"</formula>
    </cfRule>
    <cfRule type="expression" dxfId="12292" priority="19810">
      <formula>$H202="ETAPA"</formula>
    </cfRule>
  </conditionalFormatting>
  <conditionalFormatting sqref="N203 N206 N214 N216 N218">
    <cfRule type="expression" dxfId="12291" priority="19807">
      <formula>$H203="ETAPA"</formula>
    </cfRule>
    <cfRule type="expression" dxfId="12290" priority="19805">
      <formula>$H203="SUBETAPA"</formula>
    </cfRule>
    <cfRule type="expression" dxfId="12289" priority="19806">
      <formula>$H203="CÉLULA CONSTRUTIVA"</formula>
    </cfRule>
  </conditionalFormatting>
  <conditionalFormatting sqref="N221:N222 P221">
    <cfRule type="expression" dxfId="12288" priority="7336">
      <formula>$H221="ETAPA"</formula>
    </cfRule>
    <cfRule type="expression" dxfId="12287" priority="7335">
      <formula>$H221="CÉLULA CONSTRUTIVA"</formula>
    </cfRule>
    <cfRule type="expression" dxfId="12286" priority="7334">
      <formula>$H221="SUBETAPA"</formula>
    </cfRule>
  </conditionalFormatting>
  <conditionalFormatting sqref="N224">
    <cfRule type="expression" dxfId="12285" priority="7326">
      <formula>$H224="SUBETAPA"</formula>
    </cfRule>
    <cfRule type="expression" dxfId="12284" priority="7327">
      <formula>$H224="CÉLULA CONSTRUTIVA"</formula>
    </cfRule>
    <cfRule type="expression" dxfId="12283" priority="7328">
      <formula>$H224="ETAPA"</formula>
    </cfRule>
  </conditionalFormatting>
  <conditionalFormatting sqref="N227">
    <cfRule type="expression" dxfId="12282" priority="1050">
      <formula>$H227="CÉLULA CONSTRUTIVA"</formula>
    </cfRule>
    <cfRule type="expression" dxfId="12281" priority="1051">
      <formula>$H227="ETAPA"</formula>
    </cfRule>
    <cfRule type="expression" dxfId="12280" priority="1049">
      <formula>$H227="SUBETAPA"</formula>
    </cfRule>
  </conditionalFormatting>
  <conditionalFormatting sqref="N229:N230 P229">
    <cfRule type="expression" dxfId="12279" priority="7319">
      <formula>$H229="CÉLULA CONSTRUTIVA"</formula>
    </cfRule>
    <cfRule type="expression" dxfId="12278" priority="7311">
      <formula>$H229="CÉLULA CONSTRUTIVA"</formula>
    </cfRule>
    <cfRule type="expression" dxfId="12277" priority="7312">
      <formula>$H229="ETAPA"</formula>
    </cfRule>
    <cfRule type="expression" dxfId="12276" priority="7318">
      <formula>$H229="SUBETAPA"</formula>
    </cfRule>
    <cfRule type="expression" dxfId="12275" priority="7320">
      <formula>$H229="ETAPA"</formula>
    </cfRule>
    <cfRule type="expression" dxfId="12274" priority="7310">
      <formula>$H229="SUBETAPA"</formula>
    </cfRule>
  </conditionalFormatting>
  <conditionalFormatting sqref="N232">
    <cfRule type="expression" dxfId="12273" priority="7302">
      <formula>$H232="SUBETAPA"</formula>
    </cfRule>
    <cfRule type="expression" dxfId="12272" priority="7303">
      <formula>$H232="CÉLULA CONSTRUTIVA"</formula>
    </cfRule>
    <cfRule type="expression" dxfId="12271" priority="7304">
      <formula>$H232="ETAPA"</formula>
    </cfRule>
  </conditionalFormatting>
  <conditionalFormatting sqref="N235">
    <cfRule type="expression" dxfId="12270" priority="1036">
      <formula>$H235="SUBETAPA"</formula>
    </cfRule>
    <cfRule type="expression" dxfId="12269" priority="1038">
      <formula>$H235="ETAPA"</formula>
    </cfRule>
    <cfRule type="expression" dxfId="12268" priority="1037">
      <formula>$H235="CÉLULA CONSTRUTIVA"</formula>
    </cfRule>
  </conditionalFormatting>
  <conditionalFormatting sqref="N237:N238 P237">
    <cfRule type="expression" dxfId="12267" priority="7294">
      <formula>$H237="SUBETAPA"</formula>
    </cfRule>
    <cfRule type="expression" dxfId="12266" priority="7295">
      <formula>$H237="CÉLULA CONSTRUTIVA"</formula>
    </cfRule>
    <cfRule type="expression" dxfId="12265" priority="7296">
      <formula>$H237="ETAPA"</formula>
    </cfRule>
    <cfRule type="expression" dxfId="12264" priority="7287">
      <formula>$H237="CÉLULA CONSTRUTIVA"</formula>
    </cfRule>
    <cfRule type="expression" dxfId="12263" priority="7286">
      <formula>$H237="SUBETAPA"</formula>
    </cfRule>
    <cfRule type="expression" dxfId="12262" priority="7288">
      <formula>$H237="ETAPA"</formula>
    </cfRule>
  </conditionalFormatting>
  <conditionalFormatting sqref="N240">
    <cfRule type="expression" dxfId="12261" priority="7150">
      <formula>$H240="SUBETAPA"</formula>
    </cfRule>
    <cfRule type="expression" dxfId="12260" priority="7151">
      <formula>$H240="CÉLULA CONSTRUTIVA"</formula>
    </cfRule>
    <cfRule type="expression" dxfId="12259" priority="7152">
      <formula>$H240="ETAPA"</formula>
    </cfRule>
  </conditionalFormatting>
  <conditionalFormatting sqref="N243">
    <cfRule type="expression" dxfId="12258" priority="1023">
      <formula>$H243="SUBETAPA"</formula>
    </cfRule>
    <cfRule type="expression" dxfId="12257" priority="1025">
      <formula>$H243="ETAPA"</formula>
    </cfRule>
    <cfRule type="expression" dxfId="12256" priority="1024">
      <formula>$H243="CÉLULA CONSTRUTIVA"</formula>
    </cfRule>
  </conditionalFormatting>
  <conditionalFormatting sqref="N245:N246 P245">
    <cfRule type="expression" dxfId="12255" priority="7270">
      <formula>$H245="SUBETAPA"</formula>
    </cfRule>
    <cfRule type="expression" dxfId="12254" priority="7264">
      <formula>$H245="ETAPA"</formula>
    </cfRule>
    <cfRule type="expression" dxfId="12253" priority="7263">
      <formula>$H245="CÉLULA CONSTRUTIVA"</formula>
    </cfRule>
    <cfRule type="expression" dxfId="12252" priority="7262">
      <formula>$H245="SUBETAPA"</formula>
    </cfRule>
    <cfRule type="expression" dxfId="12251" priority="7271">
      <formula>$H245="CÉLULA CONSTRUTIVA"</formula>
    </cfRule>
    <cfRule type="expression" dxfId="12250" priority="7272">
      <formula>$H245="ETAPA"</formula>
    </cfRule>
  </conditionalFormatting>
  <conditionalFormatting sqref="N248">
    <cfRule type="expression" dxfId="12249" priority="7256">
      <formula>$H248="ETAPA"</formula>
    </cfRule>
    <cfRule type="expression" dxfId="12248" priority="7255">
      <formula>$H248="CÉLULA CONSTRUTIVA"</formula>
    </cfRule>
    <cfRule type="expression" dxfId="12247" priority="7254">
      <formula>$H248="SUBETAPA"</formula>
    </cfRule>
  </conditionalFormatting>
  <conditionalFormatting sqref="N251">
    <cfRule type="expression" dxfId="12246" priority="1012">
      <formula>$H251="ETAPA"</formula>
    </cfRule>
    <cfRule type="expression" dxfId="12245" priority="1011">
      <formula>$H251="CÉLULA CONSTRUTIVA"</formula>
    </cfRule>
    <cfRule type="expression" dxfId="12244" priority="1010">
      <formula>$H251="SUBETAPA"</formula>
    </cfRule>
  </conditionalFormatting>
  <conditionalFormatting sqref="N253:N254 P253">
    <cfRule type="expression" dxfId="12243" priority="7238">
      <formula>$H253="SUBETAPA"</formula>
    </cfRule>
    <cfRule type="expression" dxfId="12242" priority="7248">
      <formula>$H253="ETAPA"</formula>
    </cfRule>
    <cfRule type="expression" dxfId="12241" priority="7247">
      <formula>$H253="CÉLULA CONSTRUTIVA"</formula>
    </cfRule>
    <cfRule type="expression" dxfId="12240" priority="7246">
      <formula>$H253="SUBETAPA"</formula>
    </cfRule>
    <cfRule type="expression" dxfId="12239" priority="7239">
      <formula>$H253="CÉLULA CONSTRUTIVA"</formula>
    </cfRule>
    <cfRule type="expression" dxfId="12238" priority="7240">
      <formula>$H253="ETAPA"</formula>
    </cfRule>
  </conditionalFormatting>
  <conditionalFormatting sqref="N256">
    <cfRule type="expression" dxfId="12237" priority="7231">
      <formula>$H256="CÉLULA CONSTRUTIVA"</formula>
    </cfRule>
    <cfRule type="expression" dxfId="12236" priority="7230">
      <formula>$H256="SUBETAPA"</formula>
    </cfRule>
    <cfRule type="expression" dxfId="12235" priority="7232">
      <formula>$H256="ETAPA"</formula>
    </cfRule>
  </conditionalFormatting>
  <conditionalFormatting sqref="N259">
    <cfRule type="expression" dxfId="12234" priority="999">
      <formula>$H259="ETAPA"</formula>
    </cfRule>
    <cfRule type="expression" dxfId="12233" priority="998">
      <formula>$H259="CÉLULA CONSTRUTIVA"</formula>
    </cfRule>
    <cfRule type="expression" dxfId="12232" priority="997">
      <formula>$H259="SUBETAPA"</formula>
    </cfRule>
  </conditionalFormatting>
  <conditionalFormatting sqref="N261:N262 P261">
    <cfRule type="expression" dxfId="12231" priority="7216">
      <formula>$H261="ETAPA"</formula>
    </cfRule>
    <cfRule type="expression" dxfId="12230" priority="7223">
      <formula>$H261="CÉLULA CONSTRUTIVA"</formula>
    </cfRule>
    <cfRule type="expression" dxfId="12229" priority="7222">
      <formula>$H261="SUBETAPA"</formula>
    </cfRule>
    <cfRule type="expression" dxfId="12228" priority="7224">
      <formula>$H261="ETAPA"</formula>
    </cfRule>
    <cfRule type="expression" dxfId="12227" priority="7214">
      <formula>$H261="SUBETAPA"</formula>
    </cfRule>
    <cfRule type="expression" dxfId="12226" priority="7215">
      <formula>$H261="CÉLULA CONSTRUTIVA"</formula>
    </cfRule>
  </conditionalFormatting>
  <conditionalFormatting sqref="N264">
    <cfRule type="expression" dxfId="12225" priority="7206">
      <formula>$H264="SUBETAPA"</formula>
    </cfRule>
    <cfRule type="expression" dxfId="12224" priority="7207">
      <formula>$H264="CÉLULA CONSTRUTIVA"</formula>
    </cfRule>
    <cfRule type="expression" dxfId="12223" priority="7208">
      <formula>$H264="ETAPA"</formula>
    </cfRule>
  </conditionalFormatting>
  <conditionalFormatting sqref="N265:N267">
    <cfRule type="expression" dxfId="12222" priority="1067">
      <formula>$H265="ETAPA"</formula>
    </cfRule>
    <cfRule type="expression" dxfId="12221" priority="1066">
      <formula>$H265="CÉLULA CONSTRUTIVA"</formula>
    </cfRule>
    <cfRule type="expression" dxfId="12220" priority="1065">
      <formula>$H265="SUBETAPA"</formula>
    </cfRule>
  </conditionalFormatting>
  <conditionalFormatting sqref="N268">
    <cfRule type="expression" dxfId="12219" priority="983">
      <formula>$H268="ETAPA"</formula>
    </cfRule>
    <cfRule type="expression" dxfId="12218" priority="995">
      <formula>$H268="CÉLULA CONSTRUTIVA"</formula>
    </cfRule>
    <cfRule type="expression" dxfId="12217" priority="996">
      <formula>$H268="ETAPA"</formula>
    </cfRule>
    <cfRule type="expression" dxfId="12216" priority="982">
      <formula>$H268="CÉLULA CONSTRUTIVA"</formula>
    </cfRule>
    <cfRule type="expression" dxfId="12215" priority="994">
      <formula>$H268="SUBETAPA"</formula>
    </cfRule>
    <cfRule type="expression" dxfId="12214" priority="981">
      <formula>$H268="SUBETAPA"</formula>
    </cfRule>
  </conditionalFormatting>
  <conditionalFormatting sqref="N270 P270">
    <cfRule type="expression" dxfId="12213" priority="7358">
      <formula>$H270="SUBETAPA"</formula>
    </cfRule>
    <cfRule type="expression" dxfId="12212" priority="7359">
      <formula>$H270="CÉLULA CONSTRUTIVA"</formula>
    </cfRule>
    <cfRule type="expression" dxfId="12211" priority="7360">
      <formula>$H270="ETAPA"</formula>
    </cfRule>
  </conditionalFormatting>
  <conditionalFormatting sqref="N271">
    <cfRule type="expression" dxfId="12210" priority="7367">
      <formula>$H271="CÉLULA CONSTRUTIVA"</formula>
    </cfRule>
    <cfRule type="expression" dxfId="12209" priority="7368">
      <formula>$H271="ETAPA"</formula>
    </cfRule>
    <cfRule type="expression" dxfId="12208" priority="7366">
      <formula>$H271="SUBETAPA"</formula>
    </cfRule>
  </conditionalFormatting>
  <conditionalFormatting sqref="N279">
    <cfRule type="expression" dxfId="12207" priority="21415">
      <formula>$H279="ETAPA"</formula>
    </cfRule>
    <cfRule type="expression" dxfId="12206" priority="21414">
      <formula>$H279="CÉLULA CONSTRUTIVA"</formula>
    </cfRule>
    <cfRule type="expression" dxfId="12205" priority="21413">
      <formula>$H279="SUBETAPA"</formula>
    </cfRule>
  </conditionalFormatting>
  <conditionalFormatting sqref="N287">
    <cfRule type="expression" dxfId="12204" priority="21317">
      <formula>$H287="ETAPA"</formula>
    </cfRule>
    <cfRule type="expression" dxfId="12203" priority="21316">
      <formula>$H287="CÉLULA CONSTRUTIVA"</formula>
    </cfRule>
    <cfRule type="expression" dxfId="12202" priority="21315">
      <formula>$H287="SUBETAPA"</formula>
    </cfRule>
  </conditionalFormatting>
  <conditionalFormatting sqref="N288 N292 N296">
    <cfRule type="expression" dxfId="12201" priority="21314">
      <formula>$H288="ETAPA"</formula>
    </cfRule>
    <cfRule type="expression" dxfId="12200" priority="21312">
      <formula>$H288="SUBETAPA"</formula>
    </cfRule>
    <cfRule type="expression" dxfId="12199" priority="21313">
      <formula>$H288="CÉLULA CONSTRUTIVA"</formula>
    </cfRule>
  </conditionalFormatting>
  <conditionalFormatting sqref="N290">
    <cfRule type="expression" dxfId="12198" priority="21292">
      <formula>$H290="SUBETAPA"</formula>
    </cfRule>
    <cfRule type="expression" dxfId="12197" priority="21293">
      <formula>$H290="CÉLULA CONSTRUTIVA"</formula>
    </cfRule>
    <cfRule type="expression" dxfId="12196" priority="21294">
      <formula>$H290="ETAPA"</formula>
    </cfRule>
  </conditionalFormatting>
  <conditionalFormatting sqref="N298">
    <cfRule type="expression" dxfId="12195" priority="21194">
      <formula>$H298="SUBETAPA"</formula>
    </cfRule>
    <cfRule type="expression" dxfId="12194" priority="21196">
      <formula>$H298="ETAPA"</formula>
    </cfRule>
    <cfRule type="expression" dxfId="12193" priority="21195">
      <formula>$H298="CÉLULA CONSTRUTIVA"</formula>
    </cfRule>
  </conditionalFormatting>
  <conditionalFormatting sqref="N299 N303 N307">
    <cfRule type="expression" dxfId="12192" priority="21191">
      <formula>$H299="SUBETAPA"</formula>
    </cfRule>
    <cfRule type="expression" dxfId="12191" priority="21192">
      <formula>$H299="CÉLULA CONSTRUTIVA"</formula>
    </cfRule>
    <cfRule type="expression" dxfId="12190" priority="21193">
      <formula>$H299="ETAPA"</formula>
    </cfRule>
  </conditionalFormatting>
  <conditionalFormatting sqref="N301">
    <cfRule type="expression" dxfId="12189" priority="21171">
      <formula>$H301="SUBETAPA"</formula>
    </cfRule>
    <cfRule type="expression" dxfId="12188" priority="21173">
      <formula>$H301="ETAPA"</formula>
    </cfRule>
    <cfRule type="expression" dxfId="12187" priority="21172">
      <formula>$H301="CÉLULA CONSTRUTIVA"</formula>
    </cfRule>
  </conditionalFormatting>
  <conditionalFormatting sqref="N309">
    <cfRule type="expression" dxfId="12186" priority="21075">
      <formula>$H309="ETAPA"</formula>
    </cfRule>
    <cfRule type="expression" dxfId="12185" priority="21074">
      <formula>$H309="CÉLULA CONSTRUTIVA"</formula>
    </cfRule>
    <cfRule type="expression" dxfId="12184" priority="21073">
      <formula>$H309="SUBETAPA"</formula>
    </cfRule>
  </conditionalFormatting>
  <conditionalFormatting sqref="N310 N314 N318">
    <cfRule type="expression" dxfId="12183" priority="21070">
      <formula>$H310="SUBETAPA"</formula>
    </cfRule>
    <cfRule type="expression" dxfId="12182" priority="21071">
      <formula>$H310="CÉLULA CONSTRUTIVA"</formula>
    </cfRule>
    <cfRule type="expression" dxfId="12181" priority="21072">
      <formula>$H310="ETAPA"</formula>
    </cfRule>
  </conditionalFormatting>
  <conditionalFormatting sqref="N312">
    <cfRule type="expression" dxfId="12180" priority="21050">
      <formula>$H312="SUBETAPA"</formula>
    </cfRule>
    <cfRule type="expression" dxfId="12179" priority="21051">
      <formula>$H312="CÉLULA CONSTRUTIVA"</formula>
    </cfRule>
    <cfRule type="expression" dxfId="12178" priority="21052">
      <formula>$H312="ETAPA"</formula>
    </cfRule>
  </conditionalFormatting>
  <conditionalFormatting sqref="N320">
    <cfRule type="expression" dxfId="12177" priority="7135">
      <formula>$H320="SUBETAPA"</formula>
    </cfRule>
    <cfRule type="expression" dxfId="12176" priority="7136">
      <formula>$H320="CÉLULA CONSTRUTIVA"</formula>
    </cfRule>
    <cfRule type="expression" dxfId="12175" priority="7137">
      <formula>$H320="ETAPA"</formula>
    </cfRule>
  </conditionalFormatting>
  <conditionalFormatting sqref="N321">
    <cfRule type="expression" dxfId="12174" priority="20673">
      <formula>$H321="CÉLULA CONSTRUTIVA"</formula>
    </cfRule>
    <cfRule type="expression" dxfId="12173" priority="20674">
      <formula>$H321="ETAPA"</formula>
    </cfRule>
    <cfRule type="expression" dxfId="12172" priority="20672">
      <formula>$H321="SUBETAPA"</formula>
    </cfRule>
  </conditionalFormatting>
  <conditionalFormatting sqref="N323">
    <cfRule type="expression" dxfId="12171" priority="20887">
      <formula>$H323="ETAPA"</formula>
    </cfRule>
    <cfRule type="expression" dxfId="12170" priority="20886">
      <formula>$H323="CÉLULA CONSTRUTIVA"</formula>
    </cfRule>
    <cfRule type="expression" dxfId="12169" priority="20885">
      <formula>$H323="SUBETAPA"</formula>
    </cfRule>
  </conditionalFormatting>
  <conditionalFormatting sqref="N324">
    <cfRule type="expression" dxfId="12168" priority="20636">
      <formula>$H324="ETAPA"</formula>
    </cfRule>
    <cfRule type="expression" dxfId="12167" priority="20634">
      <formula>$H324="SUBETAPA"</formula>
    </cfRule>
    <cfRule type="expression" dxfId="12166" priority="20635">
      <formula>$H324="CÉLULA CONSTRUTIVA"</formula>
    </cfRule>
  </conditionalFormatting>
  <conditionalFormatting sqref="N326">
    <cfRule type="expression" dxfId="12165" priority="20804">
      <formula>$H326="SUBETAPA"</formula>
    </cfRule>
    <cfRule type="expression" dxfId="12164" priority="20805">
      <formula>$H326="CÉLULA CONSTRUTIVA"</formula>
    </cfRule>
    <cfRule type="expression" dxfId="12163" priority="20806">
      <formula>$H326="ETAPA"</formula>
    </cfRule>
  </conditionalFormatting>
  <conditionalFormatting sqref="N327">
    <cfRule type="expression" dxfId="12162" priority="20596">
      <formula>$H327="SUBETAPA"</formula>
    </cfRule>
    <cfRule type="expression" dxfId="12161" priority="20598">
      <formula>$H327="ETAPA"</formula>
    </cfRule>
    <cfRule type="expression" dxfId="12160" priority="20597">
      <formula>$H327="CÉLULA CONSTRUTIVA"</formula>
    </cfRule>
  </conditionalFormatting>
  <conditionalFormatting sqref="N331 N334 N336 N340">
    <cfRule type="expression" dxfId="12159" priority="19596">
      <formula>$H331="SUBETAPA"</formula>
    </cfRule>
    <cfRule type="expression" dxfId="12158" priority="19598">
      <formula>$H331="ETAPA"</formula>
    </cfRule>
    <cfRule type="expression" dxfId="12157" priority="19597">
      <formula>$H331="CÉLULA CONSTRUTIVA"</formula>
    </cfRule>
  </conditionalFormatting>
  <conditionalFormatting sqref="N338">
    <cfRule type="expression" dxfId="12156" priority="6744">
      <formula>$H338="ETAPA"</formula>
    </cfRule>
    <cfRule type="expression" dxfId="12155" priority="6743">
      <formula>$H338="CÉLULA CONSTRUTIVA"</formula>
    </cfRule>
    <cfRule type="expression" dxfId="12154" priority="6742">
      <formula>$H338="SUBETAPA"</formula>
    </cfRule>
  </conditionalFormatting>
  <conditionalFormatting sqref="N346">
    <cfRule type="expression" dxfId="12153" priority="7107">
      <formula>$H346="SUBETAPA"</formula>
    </cfRule>
    <cfRule type="expression" dxfId="12152" priority="7108">
      <formula>$H346="CÉLULA CONSTRUTIVA"</formula>
    </cfRule>
    <cfRule type="expression" dxfId="12151" priority="7109">
      <formula>$H346="ETAPA"</formula>
    </cfRule>
  </conditionalFormatting>
  <conditionalFormatting sqref="N347 N349 N351">
    <cfRule type="expression" dxfId="12150" priority="6981">
      <formula>$H347="ETAPA"</formula>
    </cfRule>
    <cfRule type="expression" dxfId="12149" priority="6980">
      <formula>$H347="CÉLULA CONSTRUTIVA"</formula>
    </cfRule>
    <cfRule type="expression" dxfId="12148" priority="6979">
      <formula>$H347="SUBETAPA"</formula>
    </cfRule>
  </conditionalFormatting>
  <conditionalFormatting sqref="N354">
    <cfRule type="expression" dxfId="12147" priority="6920">
      <formula>$H354="ETAPA"</formula>
    </cfRule>
    <cfRule type="expression" dxfId="12146" priority="6918">
      <formula>$H354="SUBETAPA"</formula>
    </cfRule>
    <cfRule type="expression" dxfId="12145" priority="6919">
      <formula>$H354="CÉLULA CONSTRUTIVA"</formula>
    </cfRule>
  </conditionalFormatting>
  <conditionalFormatting sqref="N355 N357 N359">
    <cfRule type="expression" dxfId="12144" priority="6810">
      <formula>$H355="ETAPA"</formula>
    </cfRule>
    <cfRule type="expression" dxfId="12143" priority="6809">
      <formula>$H355="CÉLULA CONSTRUTIVA"</formula>
    </cfRule>
    <cfRule type="expression" dxfId="12142" priority="6808">
      <formula>$H355="SUBETAPA"</formula>
    </cfRule>
  </conditionalFormatting>
  <conditionalFormatting sqref="N362">
    <cfRule type="expression" dxfId="12141" priority="19276">
      <formula>$H362="CÉLULA CONSTRUTIVA"</formula>
    </cfRule>
    <cfRule type="expression" dxfId="12140" priority="19275">
      <formula>$H362="SUBETAPA"</formula>
    </cfRule>
    <cfRule type="expression" dxfId="12139" priority="19277">
      <formula>$H362="ETAPA"</formula>
    </cfRule>
  </conditionalFormatting>
  <conditionalFormatting sqref="N363 N366 N368 N370">
    <cfRule type="expression" dxfId="12138" priority="19274">
      <formula>$H363="ETAPA"</formula>
    </cfRule>
    <cfRule type="expression" dxfId="12137" priority="19272">
      <formula>$H363="SUBETAPA"</formula>
    </cfRule>
    <cfRule type="expression" dxfId="12136" priority="19273">
      <formula>$H363="CÉLULA CONSTRUTIVA"</formula>
    </cfRule>
  </conditionalFormatting>
  <conditionalFormatting sqref="N375">
    <cfRule type="expression" dxfId="12135" priority="19085">
      <formula>$H375="SUBETAPA"</formula>
    </cfRule>
    <cfRule type="expression" dxfId="12134" priority="19086">
      <formula>$H375="CÉLULA CONSTRUTIVA"</formula>
    </cfRule>
    <cfRule type="expression" dxfId="12133" priority="19087">
      <formula>$H375="ETAPA"</formula>
    </cfRule>
  </conditionalFormatting>
  <conditionalFormatting sqref="N376 N379 N381 N385">
    <cfRule type="expression" dxfId="12132" priority="19082">
      <formula>$H376="SUBETAPA"</formula>
    </cfRule>
    <cfRule type="expression" dxfId="12131" priority="19084">
      <formula>$H376="ETAPA"</formula>
    </cfRule>
    <cfRule type="expression" dxfId="12130" priority="19083">
      <formula>$H376="CÉLULA CONSTRUTIVA"</formula>
    </cfRule>
  </conditionalFormatting>
  <conditionalFormatting sqref="N383">
    <cfRule type="expression" dxfId="12129" priority="6651">
      <formula>$H383="CÉLULA CONSTRUTIVA"</formula>
    </cfRule>
    <cfRule type="expression" dxfId="12128" priority="6650">
      <formula>$H383="SUBETAPA"</formula>
    </cfRule>
    <cfRule type="expression" dxfId="12127" priority="6652">
      <formula>$H383="ETAPA"</formula>
    </cfRule>
  </conditionalFormatting>
  <conditionalFormatting sqref="N391">
    <cfRule type="expression" dxfId="12126" priority="18967">
      <formula>$H391="SUBETAPA"</formula>
    </cfRule>
    <cfRule type="expression" dxfId="12125" priority="18968">
      <formula>$H391="CÉLULA CONSTRUTIVA"</formula>
    </cfRule>
    <cfRule type="expression" dxfId="12124" priority="18969">
      <formula>$H391="ETAPA"</formula>
    </cfRule>
  </conditionalFormatting>
  <conditionalFormatting sqref="N392 N394 N396 N398">
    <cfRule type="expression" dxfId="12123" priority="18966">
      <formula>$H392="ETAPA"</formula>
    </cfRule>
    <cfRule type="expression" dxfId="12122" priority="18965">
      <formula>$H392="CÉLULA CONSTRUTIVA"</formula>
    </cfRule>
    <cfRule type="expression" dxfId="12121" priority="18964">
      <formula>$H392="SUBETAPA"</formula>
    </cfRule>
  </conditionalFormatting>
  <conditionalFormatting sqref="N402">
    <cfRule type="expression" dxfId="12120" priority="18821">
      <formula>$H402="CÉLULA CONSTRUTIVA"</formula>
    </cfRule>
    <cfRule type="expression" dxfId="12119" priority="18822">
      <formula>$H402="ETAPA"</formula>
    </cfRule>
    <cfRule type="expression" dxfId="12118" priority="18820">
      <formula>$H402="SUBETAPA"</formula>
    </cfRule>
  </conditionalFormatting>
  <conditionalFormatting sqref="N403 N406 N410 N412">
    <cfRule type="expression" dxfId="12117" priority="18818">
      <formula>$H403="CÉLULA CONSTRUTIVA"</formula>
    </cfRule>
    <cfRule type="expression" dxfId="12116" priority="18817">
      <formula>$H403="SUBETAPA"</formula>
    </cfRule>
    <cfRule type="expression" dxfId="12115" priority="18819">
      <formula>$H403="ETAPA"</formula>
    </cfRule>
  </conditionalFormatting>
  <conditionalFormatting sqref="N408">
    <cfRule type="expression" dxfId="12114" priority="18805">
      <formula>$H408="ETAPA"</formula>
    </cfRule>
    <cfRule type="expression" dxfId="12113" priority="18804">
      <formula>$H408="CÉLULA CONSTRUTIVA"</formula>
    </cfRule>
    <cfRule type="expression" dxfId="12112" priority="18803">
      <formula>$H408="SUBETAPA"</formula>
    </cfRule>
  </conditionalFormatting>
  <conditionalFormatting sqref="N418">
    <cfRule type="expression" dxfId="12111" priority="18659">
      <formula>$H418="CÉLULA CONSTRUTIVA"</formula>
    </cfRule>
    <cfRule type="expression" dxfId="12110" priority="18658">
      <formula>$H418="SUBETAPA"</formula>
    </cfRule>
    <cfRule type="expression" dxfId="12109" priority="18660">
      <formula>$H418="ETAPA"</formula>
    </cfRule>
  </conditionalFormatting>
  <conditionalFormatting sqref="N419 N422 N426">
    <cfRule type="expression" dxfId="12108" priority="18655">
      <formula>$H419="SUBETAPA"</formula>
    </cfRule>
    <cfRule type="expression" dxfId="12107" priority="18657">
      <formula>$H419="ETAPA"</formula>
    </cfRule>
    <cfRule type="expression" dxfId="12106" priority="18656">
      <formula>$H419="CÉLULA CONSTRUTIVA"</formula>
    </cfRule>
  </conditionalFormatting>
  <conditionalFormatting sqref="N424">
    <cfRule type="expression" dxfId="12105" priority="18641">
      <formula>$H424="SUBETAPA"</formula>
    </cfRule>
    <cfRule type="expression" dxfId="12104" priority="18643">
      <formula>$H424="ETAPA"</formula>
    </cfRule>
    <cfRule type="expression" dxfId="12103" priority="18642">
      <formula>$H424="CÉLULA CONSTRUTIVA"</formula>
    </cfRule>
  </conditionalFormatting>
  <conditionalFormatting sqref="N432">
    <cfRule type="expression" dxfId="12102" priority="18557">
      <formula>$H432="CÉLULA CONSTRUTIVA"</formula>
    </cfRule>
    <cfRule type="expression" dxfId="12101" priority="18556">
      <formula>$H432="SUBETAPA"</formula>
    </cfRule>
    <cfRule type="expression" dxfId="12100" priority="18558">
      <formula>$H432="ETAPA"</formula>
    </cfRule>
  </conditionalFormatting>
  <conditionalFormatting sqref="N433 N435">
    <cfRule type="expression" dxfId="12099" priority="18555">
      <formula>$H433="ETAPA"</formula>
    </cfRule>
    <cfRule type="expression" dxfId="12098" priority="18554">
      <formula>$H433="CÉLULA CONSTRUTIVA"</formula>
    </cfRule>
    <cfRule type="expression" dxfId="12097" priority="18553">
      <formula>$H433="SUBETAPA"</formula>
    </cfRule>
  </conditionalFormatting>
  <conditionalFormatting sqref="N437">
    <cfRule type="expression" dxfId="12096" priority="18527">
      <formula>$H437="ETAPA"</formula>
    </cfRule>
    <cfRule type="expression" dxfId="12095" priority="18526">
      <formula>$H437="CÉLULA CONSTRUTIVA"</formula>
    </cfRule>
    <cfRule type="expression" dxfId="12094" priority="18525">
      <formula>$H437="SUBETAPA"</formula>
    </cfRule>
  </conditionalFormatting>
  <conditionalFormatting sqref="N438 N440">
    <cfRule type="expression" dxfId="12093" priority="18522">
      <formula>$H438="SUBETAPA"</formula>
    </cfRule>
    <cfRule type="expression" dxfId="12092" priority="18523">
      <formula>$H438="CÉLULA CONSTRUTIVA"</formula>
    </cfRule>
    <cfRule type="expression" dxfId="12091" priority="18524">
      <formula>$H438="ETAPA"</formula>
    </cfRule>
  </conditionalFormatting>
  <conditionalFormatting sqref="N442">
    <cfRule type="expression" dxfId="12090" priority="18485">
      <formula>$H442="ETAPA"</formula>
    </cfRule>
    <cfRule type="expression" dxfId="12089" priority="18483">
      <formula>$H442="SUBETAPA"</formula>
    </cfRule>
    <cfRule type="expression" dxfId="12088" priority="18484">
      <formula>$H442="CÉLULA CONSTRUTIVA"</formula>
    </cfRule>
  </conditionalFormatting>
  <conditionalFormatting sqref="N443 N445">
    <cfRule type="expression" dxfId="12087" priority="18481">
      <formula>$H443="CÉLULA CONSTRUTIVA"</formula>
    </cfRule>
    <cfRule type="expression" dxfId="12086" priority="18480">
      <formula>$H443="SUBETAPA"</formula>
    </cfRule>
    <cfRule type="expression" dxfId="12085" priority="18482">
      <formula>$H443="ETAPA"</formula>
    </cfRule>
  </conditionalFormatting>
  <conditionalFormatting sqref="N447">
    <cfRule type="expression" dxfId="12084" priority="18461">
      <formula>$H447="CÉLULA CONSTRUTIVA"</formula>
    </cfRule>
    <cfRule type="expression" dxfId="12083" priority="18460">
      <formula>$H447="SUBETAPA"</formula>
    </cfRule>
    <cfRule type="expression" dxfId="12082" priority="18462">
      <formula>$H447="ETAPA"</formula>
    </cfRule>
  </conditionalFormatting>
  <conditionalFormatting sqref="N448 N450">
    <cfRule type="expression" dxfId="12081" priority="18457">
      <formula>$H448="SUBETAPA"</formula>
    </cfRule>
    <cfRule type="expression" dxfId="12080" priority="18459">
      <formula>$H448="ETAPA"</formula>
    </cfRule>
    <cfRule type="expression" dxfId="12079" priority="18458">
      <formula>$H448="CÉLULA CONSTRUTIVA"</formula>
    </cfRule>
  </conditionalFormatting>
  <conditionalFormatting sqref="N452">
    <cfRule type="expression" dxfId="12078" priority="18438">
      <formula>$H452="CÉLULA CONSTRUTIVA"</formula>
    </cfRule>
    <cfRule type="expression" dxfId="12077" priority="18439">
      <formula>$H452="ETAPA"</formula>
    </cfRule>
    <cfRule type="expression" dxfId="12076" priority="18437">
      <formula>$H452="SUBETAPA"</formula>
    </cfRule>
  </conditionalFormatting>
  <conditionalFormatting sqref="N453 N455">
    <cfRule type="expression" dxfId="12075" priority="18434">
      <formula>$H453="SUBETAPA"</formula>
    </cfRule>
    <cfRule type="expression" dxfId="12074" priority="18436">
      <formula>$H453="ETAPA"</formula>
    </cfRule>
    <cfRule type="expression" dxfId="12073" priority="18435">
      <formula>$H453="CÉLULA CONSTRUTIVA"</formula>
    </cfRule>
  </conditionalFormatting>
  <conditionalFormatting sqref="N457">
    <cfRule type="expression" dxfId="12072" priority="17500">
      <formula>$H457="SUBETAPA"</formula>
    </cfRule>
    <cfRule type="expression" dxfId="12071" priority="17501">
      <formula>$H457="CÉLULA CONSTRUTIVA"</formula>
    </cfRule>
    <cfRule type="expression" dxfId="12070" priority="17502">
      <formula>$H457="ETAPA"</formula>
    </cfRule>
  </conditionalFormatting>
  <conditionalFormatting sqref="N458 N460">
    <cfRule type="expression" dxfId="12069" priority="17498">
      <formula>$H458="CÉLULA CONSTRUTIVA"</formula>
    </cfRule>
    <cfRule type="expression" dxfId="12068" priority="17499">
      <formula>$H458="ETAPA"</formula>
    </cfRule>
    <cfRule type="expression" dxfId="12067" priority="17497">
      <formula>$H458="SUBETAPA"</formula>
    </cfRule>
  </conditionalFormatting>
  <conditionalFormatting sqref="N462">
    <cfRule type="expression" dxfId="12066" priority="18415">
      <formula>$H462="CÉLULA CONSTRUTIVA"</formula>
    </cfRule>
    <cfRule type="expression" dxfId="12065" priority="18414">
      <formula>$H462="SUBETAPA"</formula>
    </cfRule>
    <cfRule type="expression" dxfId="12064" priority="18416">
      <formula>$H462="ETAPA"</formula>
    </cfRule>
  </conditionalFormatting>
  <conditionalFormatting sqref="N463 N465">
    <cfRule type="expression" dxfId="12063" priority="18413">
      <formula>$H463="ETAPA"</formula>
    </cfRule>
    <cfRule type="expression" dxfId="12062" priority="18411">
      <formula>$H463="SUBETAPA"</formula>
    </cfRule>
    <cfRule type="expression" dxfId="12061" priority="18412">
      <formula>$H463="CÉLULA CONSTRUTIVA"</formula>
    </cfRule>
  </conditionalFormatting>
  <conditionalFormatting sqref="N467">
    <cfRule type="expression" dxfId="12060" priority="18388">
      <formula>$H467="ETAPA"</formula>
    </cfRule>
    <cfRule type="expression" dxfId="12059" priority="18387">
      <formula>$H467="CÉLULA CONSTRUTIVA"</formula>
    </cfRule>
    <cfRule type="expression" dxfId="12058" priority="18386">
      <formula>$H467="SUBETAPA"</formula>
    </cfRule>
  </conditionalFormatting>
  <conditionalFormatting sqref="N468">
    <cfRule type="expression" dxfId="12057" priority="18384">
      <formula>$H468="CÉLULA CONSTRUTIVA"</formula>
    </cfRule>
    <cfRule type="expression" dxfId="12056" priority="18383">
      <formula>$H468="SUBETAPA"</formula>
    </cfRule>
    <cfRule type="expression" dxfId="12055" priority="18385">
      <formula>$H468="ETAPA"</formula>
    </cfRule>
  </conditionalFormatting>
  <conditionalFormatting sqref="N471">
    <cfRule type="expression" dxfId="12054" priority="17232">
      <formula>$H471="CÉLULA CONSTRUTIVA"</formula>
    </cfRule>
    <cfRule type="expression" dxfId="12053" priority="17233">
      <formula>$H471="ETAPA"</formula>
    </cfRule>
    <cfRule type="expression" dxfId="12052" priority="17231">
      <formula>$H471="SUBETAPA"</formula>
    </cfRule>
  </conditionalFormatting>
  <conditionalFormatting sqref="N472 N474 N476 N478 N480 N488">
    <cfRule type="expression" dxfId="12051" priority="17230">
      <formula>$H472="ETAPA"</formula>
    </cfRule>
    <cfRule type="expression" dxfId="12050" priority="17228">
      <formula>$H472="SUBETAPA"</formula>
    </cfRule>
    <cfRule type="expression" dxfId="12049" priority="17229">
      <formula>$H472="CÉLULA CONSTRUTIVA"</formula>
    </cfRule>
  </conditionalFormatting>
  <conditionalFormatting sqref="N482">
    <cfRule type="expression" dxfId="12048" priority="17215">
      <formula>$H482="ETAPA"</formula>
    </cfRule>
    <cfRule type="expression" dxfId="12047" priority="17214">
      <formula>$H482="CÉLULA CONSTRUTIVA"</formula>
    </cfRule>
    <cfRule type="expression" dxfId="12046" priority="17213">
      <formula>$H482="SUBETAPA"</formula>
    </cfRule>
  </conditionalFormatting>
  <conditionalFormatting sqref="N484">
    <cfRule type="expression" dxfId="12045" priority="17200">
      <formula>$H484="ETAPA"</formula>
    </cfRule>
    <cfRule type="expression" dxfId="12044" priority="17198">
      <formula>$H484="SUBETAPA"</formula>
    </cfRule>
    <cfRule type="expression" dxfId="12043" priority="17199">
      <formula>$H484="CÉLULA CONSTRUTIVA"</formula>
    </cfRule>
  </conditionalFormatting>
  <conditionalFormatting sqref="N486">
    <cfRule type="expression" dxfId="12042" priority="17183">
      <formula>$H486="SUBETAPA"</formula>
    </cfRule>
    <cfRule type="expression" dxfId="12041" priority="17185">
      <formula>$H486="ETAPA"</formula>
    </cfRule>
    <cfRule type="expression" dxfId="12040" priority="17184">
      <formula>$H486="CÉLULA CONSTRUTIVA"</formula>
    </cfRule>
  </conditionalFormatting>
  <conditionalFormatting sqref="N490">
    <cfRule type="expression" dxfId="12039" priority="17075">
      <formula>$H490="CÉLULA CONSTRUTIVA"</formula>
    </cfRule>
    <cfRule type="expression" dxfId="12038" priority="17074">
      <formula>$H490="SUBETAPA"</formula>
    </cfRule>
    <cfRule type="expression" dxfId="12037" priority="17076">
      <formula>$H490="ETAPA"</formula>
    </cfRule>
  </conditionalFormatting>
  <conditionalFormatting sqref="N491 N493 N495 N497 N505">
    <cfRule type="expression" dxfId="12036" priority="17072">
      <formula>$H491="CÉLULA CONSTRUTIVA"</formula>
    </cfRule>
    <cfRule type="expression" dxfId="12035" priority="17073">
      <formula>$H491="ETAPA"</formula>
    </cfRule>
    <cfRule type="expression" dxfId="12034" priority="17071">
      <formula>$H491="SUBETAPA"</formula>
    </cfRule>
  </conditionalFormatting>
  <conditionalFormatting sqref="N499">
    <cfRule type="expression" dxfId="12033" priority="17057">
      <formula>$H499="CÉLULA CONSTRUTIVA"</formula>
    </cfRule>
    <cfRule type="expression" dxfId="12032" priority="17058">
      <formula>$H499="ETAPA"</formula>
    </cfRule>
    <cfRule type="expression" dxfId="12031" priority="17056">
      <formula>$H499="SUBETAPA"</formula>
    </cfRule>
  </conditionalFormatting>
  <conditionalFormatting sqref="N501">
    <cfRule type="expression" dxfId="12030" priority="17043">
      <formula>$H501="ETAPA"</formula>
    </cfRule>
    <cfRule type="expression" dxfId="12029" priority="17042">
      <formula>$H501="CÉLULA CONSTRUTIVA"</formula>
    </cfRule>
    <cfRule type="expression" dxfId="12028" priority="17041">
      <formula>$H501="SUBETAPA"</formula>
    </cfRule>
  </conditionalFormatting>
  <conditionalFormatting sqref="N503">
    <cfRule type="expression" dxfId="12027" priority="17028">
      <formula>$H503="ETAPA"</formula>
    </cfRule>
    <cfRule type="expression" dxfId="12026" priority="17027">
      <formula>$H503="CÉLULA CONSTRUTIVA"</formula>
    </cfRule>
    <cfRule type="expression" dxfId="12025" priority="17026">
      <formula>$H503="SUBETAPA"</formula>
    </cfRule>
  </conditionalFormatting>
  <conditionalFormatting sqref="N507">
    <cfRule type="expression" dxfId="12024" priority="16918">
      <formula>$H507="CÉLULA CONSTRUTIVA"</formula>
    </cfRule>
    <cfRule type="expression" dxfId="12023" priority="16919">
      <formula>$H507="ETAPA"</formula>
    </cfRule>
    <cfRule type="expression" dxfId="12022" priority="16917">
      <formula>$H507="SUBETAPA"</formula>
    </cfRule>
  </conditionalFormatting>
  <conditionalFormatting sqref="N508 N510 N512 N514 N522">
    <cfRule type="expression" dxfId="12021" priority="16915">
      <formula>$H508="CÉLULA CONSTRUTIVA"</formula>
    </cfRule>
    <cfRule type="expression" dxfId="12020" priority="16914">
      <formula>$H508="SUBETAPA"</formula>
    </cfRule>
    <cfRule type="expression" dxfId="12019" priority="16916">
      <formula>$H508="ETAPA"</formula>
    </cfRule>
  </conditionalFormatting>
  <conditionalFormatting sqref="N516">
    <cfRule type="expression" dxfId="12018" priority="16900">
      <formula>$H516="CÉLULA CONSTRUTIVA"</formula>
    </cfRule>
    <cfRule type="expression" dxfId="12017" priority="16899">
      <formula>$H516="SUBETAPA"</formula>
    </cfRule>
    <cfRule type="expression" dxfId="12016" priority="16901">
      <formula>$H516="ETAPA"</formula>
    </cfRule>
  </conditionalFormatting>
  <conditionalFormatting sqref="N518">
    <cfRule type="expression" dxfId="12015" priority="16886">
      <formula>$H518="ETAPA"</formula>
    </cfRule>
    <cfRule type="expression" dxfId="12014" priority="16885">
      <formula>$H518="CÉLULA CONSTRUTIVA"</formula>
    </cfRule>
    <cfRule type="expression" dxfId="12013" priority="16884">
      <formula>$H518="SUBETAPA"</formula>
    </cfRule>
  </conditionalFormatting>
  <conditionalFormatting sqref="N520">
    <cfRule type="expression" dxfId="12012" priority="16870">
      <formula>$H520="CÉLULA CONSTRUTIVA"</formula>
    </cfRule>
    <cfRule type="expression" dxfId="12011" priority="16869">
      <formula>$H520="SUBETAPA"</formula>
    </cfRule>
    <cfRule type="expression" dxfId="12010" priority="16871">
      <formula>$H520="ETAPA"</formula>
    </cfRule>
  </conditionalFormatting>
  <conditionalFormatting sqref="N524">
    <cfRule type="expression" dxfId="12009" priority="16738">
      <formula>$H524="SUBETAPA"</formula>
    </cfRule>
    <cfRule type="expression" dxfId="12008" priority="16740">
      <formula>$H524="ETAPA"</formula>
    </cfRule>
    <cfRule type="expression" dxfId="12007" priority="16739">
      <formula>$H524="CÉLULA CONSTRUTIVA"</formula>
    </cfRule>
  </conditionalFormatting>
  <conditionalFormatting sqref="N525 N527 N529 N531 N533 N541">
    <cfRule type="expression" dxfId="12006" priority="16735">
      <formula>$H525="SUBETAPA"</formula>
    </cfRule>
    <cfRule type="expression" dxfId="12005" priority="16736">
      <formula>$H525="CÉLULA CONSTRUTIVA"</formula>
    </cfRule>
    <cfRule type="expression" dxfId="12004" priority="16737">
      <formula>$H525="ETAPA"</formula>
    </cfRule>
  </conditionalFormatting>
  <conditionalFormatting sqref="N535">
    <cfRule type="expression" dxfId="12003" priority="16722">
      <formula>$H535="ETAPA"</formula>
    </cfRule>
    <cfRule type="expression" dxfId="12002" priority="16721">
      <formula>$H535="CÉLULA CONSTRUTIVA"</formula>
    </cfRule>
    <cfRule type="expression" dxfId="12001" priority="16720">
      <formula>$H535="SUBETAPA"</formula>
    </cfRule>
  </conditionalFormatting>
  <conditionalFormatting sqref="N537">
    <cfRule type="expression" dxfId="12000" priority="16705">
      <formula>$H537="SUBETAPA"</formula>
    </cfRule>
    <cfRule type="expression" dxfId="11999" priority="16706">
      <formula>$H537="CÉLULA CONSTRUTIVA"</formula>
    </cfRule>
    <cfRule type="expression" dxfId="11998" priority="16707">
      <formula>$H537="ETAPA"</formula>
    </cfRule>
  </conditionalFormatting>
  <conditionalFormatting sqref="N539">
    <cfRule type="expression" dxfId="11997" priority="16690">
      <formula>$H539="SUBETAPA"</formula>
    </cfRule>
    <cfRule type="expression" dxfId="11996" priority="16691">
      <formula>$H539="CÉLULA CONSTRUTIVA"</formula>
    </cfRule>
    <cfRule type="expression" dxfId="11995" priority="16692">
      <formula>$H539="ETAPA"</formula>
    </cfRule>
  </conditionalFormatting>
  <conditionalFormatting sqref="N543">
    <cfRule type="expression" dxfId="11994" priority="16560">
      <formula>$H543="CÉLULA CONSTRUTIVA"</formula>
    </cfRule>
    <cfRule type="expression" dxfId="11993" priority="16561">
      <formula>$H543="ETAPA"</formula>
    </cfRule>
    <cfRule type="expression" dxfId="11992" priority="16559">
      <formula>$H543="SUBETAPA"</formula>
    </cfRule>
  </conditionalFormatting>
  <conditionalFormatting sqref="N544 N546 N548 N550 N558">
    <cfRule type="expression" dxfId="11991" priority="16556">
      <formula>$H544="SUBETAPA"</formula>
    </cfRule>
    <cfRule type="expression" dxfId="11990" priority="16557">
      <formula>$H544="CÉLULA CONSTRUTIVA"</formula>
    </cfRule>
    <cfRule type="expression" dxfId="11989" priority="16558">
      <formula>$H544="ETAPA"</formula>
    </cfRule>
  </conditionalFormatting>
  <conditionalFormatting sqref="N552">
    <cfRule type="expression" dxfId="11988" priority="16541">
      <formula>$H552="SUBETAPA"</formula>
    </cfRule>
    <cfRule type="expression" dxfId="11987" priority="16543">
      <formula>$H552="ETAPA"</formula>
    </cfRule>
    <cfRule type="expression" dxfId="11986" priority="16542">
      <formula>$H552="CÉLULA CONSTRUTIVA"</formula>
    </cfRule>
  </conditionalFormatting>
  <conditionalFormatting sqref="N554">
    <cfRule type="expression" dxfId="11985" priority="16528">
      <formula>$H554="ETAPA"</formula>
    </cfRule>
    <cfRule type="expression" dxfId="11984" priority="16527">
      <formula>$H554="CÉLULA CONSTRUTIVA"</formula>
    </cfRule>
    <cfRule type="expression" dxfId="11983" priority="16526">
      <formula>$H554="SUBETAPA"</formula>
    </cfRule>
  </conditionalFormatting>
  <conditionalFormatting sqref="N556">
    <cfRule type="expression" dxfId="11982" priority="16511">
      <formula>$H556="SUBETAPA"</formula>
    </cfRule>
    <cfRule type="expression" dxfId="11981" priority="16513">
      <formula>$H556="ETAPA"</formula>
    </cfRule>
    <cfRule type="expression" dxfId="11980" priority="16512">
      <formula>$H556="CÉLULA CONSTRUTIVA"</formula>
    </cfRule>
  </conditionalFormatting>
  <conditionalFormatting sqref="N560">
    <cfRule type="expression" dxfId="11979" priority="16382">
      <formula>$H560="ETAPA"</formula>
    </cfRule>
    <cfRule type="expression" dxfId="11978" priority="16380">
      <formula>$H560="SUBETAPA"</formula>
    </cfRule>
    <cfRule type="expression" dxfId="11977" priority="16381">
      <formula>$H560="CÉLULA CONSTRUTIVA"</formula>
    </cfRule>
  </conditionalFormatting>
  <conditionalFormatting sqref="N561 N563 N565 N567 N575">
    <cfRule type="expression" dxfId="11976" priority="16377">
      <formula>$H561="SUBETAPA"</formula>
    </cfRule>
    <cfRule type="expression" dxfId="11975" priority="16378">
      <formula>$H561="CÉLULA CONSTRUTIVA"</formula>
    </cfRule>
    <cfRule type="expression" dxfId="11974" priority="16379">
      <formula>$H561="ETAPA"</formula>
    </cfRule>
  </conditionalFormatting>
  <conditionalFormatting sqref="N569">
    <cfRule type="expression" dxfId="11973" priority="16364">
      <formula>$H569="ETAPA"</formula>
    </cfRule>
    <cfRule type="expression" dxfId="11972" priority="16363">
      <formula>$H569="CÉLULA CONSTRUTIVA"</formula>
    </cfRule>
    <cfRule type="expression" dxfId="11971" priority="16362">
      <formula>$H569="SUBETAPA"</formula>
    </cfRule>
  </conditionalFormatting>
  <conditionalFormatting sqref="N571">
    <cfRule type="expression" dxfId="11970" priority="16347">
      <formula>$H571="SUBETAPA"</formula>
    </cfRule>
    <cfRule type="expression" dxfId="11969" priority="16348">
      <formula>$H571="CÉLULA CONSTRUTIVA"</formula>
    </cfRule>
    <cfRule type="expression" dxfId="11968" priority="16349">
      <formula>$H571="ETAPA"</formula>
    </cfRule>
  </conditionalFormatting>
  <conditionalFormatting sqref="N573">
    <cfRule type="expression" dxfId="11967" priority="16334">
      <formula>$H573="ETAPA"</formula>
    </cfRule>
    <cfRule type="expression" dxfId="11966" priority="16333">
      <formula>$H573="CÉLULA CONSTRUTIVA"</formula>
    </cfRule>
    <cfRule type="expression" dxfId="11965" priority="16332">
      <formula>$H573="SUBETAPA"</formula>
    </cfRule>
  </conditionalFormatting>
  <conditionalFormatting sqref="N577">
    <cfRule type="expression" dxfId="11964" priority="16069">
      <formula>$H577="ETAPA"</formula>
    </cfRule>
    <cfRule type="expression" dxfId="11963" priority="16067">
      <formula>$H577="SUBETAPA"</formula>
    </cfRule>
    <cfRule type="expression" dxfId="11962" priority="16068">
      <formula>$H577="CÉLULA CONSTRUTIVA"</formula>
    </cfRule>
  </conditionalFormatting>
  <conditionalFormatting sqref="N578 N580 N582 N584 N592">
    <cfRule type="expression" dxfId="11961" priority="16066">
      <formula>$H578="ETAPA"</formula>
    </cfRule>
    <cfRule type="expression" dxfId="11960" priority="16065">
      <formula>$H578="CÉLULA CONSTRUTIVA"</formula>
    </cfRule>
    <cfRule type="expression" dxfId="11959" priority="16064">
      <formula>$H578="SUBETAPA"</formula>
    </cfRule>
  </conditionalFormatting>
  <conditionalFormatting sqref="N586">
    <cfRule type="expression" dxfId="11958" priority="16049">
      <formula>$H586="SUBETAPA"</formula>
    </cfRule>
    <cfRule type="expression" dxfId="11957" priority="16050">
      <formula>$H586="CÉLULA CONSTRUTIVA"</formula>
    </cfRule>
    <cfRule type="expression" dxfId="11956" priority="16051">
      <formula>$H586="ETAPA"</formula>
    </cfRule>
  </conditionalFormatting>
  <conditionalFormatting sqref="N588">
    <cfRule type="expression" dxfId="11955" priority="16036">
      <formula>$H588="ETAPA"</formula>
    </cfRule>
    <cfRule type="expression" dxfId="11954" priority="16035">
      <formula>$H588="CÉLULA CONSTRUTIVA"</formula>
    </cfRule>
    <cfRule type="expression" dxfId="11953" priority="16034">
      <formula>$H588="SUBETAPA"</formula>
    </cfRule>
  </conditionalFormatting>
  <conditionalFormatting sqref="N590">
    <cfRule type="expression" dxfId="11952" priority="16019">
      <formula>$H590="SUBETAPA"</formula>
    </cfRule>
    <cfRule type="expression" dxfId="11951" priority="16021">
      <formula>$H590="ETAPA"</formula>
    </cfRule>
    <cfRule type="expression" dxfId="11950" priority="16020">
      <formula>$H590="CÉLULA CONSTRUTIVA"</formula>
    </cfRule>
  </conditionalFormatting>
  <conditionalFormatting sqref="N594">
    <cfRule type="expression" dxfId="11949" priority="16247">
      <formula>$H594="CÉLULA CONSTRUTIVA"</formula>
    </cfRule>
    <cfRule type="expression" dxfId="11948" priority="16248">
      <formula>$H594="ETAPA"</formula>
    </cfRule>
    <cfRule type="expression" dxfId="11947" priority="16246">
      <formula>$H594="SUBETAPA"</formula>
    </cfRule>
  </conditionalFormatting>
  <conditionalFormatting sqref="N595 N597 N599 N607">
    <cfRule type="expression" dxfId="11946" priority="16244">
      <formula>$H595="CÉLULA CONSTRUTIVA"</formula>
    </cfRule>
    <cfRule type="expression" dxfId="11945" priority="16245">
      <formula>$H595="ETAPA"</formula>
    </cfRule>
    <cfRule type="expression" dxfId="11944" priority="16243">
      <formula>$H595="SUBETAPA"</formula>
    </cfRule>
  </conditionalFormatting>
  <conditionalFormatting sqref="N601">
    <cfRule type="expression" dxfId="11943" priority="16228">
      <formula>$H601="SUBETAPA"</formula>
    </cfRule>
    <cfRule type="expression" dxfId="11942" priority="16229">
      <formula>$H601="CÉLULA CONSTRUTIVA"</formula>
    </cfRule>
    <cfRule type="expression" dxfId="11941" priority="16230">
      <formula>$H601="ETAPA"</formula>
    </cfRule>
  </conditionalFormatting>
  <conditionalFormatting sqref="N603">
    <cfRule type="expression" dxfId="11940" priority="16214">
      <formula>$H603="CÉLULA CONSTRUTIVA"</formula>
    </cfRule>
    <cfRule type="expression" dxfId="11939" priority="16213">
      <formula>$H603="SUBETAPA"</formula>
    </cfRule>
    <cfRule type="expression" dxfId="11938" priority="16215">
      <formula>$H603="ETAPA"</formula>
    </cfRule>
  </conditionalFormatting>
  <conditionalFormatting sqref="N605">
    <cfRule type="expression" dxfId="11937" priority="16198">
      <formula>$H605="SUBETAPA"</formula>
    </cfRule>
    <cfRule type="expression" dxfId="11936" priority="16199">
      <formula>$H605="CÉLULA CONSTRUTIVA"</formula>
    </cfRule>
    <cfRule type="expression" dxfId="11935" priority="16200">
      <formula>$H605="ETAPA"</formula>
    </cfRule>
  </conditionalFormatting>
  <conditionalFormatting sqref="N610">
    <cfRule type="expression" dxfId="11934" priority="15878">
      <formula>$H610="ETAPA"</formula>
    </cfRule>
    <cfRule type="expression" dxfId="11933" priority="15876">
      <formula>$H610="SUBETAPA"</formula>
    </cfRule>
    <cfRule type="expression" dxfId="11932" priority="15877">
      <formula>$H610="CÉLULA CONSTRUTIVA"</formula>
    </cfRule>
  </conditionalFormatting>
  <conditionalFormatting sqref="N611 N615 N621">
    <cfRule type="expression" dxfId="11931" priority="15874">
      <formula>$H611="CÉLULA CONSTRUTIVA"</formula>
    </cfRule>
    <cfRule type="expression" dxfId="11930" priority="15875">
      <formula>$H611="ETAPA"</formula>
    </cfRule>
    <cfRule type="expression" dxfId="11929" priority="15873">
      <formula>$H611="SUBETAPA"</formula>
    </cfRule>
  </conditionalFormatting>
  <conditionalFormatting sqref="N613">
    <cfRule type="expression" dxfId="11928" priority="14813">
      <formula>$H613="SUBETAPA"</formula>
    </cfRule>
    <cfRule type="expression" dxfId="11927" priority="14815">
      <formula>$H613="ETAPA"</formula>
    </cfRule>
    <cfRule type="expression" dxfId="11926" priority="14814">
      <formula>$H613="CÉLULA CONSTRUTIVA"</formula>
    </cfRule>
  </conditionalFormatting>
  <conditionalFormatting sqref="N617">
    <cfRule type="expression" dxfId="11925" priority="15858">
      <formula>$H617="ETAPA"</formula>
    </cfRule>
    <cfRule type="expression" dxfId="11924" priority="15857">
      <formula>$H617="CÉLULA CONSTRUTIVA"</formula>
    </cfRule>
    <cfRule type="expression" dxfId="11923" priority="15856">
      <formula>$H617="SUBETAPA"</formula>
    </cfRule>
  </conditionalFormatting>
  <conditionalFormatting sqref="N619">
    <cfRule type="expression" dxfId="11922" priority="15836">
      <formula>$H619="SUBETAPA"</formula>
    </cfRule>
    <cfRule type="expression" dxfId="11921" priority="15838">
      <formula>$H619="ETAPA"</formula>
    </cfRule>
    <cfRule type="expression" dxfId="11920" priority="15837">
      <formula>$H619="CÉLULA CONSTRUTIVA"</formula>
    </cfRule>
  </conditionalFormatting>
  <conditionalFormatting sqref="N624">
    <cfRule type="expression" dxfId="11919" priority="15716">
      <formula>$H624="CÉLULA CONSTRUTIVA"</formula>
    </cfRule>
    <cfRule type="expression" dxfId="11918" priority="15715">
      <formula>$H624="SUBETAPA"</formula>
    </cfRule>
    <cfRule type="expression" dxfId="11917" priority="15717">
      <formula>$H624="ETAPA"</formula>
    </cfRule>
  </conditionalFormatting>
  <conditionalFormatting sqref="N625 N629 N635">
    <cfRule type="expression" dxfId="11916" priority="15712">
      <formula>$H625="SUBETAPA"</formula>
    </cfRule>
    <cfRule type="expression" dxfId="11915" priority="15713">
      <formula>$H625="CÉLULA CONSTRUTIVA"</formula>
    </cfRule>
    <cfRule type="expression" dxfId="11914" priority="15714">
      <formula>$H625="ETAPA"</formula>
    </cfRule>
  </conditionalFormatting>
  <conditionalFormatting sqref="N627">
    <cfRule type="expression" dxfId="11913" priority="14804">
      <formula>$H627="ETAPA"</formula>
    </cfRule>
    <cfRule type="expression" dxfId="11912" priority="14803">
      <formula>$H627="CÉLULA CONSTRUTIVA"</formula>
    </cfRule>
    <cfRule type="expression" dxfId="11911" priority="14802">
      <formula>$H627="SUBETAPA"</formula>
    </cfRule>
  </conditionalFormatting>
  <conditionalFormatting sqref="N631">
    <cfRule type="expression" dxfId="11910" priority="15697">
      <formula>$H631="ETAPA"</formula>
    </cfRule>
    <cfRule type="expression" dxfId="11909" priority="15696">
      <formula>$H631="CÉLULA CONSTRUTIVA"</formula>
    </cfRule>
    <cfRule type="expression" dxfId="11908" priority="15695">
      <formula>$H631="SUBETAPA"</formula>
    </cfRule>
  </conditionalFormatting>
  <conditionalFormatting sqref="N633">
    <cfRule type="expression" dxfId="11907" priority="15675">
      <formula>$H633="SUBETAPA"</formula>
    </cfRule>
    <cfRule type="expression" dxfId="11906" priority="15677">
      <formula>$H633="ETAPA"</formula>
    </cfRule>
    <cfRule type="expression" dxfId="11905" priority="15676">
      <formula>$H633="CÉLULA CONSTRUTIVA"</formula>
    </cfRule>
  </conditionalFormatting>
  <conditionalFormatting sqref="N638">
    <cfRule type="expression" dxfId="11904" priority="15389">
      <formula>$H638="SUBETAPA"</formula>
    </cfRule>
    <cfRule type="expression" dxfId="11903" priority="15390">
      <formula>$H638="CÉLULA CONSTRUTIVA"</formula>
    </cfRule>
    <cfRule type="expression" dxfId="11902" priority="15391">
      <formula>$H638="ETAPA"</formula>
    </cfRule>
  </conditionalFormatting>
  <conditionalFormatting sqref="N639 N643 N649">
    <cfRule type="expression" dxfId="11901" priority="15388">
      <formula>$H639="ETAPA"</formula>
    </cfRule>
    <cfRule type="expression" dxfId="11900" priority="15386">
      <formula>$H639="SUBETAPA"</formula>
    </cfRule>
    <cfRule type="expression" dxfId="11899" priority="15387">
      <formula>$H639="CÉLULA CONSTRUTIVA"</formula>
    </cfRule>
  </conditionalFormatting>
  <conditionalFormatting sqref="N641">
    <cfRule type="expression" dxfId="11898" priority="14726">
      <formula>$H641="SUBETAPA"</formula>
    </cfRule>
    <cfRule type="expression" dxfId="11897" priority="14728">
      <formula>$H641="ETAPA"</formula>
    </cfRule>
    <cfRule type="expression" dxfId="11896" priority="14727">
      <formula>$H641="CÉLULA CONSTRUTIVA"</formula>
    </cfRule>
  </conditionalFormatting>
  <conditionalFormatting sqref="N645">
    <cfRule type="expression" dxfId="11895" priority="15369">
      <formula>$H645="SUBETAPA"</formula>
    </cfRule>
    <cfRule type="expression" dxfId="11894" priority="15370">
      <formula>$H645="CÉLULA CONSTRUTIVA"</formula>
    </cfRule>
    <cfRule type="expression" dxfId="11893" priority="15371">
      <formula>$H645="ETAPA"</formula>
    </cfRule>
  </conditionalFormatting>
  <conditionalFormatting sqref="N647">
    <cfRule type="expression" dxfId="11892" priority="15350">
      <formula>$H647="CÉLULA CONSTRUTIVA"</formula>
    </cfRule>
    <cfRule type="expression" dxfId="11891" priority="15351">
      <formula>$H647="ETAPA"</formula>
    </cfRule>
    <cfRule type="expression" dxfId="11890" priority="15349">
      <formula>$H647="SUBETAPA"</formula>
    </cfRule>
  </conditionalFormatting>
  <conditionalFormatting sqref="N652">
    <cfRule type="expression" dxfId="11889" priority="15225">
      <formula>$H652="SUBETAPA"</formula>
    </cfRule>
    <cfRule type="expression" dxfId="11888" priority="15226">
      <formula>$H652="CÉLULA CONSTRUTIVA"</formula>
    </cfRule>
    <cfRule type="expression" dxfId="11887" priority="15227">
      <formula>$H652="ETAPA"</formula>
    </cfRule>
  </conditionalFormatting>
  <conditionalFormatting sqref="N653 N657 N663">
    <cfRule type="expression" dxfId="11886" priority="15223">
      <formula>$H653="CÉLULA CONSTRUTIVA"</formula>
    </cfRule>
    <cfRule type="expression" dxfId="11885" priority="15222">
      <formula>$H653="SUBETAPA"</formula>
    </cfRule>
    <cfRule type="expression" dxfId="11884" priority="15224">
      <formula>$H653="ETAPA"</formula>
    </cfRule>
  </conditionalFormatting>
  <conditionalFormatting sqref="N655">
    <cfRule type="expression" dxfId="11883" priority="14688">
      <formula>$H655="SUBETAPA"</formula>
    </cfRule>
    <cfRule type="expression" dxfId="11882" priority="14690">
      <formula>$H655="ETAPA"</formula>
    </cfRule>
    <cfRule type="expression" dxfId="11881" priority="14689">
      <formula>$H655="CÉLULA CONSTRUTIVA"</formula>
    </cfRule>
  </conditionalFormatting>
  <conditionalFormatting sqref="N659">
    <cfRule type="expression" dxfId="11880" priority="15207">
      <formula>$H659="ETAPA"</formula>
    </cfRule>
    <cfRule type="expression" dxfId="11879" priority="15205">
      <formula>$H659="SUBETAPA"</formula>
    </cfRule>
    <cfRule type="expression" dxfId="11878" priority="15206">
      <formula>$H659="CÉLULA CONSTRUTIVA"</formula>
    </cfRule>
  </conditionalFormatting>
  <conditionalFormatting sqref="N661">
    <cfRule type="expression" dxfId="11877" priority="15185">
      <formula>$H661="SUBETAPA"</formula>
    </cfRule>
    <cfRule type="expression" dxfId="11876" priority="15187">
      <formula>$H661="ETAPA"</formula>
    </cfRule>
    <cfRule type="expression" dxfId="11875" priority="15186">
      <formula>$H661="CÉLULA CONSTRUTIVA"</formula>
    </cfRule>
  </conditionalFormatting>
  <conditionalFormatting sqref="N666">
    <cfRule type="expression" dxfId="11874" priority="15063">
      <formula>$H666="ETAPA"</formula>
    </cfRule>
    <cfRule type="expression" dxfId="11873" priority="15061">
      <formula>$H666="SUBETAPA"</formula>
    </cfRule>
    <cfRule type="expression" dxfId="11872" priority="15062">
      <formula>$H666="CÉLULA CONSTRUTIVA"</formula>
    </cfRule>
  </conditionalFormatting>
  <conditionalFormatting sqref="N667 N671 N677">
    <cfRule type="expression" dxfId="11871" priority="15059">
      <formula>$H667="CÉLULA CONSTRUTIVA"</formula>
    </cfRule>
    <cfRule type="expression" dxfId="11870" priority="15058">
      <formula>$H667="SUBETAPA"</formula>
    </cfRule>
    <cfRule type="expression" dxfId="11869" priority="15060">
      <formula>$H667="ETAPA"</formula>
    </cfRule>
  </conditionalFormatting>
  <conditionalFormatting sqref="N669">
    <cfRule type="expression" dxfId="11868" priority="14652">
      <formula>$H669="ETAPA"</formula>
    </cfRule>
    <cfRule type="expression" dxfId="11867" priority="14651">
      <formula>$H669="CÉLULA CONSTRUTIVA"</formula>
    </cfRule>
    <cfRule type="expression" dxfId="11866" priority="14650">
      <formula>$H669="SUBETAPA"</formula>
    </cfRule>
  </conditionalFormatting>
  <conditionalFormatting sqref="N673">
    <cfRule type="expression" dxfId="11865" priority="15042">
      <formula>$H673="CÉLULA CONSTRUTIVA"</formula>
    </cfRule>
    <cfRule type="expression" dxfId="11864" priority="15041">
      <formula>$H673="SUBETAPA"</formula>
    </cfRule>
    <cfRule type="expression" dxfId="11863" priority="15043">
      <formula>$H673="ETAPA"</formula>
    </cfRule>
  </conditionalFormatting>
  <conditionalFormatting sqref="N675">
    <cfRule type="expression" dxfId="11862" priority="15022">
      <formula>$H675="CÉLULA CONSTRUTIVA"</formula>
    </cfRule>
    <cfRule type="expression" dxfId="11861" priority="15023">
      <formula>$H675="ETAPA"</formula>
    </cfRule>
    <cfRule type="expression" dxfId="11860" priority="15021">
      <formula>$H675="SUBETAPA"</formula>
    </cfRule>
  </conditionalFormatting>
  <conditionalFormatting sqref="N680">
    <cfRule type="expression" dxfId="11859" priority="14382">
      <formula>$H680="CÉLULA CONSTRUTIVA"</formula>
    </cfRule>
    <cfRule type="expression" dxfId="11858" priority="14383">
      <formula>$H680="ETAPA"</formula>
    </cfRule>
    <cfRule type="expression" dxfId="11857" priority="14381">
      <formula>$H680="SUBETAPA"</formula>
    </cfRule>
  </conditionalFormatting>
  <conditionalFormatting sqref="N681 N685 N691">
    <cfRule type="expression" dxfId="11856" priority="14378">
      <formula>$H681="SUBETAPA"</formula>
    </cfRule>
    <cfRule type="expression" dxfId="11855" priority="14380">
      <formula>$H681="ETAPA"</formula>
    </cfRule>
    <cfRule type="expression" dxfId="11854" priority="14379">
      <formula>$H681="CÉLULA CONSTRUTIVA"</formula>
    </cfRule>
  </conditionalFormatting>
  <conditionalFormatting sqref="N683">
    <cfRule type="expression" dxfId="11853" priority="14304">
      <formula>$H683="CÉLULA CONSTRUTIVA"</formula>
    </cfRule>
    <cfRule type="expression" dxfId="11852" priority="14305">
      <formula>$H683="ETAPA"</formula>
    </cfRule>
    <cfRule type="expression" dxfId="11851" priority="14303">
      <formula>$H683="SUBETAPA"</formula>
    </cfRule>
  </conditionalFormatting>
  <conditionalFormatting sqref="N687">
    <cfRule type="expression" dxfId="11850" priority="14362">
      <formula>$H687="CÉLULA CONSTRUTIVA"</formula>
    </cfRule>
    <cfRule type="expression" dxfId="11849" priority="14363">
      <formula>$H687="ETAPA"</formula>
    </cfRule>
    <cfRule type="expression" dxfId="11848" priority="14361">
      <formula>$H687="SUBETAPA"</formula>
    </cfRule>
  </conditionalFormatting>
  <conditionalFormatting sqref="N689">
    <cfRule type="expression" dxfId="11847" priority="14341">
      <formula>$H689="SUBETAPA"</formula>
    </cfRule>
    <cfRule type="expression" dxfId="11846" priority="14342">
      <formula>$H689="CÉLULA CONSTRUTIVA"</formula>
    </cfRule>
    <cfRule type="expression" dxfId="11845" priority="14343">
      <formula>$H689="ETAPA"</formula>
    </cfRule>
  </conditionalFormatting>
  <conditionalFormatting sqref="N694">
    <cfRule type="expression" dxfId="11844" priority="14899">
      <formula>$H694="ETAPA"</formula>
    </cfRule>
    <cfRule type="expression" dxfId="11843" priority="14898">
      <formula>$H694="CÉLULA CONSTRUTIVA"</formula>
    </cfRule>
    <cfRule type="expression" dxfId="11842" priority="14897">
      <formula>$H694="SUBETAPA"</formula>
    </cfRule>
  </conditionalFormatting>
  <conditionalFormatting sqref="N695 N699 N705">
    <cfRule type="expression" dxfId="11841" priority="14896">
      <formula>$H695="ETAPA"</formula>
    </cfRule>
    <cfRule type="expression" dxfId="11840" priority="14895">
      <formula>$H695="CÉLULA CONSTRUTIVA"</formula>
    </cfRule>
    <cfRule type="expression" dxfId="11839" priority="14894">
      <formula>$H695="SUBETAPA"</formula>
    </cfRule>
  </conditionalFormatting>
  <conditionalFormatting sqref="N697">
    <cfRule type="expression" dxfId="11838" priority="14612">
      <formula>$H697="SUBETAPA"</formula>
    </cfRule>
    <cfRule type="expression" dxfId="11837" priority="14613">
      <formula>$H697="CÉLULA CONSTRUTIVA"</formula>
    </cfRule>
    <cfRule type="expression" dxfId="11836" priority="14614">
      <formula>$H697="ETAPA"</formula>
    </cfRule>
  </conditionalFormatting>
  <conditionalFormatting sqref="N701">
    <cfRule type="expression" dxfId="11835" priority="14877">
      <formula>$H701="SUBETAPA"</formula>
    </cfRule>
    <cfRule type="expression" dxfId="11834" priority="14879">
      <formula>$H701="ETAPA"</formula>
    </cfRule>
    <cfRule type="expression" dxfId="11833" priority="14878">
      <formula>$H701="CÉLULA CONSTRUTIVA"</formula>
    </cfRule>
  </conditionalFormatting>
  <conditionalFormatting sqref="N703">
    <cfRule type="expression" dxfId="11832" priority="4948">
      <formula>$H703="SUBETAPA"</formula>
    </cfRule>
    <cfRule type="expression" dxfId="11831" priority="4949">
      <formula>$H703="CÉLULA CONSTRUTIVA"</formula>
    </cfRule>
    <cfRule type="expression" dxfId="11830" priority="4950">
      <formula>$H703="ETAPA"</formula>
    </cfRule>
  </conditionalFormatting>
  <conditionalFormatting sqref="N719">
    <cfRule type="expression" dxfId="11829" priority="4858">
      <formula>$H719="ETAPA"</formula>
    </cfRule>
    <cfRule type="expression" dxfId="11828" priority="4856">
      <formula>$H719="SUBETAPA"</formula>
    </cfRule>
    <cfRule type="expression" dxfId="11827" priority="4857">
      <formula>$H719="CÉLULA CONSTRUTIVA"</formula>
    </cfRule>
  </conditionalFormatting>
  <conditionalFormatting sqref="N720">
    <cfRule type="expression" dxfId="11826" priority="4853">
      <formula>$H720="SUBETAPA"</formula>
    </cfRule>
    <cfRule type="expression" dxfId="11825" priority="4854">
      <formula>$H720="CÉLULA CONSTRUTIVA"</formula>
    </cfRule>
    <cfRule type="expression" dxfId="11824" priority="4855">
      <formula>$H720="ETAPA"</formula>
    </cfRule>
  </conditionalFormatting>
  <conditionalFormatting sqref="N729">
    <cfRule type="expression" dxfId="11823" priority="14213">
      <formula>$H729="SUBETAPA"</formula>
    </cfRule>
    <cfRule type="expression" dxfId="11822" priority="14214">
      <formula>$H729="CÉLULA CONSTRUTIVA"</formula>
    </cfRule>
    <cfRule type="expression" dxfId="11821" priority="14215">
      <formula>$H729="ETAPA"</formula>
    </cfRule>
  </conditionalFormatting>
  <conditionalFormatting sqref="N730 N732">
    <cfRule type="expression" dxfId="11820" priority="14210">
      <formula>$H730="SUBETAPA"</formula>
    </cfRule>
    <cfRule type="expression" dxfId="11819" priority="14211">
      <formula>$H730="CÉLULA CONSTRUTIVA"</formula>
    </cfRule>
    <cfRule type="expression" dxfId="11818" priority="14212">
      <formula>$H730="ETAPA"</formula>
    </cfRule>
  </conditionalFormatting>
  <conditionalFormatting sqref="N735">
    <cfRule type="expression" dxfId="11817" priority="14113">
      <formula>$H735="CÉLULA CONSTRUTIVA"</formula>
    </cfRule>
    <cfRule type="expression" dxfId="11816" priority="14112">
      <formula>$H735="SUBETAPA"</formula>
    </cfRule>
    <cfRule type="expression" dxfId="11815" priority="14114">
      <formula>$H735="ETAPA"</formula>
    </cfRule>
  </conditionalFormatting>
  <conditionalFormatting sqref="N736 N738">
    <cfRule type="expression" dxfId="11814" priority="14109">
      <formula>$H736="SUBETAPA"</formula>
    </cfRule>
    <cfRule type="expression" dxfId="11813" priority="14110">
      <formula>$H736="CÉLULA CONSTRUTIVA"</formula>
    </cfRule>
    <cfRule type="expression" dxfId="11812" priority="14111">
      <formula>$H736="ETAPA"</formula>
    </cfRule>
  </conditionalFormatting>
  <conditionalFormatting sqref="N741">
    <cfRule type="expression" dxfId="11811" priority="14040">
      <formula>$H741="SUBETAPA"</formula>
    </cfRule>
    <cfRule type="expression" dxfId="11810" priority="14041">
      <formula>$H741="CÉLULA CONSTRUTIVA"</formula>
    </cfRule>
    <cfRule type="expression" dxfId="11809" priority="14042">
      <formula>$H741="ETAPA"</formula>
    </cfRule>
  </conditionalFormatting>
  <conditionalFormatting sqref="N742 N744">
    <cfRule type="expression" dxfId="11808" priority="14037">
      <formula>$H742="SUBETAPA"</formula>
    </cfRule>
    <cfRule type="expression" dxfId="11807" priority="14039">
      <formula>$H742="ETAPA"</formula>
    </cfRule>
    <cfRule type="expression" dxfId="11806" priority="14038">
      <formula>$H742="CÉLULA CONSTRUTIVA"</formula>
    </cfRule>
  </conditionalFormatting>
  <conditionalFormatting sqref="N748">
    <cfRule type="expression" dxfId="11805" priority="13460">
      <formula>$H748="CÉLULA CONSTRUTIVA"</formula>
    </cfRule>
    <cfRule type="expression" dxfId="11804" priority="13459">
      <formula>$H748="SUBETAPA"</formula>
    </cfRule>
    <cfRule type="expression" dxfId="11803" priority="13461">
      <formula>$H748="ETAPA"</formula>
    </cfRule>
  </conditionalFormatting>
  <conditionalFormatting sqref="N749 N752 N755 N759">
    <cfRule type="expression" dxfId="11802" priority="13456">
      <formula>$H749="SUBETAPA"</formula>
    </cfRule>
    <cfRule type="expression" dxfId="11801" priority="13457">
      <formula>$H749="CÉLULA CONSTRUTIVA"</formula>
    </cfRule>
    <cfRule type="expression" dxfId="11800" priority="13458">
      <formula>$H749="ETAPA"</formula>
    </cfRule>
  </conditionalFormatting>
  <conditionalFormatting sqref="N753:N754 O781:O783 O768:O770 M795:N795 M802:O802 G799:L802 N811 M819:O819 N828 G833:L836 M836:O836 O859:O860 G863:O863 G804:O804 G862:L862 G856:L860 N844 G849:L852 M852:O852 G854:O855">
    <cfRule type="expression" dxfId="11799" priority="13434">
      <formula>$H753="SUBETAPA"</formula>
    </cfRule>
  </conditionalFormatting>
  <conditionalFormatting sqref="N757">
    <cfRule type="expression" dxfId="11798" priority="12757">
      <formula>$H757="SUBETAPA"</formula>
    </cfRule>
    <cfRule type="expression" dxfId="11797" priority="12759">
      <formula>$H757="ETAPA"</formula>
    </cfRule>
    <cfRule type="expression" dxfId="11796" priority="12758">
      <formula>$H757="CÉLULA CONSTRUTIVA"</formula>
    </cfRule>
  </conditionalFormatting>
  <conditionalFormatting sqref="N764">
    <cfRule type="expression" dxfId="11795" priority="13325">
      <formula>$H764="ETAPA"</formula>
    </cfRule>
    <cfRule type="expression" dxfId="11794" priority="13324">
      <formula>$H764="CÉLULA CONSTRUTIVA"</formula>
    </cfRule>
    <cfRule type="expression" dxfId="11793" priority="13323">
      <formula>$H764="SUBETAPA"</formula>
    </cfRule>
  </conditionalFormatting>
  <conditionalFormatting sqref="N765 N768 N773">
    <cfRule type="expression" dxfId="11792" priority="13322">
      <formula>$H765="ETAPA"</formula>
    </cfRule>
    <cfRule type="expression" dxfId="11791" priority="13320">
      <formula>$H765="SUBETAPA"</formula>
    </cfRule>
    <cfRule type="expression" dxfId="11790" priority="13321">
      <formula>$H765="CÉLULA CONSTRUTIVA"</formula>
    </cfRule>
  </conditionalFormatting>
  <conditionalFormatting sqref="N769:N770 M773">
    <cfRule type="expression" dxfId="11789" priority="13371">
      <formula>$H769="SUBETAPA"</formula>
    </cfRule>
    <cfRule type="expression" dxfId="11788" priority="13372">
      <formula>$H769="CÉLULA CONSTRUTIVA"</formula>
    </cfRule>
    <cfRule type="expression" dxfId="11787" priority="13373">
      <formula>$H769="ETAPA"</formula>
    </cfRule>
  </conditionalFormatting>
  <conditionalFormatting sqref="N771">
    <cfRule type="expression" dxfId="11786" priority="6567">
      <formula>$H771="CÉLULA CONSTRUTIVA"</formula>
    </cfRule>
    <cfRule type="expression" dxfId="11785" priority="6568">
      <formula>$H771="ETAPA"</formula>
    </cfRule>
    <cfRule type="expression" dxfId="11784" priority="6566">
      <formula>$H771="SUBETAPA"</formula>
    </cfRule>
  </conditionalFormatting>
  <conditionalFormatting sqref="N777">
    <cfRule type="expression" dxfId="11783" priority="13232">
      <formula>$H777="SUBETAPA"</formula>
    </cfRule>
    <cfRule type="expression" dxfId="11782" priority="13233">
      <formula>$H777="CÉLULA CONSTRUTIVA"</formula>
    </cfRule>
    <cfRule type="expression" dxfId="11781" priority="13234">
      <formula>$H777="ETAPA"</formula>
    </cfRule>
  </conditionalFormatting>
  <conditionalFormatting sqref="N778 N781 N786">
    <cfRule type="expression" dxfId="11780" priority="13229">
      <formula>$H778="SUBETAPA"</formula>
    </cfRule>
    <cfRule type="expression" dxfId="11779" priority="13230">
      <formula>$H778="CÉLULA CONSTRUTIVA"</formula>
    </cfRule>
    <cfRule type="expression" dxfId="11778" priority="13231">
      <formula>$H778="ETAPA"</formula>
    </cfRule>
  </conditionalFormatting>
  <conditionalFormatting sqref="N782:N783 M786">
    <cfRule type="expression" dxfId="11777" priority="13281">
      <formula>$H782="CÉLULA CONSTRUTIVA"</formula>
    </cfRule>
    <cfRule type="expression" dxfId="11776" priority="13280">
      <formula>$H782="SUBETAPA"</formula>
    </cfRule>
    <cfRule type="expression" dxfId="11775" priority="13282">
      <formula>$H782="ETAPA"</formula>
    </cfRule>
  </conditionalFormatting>
  <conditionalFormatting sqref="N784">
    <cfRule type="expression" dxfId="11774" priority="12713">
      <formula>$H784="CÉLULA CONSTRUTIVA"</formula>
    </cfRule>
    <cfRule type="expression" dxfId="11773" priority="12712">
      <formula>$H784="SUBETAPA"</formula>
    </cfRule>
    <cfRule type="expression" dxfId="11772" priority="12714">
      <formula>$H784="ETAPA"</formula>
    </cfRule>
  </conditionalFormatting>
  <conditionalFormatting sqref="N790">
    <cfRule type="expression" dxfId="11771" priority="13128">
      <formula>$H790="ETAPA"</formula>
    </cfRule>
    <cfRule type="expression" dxfId="11770" priority="13127">
      <formula>$H790="CÉLULA CONSTRUTIVA"</formula>
    </cfRule>
    <cfRule type="expression" dxfId="11769" priority="13126">
      <formula>$H790="SUBETAPA"</formula>
    </cfRule>
  </conditionalFormatting>
  <conditionalFormatting sqref="N791 N794 N797 N799 N801">
    <cfRule type="expression" dxfId="11768" priority="13124">
      <formula>$H791="CÉLULA CONSTRUTIVA"</formula>
    </cfRule>
    <cfRule type="expression" dxfId="11767" priority="13125">
      <formula>$H791="ETAPA"</formula>
    </cfRule>
    <cfRule type="expression" dxfId="11766" priority="13123">
      <formula>$H791="SUBETAPA"</formula>
    </cfRule>
  </conditionalFormatting>
  <conditionalFormatting sqref="N796">
    <cfRule type="expression" dxfId="11765" priority="12635">
      <formula>$H796="SUBETAPA"</formula>
    </cfRule>
    <cfRule type="expression" dxfId="11764" priority="12636">
      <formula>$H796="CÉLULA CONSTRUTIVA"</formula>
    </cfRule>
    <cfRule type="expression" dxfId="11763" priority="12637">
      <formula>$H796="ETAPA"</formula>
    </cfRule>
  </conditionalFormatting>
  <conditionalFormatting sqref="N806">
    <cfRule type="expression" dxfId="11762" priority="13018">
      <formula>$H806="CÉLULA CONSTRUTIVA"</formula>
    </cfRule>
    <cfRule type="expression" dxfId="11761" priority="13019">
      <formula>$H806="ETAPA"</formula>
    </cfRule>
    <cfRule type="expression" dxfId="11760" priority="13017">
      <formula>$H806="SUBETAPA"</formula>
    </cfRule>
  </conditionalFormatting>
  <conditionalFormatting sqref="N807 N810 N816 N818">
    <cfRule type="expression" dxfId="11759" priority="13014">
      <formula>$H807="SUBETAPA"</formula>
    </cfRule>
    <cfRule type="expression" dxfId="11758" priority="13015">
      <formula>$H807="CÉLULA CONSTRUTIVA"</formula>
    </cfRule>
    <cfRule type="expression" dxfId="11757" priority="13016">
      <formula>$H807="ETAPA"</formula>
    </cfRule>
  </conditionalFormatting>
  <conditionalFormatting sqref="N808">
    <cfRule type="expression" dxfId="11756" priority="12648">
      <formula>$H808="ETAPA"</formula>
    </cfRule>
    <cfRule type="expression" dxfId="11755" priority="12646">
      <formula>$H808="SUBETAPA"</formula>
    </cfRule>
    <cfRule type="expression" dxfId="11754" priority="12647">
      <formula>$H808="CÉLULA CONSTRUTIVA"</formula>
    </cfRule>
  </conditionalFormatting>
  <conditionalFormatting sqref="N812">
    <cfRule type="expression" dxfId="11753" priority="12606">
      <formula>$H812="CÉLULA CONSTRUTIVA"</formula>
    </cfRule>
    <cfRule type="expression" dxfId="11752" priority="12607">
      <formula>$H812="ETAPA"</formula>
    </cfRule>
    <cfRule type="expression" dxfId="11751" priority="12605">
      <formula>$H812="SUBETAPA"</formula>
    </cfRule>
  </conditionalFormatting>
  <conditionalFormatting sqref="N813">
    <cfRule type="expression" dxfId="11750" priority="852">
      <formula>$H813="ETAPA"</formula>
    </cfRule>
    <cfRule type="expression" dxfId="11749" priority="851">
      <formula>$H813="CÉLULA CONSTRUTIVA"</formula>
    </cfRule>
    <cfRule type="expression" dxfId="11748" priority="850">
      <formula>$H813="SUBETAPA"</formula>
    </cfRule>
  </conditionalFormatting>
  <conditionalFormatting sqref="N814 O813:O814 N815:O815">
    <cfRule type="expression" dxfId="11747" priority="875">
      <formula>$H813="SUBETAPA"</formula>
    </cfRule>
  </conditionalFormatting>
  <conditionalFormatting sqref="N814:N815">
    <cfRule type="expression" dxfId="11746" priority="873">
      <formula>$H814="CÉLULA CONSTRUTIVA"</formula>
    </cfRule>
    <cfRule type="expression" dxfId="11745" priority="874">
      <formula>$H814="ETAPA"</formula>
    </cfRule>
  </conditionalFormatting>
  <conditionalFormatting sqref="N823">
    <cfRule type="expression" dxfId="11744" priority="12910">
      <formula>$H823="ETAPA"</formula>
    </cfRule>
    <cfRule type="expression" dxfId="11743" priority="12908">
      <formula>$H823="SUBETAPA"</formula>
    </cfRule>
    <cfRule type="expression" dxfId="11742" priority="12909">
      <formula>$H823="CÉLULA CONSTRUTIVA"</formula>
    </cfRule>
  </conditionalFormatting>
  <conditionalFormatting sqref="N824 N827 N833 N835">
    <cfRule type="expression" dxfId="11741" priority="12907">
      <formula>$H824="ETAPA"</formula>
    </cfRule>
    <cfRule type="expression" dxfId="11740" priority="12906">
      <formula>$H824="CÉLULA CONSTRUTIVA"</formula>
    </cfRule>
    <cfRule type="expression" dxfId="11739" priority="12905">
      <formula>$H824="SUBETAPA"</formula>
    </cfRule>
  </conditionalFormatting>
  <conditionalFormatting sqref="N825">
    <cfRule type="expression" dxfId="11738" priority="12650">
      <formula>$H825="CÉLULA CONSTRUTIVA"</formula>
    </cfRule>
    <cfRule type="expression" dxfId="11737" priority="12651">
      <formula>$H825="ETAPA"</formula>
    </cfRule>
    <cfRule type="expression" dxfId="11736" priority="12649">
      <formula>$H825="SUBETAPA"</formula>
    </cfRule>
  </conditionalFormatting>
  <conditionalFormatting sqref="N829">
    <cfRule type="expression" dxfId="11735" priority="12577">
      <formula>$H829="ETAPA"</formula>
    </cfRule>
    <cfRule type="expression" dxfId="11734" priority="12576">
      <formula>$H829="CÉLULA CONSTRUTIVA"</formula>
    </cfRule>
    <cfRule type="expression" dxfId="11733" priority="12575">
      <formula>$H829="SUBETAPA"</formula>
    </cfRule>
  </conditionalFormatting>
  <conditionalFormatting sqref="N830">
    <cfRule type="expression" dxfId="11732" priority="803">
      <formula>$H830="ETAPA"</formula>
    </cfRule>
    <cfRule type="expression" dxfId="11731" priority="802">
      <formula>$H830="CÉLULA CONSTRUTIVA"</formula>
    </cfRule>
    <cfRule type="expression" dxfId="11730" priority="801">
      <formula>$H830="SUBETAPA"</formula>
    </cfRule>
  </conditionalFormatting>
  <conditionalFormatting sqref="N831 O830">
    <cfRule type="expression" dxfId="11729" priority="826">
      <formula>$H830="SUBETAPA"</formula>
    </cfRule>
  </conditionalFormatting>
  <conditionalFormatting sqref="N831">
    <cfRule type="expression" dxfId="11728" priority="824">
      <formula>$H831="CÉLULA CONSTRUTIVA"</formula>
    </cfRule>
    <cfRule type="expression" dxfId="11727" priority="825">
      <formula>$H831="ETAPA"</formula>
    </cfRule>
  </conditionalFormatting>
  <conditionalFormatting sqref="N832">
    <cfRule type="expression" dxfId="11726" priority="66">
      <formula>$H832="CÉLULA CONSTRUTIVA"</formula>
    </cfRule>
    <cfRule type="expression" dxfId="11725" priority="67">
      <formula>$H832="ETAPA"</formula>
    </cfRule>
  </conditionalFormatting>
  <conditionalFormatting sqref="N840">
    <cfRule type="expression" dxfId="11724" priority="12344">
      <formula>$H840="SUBETAPA"</formula>
    </cfRule>
    <cfRule type="expression" dxfId="11723" priority="12345">
      <formula>$H840="CÉLULA CONSTRUTIVA"</formula>
    </cfRule>
    <cfRule type="expression" dxfId="11722" priority="12346">
      <formula>$H840="ETAPA"</formula>
    </cfRule>
  </conditionalFormatting>
  <conditionalFormatting sqref="N841 N843 N846 N849 N851">
    <cfRule type="expression" dxfId="11721" priority="12341">
      <formula>$H841="SUBETAPA"</formula>
    </cfRule>
    <cfRule type="expression" dxfId="11720" priority="12342">
      <formula>$H841="CÉLULA CONSTRUTIVA"</formula>
    </cfRule>
    <cfRule type="expression" dxfId="11719" priority="12343">
      <formula>$H841="ETAPA"</formula>
    </cfRule>
  </conditionalFormatting>
  <conditionalFormatting sqref="N844">
    <cfRule type="expression" dxfId="11718" priority="12429">
      <formula>$H844="CÉLULA CONSTRUTIVA"</formula>
    </cfRule>
    <cfRule type="expression" dxfId="11717" priority="12430">
      <formula>$H844="ETAPA"</formula>
    </cfRule>
  </conditionalFormatting>
  <conditionalFormatting sqref="N845">
    <cfRule type="expression" dxfId="11716" priority="12290">
      <formula>$H845="SUBETAPA"</formula>
    </cfRule>
    <cfRule type="expression" dxfId="11715" priority="12292">
      <formula>$H845="ETAPA"</formula>
    </cfRule>
    <cfRule type="expression" dxfId="11714" priority="12291">
      <formula>$H845="CÉLULA CONSTRUTIVA"</formula>
    </cfRule>
  </conditionalFormatting>
  <conditionalFormatting sqref="N848">
    <cfRule type="expression" dxfId="11713" priority="31">
      <formula>$H848="CÉLULA CONSTRUTIVA"</formula>
    </cfRule>
    <cfRule type="expression" dxfId="11712" priority="32">
      <formula>$H848="ETAPA"</formula>
    </cfRule>
  </conditionalFormatting>
  <conditionalFormatting sqref="N856">
    <cfRule type="expression" dxfId="11711" priority="12817">
      <formula>$H856="SUBETAPA"</formula>
    </cfRule>
    <cfRule type="expression" dxfId="11710" priority="12819">
      <formula>$H856="ETAPA"</formula>
    </cfRule>
    <cfRule type="expression" dxfId="11709" priority="12818">
      <formula>$H856="CÉLULA CONSTRUTIVA"</formula>
    </cfRule>
  </conditionalFormatting>
  <conditionalFormatting sqref="N857 N859 N862">
    <cfRule type="expression" dxfId="11708" priority="12814">
      <formula>$H857="SUBETAPA"</formula>
    </cfRule>
    <cfRule type="expression" dxfId="11707" priority="12816">
      <formula>$H857="ETAPA"</formula>
    </cfRule>
    <cfRule type="expression" dxfId="11706" priority="12815">
      <formula>$H857="CÉLULA CONSTRUTIVA"</formula>
    </cfRule>
  </conditionalFormatting>
  <conditionalFormatting sqref="N861">
    <cfRule type="expression" dxfId="11705" priority="12512">
      <formula>$H861="SUBETAPA"</formula>
    </cfRule>
    <cfRule type="expression" dxfId="11704" priority="12514">
      <formula>$H861="ETAPA"</formula>
    </cfRule>
    <cfRule type="expression" dxfId="11703" priority="12513">
      <formula>$H861="CÉLULA CONSTRUTIVA"</formula>
    </cfRule>
  </conditionalFormatting>
  <conditionalFormatting sqref="N866">
    <cfRule type="expression" dxfId="11702" priority="12176">
      <formula>$H866="SUBETAPA"</formula>
    </cfRule>
    <cfRule type="expression" dxfId="11701" priority="12178">
      <formula>$H866="ETAPA"</formula>
    </cfRule>
    <cfRule type="expression" dxfId="11700" priority="12177">
      <formula>$H866="CÉLULA CONSTRUTIVA"</formula>
    </cfRule>
  </conditionalFormatting>
  <conditionalFormatting sqref="N867 N869">
    <cfRule type="expression" dxfId="11699" priority="12174">
      <formula>$H867="CÉLULA CONSTRUTIVA"</formula>
    </cfRule>
    <cfRule type="expression" dxfId="11698" priority="12175">
      <formula>$H867="ETAPA"</formula>
    </cfRule>
    <cfRule type="expression" dxfId="11697" priority="12173">
      <formula>$H867="SUBETAPA"</formula>
    </cfRule>
  </conditionalFormatting>
  <conditionalFormatting sqref="N871">
    <cfRule type="expression" dxfId="11696" priority="12083">
      <formula>$H871="ETAPA"</formula>
    </cfRule>
    <cfRule type="expression" dxfId="11695" priority="12082">
      <formula>$H871="CÉLULA CONSTRUTIVA"</formula>
    </cfRule>
    <cfRule type="expression" dxfId="11694" priority="12081">
      <formula>$H871="SUBETAPA"</formula>
    </cfRule>
  </conditionalFormatting>
  <conditionalFormatting sqref="N872 N874">
    <cfRule type="expression" dxfId="11693" priority="12080">
      <formula>$H872="ETAPA"</formula>
    </cfRule>
    <cfRule type="expression" dxfId="11692" priority="12078">
      <formula>$H872="SUBETAPA"</formula>
    </cfRule>
    <cfRule type="expression" dxfId="11691" priority="12079">
      <formula>$H872="CÉLULA CONSTRUTIVA"</formula>
    </cfRule>
  </conditionalFormatting>
  <conditionalFormatting sqref="N876">
    <cfRule type="expression" dxfId="11690" priority="12007">
      <formula>$H876="ETAPA"</formula>
    </cfRule>
    <cfRule type="expression" dxfId="11689" priority="12005">
      <formula>$H876="SUBETAPA"</formula>
    </cfRule>
    <cfRule type="expression" dxfId="11688" priority="12006">
      <formula>$H876="CÉLULA CONSTRUTIVA"</formula>
    </cfRule>
  </conditionalFormatting>
  <conditionalFormatting sqref="N877 N879">
    <cfRule type="expression" dxfId="11687" priority="12004">
      <formula>$H877="ETAPA"</formula>
    </cfRule>
    <cfRule type="expression" dxfId="11686" priority="12002">
      <formula>$H877="SUBETAPA"</formula>
    </cfRule>
    <cfRule type="expression" dxfId="11685" priority="12003">
      <formula>$H877="CÉLULA CONSTRUTIVA"</formula>
    </cfRule>
  </conditionalFormatting>
  <conditionalFormatting sqref="N881">
    <cfRule type="expression" dxfId="11684" priority="11929">
      <formula>$H881="SUBETAPA"</formula>
    </cfRule>
    <cfRule type="expression" dxfId="11683" priority="11931">
      <formula>$H881="ETAPA"</formula>
    </cfRule>
    <cfRule type="expression" dxfId="11682" priority="11930">
      <formula>$H881="CÉLULA CONSTRUTIVA"</formula>
    </cfRule>
  </conditionalFormatting>
  <conditionalFormatting sqref="N882">
    <cfRule type="expression" dxfId="11681" priority="6441">
      <formula>$H882="SUBETAPA"</formula>
    </cfRule>
    <cfRule type="expression" dxfId="11680" priority="6442">
      <formula>$H882="CÉLULA CONSTRUTIVA"</formula>
    </cfRule>
    <cfRule type="expression" dxfId="11679" priority="6443">
      <formula>$H882="ETAPA"</formula>
    </cfRule>
  </conditionalFormatting>
  <conditionalFormatting sqref="N884">
    <cfRule type="expression" dxfId="11678" priority="11927">
      <formula>$H884="CÉLULA CONSTRUTIVA"</formula>
    </cfRule>
    <cfRule type="expression" dxfId="11677" priority="11926">
      <formula>$H884="SUBETAPA"</formula>
    </cfRule>
    <cfRule type="expression" dxfId="11676" priority="11928">
      <formula>$H884="ETAPA"</formula>
    </cfRule>
  </conditionalFormatting>
  <conditionalFormatting sqref="N886 N888">
    <cfRule type="expression" dxfId="11675" priority="6460">
      <formula>$H886="CÉLULA CONSTRUTIVA"</formula>
    </cfRule>
    <cfRule type="expression" dxfId="11674" priority="6459">
      <formula>$H886="SUBETAPA"</formula>
    </cfRule>
    <cfRule type="expression" dxfId="11673" priority="6461">
      <formula>$H886="ETAPA"</formula>
    </cfRule>
  </conditionalFormatting>
  <conditionalFormatting sqref="N890">
    <cfRule type="expression" dxfId="11672" priority="11853">
      <formula>$H890="SUBETAPA"</formula>
    </cfRule>
    <cfRule type="expression" dxfId="11671" priority="11854">
      <formula>$H890="CÉLULA CONSTRUTIVA"</formula>
    </cfRule>
    <cfRule type="expression" dxfId="11670" priority="11855">
      <formula>$H890="ETAPA"</formula>
    </cfRule>
  </conditionalFormatting>
  <conditionalFormatting sqref="N891">
    <cfRule type="expression" dxfId="11669" priority="11850">
      <formula>$H891="SUBETAPA"</formula>
    </cfRule>
    <cfRule type="expression" dxfId="11668" priority="11851">
      <formula>$H891="CÉLULA CONSTRUTIVA"</formula>
    </cfRule>
    <cfRule type="expression" dxfId="11667" priority="11852">
      <formula>$H891="ETAPA"</formula>
    </cfRule>
  </conditionalFormatting>
  <conditionalFormatting sqref="N893 N895">
    <cfRule type="expression" dxfId="11666" priority="2327">
      <formula>$H893="ETAPA"</formula>
    </cfRule>
    <cfRule type="expression" dxfId="11665" priority="2325">
      <formula>$H893="SUBETAPA"</formula>
    </cfRule>
    <cfRule type="expression" dxfId="11664" priority="2326">
      <formula>$H893="CÉLULA CONSTRUTIVA"</formula>
    </cfRule>
  </conditionalFormatting>
  <conditionalFormatting sqref="N897">
    <cfRule type="expression" dxfId="11663" priority="11779">
      <formula>$H897="ETAPA"</formula>
    </cfRule>
    <cfRule type="expression" dxfId="11662" priority="11778">
      <formula>$H897="CÉLULA CONSTRUTIVA"</formula>
    </cfRule>
    <cfRule type="expression" dxfId="11661" priority="11777">
      <formula>$H897="SUBETAPA"</formula>
    </cfRule>
  </conditionalFormatting>
  <conditionalFormatting sqref="N898">
    <cfRule type="expression" dxfId="11660" priority="11775">
      <formula>$H898="CÉLULA CONSTRUTIVA"</formula>
    </cfRule>
    <cfRule type="expression" dxfId="11659" priority="11774">
      <formula>$H898="SUBETAPA"</formula>
    </cfRule>
    <cfRule type="expression" dxfId="11658" priority="11776">
      <formula>$H898="ETAPA"</formula>
    </cfRule>
  </conditionalFormatting>
  <conditionalFormatting sqref="N900 N902">
    <cfRule type="expression" dxfId="11657" priority="2252">
      <formula>$H900="SUBETAPA"</formula>
    </cfRule>
    <cfRule type="expression" dxfId="11656" priority="2253">
      <formula>$H900="CÉLULA CONSTRUTIVA"</formula>
    </cfRule>
    <cfRule type="expression" dxfId="11655" priority="2254">
      <formula>$H900="ETAPA"</formula>
    </cfRule>
  </conditionalFormatting>
  <conditionalFormatting sqref="N904">
    <cfRule type="expression" dxfId="11654" priority="11564">
      <formula>$H904="ETAPA"</formula>
    </cfRule>
    <cfRule type="expression" dxfId="11653" priority="11562">
      <formula>$H904="SUBETAPA"</formula>
    </cfRule>
    <cfRule type="expression" dxfId="11652" priority="11563">
      <formula>$H904="CÉLULA CONSTRUTIVA"</formula>
    </cfRule>
  </conditionalFormatting>
  <conditionalFormatting sqref="N905">
    <cfRule type="expression" dxfId="11651" priority="11559">
      <formula>$H905="SUBETAPA"</formula>
    </cfRule>
    <cfRule type="expression" dxfId="11650" priority="11560">
      <formula>$H905="CÉLULA CONSTRUTIVA"</formula>
    </cfRule>
    <cfRule type="expression" dxfId="11649" priority="11561">
      <formula>$H905="ETAPA"</formula>
    </cfRule>
  </conditionalFormatting>
  <conditionalFormatting sqref="N907">
    <cfRule type="expression" dxfId="11648" priority="11712">
      <formula>$H907="ETAPA"</formula>
    </cfRule>
    <cfRule type="expression" dxfId="11647" priority="11711">
      <formula>$H907="CÉLULA CONSTRUTIVA"</formula>
    </cfRule>
    <cfRule type="expression" dxfId="11646" priority="11710">
      <formula>$H907="SUBETAPA"</formula>
    </cfRule>
  </conditionalFormatting>
  <conditionalFormatting sqref="N908 N910">
    <cfRule type="expression" dxfId="11645" priority="11709">
      <formula>$H908="ETAPA"</formula>
    </cfRule>
    <cfRule type="expression" dxfId="11644" priority="11708">
      <formula>$H908="CÉLULA CONSTRUTIVA"</formula>
    </cfRule>
    <cfRule type="expression" dxfId="11643" priority="11707">
      <formula>$H908="SUBETAPA"</formula>
    </cfRule>
  </conditionalFormatting>
  <conditionalFormatting sqref="N913">
    <cfRule type="expression" dxfId="11642" priority="11274">
      <formula>$H913="CÉLULA CONSTRUTIVA"</formula>
    </cfRule>
    <cfRule type="expression" dxfId="11641" priority="11275">
      <formula>$H913="ETAPA"</formula>
    </cfRule>
    <cfRule type="expression" dxfId="11640" priority="11273">
      <formula>$H913="SUBETAPA"</formula>
    </cfRule>
  </conditionalFormatting>
  <conditionalFormatting sqref="N914 N916 N919 N923 N926">
    <cfRule type="expression" dxfId="11639" priority="11272">
      <formula>$H914="ETAPA"</formula>
    </cfRule>
    <cfRule type="expression" dxfId="11638" priority="11270">
      <formula>$H914="SUBETAPA"</formula>
    </cfRule>
    <cfRule type="expression" dxfId="11637" priority="11271">
      <formula>$H914="CÉLULA CONSTRUTIVA"</formula>
    </cfRule>
  </conditionalFormatting>
  <conditionalFormatting sqref="N933">
    <cfRule type="expression" dxfId="11636" priority="11129">
      <formula>$H933="SUBETAPA"</formula>
    </cfRule>
    <cfRule type="expression" dxfId="11635" priority="11131">
      <formula>$H933="ETAPA"</formula>
    </cfRule>
    <cfRule type="expression" dxfId="11634" priority="11130">
      <formula>$H933="CÉLULA CONSTRUTIVA"</formula>
    </cfRule>
  </conditionalFormatting>
  <conditionalFormatting sqref="N934 N936 N945">
    <cfRule type="expression" dxfId="11633" priority="11128">
      <formula>$H934="ETAPA"</formula>
    </cfRule>
    <cfRule type="expression" dxfId="11632" priority="11127">
      <formula>$H934="CÉLULA CONSTRUTIVA"</formula>
    </cfRule>
    <cfRule type="expression" dxfId="11631" priority="11126">
      <formula>$H934="SUBETAPA"</formula>
    </cfRule>
  </conditionalFormatting>
  <conditionalFormatting sqref="N939">
    <cfRule type="expression" dxfId="11630" priority="6142">
      <formula>$H939="SUBETAPA"</formula>
    </cfRule>
    <cfRule type="expression" dxfId="11629" priority="6143">
      <formula>$H939="CÉLULA CONSTRUTIVA"</formula>
    </cfRule>
    <cfRule type="expression" dxfId="11628" priority="6144">
      <formula>$H939="ETAPA"</formula>
    </cfRule>
  </conditionalFormatting>
  <conditionalFormatting sqref="N941">
    <cfRule type="expression" dxfId="11627" priority="6008">
      <formula>$H941="ETAPA"</formula>
    </cfRule>
    <cfRule type="expression" dxfId="11626" priority="6006">
      <formula>$H941="SUBETAPA"</formula>
    </cfRule>
    <cfRule type="expression" dxfId="11625" priority="6007">
      <formula>$H941="CÉLULA CONSTRUTIVA"</formula>
    </cfRule>
  </conditionalFormatting>
  <conditionalFormatting sqref="N943">
    <cfRule type="expression" dxfId="11624" priority="5927">
      <formula>$H943="ETAPA"</formula>
    </cfRule>
    <cfRule type="expression" dxfId="11623" priority="5926">
      <formula>$H943="CÉLULA CONSTRUTIVA"</formula>
    </cfRule>
    <cfRule type="expression" dxfId="11622" priority="5925">
      <formula>$H943="SUBETAPA"</formula>
    </cfRule>
  </conditionalFormatting>
  <conditionalFormatting sqref="N952">
    <cfRule type="expression" dxfId="11621" priority="11046">
      <formula>$H952="SUBETAPA"</formula>
    </cfRule>
    <cfRule type="expression" dxfId="11620" priority="11048">
      <formula>$H952="ETAPA"</formula>
    </cfRule>
    <cfRule type="expression" dxfId="11619" priority="11047">
      <formula>$H952="CÉLULA CONSTRUTIVA"</formula>
    </cfRule>
  </conditionalFormatting>
  <conditionalFormatting sqref="N953 N955 N962">
    <cfRule type="expression" dxfId="11618" priority="11044">
      <formula>$H953="CÉLULA CONSTRUTIVA"</formula>
    </cfRule>
    <cfRule type="expression" dxfId="11617" priority="11045">
      <formula>$H953="ETAPA"</formula>
    </cfRule>
    <cfRule type="expression" dxfId="11616" priority="11043">
      <formula>$H953="SUBETAPA"</formula>
    </cfRule>
  </conditionalFormatting>
  <conditionalFormatting sqref="N958">
    <cfRule type="expression" dxfId="11615" priority="6084">
      <formula>$H958="ETAPA"</formula>
    </cfRule>
    <cfRule type="expression" dxfId="11614" priority="6082">
      <formula>$H958="SUBETAPA"</formula>
    </cfRule>
    <cfRule type="expression" dxfId="11613" priority="6083">
      <formula>$H958="CÉLULA CONSTRUTIVA"</formula>
    </cfRule>
  </conditionalFormatting>
  <conditionalFormatting sqref="N960">
    <cfRule type="expression" dxfId="11612" priority="5945">
      <formula>$H960="SUBETAPA"</formula>
    </cfRule>
    <cfRule type="expression" dxfId="11611" priority="5946">
      <formula>$H960="CÉLULA CONSTRUTIVA"</formula>
    </cfRule>
    <cfRule type="expression" dxfId="11610" priority="5947">
      <formula>$H960="ETAPA"</formula>
    </cfRule>
  </conditionalFormatting>
  <conditionalFormatting sqref="N968">
    <cfRule type="expression" dxfId="11609" priority="10966">
      <formula>$H968="SUBETAPA"</formula>
    </cfRule>
    <cfRule type="expression" dxfId="11608" priority="10968">
      <formula>$H968="ETAPA"</formula>
    </cfRule>
    <cfRule type="expression" dxfId="11607" priority="10967">
      <formula>$H968="CÉLULA CONSTRUTIVA"</formula>
    </cfRule>
  </conditionalFormatting>
  <conditionalFormatting sqref="N969 N974 N979 N982">
    <cfRule type="expression" dxfId="11606" priority="10965">
      <formula>$H969="ETAPA"</formula>
    </cfRule>
    <cfRule type="expression" dxfId="11605" priority="10964">
      <formula>$H969="CÉLULA CONSTRUTIVA"</formula>
    </cfRule>
    <cfRule type="expression" dxfId="11604" priority="10963">
      <formula>$H969="SUBETAPA"</formula>
    </cfRule>
  </conditionalFormatting>
  <conditionalFormatting sqref="N972">
    <cfRule type="expression" dxfId="11603" priority="6337">
      <formula>$H972="CÉLULA CONSTRUTIVA"</formula>
    </cfRule>
    <cfRule type="expression" dxfId="11602" priority="6336">
      <formula>$H972="SUBETAPA"</formula>
    </cfRule>
    <cfRule type="expression" dxfId="11601" priority="6338">
      <formula>$H972="ETAPA"</formula>
    </cfRule>
  </conditionalFormatting>
  <conditionalFormatting sqref="N977">
    <cfRule type="expression" dxfId="11600" priority="6057">
      <formula>$H977="SUBETAPA"</formula>
    </cfRule>
    <cfRule type="expression" dxfId="11599" priority="6058">
      <formula>$H977="CÉLULA CONSTRUTIVA"</formula>
    </cfRule>
    <cfRule type="expression" dxfId="11598" priority="6059">
      <formula>$H977="ETAPA"</formula>
    </cfRule>
  </conditionalFormatting>
  <conditionalFormatting sqref="N988">
    <cfRule type="expression" dxfId="11597" priority="10844">
      <formula>$H988="SUBETAPA"</formula>
    </cfRule>
    <cfRule type="expression" dxfId="11596" priority="10845">
      <formula>$H988="CÉLULA CONSTRUTIVA"</formula>
    </cfRule>
    <cfRule type="expression" dxfId="11595" priority="10846">
      <formula>$H988="ETAPA"</formula>
    </cfRule>
  </conditionalFormatting>
  <conditionalFormatting sqref="N989 N994 N997 N999 N1002">
    <cfRule type="expression" dxfId="11594" priority="10842">
      <formula>$H989="CÉLULA CONSTRUTIVA"</formula>
    </cfRule>
    <cfRule type="expression" dxfId="11593" priority="10843">
      <formula>$H989="ETAPA"</formula>
    </cfRule>
    <cfRule type="expression" dxfId="11592" priority="10841">
      <formula>$H989="SUBETAPA"</formula>
    </cfRule>
  </conditionalFormatting>
  <conditionalFormatting sqref="N992">
    <cfRule type="expression" dxfId="11591" priority="6295">
      <formula>$H992="CÉLULA CONSTRUTIVA"</formula>
    </cfRule>
    <cfRule type="expression" dxfId="11590" priority="6296">
      <formula>$H992="ETAPA"</formula>
    </cfRule>
    <cfRule type="expression" dxfId="11589" priority="6294">
      <formula>$H992="SUBETAPA"</formula>
    </cfRule>
  </conditionalFormatting>
  <conditionalFormatting sqref="N1008">
    <cfRule type="expression" dxfId="11588" priority="10410">
      <formula>$H1008="CÉLULA CONSTRUTIVA"</formula>
    </cfRule>
    <cfRule type="expression" dxfId="11587" priority="10411">
      <formula>$H1008="ETAPA"</formula>
    </cfRule>
    <cfRule type="expression" dxfId="11586" priority="10409">
      <formula>$H1008="SUBETAPA"</formula>
    </cfRule>
  </conditionalFormatting>
  <conditionalFormatting sqref="N1009 N1014 N1017 N1019 N1022">
    <cfRule type="expression" dxfId="11585" priority="10408">
      <formula>$H1009="ETAPA"</formula>
    </cfRule>
    <cfRule type="expression" dxfId="11584" priority="10406">
      <formula>$H1009="SUBETAPA"</formula>
    </cfRule>
    <cfRule type="expression" dxfId="11583" priority="10407">
      <formula>$H1009="CÉLULA CONSTRUTIVA"</formula>
    </cfRule>
  </conditionalFormatting>
  <conditionalFormatting sqref="N1012">
    <cfRule type="expression" dxfId="11582" priority="6254">
      <formula>$H1012="ETAPA"</formula>
    </cfRule>
    <cfRule type="expression" dxfId="11581" priority="6253">
      <formula>$H1012="CÉLULA CONSTRUTIVA"</formula>
    </cfRule>
    <cfRule type="expression" dxfId="11580" priority="6252">
      <formula>$H1012="SUBETAPA"</formula>
    </cfRule>
  </conditionalFormatting>
  <conditionalFormatting sqref="N1028">
    <cfRule type="expression" dxfId="11579" priority="10242">
      <formula>$H1028="SUBETAPA"</formula>
    </cfRule>
    <cfRule type="expression" dxfId="11578" priority="10243">
      <formula>$H1028="CÉLULA CONSTRUTIVA"</formula>
    </cfRule>
    <cfRule type="expression" dxfId="11577" priority="10244">
      <formula>$H1028="ETAPA"</formula>
    </cfRule>
  </conditionalFormatting>
  <conditionalFormatting sqref="N1029 N1033 N1036 N1038 N1041">
    <cfRule type="expression" dxfId="11576" priority="10239">
      <formula>$H1029="SUBETAPA"</formula>
    </cfRule>
    <cfRule type="expression" dxfId="11575" priority="10240">
      <formula>$H1029="CÉLULA CONSTRUTIVA"</formula>
    </cfRule>
    <cfRule type="expression" dxfId="11574" priority="10241">
      <formula>$H1029="ETAPA"</formula>
    </cfRule>
  </conditionalFormatting>
  <conditionalFormatting sqref="N1031">
    <cfRule type="expression" dxfId="11573" priority="6211">
      <formula>$H1031="CÉLULA CONSTRUTIVA"</formula>
    </cfRule>
    <cfRule type="expression" dxfId="11572" priority="6210">
      <formula>$H1031="SUBETAPA"</formula>
    </cfRule>
    <cfRule type="expression" dxfId="11571" priority="6212">
      <formula>$H1031="ETAPA"</formula>
    </cfRule>
  </conditionalFormatting>
  <conditionalFormatting sqref="N1047">
    <cfRule type="expression" dxfId="11570" priority="10669">
      <formula>$H1047="SUBETAPA"</formula>
    </cfRule>
    <cfRule type="expression" dxfId="11569" priority="10671">
      <formula>$H1047="ETAPA"</formula>
    </cfRule>
    <cfRule type="expression" dxfId="11568" priority="10670">
      <formula>$H1047="CÉLULA CONSTRUTIVA"</formula>
    </cfRule>
  </conditionalFormatting>
  <conditionalFormatting sqref="N1048 N1052">
    <cfRule type="expression" dxfId="11567" priority="10668">
      <formula>$H1048="ETAPA"</formula>
    </cfRule>
    <cfRule type="expression" dxfId="11566" priority="10667">
      <formula>$H1048="CÉLULA CONSTRUTIVA"</formula>
    </cfRule>
    <cfRule type="expression" dxfId="11565" priority="10666">
      <formula>$H1048="SUBETAPA"</formula>
    </cfRule>
  </conditionalFormatting>
  <conditionalFormatting sqref="N1050">
    <cfRule type="expression" dxfId="11564" priority="6169">
      <formula>$H1050="CÉLULA CONSTRUTIVA"</formula>
    </cfRule>
    <cfRule type="expression" dxfId="11563" priority="6168">
      <formula>$H1050="SUBETAPA"</formula>
    </cfRule>
    <cfRule type="expression" dxfId="11562" priority="6170">
      <formula>$H1050="ETAPA"</formula>
    </cfRule>
  </conditionalFormatting>
  <conditionalFormatting sqref="N1056">
    <cfRule type="expression" dxfId="11561" priority="10161">
      <formula>$H1056="ETAPA"</formula>
    </cfRule>
    <cfRule type="expression" dxfId="11560" priority="10159">
      <formula>$H1056="SUBETAPA"</formula>
    </cfRule>
    <cfRule type="expression" dxfId="11559" priority="10160">
      <formula>$H1056="CÉLULA CONSTRUTIVA"</formula>
    </cfRule>
  </conditionalFormatting>
  <conditionalFormatting sqref="N1057 N1068">
    <cfRule type="expression" dxfId="11558" priority="10158">
      <formula>$H1057="ETAPA"</formula>
    </cfRule>
    <cfRule type="expression" dxfId="11557" priority="10157">
      <formula>$H1057="CÉLULA CONSTRUTIVA"</formula>
    </cfRule>
    <cfRule type="expression" dxfId="11556" priority="10156">
      <formula>$H1057="SUBETAPA"</formula>
    </cfRule>
  </conditionalFormatting>
  <conditionalFormatting sqref="N1060 N1066">
    <cfRule type="expression" dxfId="11555" priority="9770">
      <formula>$H1060="SUBETAPA"</formula>
    </cfRule>
    <cfRule type="expression" dxfId="11554" priority="9772">
      <formula>$H1060="ETAPA"</formula>
    </cfRule>
    <cfRule type="expression" dxfId="11553" priority="9771">
      <formula>$H1060="CÉLULA CONSTRUTIVA"</formula>
    </cfRule>
  </conditionalFormatting>
  <conditionalFormatting sqref="N1075">
    <cfRule type="expression" dxfId="11552" priority="10078">
      <formula>$H1075="ETAPA"</formula>
    </cfRule>
    <cfRule type="expression" dxfId="11551" priority="10076">
      <formula>$H1075="SUBETAPA"</formula>
    </cfRule>
    <cfRule type="expression" dxfId="11550" priority="10077">
      <formula>$H1075="CÉLULA CONSTRUTIVA"</formula>
    </cfRule>
  </conditionalFormatting>
  <conditionalFormatting sqref="N1076 N1079 N1084 N1086">
    <cfRule type="expression" dxfId="11549" priority="10073">
      <formula>$H1076="SUBETAPA"</formula>
    </cfRule>
    <cfRule type="expression" dxfId="11548" priority="10074">
      <formula>$H1076="CÉLULA CONSTRUTIVA"</formula>
    </cfRule>
    <cfRule type="expression" dxfId="11547" priority="10075">
      <formula>$H1076="ETAPA"</formula>
    </cfRule>
  </conditionalFormatting>
  <conditionalFormatting sqref="N1092">
    <cfRule type="expression" dxfId="11546" priority="10020">
      <formula>$H1092="SUBETAPA"</formula>
    </cfRule>
    <cfRule type="expression" dxfId="11545" priority="10021">
      <formula>$H1092="CÉLULA CONSTRUTIVA"</formula>
    </cfRule>
    <cfRule type="expression" dxfId="11544" priority="10022">
      <formula>$H1092="ETAPA"</formula>
    </cfRule>
  </conditionalFormatting>
  <conditionalFormatting sqref="N1093 N1096 N1101 N1103">
    <cfRule type="expression" dxfId="11543" priority="10018">
      <formula>$H1093="CÉLULA CONSTRUTIVA"</formula>
    </cfRule>
    <cfRule type="expression" dxfId="11542" priority="10019">
      <formula>$H1093="ETAPA"</formula>
    </cfRule>
    <cfRule type="expression" dxfId="11541" priority="10017">
      <formula>$H1093="SUBETAPA"</formula>
    </cfRule>
  </conditionalFormatting>
  <conditionalFormatting sqref="N1109">
    <cfRule type="expression" dxfId="11540" priority="9967">
      <formula>$H1109="ETAPA"</formula>
    </cfRule>
    <cfRule type="expression" dxfId="11539" priority="9966">
      <formula>$H1109="CÉLULA CONSTRUTIVA"</formula>
    </cfRule>
    <cfRule type="expression" dxfId="11538" priority="9965">
      <formula>$H1109="SUBETAPA"</formula>
    </cfRule>
  </conditionalFormatting>
  <conditionalFormatting sqref="N1110 N1112 N1118 N1120">
    <cfRule type="expression" dxfId="11537" priority="9962">
      <formula>$H1110="SUBETAPA"</formula>
    </cfRule>
    <cfRule type="expression" dxfId="11536" priority="9963">
      <formula>$H1110="CÉLULA CONSTRUTIVA"</formula>
    </cfRule>
    <cfRule type="expression" dxfId="11535" priority="9964">
      <formula>$H1110="ETAPA"</formula>
    </cfRule>
  </conditionalFormatting>
  <conditionalFormatting sqref="N1127">
    <cfRule type="expression" dxfId="11534" priority="9910">
      <formula>$H1127="SUBETAPA"</formula>
    </cfRule>
    <cfRule type="expression" dxfId="11533" priority="9911">
      <formula>$H1127="CÉLULA CONSTRUTIVA"</formula>
    </cfRule>
    <cfRule type="expression" dxfId="11532" priority="9912">
      <formula>$H1127="ETAPA"</formula>
    </cfRule>
  </conditionalFormatting>
  <conditionalFormatting sqref="N1128 N1130 N1135 N1137">
    <cfRule type="expression" dxfId="11531" priority="9909">
      <formula>$H1128="ETAPA"</formula>
    </cfRule>
    <cfRule type="expression" dxfId="11530" priority="9907">
      <formula>$H1128="SUBETAPA"</formula>
    </cfRule>
    <cfRule type="expression" dxfId="11529" priority="9908">
      <formula>$H1128="CÉLULA CONSTRUTIVA"</formula>
    </cfRule>
  </conditionalFormatting>
  <conditionalFormatting sqref="N1143">
    <cfRule type="expression" dxfId="11528" priority="9857">
      <formula>$H1143="ETAPA"</formula>
    </cfRule>
    <cfRule type="expression" dxfId="11527" priority="9856">
      <formula>$H1143="CÉLULA CONSTRUTIVA"</formula>
    </cfRule>
    <cfRule type="expression" dxfId="11526" priority="9855">
      <formula>$H1143="SUBETAPA"</formula>
    </cfRule>
  </conditionalFormatting>
  <conditionalFormatting sqref="N1144 N1146 N1151 N1153">
    <cfRule type="expression" dxfId="11525" priority="9852">
      <formula>$H1144="SUBETAPA"</formula>
    </cfRule>
    <cfRule type="expression" dxfId="11524" priority="9853">
      <formula>$H1144="CÉLULA CONSTRUTIVA"</formula>
    </cfRule>
    <cfRule type="expression" dxfId="11523" priority="9854">
      <formula>$H1144="ETAPA"</formula>
    </cfRule>
  </conditionalFormatting>
  <conditionalFormatting sqref="N1159">
    <cfRule type="expression" dxfId="11522" priority="9495">
      <formula>$H1159="CÉLULA CONSTRUTIVA"</formula>
    </cfRule>
    <cfRule type="expression" dxfId="11521" priority="9496">
      <formula>$H1159="ETAPA"</formula>
    </cfRule>
    <cfRule type="expression" dxfId="11520" priority="9494">
      <formula>$H1159="SUBETAPA"</formula>
    </cfRule>
  </conditionalFormatting>
  <conditionalFormatting sqref="N1160 N1166 N1168">
    <cfRule type="expression" dxfId="11519" priority="9491">
      <formula>$H1160="SUBETAPA"</formula>
    </cfRule>
    <cfRule type="expression" dxfId="11518" priority="9493">
      <formula>$H1160="ETAPA"</formula>
    </cfRule>
    <cfRule type="expression" dxfId="11517" priority="9492">
      <formula>$H1160="CÉLULA CONSTRUTIVA"</formula>
    </cfRule>
  </conditionalFormatting>
  <conditionalFormatting sqref="N1174">
    <cfRule type="expression" dxfId="11516" priority="9803">
      <formula>$H1174="ETAPA"</formula>
    </cfRule>
    <cfRule type="expression" dxfId="11515" priority="9802">
      <formula>$H1174="CÉLULA CONSTRUTIVA"</formula>
    </cfRule>
    <cfRule type="expression" dxfId="11514" priority="9801">
      <formula>$H1174="SUBETAPA"</formula>
    </cfRule>
  </conditionalFormatting>
  <conditionalFormatting sqref="N1175 N1179 N1181">
    <cfRule type="expression" dxfId="11513" priority="9798">
      <formula>$H1175="SUBETAPA"</formula>
    </cfRule>
    <cfRule type="expression" dxfId="11512" priority="9799">
      <formula>$H1175="CÉLULA CONSTRUTIVA"</formula>
    </cfRule>
    <cfRule type="expression" dxfId="11511" priority="9800">
      <formula>$H1175="ETAPA"</formula>
    </cfRule>
  </conditionalFormatting>
  <conditionalFormatting sqref="N1186">
    <cfRule type="expression" dxfId="11510" priority="9396">
      <formula>$H1186="CÉLULA CONSTRUTIVA"</formula>
    </cfRule>
    <cfRule type="expression" dxfId="11509" priority="9397">
      <formula>$H1186="ETAPA"</formula>
    </cfRule>
    <cfRule type="expression" dxfId="11508" priority="9395">
      <formula>$H1186="SUBETAPA"</formula>
    </cfRule>
  </conditionalFormatting>
  <conditionalFormatting sqref="N1187">
    <cfRule type="expression" dxfId="11507" priority="9394">
      <formula>$H1187="ETAPA"</formula>
    </cfRule>
    <cfRule type="expression" dxfId="11506" priority="9393">
      <formula>$H1187="CÉLULA CONSTRUTIVA"</formula>
    </cfRule>
    <cfRule type="expression" dxfId="11505" priority="9392">
      <formula>$H1187="SUBETAPA"</formula>
    </cfRule>
  </conditionalFormatting>
  <conditionalFormatting sqref="N1190">
    <cfRule type="expression" dxfId="11504" priority="8231">
      <formula>$H1190="SUBETAPA"</formula>
    </cfRule>
    <cfRule type="expression" dxfId="11503" priority="8232">
      <formula>$H1190="CÉLULA CONSTRUTIVA"</formula>
    </cfRule>
    <cfRule type="expression" dxfId="11502" priority="8233">
      <formula>$H1190="ETAPA"</formula>
    </cfRule>
  </conditionalFormatting>
  <conditionalFormatting sqref="N1192">
    <cfRule type="expression" dxfId="11501" priority="5725">
      <formula>$H1192="CÉLULA CONSTRUTIVA"</formula>
    </cfRule>
    <cfRule type="expression" dxfId="11500" priority="5724">
      <formula>$H1192="SUBETAPA"</formula>
    </cfRule>
    <cfRule type="expression" dxfId="11499" priority="5726">
      <formula>$H1192="ETAPA"</formula>
    </cfRule>
  </conditionalFormatting>
  <conditionalFormatting sqref="N1196">
    <cfRule type="expression" dxfId="11498" priority="5407">
      <formula>$H1196="CÉLULA CONSTRUTIVA"</formula>
    </cfRule>
    <cfRule type="expression" dxfId="11497" priority="5408">
      <formula>$H1196="ETAPA"</formula>
    </cfRule>
    <cfRule type="expression" dxfId="11496" priority="5406">
      <formula>$H1196="SUBETAPA"</formula>
    </cfRule>
  </conditionalFormatting>
  <conditionalFormatting sqref="N1199">
    <cfRule type="expression" dxfId="11495" priority="8845">
      <formula>$H1199="SUBETAPA"</formula>
    </cfRule>
    <cfRule type="expression" dxfId="11494" priority="8846">
      <formula>$H1199="CÉLULA CONSTRUTIVA"</formula>
    </cfRule>
    <cfRule type="expression" dxfId="11493" priority="8847">
      <formula>$H1199="ETAPA"</formula>
    </cfRule>
  </conditionalFormatting>
  <conditionalFormatting sqref="N1200">
    <cfRule type="expression" dxfId="11492" priority="8844">
      <formula>$H1200="ETAPA"</formula>
    </cfRule>
    <cfRule type="expression" dxfId="11491" priority="8843">
      <formula>$H1200="CÉLULA CONSTRUTIVA"</formula>
    </cfRule>
    <cfRule type="expression" dxfId="11490" priority="8842">
      <formula>$H1200="SUBETAPA"</formula>
    </cfRule>
  </conditionalFormatting>
  <conditionalFormatting sqref="N1203">
    <cfRule type="expression" dxfId="11489" priority="5710">
      <formula>$H1203="ETAPA"</formula>
    </cfRule>
    <cfRule type="expression" dxfId="11488" priority="5709">
      <formula>$H1203="CÉLULA CONSTRUTIVA"</formula>
    </cfRule>
    <cfRule type="expression" dxfId="11487" priority="5708">
      <formula>$H1203="SUBETAPA"</formula>
    </cfRule>
  </conditionalFormatting>
  <conditionalFormatting sqref="N1207">
    <cfRule type="expression" dxfId="11486" priority="5333">
      <formula>$H1207="ETAPA"</formula>
    </cfRule>
    <cfRule type="expression" dxfId="11485" priority="5332">
      <formula>$H1207="CÉLULA CONSTRUTIVA"</formula>
    </cfRule>
    <cfRule type="expression" dxfId="11484" priority="5331">
      <formula>$H1207="SUBETAPA"</formula>
    </cfRule>
  </conditionalFormatting>
  <conditionalFormatting sqref="N1209">
    <cfRule type="expression" dxfId="11483" priority="8742">
      <formula>$H1209="ETAPA"</formula>
    </cfRule>
    <cfRule type="expression" dxfId="11482" priority="8740">
      <formula>$H1209="SUBETAPA"</formula>
    </cfRule>
    <cfRule type="expression" dxfId="11481" priority="8741">
      <formula>$H1209="CÉLULA CONSTRUTIVA"</formula>
    </cfRule>
  </conditionalFormatting>
  <conditionalFormatting sqref="N1210">
    <cfRule type="expression" dxfId="11480" priority="8737">
      <formula>$H1210="SUBETAPA"</formula>
    </cfRule>
    <cfRule type="expression" dxfId="11479" priority="8739">
      <formula>$H1210="ETAPA"</formula>
    </cfRule>
    <cfRule type="expression" dxfId="11478" priority="8738">
      <formula>$H1210="CÉLULA CONSTRUTIVA"</formula>
    </cfRule>
  </conditionalFormatting>
  <conditionalFormatting sqref="N1213">
    <cfRule type="expression" dxfId="11477" priority="5692">
      <formula>$H1213="SUBETAPA"</formula>
    </cfRule>
    <cfRule type="expression" dxfId="11476" priority="5694">
      <formula>$H1213="ETAPA"</formula>
    </cfRule>
    <cfRule type="expression" dxfId="11475" priority="5693">
      <formula>$H1213="CÉLULA CONSTRUTIVA"</formula>
    </cfRule>
  </conditionalFormatting>
  <conditionalFormatting sqref="N1217">
    <cfRule type="expression" dxfId="11474" priority="5289">
      <formula>$H1217="SUBETAPA"</formula>
    </cfRule>
    <cfRule type="expression" dxfId="11473" priority="5290">
      <formula>$H1217="CÉLULA CONSTRUTIVA"</formula>
    </cfRule>
    <cfRule type="expression" dxfId="11472" priority="5291">
      <formula>$H1217="ETAPA"</formula>
    </cfRule>
  </conditionalFormatting>
  <conditionalFormatting sqref="N1219">
    <cfRule type="expression" dxfId="11471" priority="8647">
      <formula>$H1219="CÉLULA CONSTRUTIVA"</formula>
    </cfRule>
    <cfRule type="expression" dxfId="11470" priority="8646">
      <formula>$H1219="SUBETAPA"</formula>
    </cfRule>
    <cfRule type="expression" dxfId="11469" priority="8648">
      <formula>$H1219="ETAPA"</formula>
    </cfRule>
  </conditionalFormatting>
  <conditionalFormatting sqref="N1220 N1225">
    <cfRule type="expression" dxfId="11468" priority="8644">
      <formula>$H1220="CÉLULA CONSTRUTIVA"</formula>
    </cfRule>
    <cfRule type="expression" dxfId="11467" priority="8645">
      <formula>$H1220="ETAPA"</formula>
    </cfRule>
    <cfRule type="expression" dxfId="11466" priority="8643">
      <formula>$H1220="SUBETAPA"</formula>
    </cfRule>
  </conditionalFormatting>
  <conditionalFormatting sqref="N1223">
    <cfRule type="expression" dxfId="11465" priority="5654">
      <formula>$H1223="CÉLULA CONSTRUTIVA"</formula>
    </cfRule>
    <cfRule type="expression" dxfId="11464" priority="5653">
      <formula>$H1223="SUBETAPA"</formula>
    </cfRule>
    <cfRule type="expression" dxfId="11463" priority="5655">
      <formula>$H1223="ETAPA"</formula>
    </cfRule>
  </conditionalFormatting>
  <conditionalFormatting sqref="N1227">
    <cfRule type="expression" dxfId="11462" priority="5536">
      <formula>$H1227="CÉLULA CONSTRUTIVA"</formula>
    </cfRule>
    <cfRule type="expression" dxfId="11461" priority="5535">
      <formula>$H1227="SUBETAPA"</formula>
    </cfRule>
    <cfRule type="expression" dxfId="11460" priority="5537">
      <formula>$H1227="ETAPA"</formula>
    </cfRule>
  </conditionalFormatting>
  <conditionalFormatting sqref="N1232">
    <cfRule type="expression" dxfId="11459" priority="5501">
      <formula>$H1232="SUBETAPA"</formula>
    </cfRule>
    <cfRule type="expression" dxfId="11458" priority="5502">
      <formula>$H1232="CÉLULA CONSTRUTIVA"</formula>
    </cfRule>
    <cfRule type="expression" dxfId="11457" priority="5503">
      <formula>$H1232="ETAPA"</formula>
    </cfRule>
  </conditionalFormatting>
  <conditionalFormatting sqref="N1234">
    <cfRule type="expression" dxfId="11456" priority="5247">
      <formula>$H1234="SUBETAPA"</formula>
    </cfRule>
    <cfRule type="expression" dxfId="11455" priority="5249">
      <formula>$H1234="ETAPA"</formula>
    </cfRule>
    <cfRule type="expression" dxfId="11454" priority="5248">
      <formula>$H1234="CÉLULA CONSTRUTIVA"</formula>
    </cfRule>
  </conditionalFormatting>
  <conditionalFormatting sqref="N1236">
    <cfRule type="expression" dxfId="11453" priority="8554">
      <formula>$H1236="SUBETAPA"</formula>
    </cfRule>
    <cfRule type="expression" dxfId="11452" priority="8556">
      <formula>$H1236="ETAPA"</formula>
    </cfRule>
    <cfRule type="expression" dxfId="11451" priority="8555">
      <formula>$H1236="CÉLULA CONSTRUTIVA"</formula>
    </cfRule>
  </conditionalFormatting>
  <conditionalFormatting sqref="N1237 N1242">
    <cfRule type="expression" dxfId="11450" priority="8552">
      <formula>$H1237="CÉLULA CONSTRUTIVA"</formula>
    </cfRule>
    <cfRule type="expression" dxfId="11449" priority="8551">
      <formula>$H1237="SUBETAPA"</formula>
    </cfRule>
    <cfRule type="expression" dxfId="11448" priority="8553">
      <formula>$H1237="ETAPA"</formula>
    </cfRule>
  </conditionalFormatting>
  <conditionalFormatting sqref="N1239">
    <cfRule type="expression" dxfId="11447" priority="162">
      <formula>$H1239="SUBETAPA"</formula>
    </cfRule>
  </conditionalFormatting>
  <conditionalFormatting sqref="N1240">
    <cfRule type="expression" dxfId="11446" priority="5613">
      <formula>$H1240="ETAPA"</formula>
    </cfRule>
    <cfRule type="expression" dxfId="11445" priority="5611">
      <formula>$H1240="SUBETAPA"</formula>
    </cfRule>
    <cfRule type="expression" dxfId="11444" priority="5612">
      <formula>$H1240="CÉLULA CONSTRUTIVA"</formula>
    </cfRule>
  </conditionalFormatting>
  <conditionalFormatting sqref="N1255">
    <cfRule type="expression" dxfId="11443" priority="5207">
      <formula>$H1255="ETAPA"</formula>
    </cfRule>
    <cfRule type="expression" dxfId="11442" priority="5206">
      <formula>$H1255="CÉLULA CONSTRUTIVA"</formula>
    </cfRule>
    <cfRule type="expression" dxfId="11441" priority="5205">
      <formula>$H1255="SUBETAPA"</formula>
    </cfRule>
  </conditionalFormatting>
  <conditionalFormatting sqref="N1257">
    <cfRule type="expression" dxfId="11440" priority="5168">
      <formula>$H1257="SUBETAPA"</formula>
    </cfRule>
    <cfRule type="expression" dxfId="11439" priority="5170">
      <formula>$H1257="ETAPA"</formula>
    </cfRule>
    <cfRule type="expression" dxfId="11438" priority="5169">
      <formula>$H1257="CÉLULA CONSTRUTIVA"</formula>
    </cfRule>
  </conditionalFormatting>
  <conditionalFormatting sqref="N1259">
    <cfRule type="expression" dxfId="11437" priority="8441">
      <formula>$H1259="SUBETAPA"</formula>
    </cfRule>
    <cfRule type="expression" dxfId="11436" priority="8442">
      <formula>$H1259="CÉLULA CONSTRUTIVA"</formula>
    </cfRule>
    <cfRule type="expression" dxfId="11435" priority="8443">
      <formula>$H1259="ETAPA"</formula>
    </cfRule>
  </conditionalFormatting>
  <conditionalFormatting sqref="N1260 N1265">
    <cfRule type="expression" dxfId="11434" priority="8439">
      <formula>$H1260="CÉLULA CONSTRUTIVA"</formula>
    </cfRule>
    <cfRule type="expression" dxfId="11433" priority="8440">
      <formula>$H1260="ETAPA"</formula>
    </cfRule>
    <cfRule type="expression" dxfId="11432" priority="8438">
      <formula>$H1260="SUBETAPA"</formula>
    </cfRule>
  </conditionalFormatting>
  <conditionalFormatting sqref="N1262">
    <cfRule type="expression" dxfId="11431" priority="134">
      <formula>$H1262="SUBETAPA"</formula>
    </cfRule>
  </conditionalFormatting>
  <conditionalFormatting sqref="N1263">
    <cfRule type="expression" dxfId="11430" priority="5571">
      <formula>$H1263="ETAPA"</formula>
    </cfRule>
    <cfRule type="expression" dxfId="11429" priority="5570">
      <formula>$H1263="CÉLULA CONSTRUTIVA"</formula>
    </cfRule>
    <cfRule type="expression" dxfId="11428" priority="5569">
      <formula>$H1263="SUBETAPA"</formula>
    </cfRule>
  </conditionalFormatting>
  <conditionalFormatting sqref="N1278">
    <cfRule type="expression" dxfId="11427" priority="5149">
      <formula>$H1278="ETAPA"</formula>
    </cfRule>
    <cfRule type="expression" dxfId="11426" priority="5147">
      <formula>$H1278="SUBETAPA"</formula>
    </cfRule>
    <cfRule type="expression" dxfId="11425" priority="5148">
      <formula>$H1278="CÉLULA CONSTRUTIVA"</formula>
    </cfRule>
  </conditionalFormatting>
  <conditionalFormatting sqref="N1280">
    <cfRule type="expression" dxfId="11424" priority="5111">
      <formula>$H1280="CÉLULA CONSTRUTIVA"</formula>
    </cfRule>
    <cfRule type="expression" dxfId="11423" priority="5112">
      <formula>$H1280="ETAPA"</formula>
    </cfRule>
    <cfRule type="expression" dxfId="11422" priority="5110">
      <formula>$H1280="SUBETAPA"</formula>
    </cfRule>
  </conditionalFormatting>
  <conditionalFormatting sqref="N1282">
    <cfRule type="expression" dxfId="11421" priority="8027">
      <formula>$H1282="SUBETAPA"</formula>
    </cfRule>
    <cfRule type="expression" dxfId="11420" priority="8028">
      <formula>$H1282="CÉLULA CONSTRUTIVA"</formula>
    </cfRule>
    <cfRule type="expression" dxfId="11419" priority="8029">
      <formula>$H1282="ETAPA"</formula>
    </cfRule>
  </conditionalFormatting>
  <conditionalFormatting sqref="N1283 N1286">
    <cfRule type="expression" dxfId="11418" priority="8026">
      <formula>$H1283="ETAPA"</formula>
    </cfRule>
    <cfRule type="expression" dxfId="11417" priority="8024">
      <formula>$H1283="SUBETAPA"</formula>
    </cfRule>
    <cfRule type="expression" dxfId="11416" priority="8025">
      <formula>$H1283="CÉLULA CONSTRUTIVA"</formula>
    </cfRule>
  </conditionalFormatting>
  <conditionalFormatting sqref="N1297">
    <cfRule type="expression" dxfId="11415" priority="5091">
      <formula>$H1297="ETAPA"</formula>
    </cfRule>
    <cfRule type="expression" dxfId="11414" priority="5090">
      <formula>$H1297="CÉLULA CONSTRUTIVA"</formula>
    </cfRule>
    <cfRule type="expression" dxfId="11413" priority="5089">
      <formula>$H1297="SUBETAPA"</formula>
    </cfRule>
  </conditionalFormatting>
  <conditionalFormatting sqref="N1299">
    <cfRule type="expression" dxfId="11412" priority="5052">
      <formula>$H1299="SUBETAPA"</formula>
    </cfRule>
    <cfRule type="expression" dxfId="11411" priority="5053">
      <formula>$H1299="CÉLULA CONSTRUTIVA"</formula>
    </cfRule>
    <cfRule type="expression" dxfId="11410" priority="5054">
      <formula>$H1299="ETAPA"</formula>
    </cfRule>
  </conditionalFormatting>
  <conditionalFormatting sqref="N1301">
    <cfRule type="expression" dxfId="11409" priority="8354">
      <formula>$H1301="ETAPA"</formula>
    </cfRule>
    <cfRule type="expression" dxfId="11408" priority="8353">
      <formula>$H1301="CÉLULA CONSTRUTIVA"</formula>
    </cfRule>
    <cfRule type="expression" dxfId="11407" priority="8352">
      <formula>$H1301="SUBETAPA"</formula>
    </cfRule>
  </conditionalFormatting>
  <conditionalFormatting sqref="N1302">
    <cfRule type="expression" dxfId="11406" priority="8350">
      <formula>$H1302="CÉLULA CONSTRUTIVA"</formula>
    </cfRule>
    <cfRule type="expression" dxfId="11405" priority="8349">
      <formula>$H1302="SUBETAPA"</formula>
    </cfRule>
    <cfRule type="expression" dxfId="11404" priority="8351">
      <formula>$H1302="ETAPA"</formula>
    </cfRule>
  </conditionalFormatting>
  <conditionalFormatting sqref="N1304">
    <cfRule type="expression" dxfId="11403" priority="5029">
      <formula>$H1304="SUBETAPA"</formula>
    </cfRule>
    <cfRule type="expression" dxfId="11402" priority="5030">
      <formula>$H1304="CÉLULA CONSTRUTIVA"</formula>
    </cfRule>
    <cfRule type="expression" dxfId="11401" priority="5031">
      <formula>$H1304="ETAPA"</formula>
    </cfRule>
  </conditionalFormatting>
  <conditionalFormatting sqref="N1306">
    <cfRule type="expression" dxfId="11400" priority="911">
      <formula>$H1306="CÉLULA CONSTRUTIVA"</formula>
    </cfRule>
    <cfRule type="expression" dxfId="11399" priority="910">
      <formula>$H1306="SUBETAPA"</formula>
    </cfRule>
    <cfRule type="expression" dxfId="11398" priority="912">
      <formula>$H1306="ETAPA"</formula>
    </cfRule>
  </conditionalFormatting>
  <conditionalFormatting sqref="N1309">
    <cfRule type="expression" dxfId="11397" priority="14008">
      <formula>$H1309="ETAPA"</formula>
    </cfRule>
    <cfRule type="expression" dxfId="11396" priority="14007">
      <formula>$H1309="CÉLULA CONSTRUTIVA"</formula>
    </cfRule>
    <cfRule type="expression" dxfId="11395" priority="14006">
      <formula>$H1309="SUBETAPA"</formula>
    </cfRule>
  </conditionalFormatting>
  <conditionalFormatting sqref="N1310">
    <cfRule type="expression" dxfId="11394" priority="14005">
      <formula>$H1310="ETAPA"</formula>
    </cfRule>
    <cfRule type="expression" dxfId="11393" priority="14004">
      <formula>$H1310="CÉLULA CONSTRUTIVA"</formula>
    </cfRule>
    <cfRule type="expression" dxfId="11392" priority="14003">
      <formula>$H1310="SUBETAPA"</formula>
    </cfRule>
  </conditionalFormatting>
  <conditionalFormatting sqref="N1312">
    <cfRule type="expression" dxfId="11391" priority="13928">
      <formula>$H1312="SUBETAPA"</formula>
    </cfRule>
    <cfRule type="expression" dxfId="11390" priority="13930">
      <formula>$H1312="ETAPA"</formula>
    </cfRule>
    <cfRule type="expression" dxfId="11389" priority="13929">
      <formula>$H1312="CÉLULA CONSTRUTIVA"</formula>
    </cfRule>
  </conditionalFormatting>
  <conditionalFormatting sqref="N1313 N1315 N1317 N1319">
    <cfRule type="expression" dxfId="11388" priority="13925">
      <formula>$H1313="SUBETAPA"</formula>
    </cfRule>
    <cfRule type="expression" dxfId="11387" priority="13926">
      <formula>$H1313="CÉLULA CONSTRUTIVA"</formula>
    </cfRule>
    <cfRule type="expression" dxfId="11386" priority="13927">
      <formula>$H1313="ETAPA"</formula>
    </cfRule>
  </conditionalFormatting>
  <conditionalFormatting sqref="N1321">
    <cfRule type="expression" dxfId="11385" priority="13852">
      <formula>$H1321="ETAPA"</formula>
    </cfRule>
    <cfRule type="expression" dxfId="11384" priority="13851">
      <formula>$H1321="CÉLULA CONSTRUTIVA"</formula>
    </cfRule>
    <cfRule type="expression" dxfId="11383" priority="13850">
      <formula>$H1321="SUBETAPA"</formula>
    </cfRule>
  </conditionalFormatting>
  <conditionalFormatting sqref="N1322 N1326">
    <cfRule type="expression" dxfId="11382" priority="13849">
      <formula>$H1322="ETAPA"</formula>
    </cfRule>
    <cfRule type="expression" dxfId="11381" priority="13848">
      <formula>$H1322="CÉLULA CONSTRUTIVA"</formula>
    </cfRule>
    <cfRule type="expression" dxfId="11380" priority="13847">
      <formula>$H1322="SUBETAPA"</formula>
    </cfRule>
  </conditionalFormatting>
  <conditionalFormatting sqref="N1324">
    <cfRule type="expression" dxfId="11379" priority="4776">
      <formula>$H1324="ETAPA"</formula>
    </cfRule>
    <cfRule type="expression" dxfId="11378" priority="4774">
      <formula>$H1324="SUBETAPA"</formula>
    </cfRule>
    <cfRule type="expression" dxfId="11377" priority="4775">
      <formula>$H1324="CÉLULA CONSTRUTIVA"</formula>
    </cfRule>
  </conditionalFormatting>
  <conditionalFormatting sqref="N1328">
    <cfRule type="expression" dxfId="11376" priority="13753">
      <formula>$H1328="ETAPA"</formula>
    </cfRule>
    <cfRule type="expression" dxfId="11375" priority="13752">
      <formula>$H1328="CÉLULA CONSTRUTIVA"</formula>
    </cfRule>
    <cfRule type="expression" dxfId="11374" priority="13751">
      <formula>$H1328="SUBETAPA"</formula>
    </cfRule>
  </conditionalFormatting>
  <conditionalFormatting sqref="N1329 N1333">
    <cfRule type="expression" dxfId="11373" priority="13749">
      <formula>$H1329="CÉLULA CONSTRUTIVA"</formula>
    </cfRule>
    <cfRule type="expression" dxfId="11372" priority="13750">
      <formula>$H1329="ETAPA"</formula>
    </cfRule>
    <cfRule type="expression" dxfId="11371" priority="13748">
      <formula>$H1329="SUBETAPA"</formula>
    </cfRule>
  </conditionalFormatting>
  <conditionalFormatting sqref="N1331">
    <cfRule type="expression" dxfId="11370" priority="4730">
      <formula>$H1331="ETAPA"</formula>
    </cfRule>
    <cfRule type="expression" dxfId="11369" priority="4728">
      <formula>$H1331="SUBETAPA"</formula>
    </cfRule>
    <cfRule type="expression" dxfId="11368" priority="4729">
      <formula>$H1331="CÉLULA CONSTRUTIVA"</formula>
    </cfRule>
  </conditionalFormatting>
  <conditionalFormatting sqref="N1338">
    <cfRule type="expression" dxfId="11367" priority="4682">
      <formula>$H1338="SUBETAPA"</formula>
    </cfRule>
    <cfRule type="expression" dxfId="11366" priority="4683">
      <formula>$H1338="CÉLULA CONSTRUTIVA"</formula>
    </cfRule>
    <cfRule type="expression" dxfId="11365" priority="4684">
      <formula>$H1338="ETAPA"</formula>
    </cfRule>
  </conditionalFormatting>
  <conditionalFormatting sqref="N1343">
    <cfRule type="expression" dxfId="11364" priority="7692">
      <formula>$H1343="CÉLULA CONSTRUTIVA"</formula>
    </cfRule>
    <cfRule type="expression" dxfId="11363" priority="7691">
      <formula>$H1343="SUBETAPA"</formula>
    </cfRule>
    <cfRule type="expression" dxfId="11362" priority="7693">
      <formula>$H1343="ETAPA"</formula>
    </cfRule>
  </conditionalFormatting>
  <conditionalFormatting sqref="N1344">
    <cfRule type="expression" dxfId="11361" priority="663">
      <formula>$H1344="SUBETAPA"</formula>
    </cfRule>
    <cfRule type="expression" dxfId="11360" priority="664">
      <formula>$H1344="CÉLULA CONSTRUTIVA"</formula>
    </cfRule>
    <cfRule type="expression" dxfId="11359" priority="665">
      <formula>$H1344="ETAPA"</formula>
    </cfRule>
  </conditionalFormatting>
  <conditionalFormatting sqref="N1345">
    <cfRule type="expression" dxfId="11358" priority="618">
      <formula>$H1345="CÉLULA CONSTRUTIVA"</formula>
    </cfRule>
    <cfRule type="expression" dxfId="11357" priority="617">
      <formula>$H1345="SUBETAPA"</formula>
    </cfRule>
    <cfRule type="expression" dxfId="11356" priority="619">
      <formula>$H1345="ETAPA"</formula>
    </cfRule>
  </conditionalFormatting>
  <conditionalFormatting sqref="N1346">
    <cfRule type="expression" dxfId="11355" priority="662">
      <formula>$H1346="ETAPA"</formula>
    </cfRule>
    <cfRule type="expression" dxfId="11354" priority="661">
      <formula>$H1346="CÉLULA CONSTRUTIVA"</formula>
    </cfRule>
    <cfRule type="expression" dxfId="11353" priority="660">
      <formula>$H1346="SUBETAPA"</formula>
    </cfRule>
  </conditionalFormatting>
  <conditionalFormatting sqref="N1347">
    <cfRule type="expression" dxfId="11352" priority="616">
      <formula>$H1347="ETAPA"</formula>
    </cfRule>
    <cfRule type="expression" dxfId="11351" priority="615">
      <formula>$H1347="CÉLULA CONSTRUTIVA"</formula>
    </cfRule>
    <cfRule type="expression" dxfId="11350" priority="614">
      <formula>$H1347="SUBETAPA"</formula>
    </cfRule>
  </conditionalFormatting>
  <conditionalFormatting sqref="N1348">
    <cfRule type="expression" dxfId="11349" priority="7690">
      <formula>$H1348="ETAPA"</formula>
    </cfRule>
    <cfRule type="expression" dxfId="11348" priority="7689">
      <formula>$H1348="CÉLULA CONSTRUTIVA"</formula>
    </cfRule>
    <cfRule type="expression" dxfId="11347" priority="7688">
      <formula>$H1348="SUBETAPA"</formula>
    </cfRule>
  </conditionalFormatting>
  <conditionalFormatting sqref="N1349:N1350">
    <cfRule type="expression" dxfId="11346" priority="612">
      <formula>$H1349="CÉLULA CONSTRUTIVA"</formula>
    </cfRule>
    <cfRule type="expression" dxfId="11345" priority="613">
      <formula>$H1349="ETAPA"</formula>
    </cfRule>
    <cfRule type="expression" dxfId="11344" priority="611">
      <formula>$H1349="SUBETAPA"</formula>
    </cfRule>
  </conditionalFormatting>
  <conditionalFormatting sqref="N1351">
    <cfRule type="expression" dxfId="11343" priority="621">
      <formula>$H1351="CÉLULA CONSTRUTIVA"</formula>
    </cfRule>
    <cfRule type="expression" dxfId="11342" priority="622">
      <formula>$H1351="ETAPA"</formula>
    </cfRule>
    <cfRule type="expression" dxfId="11341" priority="620">
      <formula>$H1351="SUBETAPA"</formula>
    </cfRule>
  </conditionalFormatting>
  <conditionalFormatting sqref="N1352">
    <cfRule type="expression" dxfId="11340" priority="608">
      <formula>$H1352="SUBETAPA"</formula>
    </cfRule>
    <cfRule type="expression" dxfId="11339" priority="610">
      <formula>$H1352="ETAPA"</formula>
    </cfRule>
    <cfRule type="expression" dxfId="11338" priority="609">
      <formula>$H1352="CÉLULA CONSTRUTIVA"</formula>
    </cfRule>
  </conditionalFormatting>
  <conditionalFormatting sqref="N1354">
    <cfRule type="expression" dxfId="11337" priority="7583">
      <formula>$H1354="SUBETAPA"</formula>
    </cfRule>
    <cfRule type="expression" dxfId="11336" priority="7584">
      <formula>$H1354="CÉLULA CONSTRUTIVA"</formula>
    </cfRule>
    <cfRule type="expression" dxfId="11335" priority="7585">
      <formula>$H1354="ETAPA"</formula>
    </cfRule>
  </conditionalFormatting>
  <conditionalFormatting sqref="N1355 N1358 N1360 N1364">
    <cfRule type="expression" dxfId="11334" priority="7582">
      <formula>$H1355="ETAPA"</formula>
    </cfRule>
    <cfRule type="expression" dxfId="11333" priority="7581">
      <formula>$H1355="CÉLULA CONSTRUTIVA"</formula>
    </cfRule>
    <cfRule type="expression" dxfId="11332" priority="7580">
      <formula>$H1355="SUBETAPA"</formula>
    </cfRule>
  </conditionalFormatting>
  <conditionalFormatting sqref="N1376">
    <cfRule type="expression" dxfId="11331" priority="7549">
      <formula>$H1376="ETAPA"</formula>
    </cfRule>
    <cfRule type="expression" dxfId="11330" priority="7548">
      <formula>$H1376="CÉLULA CONSTRUTIVA"</formula>
    </cfRule>
    <cfRule type="expression" dxfId="11329" priority="7547">
      <formula>$H1376="SUBETAPA"</formula>
    </cfRule>
  </conditionalFormatting>
  <conditionalFormatting sqref="N16:O17">
    <cfRule type="expression" dxfId="11328" priority="24514">
      <formula>$H16="CÉLULA CONSTRUTIVA"</formula>
    </cfRule>
    <cfRule type="expression" dxfId="11327" priority="24515">
      <formula>$H16="ETAPA"</formula>
    </cfRule>
  </conditionalFormatting>
  <conditionalFormatting sqref="N19:O20 G19:K35">
    <cfRule type="expression" dxfId="11326" priority="24226">
      <formula>$H19="CÉLULA CONSTRUTIVA"</formula>
    </cfRule>
    <cfRule type="expression" dxfId="11325" priority="24227">
      <formula>$H19="ETAPA"</formula>
    </cfRule>
  </conditionalFormatting>
  <conditionalFormatting sqref="N28:O29">
    <cfRule type="expression" dxfId="11324" priority="25091">
      <formula>$H28="SUBETAPA"</formula>
    </cfRule>
    <cfRule type="expression" dxfId="11323" priority="25092">
      <formula>$H28="CÉLULA CONSTRUTIVA"</formula>
    </cfRule>
    <cfRule type="expression" dxfId="11322" priority="25093">
      <formula>$H28="ETAPA"</formula>
    </cfRule>
  </conditionalFormatting>
  <conditionalFormatting sqref="N31:O33">
    <cfRule type="expression" dxfId="11321" priority="24779">
      <formula>$H31="ETAPA"</formula>
    </cfRule>
    <cfRule type="expression" dxfId="11320" priority="24778">
      <formula>$H31="CÉLULA CONSTRUTIVA"</formula>
    </cfRule>
  </conditionalFormatting>
  <conditionalFormatting sqref="N38:O38">
    <cfRule type="expression" dxfId="11319" priority="25038">
      <formula>$H38="ETAPA"</formula>
    </cfRule>
    <cfRule type="expression" dxfId="11318" priority="25037">
      <formula>$H38="CÉLULA CONSTRUTIVA"</formula>
    </cfRule>
  </conditionalFormatting>
  <conditionalFormatting sqref="N56:O56">
    <cfRule type="expression" dxfId="11317" priority="24750">
      <formula>$H56="SUBETAPA"</formula>
    </cfRule>
    <cfRule type="expression" dxfId="11316" priority="24751">
      <formula>$H56="CÉLULA CONSTRUTIVA"</formula>
    </cfRule>
    <cfRule type="expression" dxfId="11315" priority="24752">
      <formula>$H56="ETAPA"</formula>
    </cfRule>
  </conditionalFormatting>
  <conditionalFormatting sqref="N212:O213">
    <cfRule type="expression" dxfId="11314" priority="19767">
      <formula>$H212="CÉLULA CONSTRUTIVA"</formula>
    </cfRule>
    <cfRule type="expression" dxfId="11313" priority="19768">
      <formula>$H212="ETAPA"</formula>
    </cfRule>
  </conditionalFormatting>
  <conditionalFormatting sqref="N280:O280">
    <cfRule type="expression" dxfId="11312" priority="21417">
      <formula>$H280="CÉLULA CONSTRUTIVA"</formula>
    </cfRule>
    <cfRule type="expression" dxfId="11311" priority="21416">
      <formula>$H280="SUBETAPA"</formula>
    </cfRule>
  </conditionalFormatting>
  <conditionalFormatting sqref="N291:O291">
    <cfRule type="expression" dxfId="11310" priority="21295">
      <formula>$H291="SUBETAPA"</formula>
    </cfRule>
    <cfRule type="expression" dxfId="11309" priority="21296">
      <formula>$H291="CÉLULA CONSTRUTIVA"</formula>
    </cfRule>
  </conditionalFormatting>
  <conditionalFormatting sqref="N302:O302">
    <cfRule type="expression" dxfId="11308" priority="21175">
      <formula>$H302="CÉLULA CONSTRUTIVA"</formula>
    </cfRule>
    <cfRule type="expression" dxfId="11307" priority="21174">
      <formula>$H302="SUBETAPA"</formula>
    </cfRule>
  </conditionalFormatting>
  <conditionalFormatting sqref="N313:O313">
    <cfRule type="expression" dxfId="11306" priority="21054">
      <formula>$H313="CÉLULA CONSTRUTIVA"</formula>
    </cfRule>
    <cfRule type="expression" dxfId="11305" priority="21053">
      <formula>$H313="SUBETAPA"</formula>
    </cfRule>
  </conditionalFormatting>
  <conditionalFormatting sqref="N322:O322">
    <cfRule type="expression" dxfId="11304" priority="20676">
      <formula>$H322="CÉLULA CONSTRUTIVA"</formula>
    </cfRule>
    <cfRule type="expression" dxfId="11303" priority="20675">
      <formula>$H322="SUBETAPA"</formula>
    </cfRule>
  </conditionalFormatting>
  <conditionalFormatting sqref="N325:O325">
    <cfRule type="expression" dxfId="11302" priority="20638">
      <formula>$H325="CÉLULA CONSTRUTIVA"</formula>
    </cfRule>
    <cfRule type="expression" dxfId="11301" priority="20637">
      <formula>$H325="SUBETAPA"</formula>
    </cfRule>
  </conditionalFormatting>
  <conditionalFormatting sqref="N328:O328">
    <cfRule type="expression" dxfId="11300" priority="20599">
      <formula>$H328="SUBETAPA"</formula>
    </cfRule>
    <cfRule type="expression" dxfId="11299" priority="20600">
      <formula>$H328="CÉLULA CONSTRUTIVA"</formula>
    </cfRule>
  </conditionalFormatting>
  <conditionalFormatting sqref="N384:O384">
    <cfRule type="expression" dxfId="11298" priority="6684">
      <formula>$H384="ETAPA"</formula>
    </cfRule>
  </conditionalFormatting>
  <conditionalFormatting sqref="N711:O711">
    <cfRule type="expression" dxfId="11297" priority="25212">
      <formula>$H711="CÉLULA CONSTRUTIVA"</formula>
    </cfRule>
    <cfRule type="expression" dxfId="11296" priority="25213">
      <formula>$H711="ETAPA"</formula>
    </cfRule>
  </conditionalFormatting>
  <conditionalFormatting sqref="N750:O750 M751:O751 M752">
    <cfRule type="expression" dxfId="11295" priority="13528">
      <formula>$H750="ETAPA"</formula>
    </cfRule>
    <cfRule type="expression" dxfId="11294" priority="13527">
      <formula>$H750="CÉLULA CONSTRUTIVA"</formula>
    </cfRule>
    <cfRule type="expression" dxfId="11293" priority="13526">
      <formula>$H750="SUBETAPA"</formula>
    </cfRule>
  </conditionalFormatting>
  <conditionalFormatting sqref="N766:O767 M768">
    <cfRule type="expression" dxfId="11292" priority="13376">
      <formula>$H766="ETAPA"</formula>
    </cfRule>
    <cfRule type="expression" dxfId="11291" priority="13375">
      <formula>$H766="CÉLULA CONSTRUTIVA"</formula>
    </cfRule>
    <cfRule type="expression" dxfId="11290" priority="13374">
      <formula>$H766="SUBETAPA"</formula>
    </cfRule>
  </conditionalFormatting>
  <conditionalFormatting sqref="N779:O780 M781">
    <cfRule type="expression" dxfId="11289" priority="13285">
      <formula>$H779="ETAPA"</formula>
    </cfRule>
    <cfRule type="expression" dxfId="11288" priority="13284">
      <formula>$H779="CÉLULA CONSTRUTIVA"</formula>
    </cfRule>
    <cfRule type="expression" dxfId="11287" priority="13283">
      <formula>$H779="SUBETAPA"</formula>
    </cfRule>
  </conditionalFormatting>
  <conditionalFormatting sqref="N785:O785">
    <cfRule type="expression" dxfId="11286" priority="12715">
      <formula>$H785="SUBETAPA"</formula>
    </cfRule>
  </conditionalFormatting>
  <conditionalFormatting sqref="N792:O793 M794">
    <cfRule type="expression" dxfId="11285" priority="13192">
      <formula>$H792="SUBETAPA"</formula>
    </cfRule>
    <cfRule type="expression" dxfId="11284" priority="13193">
      <formula>$H792="CÉLULA CONSTRUTIVA"</formula>
    </cfRule>
    <cfRule type="expression" dxfId="11283" priority="13194">
      <formula>$H792="ETAPA"</formula>
    </cfRule>
  </conditionalFormatting>
  <conditionalFormatting sqref="N800:O800">
    <cfRule type="expression" dxfId="11282" priority="13129">
      <formula>$H800="SUBETAPA"</formula>
    </cfRule>
  </conditionalFormatting>
  <conditionalFormatting sqref="N809:O809 M810 O808">
    <cfRule type="expression" dxfId="11281" priority="13086">
      <formula>$H808="SUBETAPA"</formula>
    </cfRule>
    <cfRule type="expression" dxfId="11280" priority="13087">
      <formula>$H808="CÉLULA CONSTRUTIVA"</formula>
    </cfRule>
    <cfRule type="expression" dxfId="11279" priority="13088">
      <formula>$H808="ETAPA"</formula>
    </cfRule>
  </conditionalFormatting>
  <conditionalFormatting sqref="N817:O817">
    <cfRule type="expression" dxfId="11278" priority="13023">
      <formula>$H817="SUBETAPA"</formula>
    </cfRule>
  </conditionalFormatting>
  <conditionalFormatting sqref="N826:O826 M827 O825">
    <cfRule type="expression" dxfId="11277" priority="12977">
      <formula>$H825="SUBETAPA"</formula>
    </cfRule>
    <cfRule type="expression" dxfId="11276" priority="12978">
      <formula>$H825="CÉLULA CONSTRUTIVA"</formula>
    </cfRule>
    <cfRule type="expression" dxfId="11275" priority="12979">
      <formula>$H825="ETAPA"</formula>
    </cfRule>
  </conditionalFormatting>
  <conditionalFormatting sqref="N832:O832">
    <cfRule type="expression" dxfId="11274" priority="68">
      <formula>$H832="SUBETAPA"</formula>
    </cfRule>
  </conditionalFormatting>
  <conditionalFormatting sqref="N834:O834">
    <cfRule type="expression" dxfId="11273" priority="12914">
      <formula>$H834="SUBETAPA"</formula>
    </cfRule>
  </conditionalFormatting>
  <conditionalFormatting sqref="N842:O842 M843">
    <cfRule type="expression" dxfId="11272" priority="12413">
      <formula>$H842="SUBETAPA"</formula>
    </cfRule>
    <cfRule type="expression" dxfId="11271" priority="12414">
      <formula>$H842="CÉLULA CONSTRUTIVA"</formula>
    </cfRule>
    <cfRule type="expression" dxfId="11270" priority="12415">
      <formula>$H842="ETAPA"</formula>
    </cfRule>
  </conditionalFormatting>
  <conditionalFormatting sqref="N848:O848">
    <cfRule type="expression" dxfId="11269" priority="33">
      <formula>$H848="SUBETAPA"</formula>
    </cfRule>
  </conditionalFormatting>
  <conditionalFormatting sqref="N850:O850">
    <cfRule type="expression" dxfId="11268" priority="12350">
      <formula>$H850="SUBETAPA"</formula>
    </cfRule>
  </conditionalFormatting>
  <conditionalFormatting sqref="N917:O917 G926:L927 M927:O927 G932:K934 G935:L935 G945:L946 M946:O946 G962:L963 M963:O963 G1053:O1053 O926:P926 M926 M1006 G1052:L1052 L981 G985:O985 L1001 G916:L917 G974:L974 G994:L996 G1005:O1005 L1007 G919:L919 N935:O935 N981:O981 N995:O996 N1001:O1001">
    <cfRule type="expression" dxfId="11267" priority="11337">
      <formula>$H916="ETAPA"</formula>
    </cfRule>
  </conditionalFormatting>
  <conditionalFormatting sqref="N937:O937 N956:O956 G980:L980 N980:O980">
    <cfRule type="expression" dxfId="11266" priority="10740">
      <formula>$H937="SUBETAPA"</formula>
    </cfRule>
    <cfRule type="expression" dxfId="11265" priority="10745">
      <formula>$H937="CÉLULA CONSTRUTIVA"</formula>
    </cfRule>
    <cfRule type="expression" dxfId="11264" priority="10746">
      <formula>$H937="ETAPA"</formula>
    </cfRule>
  </conditionalFormatting>
  <conditionalFormatting sqref="N957:O957">
    <cfRule type="expression" dxfId="11263" priority="6392">
      <formula>$H957="SUBETAPA"</formula>
    </cfRule>
    <cfRule type="expression" dxfId="11262" priority="6393">
      <formula>$H957="CÉLULA CONSTRUTIVA"</formula>
    </cfRule>
  </conditionalFormatting>
  <conditionalFormatting sqref="N973:O973">
    <cfRule type="expression" dxfId="11261" priority="6335">
      <formula>$H973="ETAPA"</formula>
    </cfRule>
    <cfRule type="expression" dxfId="11260" priority="6333">
      <formula>$H973="SUBETAPA"</formula>
    </cfRule>
    <cfRule type="expression" dxfId="11259" priority="6334">
      <formula>$H973="CÉLULA CONSTRUTIVA"</formula>
    </cfRule>
  </conditionalFormatting>
  <conditionalFormatting sqref="N978:O978">
    <cfRule type="expression" dxfId="11258" priority="6060">
      <formula>$H978="SUBETAPA"</formula>
    </cfRule>
  </conditionalFormatting>
  <conditionalFormatting sqref="N993:O993">
    <cfRule type="expression" dxfId="11257" priority="6292">
      <formula>$H993="CÉLULA CONSTRUTIVA"</formula>
    </cfRule>
    <cfRule type="expression" dxfId="11256" priority="6291">
      <formula>$H993="SUBETAPA"</formula>
    </cfRule>
    <cfRule type="expression" dxfId="11255" priority="6293">
      <formula>$H993="ETAPA"</formula>
    </cfRule>
  </conditionalFormatting>
  <conditionalFormatting sqref="N998:O998">
    <cfRule type="expression" dxfId="11254" priority="10847">
      <formula>$H998="SUBETAPA"</formula>
    </cfRule>
  </conditionalFormatting>
  <conditionalFormatting sqref="N1013:O1013">
    <cfRule type="expression" dxfId="11253" priority="6250">
      <formula>$H1013="CÉLULA CONSTRUTIVA"</formula>
    </cfRule>
    <cfRule type="expression" dxfId="11252" priority="6251">
      <formula>$H1013="ETAPA"</formula>
    </cfRule>
    <cfRule type="expression" dxfId="11251" priority="6249">
      <formula>$H1013="SUBETAPA"</formula>
    </cfRule>
  </conditionalFormatting>
  <conditionalFormatting sqref="N1018:O1018">
    <cfRule type="expression" dxfId="11250" priority="10412">
      <formula>$H1018="SUBETAPA"</formula>
    </cfRule>
  </conditionalFormatting>
  <conditionalFormatting sqref="N1037:O1037">
    <cfRule type="expression" dxfId="11249" priority="10245">
      <formula>$H1037="SUBETAPA"</formula>
    </cfRule>
  </conditionalFormatting>
  <conditionalFormatting sqref="N1051:O1051">
    <cfRule type="expression" dxfId="11248" priority="6166">
      <formula>$H1051="CÉLULA CONSTRUTIVA"</formula>
    </cfRule>
    <cfRule type="expression" dxfId="11247" priority="6165">
      <formula>$H1051="SUBETAPA"</formula>
    </cfRule>
    <cfRule type="expression" dxfId="11246" priority="6167">
      <formula>$H1051="ETAPA"</formula>
    </cfRule>
  </conditionalFormatting>
  <conditionalFormatting sqref="N1188:O1189 N1201:O1202 N1211:O1212 N1221:O1221 N1238:O1238 N1261:O1261 N1262 N1239 N1222">
    <cfRule type="expression" dxfId="11245" priority="9443">
      <formula>$H1188="CÉLULA CONSTRUTIVA"</formula>
    </cfRule>
  </conditionalFormatting>
  <conditionalFormatting sqref="N1188:O1189">
    <cfRule type="expression" dxfId="11244" priority="9399">
      <formula>$H1188="SUBETAPA"</formula>
    </cfRule>
  </conditionalFormatting>
  <conditionalFormatting sqref="N1201:O1201">
    <cfRule type="expression" dxfId="11243" priority="8865">
      <formula>$H1201="SUBETAPA"</formula>
    </cfRule>
  </conditionalFormatting>
  <conditionalFormatting sqref="N1202:O1202">
    <cfRule type="expression" dxfId="11242" priority="977">
      <formula>$H1202="SUBETAPA"</formula>
    </cfRule>
  </conditionalFormatting>
  <conditionalFormatting sqref="N1208:O1208">
    <cfRule type="expression" dxfId="11241" priority="5348">
      <formula>$H1208="ETAPA"</formula>
    </cfRule>
    <cfRule type="expression" dxfId="11240" priority="5330">
      <formula>$H1208="SUBETAPA"</formula>
    </cfRule>
    <cfRule type="expression" dxfId="11239" priority="5347">
      <formula>$H1208="CÉLULA CONSTRUTIVA"</formula>
    </cfRule>
  </conditionalFormatting>
  <conditionalFormatting sqref="N1211:O1211">
    <cfRule type="expression" dxfId="11238" priority="8760">
      <formula>$H1211="SUBETAPA"</formula>
    </cfRule>
  </conditionalFormatting>
  <conditionalFormatting sqref="N1212:O1212">
    <cfRule type="expression" dxfId="11237" priority="952">
      <formula>$H1212="SUBETAPA"</formula>
    </cfRule>
  </conditionalFormatting>
  <conditionalFormatting sqref="N1218:O1218">
    <cfRule type="expression" dxfId="11236" priority="5306">
      <formula>$H1218="ETAPA"</formula>
    </cfRule>
    <cfRule type="expression" dxfId="11235" priority="5288">
      <formula>$H1218="SUBETAPA"</formula>
    </cfRule>
    <cfRule type="expression" dxfId="11234" priority="5305">
      <formula>$H1218="CÉLULA CONSTRUTIVA"</formula>
    </cfRule>
  </conditionalFormatting>
  <conditionalFormatting sqref="N1221:O1221 N1222">
    <cfRule type="expression" dxfId="11233" priority="8650">
      <formula>$H1221="SUBETAPA"</formula>
    </cfRule>
  </conditionalFormatting>
  <conditionalFormatting sqref="N1224:O1224 G1223:K1224">
    <cfRule type="expression" dxfId="11232" priority="5690">
      <formula>$H1223="SUBETAPA"</formula>
    </cfRule>
    <cfRule type="expression" dxfId="11231" priority="5691">
      <formula>$H1223="CÉLULA CONSTRUTIVA"</formula>
    </cfRule>
  </conditionalFormatting>
  <conditionalFormatting sqref="N1235:O1235">
    <cfRule type="expression" dxfId="11230" priority="5246">
      <formula>$H1235="SUBETAPA"</formula>
    </cfRule>
    <cfRule type="expression" dxfId="11229" priority="5263">
      <formula>$H1235="CÉLULA CONSTRUTIVA"</formula>
    </cfRule>
    <cfRule type="expression" dxfId="11228" priority="5264">
      <formula>$H1235="ETAPA"</formula>
    </cfRule>
  </conditionalFormatting>
  <conditionalFormatting sqref="N1238:O1238">
    <cfRule type="expression" dxfId="11227" priority="8577">
      <formula>$H1238="SUBETAPA"</formula>
    </cfRule>
  </conditionalFormatting>
  <conditionalFormatting sqref="N1241:O1241 G1240:K1241">
    <cfRule type="expression" dxfId="11226" priority="5648">
      <formula>$H1240="SUBETAPA"</formula>
    </cfRule>
    <cfRule type="expression" dxfId="11225" priority="5649">
      <formula>$H1240="CÉLULA CONSTRUTIVA"</formula>
    </cfRule>
  </conditionalFormatting>
  <conditionalFormatting sqref="N1256:O1256 M1258:O1258">
    <cfRule type="expression" dxfId="11224" priority="5221">
      <formula>$H1256="CÉLULA CONSTRUTIVA"</formula>
    </cfRule>
    <cfRule type="expression" dxfId="11223" priority="5222">
      <formula>$H1256="ETAPA"</formula>
    </cfRule>
    <cfRule type="expression" dxfId="11222" priority="5204">
      <formula>$H1256="SUBETAPA"</formula>
    </cfRule>
  </conditionalFormatting>
  <conditionalFormatting sqref="N1261:O1261">
    <cfRule type="expression" dxfId="11221" priority="8464">
      <formula>$H1261="SUBETAPA"</formula>
    </cfRule>
  </conditionalFormatting>
  <conditionalFormatting sqref="N1264:O1264 G1263:K1264">
    <cfRule type="expression" dxfId="11220" priority="5607">
      <formula>$H1263="CÉLULA CONSTRUTIVA"</formula>
    </cfRule>
    <cfRule type="expression" dxfId="11219" priority="5606">
      <formula>$H1263="SUBETAPA"</formula>
    </cfRule>
  </conditionalFormatting>
  <conditionalFormatting sqref="N1279:O1279 M1281:O1281">
    <cfRule type="expression" dxfId="11218" priority="5146">
      <formula>$H1279="SUBETAPA"</formula>
    </cfRule>
    <cfRule type="expression" dxfId="11217" priority="5163">
      <formula>$H1279="CÉLULA CONSTRUTIVA"</formula>
    </cfRule>
    <cfRule type="expression" dxfId="11216" priority="5164">
      <formula>$H1279="ETAPA"</formula>
    </cfRule>
  </conditionalFormatting>
  <conditionalFormatting sqref="N1284:O1284">
    <cfRule type="expression" dxfId="11215" priority="8076">
      <formula>$H1284="CÉLULA CONSTRUTIVA"</formula>
    </cfRule>
    <cfRule type="expression" dxfId="11214" priority="8050">
      <formula>$H1284="SUBETAPA"</formula>
    </cfRule>
    <cfRule type="expression" dxfId="11213" priority="8077">
      <formula>$H1284="ETAPA"</formula>
    </cfRule>
  </conditionalFormatting>
  <conditionalFormatting sqref="N1285:O1285">
    <cfRule type="expression" dxfId="11212" priority="104">
      <formula>$H1285="SUBETAPA"</formula>
    </cfRule>
    <cfRule type="expression" dxfId="11211" priority="109">
      <formula>$H1285="ETAPA"</formula>
    </cfRule>
    <cfRule type="expression" dxfId="11210" priority="108">
      <formula>$H1285="CÉLULA CONSTRUTIVA"</formula>
    </cfRule>
  </conditionalFormatting>
  <conditionalFormatting sqref="N1298:O1298 M1300:O1300">
    <cfRule type="expression" dxfId="11209" priority="5105">
      <formula>$H1298="CÉLULA CONSTRUTIVA"</formula>
    </cfRule>
    <cfRule type="expression" dxfId="11208" priority="5106">
      <formula>$H1298="ETAPA"</formula>
    </cfRule>
    <cfRule type="expression" dxfId="11207" priority="5088">
      <formula>$H1298="SUBETAPA"</formula>
    </cfRule>
  </conditionalFormatting>
  <conditionalFormatting sqref="N1305:O1305">
    <cfRule type="expression" dxfId="11206" priority="5046">
      <formula>$H1305="ETAPA"</formula>
    </cfRule>
    <cfRule type="expression" dxfId="11205" priority="5028">
      <formula>$H1305="SUBETAPA"</formula>
    </cfRule>
    <cfRule type="expression" dxfId="11204" priority="5045">
      <formula>$H1305="CÉLULA CONSTRUTIVA"</formula>
    </cfRule>
  </conditionalFormatting>
  <conditionalFormatting sqref="N1307:O1307">
    <cfRule type="expression" dxfId="11203" priority="904">
      <formula>$H1307="ETAPA"</formula>
    </cfRule>
    <cfRule type="expression" dxfId="11202" priority="903">
      <formula>$H1307="CÉLULA CONSTRUTIVA"</formula>
    </cfRule>
    <cfRule type="expression" dxfId="11201" priority="901">
      <formula>$H1307="SUBETAPA"</formula>
    </cfRule>
  </conditionalFormatting>
  <conditionalFormatting sqref="N13:P14">
    <cfRule type="expression" dxfId="11200" priority="22592">
      <formula>$H13="SUBETAPA"</formula>
    </cfRule>
  </conditionalFormatting>
  <conditionalFormatting sqref="N16:P17">
    <cfRule type="expression" dxfId="11199" priority="22571">
      <formula>$H16="SUBETAPA"</formula>
    </cfRule>
  </conditionalFormatting>
  <conditionalFormatting sqref="N19:P20">
    <cfRule type="expression" dxfId="11198" priority="22550">
      <formula>$H19="SUBETAPA"</formula>
    </cfRule>
  </conditionalFormatting>
  <conditionalFormatting sqref="N31:P33">
    <cfRule type="expression" dxfId="11197" priority="22739">
      <formula>$H31="SUBETAPA"</formula>
    </cfRule>
  </conditionalFormatting>
  <conditionalFormatting sqref="N35:P35">
    <cfRule type="expression" dxfId="11196" priority="22718">
      <formula>$H35="SUBETAPA"</formula>
    </cfRule>
  </conditionalFormatting>
  <conditionalFormatting sqref="N38:P38">
    <cfRule type="expression" dxfId="11195" priority="22697">
      <formula>$H38="SUBETAPA"</formula>
    </cfRule>
  </conditionalFormatting>
  <conditionalFormatting sqref="N98:P98">
    <cfRule type="expression" dxfId="11194" priority="20349">
      <formula>$H98="SUBETAPA"</formula>
    </cfRule>
  </conditionalFormatting>
  <conditionalFormatting sqref="N119:P119">
    <cfRule type="expression" dxfId="11193" priority="20265">
      <formula>$H119="SUBETAPA"</formula>
    </cfRule>
  </conditionalFormatting>
  <conditionalFormatting sqref="N140:P140">
    <cfRule type="expression" dxfId="11192" priority="20164">
      <formula>$H140="SUBETAPA"</formula>
    </cfRule>
  </conditionalFormatting>
  <conditionalFormatting sqref="N172:P172">
    <cfRule type="expression" dxfId="11191" priority="20460">
      <formula>$H172="SUBETAPA"</formula>
    </cfRule>
  </conditionalFormatting>
  <conditionalFormatting sqref="N185:P185">
    <cfRule type="expression" dxfId="11190" priority="20024">
      <formula>$H185="SUBETAPA"</formula>
    </cfRule>
  </conditionalFormatting>
  <conditionalFormatting sqref="N199:P199">
    <cfRule type="expression" dxfId="11189" priority="19924">
      <formula>$H199="SUBETAPA"</formula>
    </cfRule>
  </conditionalFormatting>
  <conditionalFormatting sqref="N217:P217">
    <cfRule type="expression" dxfId="11188" priority="19827">
      <formula>$H217="SUBETAPA"</formula>
    </cfRule>
  </conditionalFormatting>
  <conditionalFormatting sqref="N369:P369">
    <cfRule type="expression" dxfId="11187" priority="19301">
      <formula>$H369="SUBETAPA"</formula>
    </cfRule>
  </conditionalFormatting>
  <conditionalFormatting sqref="N384:P384">
    <cfRule type="expression" dxfId="11186" priority="6653">
      <formula>$H384="SUBETAPA"</formula>
    </cfRule>
  </conditionalFormatting>
  <conditionalFormatting sqref="N1361:P1363">
    <cfRule type="expression" dxfId="11185" priority="7635">
      <formula>$H1361="SUBETAPA"</formula>
    </cfRule>
    <cfRule type="expression" dxfId="11184" priority="7636">
      <formula>$H1361="CÉLULA CONSTRUTIVA"</formula>
    </cfRule>
    <cfRule type="expression" dxfId="11183" priority="7637">
      <formula>$H1361="ETAPA"</formula>
    </cfRule>
  </conditionalFormatting>
  <conditionalFormatting sqref="O40:O47">
    <cfRule type="expression" dxfId="11182" priority="25053">
      <formula>$H40="ETAPA"</formula>
    </cfRule>
    <cfRule type="expression" dxfId="11181" priority="25052">
      <formula>$H40="CÉLULA CONSTRUTIVA"</formula>
    </cfRule>
  </conditionalFormatting>
  <conditionalFormatting sqref="O98">
    <cfRule type="expression" dxfId="11180" priority="20422">
      <formula>$H98="ETAPA"</formula>
    </cfRule>
    <cfRule type="expression" dxfId="11179" priority="20421">
      <formula>$H98="CÉLULA CONSTRUTIVA"</formula>
    </cfRule>
  </conditionalFormatting>
  <conditionalFormatting sqref="O119">
    <cfRule type="expression" dxfId="11178" priority="20281">
      <formula>$H119="ETAPA"</formula>
    </cfRule>
    <cfRule type="expression" dxfId="11177" priority="20280">
      <formula>$H119="CÉLULA CONSTRUTIVA"</formula>
    </cfRule>
  </conditionalFormatting>
  <conditionalFormatting sqref="O140">
    <cfRule type="expression" dxfId="11176" priority="20180">
      <formula>$H140="ETAPA"</formula>
    </cfRule>
    <cfRule type="expression" dxfId="11175" priority="20179">
      <formula>$H140="CÉLULA CONSTRUTIVA"</formula>
    </cfRule>
  </conditionalFormatting>
  <conditionalFormatting sqref="O172">
    <cfRule type="expression" dxfId="11174" priority="20557">
      <formula>$H172="CÉLULA CONSTRUTIVA"</formula>
    </cfRule>
    <cfRule type="expression" dxfId="11173" priority="20558">
      <formula>$H172="ETAPA"</formula>
    </cfRule>
  </conditionalFormatting>
  <conditionalFormatting sqref="O185">
    <cfRule type="expression" dxfId="11172" priority="20039">
      <formula>$H185="CÉLULA CONSTRUTIVA"</formula>
    </cfRule>
    <cfRule type="expression" dxfId="11171" priority="20040">
      <formula>$H185="ETAPA"</formula>
    </cfRule>
  </conditionalFormatting>
  <conditionalFormatting sqref="O199">
    <cfRule type="expression" dxfId="11170" priority="19939">
      <formula>$H199="CÉLULA CONSTRUTIVA"</formula>
    </cfRule>
    <cfRule type="expression" dxfId="11169" priority="19940">
      <formula>$H199="ETAPA"</formula>
    </cfRule>
  </conditionalFormatting>
  <conditionalFormatting sqref="O212:O213">
    <cfRule type="expression" dxfId="11168" priority="19766">
      <formula>$H212="SUBETAPA"</formula>
    </cfRule>
  </conditionalFormatting>
  <conditionalFormatting sqref="O217">
    <cfRule type="expression" dxfId="11167" priority="19843">
      <formula>$H217="ETAPA"</formula>
    </cfRule>
    <cfRule type="expression" dxfId="11166" priority="19842">
      <formula>$H217="CÉLULA CONSTRUTIVA"</formula>
    </cfRule>
  </conditionalFormatting>
  <conditionalFormatting sqref="O329">
    <cfRule type="expression" dxfId="11165" priority="25171">
      <formula>$H329="SUBETAPA"</formula>
    </cfRule>
    <cfRule type="expression" dxfId="11164" priority="25172">
      <formula>$H329="CÉLULA CONSTRUTIVA"</formula>
    </cfRule>
    <cfRule type="expression" dxfId="11163" priority="25173">
      <formula>$H329="ETAPA"</formula>
    </cfRule>
  </conditionalFormatting>
  <conditionalFormatting sqref="O351 M351">
    <cfRule type="expression" dxfId="11162" priority="7098">
      <formula>$H351="ETAPA"</formula>
    </cfRule>
  </conditionalFormatting>
  <conditionalFormatting sqref="O445 M445">
    <cfRule type="expression" dxfId="11161" priority="18501">
      <formula>$H445="CÉLULA CONSTRUTIVA"</formula>
    </cfRule>
  </conditionalFormatting>
  <conditionalFormatting sqref="O450 M450">
    <cfRule type="expression" dxfId="11160" priority="18478">
      <formula>$H450="CÉLULA CONSTRUTIVA"</formula>
    </cfRule>
  </conditionalFormatting>
  <conditionalFormatting sqref="O455 M455">
    <cfRule type="expression" dxfId="11159" priority="18455">
      <formula>$H455="CÉLULA CONSTRUTIVA"</formula>
    </cfRule>
  </conditionalFormatting>
  <conditionalFormatting sqref="O460 M460">
    <cfRule type="expression" dxfId="11158" priority="17518">
      <formula>$H460="CÉLULA CONSTRUTIVA"</formula>
    </cfRule>
  </conditionalFormatting>
  <conditionalFormatting sqref="O465 M465">
    <cfRule type="expression" dxfId="11157" priority="18432">
      <formula>$H465="CÉLULA CONSTRUTIVA"</formula>
    </cfRule>
  </conditionalFormatting>
  <conditionalFormatting sqref="O609">
    <cfRule type="expression" dxfId="11156" priority="25029">
      <formula>$H609="ETAPA"</formula>
    </cfRule>
    <cfRule type="expression" dxfId="11155" priority="25027">
      <formula>$H609="SUBETAPA"</formula>
    </cfRule>
    <cfRule type="expression" dxfId="11154" priority="25028">
      <formula>$H609="CÉLULA CONSTRUTIVA"</formula>
    </cfRule>
  </conditionalFormatting>
  <conditionalFormatting sqref="O610">
    <cfRule type="expression" dxfId="11153" priority="16003">
      <formula>$H610="SUBETAPA"</formula>
    </cfRule>
  </conditionalFormatting>
  <conditionalFormatting sqref="O624">
    <cfRule type="expression" dxfId="11152" priority="15827">
      <formula>$H624="SUBETAPA"</formula>
    </cfRule>
  </conditionalFormatting>
  <conditionalFormatting sqref="O636">
    <cfRule type="expression" dxfId="11151" priority="4938">
      <formula>$H636="SUBETAPA"</formula>
    </cfRule>
    <cfRule type="expression" dxfId="11150" priority="4939">
      <formula>$H636="CÉLULA CONSTRUTIVA"</formula>
    </cfRule>
    <cfRule type="expression" dxfId="11149" priority="4940">
      <formula>$H636="ETAPA"</formula>
    </cfRule>
  </conditionalFormatting>
  <conditionalFormatting sqref="O638">
    <cfRule type="expression" dxfId="11148" priority="15501">
      <formula>$H638="SUBETAPA"</formula>
    </cfRule>
  </conditionalFormatting>
  <conditionalFormatting sqref="O650">
    <cfRule type="expression" dxfId="11147" priority="4937">
      <formula>$H650="ETAPA"</formula>
    </cfRule>
    <cfRule type="expression" dxfId="11146" priority="4936">
      <formula>$H650="CÉLULA CONSTRUTIVA"</formula>
    </cfRule>
    <cfRule type="expression" dxfId="11145" priority="4935">
      <formula>$H650="SUBETAPA"</formula>
    </cfRule>
  </conditionalFormatting>
  <conditionalFormatting sqref="O652">
    <cfRule type="expression" dxfId="11144" priority="15338">
      <formula>$H652="SUBETAPA"</formula>
    </cfRule>
  </conditionalFormatting>
  <conditionalFormatting sqref="O664">
    <cfRule type="expression" dxfId="11143" priority="4932">
      <formula>$H664="SUBETAPA"</formula>
    </cfRule>
    <cfRule type="expression" dxfId="11142" priority="4933">
      <formula>$H664="CÉLULA CONSTRUTIVA"</formula>
    </cfRule>
    <cfRule type="expression" dxfId="11141" priority="4934">
      <formula>$H664="ETAPA"</formula>
    </cfRule>
  </conditionalFormatting>
  <conditionalFormatting sqref="O666">
    <cfRule type="expression" dxfId="11140" priority="15174">
      <formula>$H666="SUBETAPA"</formula>
    </cfRule>
  </conditionalFormatting>
  <conditionalFormatting sqref="O678">
    <cfRule type="expression" dxfId="11139" priority="4929">
      <formula>$H678="SUBETAPA"</formula>
    </cfRule>
    <cfRule type="expression" dxfId="11138" priority="4931">
      <formula>$H678="ETAPA"</formula>
    </cfRule>
    <cfRule type="expression" dxfId="11137" priority="4930">
      <formula>$H678="CÉLULA CONSTRUTIVA"</formula>
    </cfRule>
  </conditionalFormatting>
  <conditionalFormatting sqref="O680">
    <cfRule type="expression" dxfId="11136" priority="14494">
      <formula>$H680="SUBETAPA"</formula>
    </cfRule>
  </conditionalFormatting>
  <conditionalFormatting sqref="O692">
    <cfRule type="expression" dxfId="11135" priority="4926">
      <formula>$H692="SUBETAPA"</formula>
    </cfRule>
    <cfRule type="expression" dxfId="11134" priority="4927">
      <formula>$H692="CÉLULA CONSTRUTIVA"</formula>
    </cfRule>
    <cfRule type="expression" dxfId="11133" priority="4928">
      <formula>$H692="ETAPA"</formula>
    </cfRule>
  </conditionalFormatting>
  <conditionalFormatting sqref="O694">
    <cfRule type="expression" dxfId="11132" priority="15010">
      <formula>$H694="SUBETAPA"</formula>
    </cfRule>
  </conditionalFormatting>
  <conditionalFormatting sqref="O706">
    <cfRule type="expression" dxfId="11131" priority="4923">
      <formula>$H706="SUBETAPA"</formula>
    </cfRule>
    <cfRule type="expression" dxfId="11130" priority="4924">
      <formula>$H706="CÉLULA CONSTRUTIVA"</formula>
    </cfRule>
    <cfRule type="expression" dxfId="11129" priority="4925">
      <formula>$H706="ETAPA"</formula>
    </cfRule>
  </conditionalFormatting>
  <conditionalFormatting sqref="O711">
    <cfRule type="expression" dxfId="11128" priority="25211">
      <formula>$H711="SUBETAPA"</formula>
    </cfRule>
  </conditionalFormatting>
  <conditionalFormatting sqref="O734">
    <cfRule type="expression" dxfId="11127" priority="4801">
      <formula>$H734="SUBETAPA"</formula>
    </cfRule>
  </conditionalFormatting>
  <conditionalFormatting sqref="O740">
    <cfRule type="expression" dxfId="11126" priority="4800">
      <formula>$H740="SUBETAPA"</formula>
    </cfRule>
  </conditionalFormatting>
  <conditionalFormatting sqref="O746">
    <cfRule type="expression" dxfId="11125" priority="4799">
      <formula>$H746="SUBETAPA"</formula>
    </cfRule>
  </conditionalFormatting>
  <conditionalFormatting sqref="O803">
    <cfRule type="expression" dxfId="11124" priority="12536">
      <formula>$H803="SUBETAPA"</formula>
    </cfRule>
    <cfRule type="expression" dxfId="11123" priority="12537">
      <formula>$H803="CÉLULA CONSTRUTIVA"</formula>
    </cfRule>
    <cfRule type="expression" dxfId="11122" priority="12538">
      <formula>$H803="ETAPA"</formula>
    </cfRule>
  </conditionalFormatting>
  <conditionalFormatting sqref="O812">
    <cfRule type="expression" dxfId="11121" priority="12534">
      <formula>$H812="CÉLULA CONSTRUTIVA"</formula>
    </cfRule>
    <cfRule type="expression" dxfId="11120" priority="12535">
      <formula>$H812="ETAPA"</formula>
    </cfRule>
    <cfRule type="expression" dxfId="11119" priority="12533">
      <formula>$H812="SUBETAPA"</formula>
    </cfRule>
  </conditionalFormatting>
  <conditionalFormatting sqref="O813:O815">
    <cfRule type="expression" dxfId="11118" priority="876">
      <formula>$H813="CÉLULA CONSTRUTIVA"</formula>
    </cfRule>
    <cfRule type="expression" dxfId="11117" priority="877">
      <formula>$H813="ETAPA"</formula>
    </cfRule>
  </conditionalFormatting>
  <conditionalFormatting sqref="O820">
    <cfRule type="expression" dxfId="11116" priority="12524">
      <formula>$H820="SUBETAPA"</formula>
    </cfRule>
    <cfRule type="expression" dxfId="11115" priority="12525">
      <formula>$H820="CÉLULA CONSTRUTIVA"</formula>
    </cfRule>
    <cfRule type="expression" dxfId="11114" priority="12526">
      <formula>$H820="ETAPA"</formula>
    </cfRule>
  </conditionalFormatting>
  <conditionalFormatting sqref="O829">
    <cfRule type="expression" dxfId="11113" priority="12522">
      <formula>$H829="CÉLULA CONSTRUTIVA"</formula>
    </cfRule>
    <cfRule type="expression" dxfId="11112" priority="12523">
      <formula>$H829="ETAPA"</formula>
    </cfRule>
    <cfRule type="expression" dxfId="11111" priority="12521">
      <formula>$H829="SUBETAPA"</formula>
    </cfRule>
  </conditionalFormatting>
  <conditionalFormatting sqref="O830">
    <cfRule type="expression" dxfId="11110" priority="827">
      <formula>$H830="CÉLULA CONSTRUTIVA"</formula>
    </cfRule>
    <cfRule type="expression" dxfId="11109" priority="828">
      <formula>$H830="ETAPA"</formula>
    </cfRule>
  </conditionalFormatting>
  <conditionalFormatting sqref="O831">
    <cfRule type="expression" dxfId="11108" priority="606">
      <formula>$H831="CÉLULA CONSTRUTIVA"</formula>
    </cfRule>
    <cfRule type="expression" dxfId="11107" priority="607">
      <formula>$H831="ETAPA"</formula>
    </cfRule>
    <cfRule type="expression" dxfId="11106" priority="605">
      <formula>$H831="SUBETAPA"</formula>
    </cfRule>
  </conditionalFormatting>
  <conditionalFormatting sqref="O832">
    <cfRule type="expression" dxfId="11105" priority="69">
      <formula>$H832="CÉLULA CONSTRUTIVA"</formula>
    </cfRule>
    <cfRule type="expression" dxfId="11104" priority="70">
      <formula>$H832="ETAPA"</formula>
    </cfRule>
  </conditionalFormatting>
  <conditionalFormatting sqref="O837">
    <cfRule type="expression" dxfId="11103" priority="12519">
      <formula>$H837="CÉLULA CONSTRUTIVA"</formula>
    </cfRule>
    <cfRule type="expression" dxfId="11102" priority="12520">
      <formula>$H837="ETAPA"</formula>
    </cfRule>
    <cfRule type="expression" dxfId="11101" priority="12518">
      <formula>$H837="SUBETAPA"</formula>
    </cfRule>
  </conditionalFormatting>
  <conditionalFormatting sqref="O845">
    <cfRule type="expression" dxfId="11100" priority="12259">
      <formula>$H845="ETAPA"</formula>
    </cfRule>
    <cfRule type="expression" dxfId="11099" priority="12258">
      <formula>$H845="CÉLULA CONSTRUTIVA"</formula>
    </cfRule>
    <cfRule type="expression" dxfId="11098" priority="12257">
      <formula>$H845="SUBETAPA"</formula>
    </cfRule>
  </conditionalFormatting>
  <conditionalFormatting sqref="O847">
    <cfRule type="expression" dxfId="11097" priority="603">
      <formula>$H847="CÉLULA CONSTRUTIVA"</formula>
    </cfRule>
    <cfRule type="expression" dxfId="11096" priority="604">
      <formula>$H847="ETAPA"</formula>
    </cfRule>
    <cfRule type="expression" dxfId="11095" priority="602">
      <formula>$H847="SUBETAPA"</formula>
    </cfRule>
  </conditionalFormatting>
  <conditionalFormatting sqref="O848">
    <cfRule type="expression" dxfId="11094" priority="34">
      <formula>$H848="CÉLULA CONSTRUTIVA"</formula>
    </cfRule>
    <cfRule type="expression" dxfId="11093" priority="35">
      <formula>$H848="ETAPA"</formula>
    </cfRule>
  </conditionalFormatting>
  <conditionalFormatting sqref="O853">
    <cfRule type="expression" dxfId="11092" priority="12254">
      <formula>$H853="SUBETAPA"</formula>
    </cfRule>
    <cfRule type="expression" dxfId="11091" priority="12256">
      <formula>$H853="ETAPA"</formula>
    </cfRule>
    <cfRule type="expression" dxfId="11090" priority="12255">
      <formula>$H853="CÉLULA CONSTRUTIVA"</formula>
    </cfRule>
  </conditionalFormatting>
  <conditionalFormatting sqref="O861">
    <cfRule type="expression" dxfId="11089" priority="12487">
      <formula>$H861="ETAPA"</formula>
    </cfRule>
    <cfRule type="expression" dxfId="11088" priority="12486">
      <formula>$H861="CÉLULA CONSTRUTIVA"</formula>
    </cfRule>
    <cfRule type="expression" dxfId="11087" priority="12485">
      <formula>$H861="SUBETAPA"</formula>
    </cfRule>
  </conditionalFormatting>
  <conditionalFormatting sqref="O864">
    <cfRule type="expression" dxfId="11086" priority="12476">
      <formula>$H864="SUBETAPA"</formula>
    </cfRule>
    <cfRule type="expression" dxfId="11085" priority="12477">
      <formula>$H864="CÉLULA CONSTRUTIVA"</formula>
    </cfRule>
    <cfRule type="expression" dxfId="11084" priority="12478">
      <formula>$H864="ETAPA"</formula>
    </cfRule>
  </conditionalFormatting>
  <conditionalFormatting sqref="O886">
    <cfRule type="expression" dxfId="11083" priority="6544">
      <formula>$H886="ETAPA"</formula>
    </cfRule>
  </conditionalFormatting>
  <conditionalFormatting sqref="O893">
    <cfRule type="expression" dxfId="11082" priority="2361">
      <formula>$H893="ETAPA"</formula>
    </cfRule>
  </conditionalFormatting>
  <conditionalFormatting sqref="O900">
    <cfRule type="expression" dxfId="11081" priority="2288">
      <formula>$H900="ETAPA"</formula>
    </cfRule>
  </conditionalFormatting>
  <conditionalFormatting sqref="O913:O914">
    <cfRule type="expression" dxfId="11080" priority="11287">
      <formula>$H913="SUBETAPA"</formula>
    </cfRule>
    <cfRule type="expression" dxfId="11079" priority="11288">
      <formula>$H913="CÉLULA CONSTRUTIVA"</formula>
    </cfRule>
    <cfRule type="expression" dxfId="11078" priority="11289">
      <formula>$H913="ETAPA"</formula>
    </cfRule>
  </conditionalFormatting>
  <conditionalFormatting sqref="O933:O934">
    <cfRule type="expression" dxfId="11077" priority="11158">
      <formula>$H933="CÉLULA CONSTRUTIVA"</formula>
    </cfRule>
    <cfRule type="expression" dxfId="11076" priority="11157">
      <formula>$H933="SUBETAPA"</formula>
    </cfRule>
    <cfRule type="expression" dxfId="11075" priority="11159">
      <formula>$H933="ETAPA"</formula>
    </cfRule>
  </conditionalFormatting>
  <conditionalFormatting sqref="O952:O953">
    <cfRule type="expression" dxfId="11074" priority="11079">
      <formula>$H952="ETAPA"</formula>
    </cfRule>
    <cfRule type="expression" dxfId="11073" priority="11078">
      <formula>$H952="CÉLULA CONSTRUTIVA"</formula>
    </cfRule>
    <cfRule type="expression" dxfId="11072" priority="11077">
      <formula>$H952="SUBETAPA"</formula>
    </cfRule>
  </conditionalFormatting>
  <conditionalFormatting sqref="O968:O969">
    <cfRule type="expression" dxfId="11071" priority="10993">
      <formula>$H968="ETAPA"</formula>
    </cfRule>
    <cfRule type="expression" dxfId="11070" priority="10992">
      <formula>$H968="CÉLULA CONSTRUTIVA"</formula>
    </cfRule>
    <cfRule type="expression" dxfId="11069" priority="10991">
      <formula>$H968="SUBETAPA"</formula>
    </cfRule>
  </conditionalFormatting>
  <conditionalFormatting sqref="O988:O989">
    <cfRule type="expression" dxfId="11068" priority="10870">
      <formula>$H988="SUBETAPA"</formula>
    </cfRule>
    <cfRule type="expression" dxfId="11067" priority="10871">
      <formula>$H988="CÉLULA CONSTRUTIVA"</formula>
    </cfRule>
    <cfRule type="expression" dxfId="11066" priority="10872">
      <formula>$H988="ETAPA"</formula>
    </cfRule>
  </conditionalFormatting>
  <conditionalFormatting sqref="O1008:O1009">
    <cfRule type="expression" dxfId="11065" priority="10436">
      <formula>$H1008="CÉLULA CONSTRUTIVA"</formula>
    </cfRule>
    <cfRule type="expression" dxfId="11064" priority="10437">
      <formula>$H1008="ETAPA"</formula>
    </cfRule>
    <cfRule type="expression" dxfId="11063" priority="10435">
      <formula>$H1008="SUBETAPA"</formula>
    </cfRule>
  </conditionalFormatting>
  <conditionalFormatting sqref="O1028:O1029">
    <cfRule type="expression" dxfId="11062" priority="10268">
      <formula>$H1028="SUBETAPA"</formula>
    </cfRule>
    <cfRule type="expression" dxfId="11061" priority="10269">
      <formula>$H1028="CÉLULA CONSTRUTIVA"</formula>
    </cfRule>
    <cfRule type="expression" dxfId="11060" priority="10270">
      <formula>$H1028="ETAPA"</formula>
    </cfRule>
  </conditionalFormatting>
  <conditionalFormatting sqref="O1047:O1048">
    <cfRule type="expression" dxfId="11059" priority="10676">
      <formula>$H1047="SUBETAPA"</formula>
    </cfRule>
    <cfRule type="expression" dxfId="11058" priority="10678">
      <formula>$H1047="ETAPA"</formula>
    </cfRule>
    <cfRule type="expression" dxfId="11057" priority="10677">
      <formula>$H1047="CÉLULA CONSTRUTIVA"</formula>
    </cfRule>
  </conditionalFormatting>
  <conditionalFormatting sqref="O1161:O1163">
    <cfRule type="expression" dxfId="11056" priority="600">
      <formula>$H1161="CÉLULA CONSTRUTIVA"</formula>
    </cfRule>
    <cfRule type="expression" dxfId="11055" priority="601">
      <formula>$H1161="ETAPA"</formula>
    </cfRule>
    <cfRule type="expression" dxfId="11054" priority="599">
      <formula>$H1161="SUBETAPA"</formula>
    </cfRule>
  </conditionalFormatting>
  <conditionalFormatting sqref="O1222">
    <cfRule type="expression" dxfId="11053" priority="73">
      <formula>$H1222="ETAPA"</formula>
    </cfRule>
    <cfRule type="expression" dxfId="11052" priority="72">
      <formula>$H1222="CÉLULA CONSTRUTIVA"</formula>
    </cfRule>
    <cfRule type="expression" dxfId="11051" priority="71">
      <formula>$H1222="SUBETAPA"</formula>
    </cfRule>
  </conditionalFormatting>
  <conditionalFormatting sqref="O1239">
    <cfRule type="expression" dxfId="11050" priority="75">
      <formula>$H1239="CÉLULA CONSTRUTIVA"</formula>
    </cfRule>
    <cfRule type="expression" dxfId="11049" priority="74">
      <formula>$H1239="SUBETAPA"</formula>
    </cfRule>
    <cfRule type="expression" dxfId="11048" priority="76">
      <formula>$H1239="ETAPA"</formula>
    </cfRule>
  </conditionalFormatting>
  <conditionalFormatting sqref="O1262">
    <cfRule type="expression" dxfId="11047" priority="79">
      <formula>$H1262="ETAPA"</formula>
    </cfRule>
    <cfRule type="expression" dxfId="11046" priority="78">
      <formula>$H1262="CÉLULA CONSTRUTIVA"</formula>
    </cfRule>
    <cfRule type="expression" dxfId="11045" priority="77">
      <formula>$H1262="SUBETAPA"</formula>
    </cfRule>
  </conditionalFormatting>
  <conditionalFormatting sqref="O12:P12 N13:O14 O15:P15 O18:P18 O21:P23 O30:P30 O34:P34 N35:O35 M25:O25 N24:O24 M27:O27 N26:O26">
    <cfRule type="expression" dxfId="11044" priority="25379">
      <formula>$H12="CÉLULA CONSTRUTIVA"</formula>
    </cfRule>
    <cfRule type="expression" dxfId="11043" priority="25380">
      <formula>$H12="ETAPA"</formula>
    </cfRule>
  </conditionalFormatting>
  <conditionalFormatting sqref="O12:P12 O15:P15 O18:P18 O21:P23 M25:O25 O30:P30 O34:P34 N24:O24 M27:O27 N26:O26">
    <cfRule type="expression" dxfId="11042" priority="25378">
      <formula>$H12="SUBETAPA"</formula>
    </cfRule>
  </conditionalFormatting>
  <conditionalFormatting sqref="O36:P37 I36:K38">
    <cfRule type="expression" dxfId="11041" priority="25390">
      <formula>$H36="SUBETAPA"</formula>
    </cfRule>
    <cfRule type="expression" dxfId="11040" priority="25391">
      <formula>$H36="CÉLULA CONSTRUTIVA"</formula>
    </cfRule>
    <cfRule type="expression" dxfId="11039" priority="25392">
      <formula>$H36="ETAPA"</formula>
    </cfRule>
  </conditionalFormatting>
  <conditionalFormatting sqref="O39:P39 N40:N41">
    <cfRule type="expression" dxfId="11038" priority="25524">
      <formula>$H39="CÉLULA CONSTRUTIVA"</formula>
    </cfRule>
    <cfRule type="expression" dxfId="11037" priority="25525">
      <formula>$H39="ETAPA"</formula>
    </cfRule>
  </conditionalFormatting>
  <conditionalFormatting sqref="O39:P48">
    <cfRule type="expression" dxfId="11036" priority="22676">
      <formula>$H39="SUBETAPA"</formula>
    </cfRule>
  </conditionalFormatting>
  <conditionalFormatting sqref="O78:P79 N87:N88 O97:P97 O99:P99">
    <cfRule type="expression" dxfId="11035" priority="20428">
      <formula>$H78="SUBETAPA"</formula>
    </cfRule>
  </conditionalFormatting>
  <conditionalFormatting sqref="O101:P102 N108:N109 O118:P118 O120:P120">
    <cfRule type="expression" dxfId="11034" priority="20285">
      <formula>$H101="SUBETAPA"</formula>
    </cfRule>
  </conditionalFormatting>
  <conditionalFormatting sqref="O122:P123 N129:N130 O139:P139 O141:P141">
    <cfRule type="expression" dxfId="11033" priority="20184">
      <formula>$H122="SUBETAPA"</formula>
    </cfRule>
  </conditionalFormatting>
  <conditionalFormatting sqref="O143:P144 N148:N149 O159:P159">
    <cfRule type="expression" dxfId="11032" priority="20132">
      <formula>$H143="SUBETAPA"</formula>
    </cfRule>
  </conditionalFormatting>
  <conditionalFormatting sqref="O161:P162 O171:P171 O173:P173">
    <cfRule type="expression" dxfId="11031" priority="20564">
      <formula>$H161="SUBETAPA"</formula>
    </cfRule>
  </conditionalFormatting>
  <conditionalFormatting sqref="O165:P165 O169:P169 O171:P171 G161:K162 O161:P162 N172 O173:P173">
    <cfRule type="expression" dxfId="11030" priority="20569">
      <formula>$H161="CÉLULA CONSTRUTIVA"</formula>
    </cfRule>
  </conditionalFormatting>
  <conditionalFormatting sqref="O175:P176 O184:P184 O186:P186">
    <cfRule type="expression" dxfId="11029" priority="20044">
      <formula>$H175="SUBETAPA"</formula>
    </cfRule>
  </conditionalFormatting>
  <conditionalFormatting sqref="O188:P189 O198:P198 O200:P200">
    <cfRule type="expression" dxfId="11028" priority="19943">
      <formula>$H188="SUBETAPA"</formula>
    </cfRule>
  </conditionalFormatting>
  <conditionalFormatting sqref="O202:P203 O216:P216 O218:P218">
    <cfRule type="expression" dxfId="11027" priority="19846">
      <formula>$H202="SUBETAPA"</formula>
    </cfRule>
  </conditionalFormatting>
  <conditionalFormatting sqref="O271:P271">
    <cfRule type="expression" dxfId="11026" priority="7371">
      <formula>$H271="CÉLULA CONSTRUTIVA"</formula>
    </cfRule>
  </conditionalFormatting>
  <conditionalFormatting sqref="O290:P290 G290:M290 G291:I291 K291">
    <cfRule type="expression" dxfId="11025" priority="21302">
      <formula>$H290="CÉLULA CONSTRUTIVA"</formula>
    </cfRule>
  </conditionalFormatting>
  <conditionalFormatting sqref="O312:P312 G312:M312 G313:I313 K313">
    <cfRule type="expression" dxfId="11024" priority="21060">
      <formula>$H312="CÉLULA CONSTRUTIVA"</formula>
    </cfRule>
  </conditionalFormatting>
  <conditionalFormatting sqref="O321:P321 G321:M321 G322:I322 K322">
    <cfRule type="expression" dxfId="11023" priority="20682">
      <formula>$H321="CÉLULA CONSTRUTIVA"</formula>
    </cfRule>
  </conditionalFormatting>
  <conditionalFormatting sqref="O324:P324 G324:M324 G325:I325 K325">
    <cfRule type="expression" dxfId="11022" priority="20644">
      <formula>$H324="CÉLULA CONSTRUTIVA"</formula>
    </cfRule>
  </conditionalFormatting>
  <conditionalFormatting sqref="O327:P327 G327:M327 G328:I328 K328">
    <cfRule type="expression" dxfId="11021" priority="20606">
      <formula>$H327="CÉLULA CONSTRUTIVA"</formula>
    </cfRule>
  </conditionalFormatting>
  <conditionalFormatting sqref="O331:P331 M331 K335">
    <cfRule type="expression" dxfId="11020" priority="19743">
      <formula>$H331="SUBETAPA"</formula>
    </cfRule>
  </conditionalFormatting>
  <conditionalFormatting sqref="O334:P334 O340 M340">
    <cfRule type="expression" dxfId="11019" priority="19747">
      <formula>$H334="ETAPA"</formula>
    </cfRule>
  </conditionalFormatting>
  <conditionalFormatting sqref="O334:P334 O336:P336 O340:P340">
    <cfRule type="expression" dxfId="11018" priority="19734">
      <formula>$H334="CÉLULA CONSTRUTIVA"</formula>
    </cfRule>
  </conditionalFormatting>
  <conditionalFormatting sqref="O336:P336 O340:P340 O334:P334">
    <cfRule type="expression" dxfId="11017" priority="19733">
      <formula>$H334="SUBETAPA"</formula>
    </cfRule>
  </conditionalFormatting>
  <conditionalFormatting sqref="O336:P336">
    <cfRule type="expression" dxfId="11016" priority="19735">
      <formula>$H336="ETAPA"</formula>
    </cfRule>
  </conditionalFormatting>
  <conditionalFormatting sqref="O338:P338 M338">
    <cfRule type="expression" dxfId="11015" priority="6776">
      <formula>$H338="SUBETAPA"</formula>
    </cfRule>
  </conditionalFormatting>
  <conditionalFormatting sqref="O338:P338">
    <cfRule type="expression" dxfId="11014" priority="6778">
      <formula>$H338="ETAPA"</formula>
    </cfRule>
  </conditionalFormatting>
  <conditionalFormatting sqref="O347:P347 M347">
    <cfRule type="expression" dxfId="11013" priority="7094">
      <formula>$H347="SUBETAPA"</formula>
    </cfRule>
  </conditionalFormatting>
  <conditionalFormatting sqref="O351:P351 P349">
    <cfRule type="expression" dxfId="11012" priority="7086">
      <formula>$H349="SUBETAPA"</formula>
    </cfRule>
  </conditionalFormatting>
  <conditionalFormatting sqref="O355:P355 M355 K358">
    <cfRule type="expression" dxfId="11011" priority="6905">
      <formula>$H355="SUBETAPA"</formula>
    </cfRule>
  </conditionalFormatting>
  <conditionalFormatting sqref="O357:P357 O359 M359">
    <cfRule type="expression" dxfId="11010" priority="6909">
      <formula>$H357="ETAPA"</formula>
    </cfRule>
  </conditionalFormatting>
  <conditionalFormatting sqref="O357:P357 O359:P359">
    <cfRule type="expression" dxfId="11009" priority="6898">
      <formula>$H357="CÉLULA CONSTRUTIVA"</formula>
    </cfRule>
  </conditionalFormatting>
  <conditionalFormatting sqref="O359:P359 O357:P357">
    <cfRule type="expression" dxfId="11008" priority="6897">
      <formula>$H357="SUBETAPA"</formula>
    </cfRule>
  </conditionalFormatting>
  <conditionalFormatting sqref="O362:P363 M362:M363">
    <cfRule type="expression" dxfId="11007" priority="19375">
      <formula>$H362="SUBETAPA"</formula>
    </cfRule>
  </conditionalFormatting>
  <conditionalFormatting sqref="O366:P366 O370 M370">
    <cfRule type="expression" dxfId="11006" priority="19378">
      <formula>$H366="ETAPA"</formula>
    </cfRule>
  </conditionalFormatting>
  <conditionalFormatting sqref="O366:P366 P368 N369:O369 O370:P370">
    <cfRule type="expression" dxfId="11005" priority="19363">
      <formula>$H366="CÉLULA CONSTRUTIVA"</formula>
    </cfRule>
  </conditionalFormatting>
  <conditionalFormatting sqref="O370:P370 P368 O366:P366">
    <cfRule type="expression" dxfId="11004" priority="19362">
      <formula>$H366="SUBETAPA"</formula>
    </cfRule>
  </conditionalFormatting>
  <conditionalFormatting sqref="O375:P376 M375:M376">
    <cfRule type="expression" dxfId="11003" priority="19158">
      <formula>$H375="SUBETAPA"</formula>
    </cfRule>
  </conditionalFormatting>
  <conditionalFormatting sqref="O379:P379 M381 O381:P381 O385:P385">
    <cfRule type="expression" dxfId="11002" priority="19146">
      <formula>$H379="CÉLULA CONSTRUTIVA"</formula>
    </cfRule>
  </conditionalFormatting>
  <conditionalFormatting sqref="O379:P379 O385 M385">
    <cfRule type="expression" dxfId="11001" priority="19161">
      <formula>$H379="ETAPA"</formula>
    </cfRule>
  </conditionalFormatting>
  <conditionalFormatting sqref="O381:P381 O385:P385 O379:P379 M381">
    <cfRule type="expression" dxfId="11000" priority="19145">
      <formula>$H379="SUBETAPA"</formula>
    </cfRule>
  </conditionalFormatting>
  <conditionalFormatting sqref="O381:P381">
    <cfRule type="expression" dxfId="10999" priority="19147">
      <formula>$H381="ETAPA"</formula>
    </cfRule>
  </conditionalFormatting>
  <conditionalFormatting sqref="O391:P392 M391:M392">
    <cfRule type="expression" dxfId="10998" priority="19040">
      <formula>$H391="SUBETAPA"</formula>
    </cfRule>
  </conditionalFormatting>
  <conditionalFormatting sqref="O394:P394 M396 O396:P396 O398:P398">
    <cfRule type="expression" dxfId="10997" priority="19028">
      <formula>$H394="CÉLULA CONSTRUTIVA"</formula>
    </cfRule>
  </conditionalFormatting>
  <conditionalFormatting sqref="O394:P394 O398 M398">
    <cfRule type="expression" dxfId="10996" priority="19043">
      <formula>$H394="ETAPA"</formula>
    </cfRule>
  </conditionalFormatting>
  <conditionalFormatting sqref="O396:P396 O398:P398 O394:P394 M396">
    <cfRule type="expression" dxfId="10995" priority="19027">
      <formula>$H394="SUBETAPA"</formula>
    </cfRule>
  </conditionalFormatting>
  <conditionalFormatting sqref="O396:P396">
    <cfRule type="expression" dxfId="10994" priority="19029">
      <formula>$H396="ETAPA"</formula>
    </cfRule>
  </conditionalFormatting>
  <conditionalFormatting sqref="O402:P403 M402:M403 K409">
    <cfRule type="expression" dxfId="10993" priority="18891">
      <formula>$H402="SUBETAPA"</formula>
    </cfRule>
  </conditionalFormatting>
  <conditionalFormatting sqref="O406:P406 M410 O410:P410 O412:P412">
    <cfRule type="expression" dxfId="10992" priority="18879">
      <formula>$H406="CÉLULA CONSTRUTIVA"</formula>
    </cfRule>
  </conditionalFormatting>
  <conditionalFormatting sqref="O406:P406 O412 M412">
    <cfRule type="expression" dxfId="10991" priority="18895">
      <formula>$H406="ETAPA"</formula>
    </cfRule>
  </conditionalFormatting>
  <conditionalFormatting sqref="O408:P408">
    <cfRule type="expression" dxfId="10990" priority="18809">
      <formula>$H408="SUBETAPA"</formula>
    </cfRule>
    <cfRule type="expression" dxfId="10989" priority="18810">
      <formula>$H408="CÉLULA CONSTRUTIVA"</formula>
    </cfRule>
    <cfRule type="expression" dxfId="10988" priority="18811">
      <formula>$H408="ETAPA"</formula>
    </cfRule>
  </conditionalFormatting>
  <conditionalFormatting sqref="O410:P410 O412:P412 O406:P406 M410">
    <cfRule type="expression" dxfId="10987" priority="18878">
      <formula>$H406="SUBETAPA"</formula>
    </cfRule>
  </conditionalFormatting>
  <conditionalFormatting sqref="O410:P410">
    <cfRule type="expression" dxfId="10986" priority="18880">
      <formula>$H410="ETAPA"</formula>
    </cfRule>
  </conditionalFormatting>
  <conditionalFormatting sqref="O418:P419 M418:M419 K425">
    <cfRule type="expression" dxfId="10985" priority="18705">
      <formula>$H418="SUBETAPA"</formula>
    </cfRule>
  </conditionalFormatting>
  <conditionalFormatting sqref="O422:P422 O426 M426">
    <cfRule type="expression" dxfId="10984" priority="18709">
      <formula>$H422="ETAPA"</formula>
    </cfRule>
  </conditionalFormatting>
  <conditionalFormatting sqref="O422:P422 O426:P426">
    <cfRule type="expression" dxfId="10983" priority="18694">
      <formula>$H422="CÉLULA CONSTRUTIVA"</formula>
    </cfRule>
  </conditionalFormatting>
  <conditionalFormatting sqref="O424:P424">
    <cfRule type="expression" dxfId="10982" priority="18649">
      <formula>$H424="ETAPA"</formula>
    </cfRule>
    <cfRule type="expression" dxfId="10981" priority="18648">
      <formula>$H424="CÉLULA CONSTRUTIVA"</formula>
    </cfRule>
    <cfRule type="expression" dxfId="10980" priority="18647">
      <formula>$H424="SUBETAPA"</formula>
    </cfRule>
  </conditionalFormatting>
  <conditionalFormatting sqref="O426:P426 O422:P422">
    <cfRule type="expression" dxfId="10979" priority="18693">
      <formula>$H422="SUBETAPA"</formula>
    </cfRule>
  </conditionalFormatting>
  <conditionalFormatting sqref="O435:P435 M435">
    <cfRule type="expression" dxfId="10978" priority="18583">
      <formula>$H435="CÉLULA CONSTRUTIVA"</formula>
    </cfRule>
  </conditionalFormatting>
  <conditionalFormatting sqref="O440:P440 M440">
    <cfRule type="expression" dxfId="10977" priority="18541">
      <formula>$H440="CÉLULA CONSTRUTIVA"</formula>
    </cfRule>
  </conditionalFormatting>
  <conditionalFormatting sqref="O470:P470">
    <cfRule type="expression" dxfId="10976" priority="25031">
      <formula>$H470="CÉLULA CONSTRUTIVA"</formula>
    </cfRule>
    <cfRule type="expression" dxfId="10975" priority="25030">
      <formula>$H470="SUBETAPA"</formula>
    </cfRule>
    <cfRule type="expression" dxfId="10974" priority="25032">
      <formula>$H470="ETAPA"</formula>
    </cfRule>
  </conditionalFormatting>
  <conditionalFormatting sqref="O471:P472 G471:L474 M471:M472 G491:L506 G508:L523 G525:L542 G595:L608 M473:O473">
    <cfRule type="expression" dxfId="10973" priority="17383">
      <formula>$H471="CÉLULA CONSTRUTIVA"</formula>
    </cfRule>
  </conditionalFormatting>
  <conditionalFormatting sqref="O471:P472">
    <cfRule type="expression" dxfId="10972" priority="17365">
      <formula>$H471="SUBETAPA"</formula>
    </cfRule>
  </conditionalFormatting>
  <conditionalFormatting sqref="O472:P472 P474 P478 P480 P488">
    <cfRule type="expression" dxfId="10971" priority="17374">
      <formula>$H472="ETAPA"</formula>
    </cfRule>
  </conditionalFormatting>
  <conditionalFormatting sqref="O474:P474 O478:P478 O480:P480 O488:P488 P476 M474 M477:O477 M478 M479:O479 M480 M481:O481 M482 O482:P482 M483:O483 M484 O484:P484 M485:O485 M486 O486:P486 M487:O487 M488 M489:O489 P493 M494:O494 M495 O495:P495 M496:O496 M497 O497:P497 M498:O498 M499 O499:P499 M500:O500 M501 O501:P501 M502:O502 M503 O503:P503 M504:O504 M505 O505:P505 M506:O506 P510 M511:O511 M512 O512:P512 M513:O513 M514 O514:P514 M515:O515 M516 O516:P516 M517:O517 M518 O518:P518 M519:O519 M520 O520:P520 M521:O521 M522 O522:P522 M523:O523 M528:O528 P529 M530:O530 M531 O531:P531 M532:O532 M533 O533:P533 M534:O534 M535 O535:P535 M536:O536 M537 O537:P537 M538:O538 M539 O539:P539 M540:O540 M541 O541:P541 M542:O542 P546 M547:O547 M548 O548:P548 M549:O549 M550 O550:P550 M551:O551 M552 O552:P552 M553:O553 M554 O554:P554 M555:O555 M556 O556:P556 M557:O557 M558 O558:P558 M559:O559 P563 M564:O564 M565 O565:P565 M566:O566 M567 O567:P567 M568:O568 M569 O569:P569 M570:O570 M571 O571:P571 M572:O572 M573 O573:P573 M574:O574 M575 O575:P575 M576:O576 M597 O597:P597 M598:O598 M599 O599:P599 M600:O600 M601 O601:P601 M602:O602 M603 O603:P603 M604:O604 M605 O605:P605 M606:O606 M607 O607:P607 M608:O608 P580 M581:O581 M582 O582:P582 M583:O583 M584 O584:P584 M585:O585 M586 O586:P586 M587:O587 M588 O588:P588 M589:O589 M590 O590:P590 M591:O591 M592 O592:P592 M593:O593">
    <cfRule type="expression" dxfId="10970" priority="17375">
      <formula>$H474="CÉLULA CONSTRUTIVA"</formula>
    </cfRule>
  </conditionalFormatting>
  <conditionalFormatting sqref="O474:P474 P476 M477:O477 M478 O478:P478 M479:O479 M480 O480:P480 M481:O481 M482 O482:P482 M483:O483 M484 O484:P484 M485:O485 M486 O486:P486 M487:O487 M488 O488:P488 M489:O489 P493 M494:O494 M495 O495:P495 M496:O496 M497 O497:P497 M498:O498 M499 O499:P499 M500:O500 M501 O501:P501 M502:O502 M503 O503:P503 M504:O504 M505 O505:P505 M506:O506 P510 M511:O511 M512 O512:P512 M513:O513 M514 O514:P514 M515:O515 M516 O516:P516 M517:O517 M518 O518:P518 M519:O519 M520 O520:P520 M521:O521 M522 O522:P522 M523:O523 P529 M530:O530 M531 O531:P531 M532:O532 M533 O533:P533 M534:O534 M535 O535:P535 M536:O536 M537 O537:P537 M538:O538 M539 O539:P539 M540:O540 M541 O541:P541 M542:O542 P546 M547:O547 M548 O548:P548 M549:O549 M550 O550:P550 M551:O551 M552 O552:P552 M553:O553 M554 O554:P554 M555:O555 M556 O556:P556 M557:O557 M558 O558:P558 M559:O559 P563 M564:O564 M565 O565:P565 M566:O566 M567 O567:P567 M568:O568 M569 O569:P569 M570:O570 M571 O571:P571 M572:O572 M573 O573:P573 M574:O574 M575 O575:P575 M576:O576 M597 O597:P597 M598:O598 M599 O599:P599 M600:O600 M601 O601:P601 M602:O602 M603 O603:P603 M604:O604 M605 O605:P605 M606:O606 M607 O607:P607 M608:O608 M472 G472:K472 G491:K491 G508:K508 G595:K595 M491 M508 G525:K525 M525 G544:K544 M544 G561:K561 M561 M595 P580 M581:O581 M582 O582:P582 M583:O583 M584 O584:P584 M585:O585 M586 O586:P586 M587:O587 M588 O588:P588 M589:O589 M590 O590:P590 M591:O591 M592 O592:P592 M593:O593 G578:K578 M578">
    <cfRule type="expression" dxfId="10969" priority="17376">
      <formula>$H472="ETAPA"</formula>
    </cfRule>
  </conditionalFormatting>
  <conditionalFormatting sqref="O490:P491 M490:M491 G490:K490 M492:O492">
    <cfRule type="expression" dxfId="10968" priority="17176">
      <formula>$H490="CÉLULA CONSTRUTIVA"</formula>
    </cfRule>
  </conditionalFormatting>
  <conditionalFormatting sqref="O490:P491">
    <cfRule type="expression" dxfId="10967" priority="17164">
      <formula>$H490="SUBETAPA"</formula>
    </cfRule>
  </conditionalFormatting>
  <conditionalFormatting sqref="O491:P491 P495 P497 P505">
    <cfRule type="expression" dxfId="10966" priority="17170">
      <formula>$H491="ETAPA"</formula>
    </cfRule>
  </conditionalFormatting>
  <conditionalFormatting sqref="O507:P508 M507:M508 G507:K507 M509:O509">
    <cfRule type="expression" dxfId="10965" priority="17019">
      <formula>$H507="CÉLULA CONSTRUTIVA"</formula>
    </cfRule>
  </conditionalFormatting>
  <conditionalFormatting sqref="O507:P508">
    <cfRule type="expression" dxfId="10964" priority="17007">
      <formula>$H507="SUBETAPA"</formula>
    </cfRule>
  </conditionalFormatting>
  <conditionalFormatting sqref="O508:P508 P512 P514 P522">
    <cfRule type="expression" dxfId="10963" priority="17013">
      <formula>$H508="ETAPA"</formula>
    </cfRule>
  </conditionalFormatting>
  <conditionalFormatting sqref="O524:P525 M524:M525 G524:K524 M526:O526 M527 O527:P527">
    <cfRule type="expression" dxfId="10962" priority="16862">
      <formula>$H524="CÉLULA CONSTRUTIVA"</formula>
    </cfRule>
  </conditionalFormatting>
  <conditionalFormatting sqref="O524:P525">
    <cfRule type="expression" dxfId="10961" priority="16849">
      <formula>$H524="SUBETAPA"</formula>
    </cfRule>
  </conditionalFormatting>
  <conditionalFormatting sqref="O525:P525 P531 P533 P541">
    <cfRule type="expression" dxfId="10960" priority="16855">
      <formula>$H525="ETAPA"</formula>
    </cfRule>
  </conditionalFormatting>
  <conditionalFormatting sqref="O543:P544 M543:M544 G543:K543 M545:O545">
    <cfRule type="expression" dxfId="10959" priority="16683">
      <formula>$H543="CÉLULA CONSTRUTIVA"</formula>
    </cfRule>
  </conditionalFormatting>
  <conditionalFormatting sqref="O543:P544">
    <cfRule type="expression" dxfId="10958" priority="16670">
      <formula>$H543="SUBETAPA"</formula>
    </cfRule>
  </conditionalFormatting>
  <conditionalFormatting sqref="O544:P544 P548 P550 P558">
    <cfRule type="expression" dxfId="10957" priority="16676">
      <formula>$H544="ETAPA"</formula>
    </cfRule>
  </conditionalFormatting>
  <conditionalFormatting sqref="O560:P561 M560:M561 G560:K560 M562:O562">
    <cfRule type="expression" dxfId="10956" priority="16504">
      <formula>$H560="CÉLULA CONSTRUTIVA"</formula>
    </cfRule>
  </conditionalFormatting>
  <conditionalFormatting sqref="O560:P561">
    <cfRule type="expression" dxfId="10955" priority="16491">
      <formula>$H560="SUBETAPA"</formula>
    </cfRule>
  </conditionalFormatting>
  <conditionalFormatting sqref="O561:P561 P565 P567 P575">
    <cfRule type="expression" dxfId="10954" priority="16497">
      <formula>$H561="ETAPA"</formula>
    </cfRule>
  </conditionalFormatting>
  <conditionalFormatting sqref="O577:P578 M577:M578 G577:K577 M579:O579">
    <cfRule type="expression" dxfId="10953" priority="16191">
      <formula>$H577="CÉLULA CONSTRUTIVA"</formula>
    </cfRule>
  </conditionalFormatting>
  <conditionalFormatting sqref="O577:P578">
    <cfRule type="expression" dxfId="10952" priority="16178">
      <formula>$H577="SUBETAPA"</formula>
    </cfRule>
  </conditionalFormatting>
  <conditionalFormatting sqref="O578:P578 P582 P584 P592">
    <cfRule type="expression" dxfId="10951" priority="16184">
      <formula>$H578="ETAPA"</formula>
    </cfRule>
  </conditionalFormatting>
  <conditionalFormatting sqref="O594:P595 M594:M595 G594:K594 M596:O596">
    <cfRule type="expression" dxfId="10950" priority="16325">
      <formula>$H594="CÉLULA CONSTRUTIVA"</formula>
    </cfRule>
  </conditionalFormatting>
  <conditionalFormatting sqref="O594:P595">
    <cfRule type="expression" dxfId="10949" priority="16315">
      <formula>$H594="SUBETAPA"</formula>
    </cfRule>
  </conditionalFormatting>
  <conditionalFormatting sqref="O595:P595 P597 P599 P607">
    <cfRule type="expression" dxfId="10948" priority="16319">
      <formula>$H595="ETAPA"</formula>
    </cfRule>
  </conditionalFormatting>
  <conditionalFormatting sqref="O610:P610 M610">
    <cfRule type="expression" dxfId="10947" priority="16011">
      <formula>$H610="ETAPA"</formula>
    </cfRule>
  </conditionalFormatting>
  <conditionalFormatting sqref="O613:P613">
    <cfRule type="expression" dxfId="10946" priority="14850">
      <formula>$H613="CÉLULA CONSTRUTIVA"</formula>
    </cfRule>
    <cfRule type="expression" dxfId="10945" priority="14849">
      <formula>$H613="SUBETAPA"</formula>
    </cfRule>
    <cfRule type="expression" dxfId="10944" priority="14851">
      <formula>$H613="ETAPA"</formula>
    </cfRule>
  </conditionalFormatting>
  <conditionalFormatting sqref="O615:P615">
    <cfRule type="expression" dxfId="10943" priority="15996">
      <formula>$H615="CÉLULA CONSTRUTIVA"</formula>
    </cfRule>
    <cfRule type="expression" dxfId="10942" priority="15997">
      <formula>$H615="ETAPA"</formula>
    </cfRule>
    <cfRule type="expression" dxfId="10941" priority="15995">
      <formula>$H615="SUBETAPA"</formula>
    </cfRule>
  </conditionalFormatting>
  <conditionalFormatting sqref="O624:P624 M624">
    <cfRule type="expression" dxfId="10940" priority="15831">
      <formula>$H624="ETAPA"</formula>
    </cfRule>
  </conditionalFormatting>
  <conditionalFormatting sqref="O629:P629">
    <cfRule type="expression" dxfId="10939" priority="15821">
      <formula>$H629="ETAPA"</formula>
    </cfRule>
    <cfRule type="expression" dxfId="10938" priority="15820">
      <formula>$H629="CÉLULA CONSTRUTIVA"</formula>
    </cfRule>
    <cfRule type="expression" dxfId="10937" priority="15819">
      <formula>$H629="SUBETAPA"</formula>
    </cfRule>
  </conditionalFormatting>
  <conditionalFormatting sqref="O638:P638 M638">
    <cfRule type="expression" dxfId="10936" priority="15505">
      <formula>$H638="ETAPA"</formula>
    </cfRule>
  </conditionalFormatting>
  <conditionalFormatting sqref="O643:P643">
    <cfRule type="expression" dxfId="10935" priority="15494">
      <formula>$H643="CÉLULA CONSTRUTIVA"</formula>
    </cfRule>
    <cfRule type="expression" dxfId="10934" priority="15495">
      <formula>$H643="ETAPA"</formula>
    </cfRule>
    <cfRule type="expression" dxfId="10933" priority="15493">
      <formula>$H643="SUBETAPA"</formula>
    </cfRule>
  </conditionalFormatting>
  <conditionalFormatting sqref="O652:P652 M652">
    <cfRule type="expression" dxfId="10932" priority="15342">
      <formula>$H652="ETAPA"</formula>
    </cfRule>
  </conditionalFormatting>
  <conditionalFormatting sqref="O657:P657">
    <cfRule type="expression" dxfId="10931" priority="15332">
      <formula>$H657="ETAPA"</formula>
    </cfRule>
    <cfRule type="expression" dxfId="10930" priority="15330">
      <formula>$H657="SUBETAPA"</formula>
    </cfRule>
    <cfRule type="expression" dxfId="10929" priority="15331">
      <formula>$H657="CÉLULA CONSTRUTIVA"</formula>
    </cfRule>
  </conditionalFormatting>
  <conditionalFormatting sqref="O666:P666 M666">
    <cfRule type="expression" dxfId="10928" priority="15178">
      <formula>$H666="ETAPA"</formula>
    </cfRule>
  </conditionalFormatting>
  <conditionalFormatting sqref="O671:P671">
    <cfRule type="expression" dxfId="10927" priority="15167">
      <formula>$H671="CÉLULA CONSTRUTIVA"</formula>
    </cfRule>
    <cfRule type="expression" dxfId="10926" priority="15168">
      <formula>$H671="ETAPA"</formula>
    </cfRule>
    <cfRule type="expression" dxfId="10925" priority="15166">
      <formula>$H671="SUBETAPA"</formula>
    </cfRule>
  </conditionalFormatting>
  <conditionalFormatting sqref="O680:P680 M680">
    <cfRule type="expression" dxfId="10924" priority="14498">
      <formula>$H680="ETAPA"</formula>
    </cfRule>
  </conditionalFormatting>
  <conditionalFormatting sqref="O685:P685">
    <cfRule type="expression" dxfId="10923" priority="14488">
      <formula>$H685="ETAPA"</formula>
    </cfRule>
    <cfRule type="expression" dxfId="10922" priority="14486">
      <formula>$H685="SUBETAPA"</formula>
    </cfRule>
    <cfRule type="expression" dxfId="10921" priority="14487">
      <formula>$H685="CÉLULA CONSTRUTIVA"</formula>
    </cfRule>
  </conditionalFormatting>
  <conditionalFormatting sqref="O694:P694 M694">
    <cfRule type="expression" dxfId="10920" priority="15014">
      <formula>$H694="ETAPA"</formula>
    </cfRule>
  </conditionalFormatting>
  <conditionalFormatting sqref="O699:P699">
    <cfRule type="expression" dxfId="10919" priority="15004">
      <formula>$H699="ETAPA"</formula>
    </cfRule>
    <cfRule type="expression" dxfId="10918" priority="15003">
      <formula>$H699="CÉLULA CONSTRUTIVA"</formula>
    </cfRule>
    <cfRule type="expression" dxfId="10917" priority="15002">
      <formula>$H699="SUBETAPA"</formula>
    </cfRule>
  </conditionalFormatting>
  <conditionalFormatting sqref="O708:P708">
    <cfRule type="expression" dxfId="10916" priority="25455">
      <formula>$H708="SUBETAPA"</formula>
    </cfRule>
    <cfRule type="expression" dxfId="10915" priority="25456">
      <formula>$H708="CÉLULA CONSTRUTIVA"</formula>
    </cfRule>
    <cfRule type="expression" dxfId="10914" priority="25457">
      <formula>$H708="ETAPA"</formula>
    </cfRule>
  </conditionalFormatting>
  <conditionalFormatting sqref="O709:P710">
    <cfRule type="expression" dxfId="10913" priority="24479">
      <formula>$H709="SUBETAPA"</formula>
    </cfRule>
    <cfRule type="expression" dxfId="10912" priority="24480">
      <formula>$H709="CÉLULA CONSTRUTIVA"</formula>
    </cfRule>
    <cfRule type="expression" dxfId="10911" priority="24481">
      <formula>$H709="ETAPA"</formula>
    </cfRule>
  </conditionalFormatting>
  <conditionalFormatting sqref="O729:P730 G729:K731 M729:M730 M731:O731">
    <cfRule type="expression" dxfId="10910" priority="14270">
      <formula>$H729="CÉLULA CONSTRUTIVA"</formula>
    </cfRule>
  </conditionalFormatting>
  <conditionalFormatting sqref="O735:P736 G735:K737 M735:M736 M737:O737">
    <cfRule type="expression" dxfId="10909" priority="14169">
      <formula>$H735="CÉLULA CONSTRUTIVA"</formula>
    </cfRule>
  </conditionalFormatting>
  <conditionalFormatting sqref="O741:P742 G741:K743 M741:M742 M743:O743">
    <cfRule type="expression" dxfId="10908" priority="14097">
      <formula>$H741="CÉLULA CONSTRUTIVA"</formula>
    </cfRule>
  </conditionalFormatting>
  <conditionalFormatting sqref="O747:P747">
    <cfRule type="expression" dxfId="10907" priority="25429">
      <formula>$H747="ETAPA"</formula>
    </cfRule>
    <cfRule type="expression" dxfId="10906" priority="25428">
      <formula>$H747="CÉLULA CONSTRUTIVA"</formula>
    </cfRule>
  </conditionalFormatting>
  <conditionalFormatting sqref="O748:P749 N753:N754 O768:O770 O781:O783 G799:L802 M802:O802 G804:O804 M819:O819 G833:L836 M836:O836 O859:O860 G862:L862 G863:O863 G856:L860 G849:L852 M852:O852 G854:O855">
    <cfRule type="expression" dxfId="10905" priority="13534">
      <formula>$H748="ETAPA"</formula>
    </cfRule>
  </conditionalFormatting>
  <conditionalFormatting sqref="O748:P749 N753:N754 O781:O783 O768:O770 G799:L802 M802:O802 M819:O819 M836:O836 G833:L836 O859:O860 G863:O863 G804:O804 G862:L862 G856:L860 M852:O852 G849:L852 G854:O855">
    <cfRule type="expression" dxfId="10904" priority="13533">
      <formula>$H748="CÉLULA CONSTRUTIVA"</formula>
    </cfRule>
  </conditionalFormatting>
  <conditionalFormatting sqref="O748:P749">
    <cfRule type="expression" dxfId="10903" priority="13532">
      <formula>$H748="SUBETAPA"</formula>
    </cfRule>
  </conditionalFormatting>
  <conditionalFormatting sqref="O757:P757">
    <cfRule type="expression" dxfId="10902" priority="12761">
      <formula>$H757="SUBETAPA"</formula>
    </cfRule>
    <cfRule type="expression" dxfId="10901" priority="12763">
      <formula>$H757="ETAPA"</formula>
    </cfRule>
    <cfRule type="expression" dxfId="10900" priority="12762">
      <formula>$H757="CÉLULA CONSTRUTIVA"</formula>
    </cfRule>
  </conditionalFormatting>
  <conditionalFormatting sqref="O759:P759">
    <cfRule type="expression" dxfId="10899" priority="13512">
      <formula>$H759="CÉLULA CONSTRUTIVA"</formula>
    </cfRule>
    <cfRule type="expression" dxfId="10898" priority="13513">
      <formula>$H759="ETAPA"</formula>
    </cfRule>
    <cfRule type="expression" dxfId="10897" priority="13511">
      <formula>$H759="SUBETAPA"</formula>
    </cfRule>
  </conditionalFormatting>
  <conditionalFormatting sqref="O764:P765">
    <cfRule type="expression" dxfId="10896" priority="13383">
      <formula>$H764="CÉLULA CONSTRUTIVA"</formula>
    </cfRule>
    <cfRule type="expression" dxfId="10895" priority="13384">
      <formula>$H764="ETAPA"</formula>
    </cfRule>
    <cfRule type="expression" dxfId="10894" priority="13382">
      <formula>$H764="SUBETAPA"</formula>
    </cfRule>
  </conditionalFormatting>
  <conditionalFormatting sqref="O771:P771">
    <cfRule type="expression" dxfId="10893" priority="6572">
      <formula>$H771="ETAPA"</formula>
    </cfRule>
    <cfRule type="expression" dxfId="10892" priority="6571">
      <formula>$H771="CÉLULA CONSTRUTIVA"</formula>
    </cfRule>
    <cfRule type="expression" dxfId="10891" priority="6570">
      <formula>$H771="SUBETAPA"</formula>
    </cfRule>
  </conditionalFormatting>
  <conditionalFormatting sqref="O773:P773">
    <cfRule type="expression" dxfId="10890" priority="13363">
      <formula>$H773="SUBETAPA"</formula>
    </cfRule>
    <cfRule type="expression" dxfId="10889" priority="13364">
      <formula>$H773="CÉLULA CONSTRUTIVA"</formula>
    </cfRule>
    <cfRule type="expression" dxfId="10888" priority="13365">
      <formula>$H773="ETAPA"</formula>
    </cfRule>
  </conditionalFormatting>
  <conditionalFormatting sqref="O777:P778">
    <cfRule type="expression" dxfId="10887" priority="13291">
      <formula>$H777="SUBETAPA"</formula>
    </cfRule>
    <cfRule type="expression" dxfId="10886" priority="13292">
      <formula>$H777="CÉLULA CONSTRUTIVA"</formula>
    </cfRule>
    <cfRule type="expression" dxfId="10885" priority="13293">
      <formula>$H777="ETAPA"</formula>
    </cfRule>
  </conditionalFormatting>
  <conditionalFormatting sqref="O784:P784">
    <cfRule type="expression" dxfId="10884" priority="12718">
      <formula>$H784="ETAPA"</formula>
    </cfRule>
    <cfRule type="expression" dxfId="10883" priority="12717">
      <formula>$H784="CÉLULA CONSTRUTIVA"</formula>
    </cfRule>
    <cfRule type="expression" dxfId="10882" priority="12716">
      <formula>$H784="SUBETAPA"</formula>
    </cfRule>
  </conditionalFormatting>
  <conditionalFormatting sqref="O786:P786">
    <cfRule type="expression" dxfId="10881" priority="13272">
      <formula>$H786="SUBETAPA"</formula>
    </cfRule>
    <cfRule type="expression" dxfId="10880" priority="13274">
      <formula>$H786="ETAPA"</formula>
    </cfRule>
    <cfRule type="expression" dxfId="10879" priority="13273">
      <formula>$H786="CÉLULA CONSTRUTIVA"</formula>
    </cfRule>
  </conditionalFormatting>
  <conditionalFormatting sqref="O790:P791">
    <cfRule type="expression" dxfId="10878" priority="13201">
      <formula>$H790="CÉLULA CONSTRUTIVA"</formula>
    </cfRule>
    <cfRule type="expression" dxfId="10877" priority="13200">
      <formula>$H790="SUBETAPA"</formula>
    </cfRule>
    <cfRule type="expression" dxfId="10876" priority="13202">
      <formula>$H790="ETAPA"</formula>
    </cfRule>
  </conditionalFormatting>
  <conditionalFormatting sqref="O801:P801">
    <cfRule type="expression" dxfId="10875" priority="13183">
      <formula>$H801="ETAPA"</formula>
    </cfRule>
    <cfRule type="expression" dxfId="10874" priority="13181">
      <formula>$H801="SUBETAPA"</formula>
    </cfRule>
    <cfRule type="expression" dxfId="10873" priority="13182">
      <formula>$H801="CÉLULA CONSTRUTIVA"</formula>
    </cfRule>
  </conditionalFormatting>
  <conditionalFormatting sqref="O806:P807">
    <cfRule type="expression" dxfId="10872" priority="13096">
      <formula>$H806="ETAPA"</formula>
    </cfRule>
    <cfRule type="expression" dxfId="10871" priority="13094">
      <formula>$H806="SUBETAPA"</formula>
    </cfRule>
    <cfRule type="expression" dxfId="10870" priority="13095">
      <formula>$H806="CÉLULA CONSTRUTIVA"</formula>
    </cfRule>
  </conditionalFormatting>
  <conditionalFormatting sqref="O816:P816">
    <cfRule type="expression" dxfId="10869" priority="13063">
      <formula>$H816="CÉLULA CONSTRUTIVA"</formula>
    </cfRule>
    <cfRule type="expression" dxfId="10868" priority="13064">
      <formula>$H816="ETAPA"</formula>
    </cfRule>
    <cfRule type="expression" dxfId="10867" priority="13062">
      <formula>$H816="SUBETAPA"</formula>
    </cfRule>
  </conditionalFormatting>
  <conditionalFormatting sqref="O818:P818">
    <cfRule type="expression" dxfId="10866" priority="13077">
      <formula>$H818="ETAPA"</formula>
    </cfRule>
    <cfRule type="expression" dxfId="10865" priority="13076">
      <formula>$H818="CÉLULA CONSTRUTIVA"</formula>
    </cfRule>
    <cfRule type="expression" dxfId="10864" priority="13075">
      <formula>$H818="SUBETAPA"</formula>
    </cfRule>
  </conditionalFormatting>
  <conditionalFormatting sqref="O823:P824">
    <cfRule type="expression" dxfId="10863" priority="12985">
      <formula>$H823="SUBETAPA"</formula>
    </cfRule>
    <cfRule type="expression" dxfId="10862" priority="12986">
      <formula>$H823="CÉLULA CONSTRUTIVA"</formula>
    </cfRule>
    <cfRule type="expression" dxfId="10861" priority="12987">
      <formula>$H823="ETAPA"</formula>
    </cfRule>
  </conditionalFormatting>
  <conditionalFormatting sqref="O833:P833">
    <cfRule type="expression" dxfId="10860" priority="12955">
      <formula>$H833="ETAPA"</formula>
    </cfRule>
    <cfRule type="expression" dxfId="10859" priority="12953">
      <formula>$H833="SUBETAPA"</formula>
    </cfRule>
    <cfRule type="expression" dxfId="10858" priority="12954">
      <formula>$H833="CÉLULA CONSTRUTIVA"</formula>
    </cfRule>
  </conditionalFormatting>
  <conditionalFormatting sqref="O835:P835">
    <cfRule type="expression" dxfId="10857" priority="12967">
      <formula>$H835="CÉLULA CONSTRUTIVA"</formula>
    </cfRule>
    <cfRule type="expression" dxfId="10856" priority="12968">
      <formula>$H835="ETAPA"</formula>
    </cfRule>
    <cfRule type="expression" dxfId="10855" priority="12966">
      <formula>$H835="SUBETAPA"</formula>
    </cfRule>
  </conditionalFormatting>
  <conditionalFormatting sqref="O840:P841">
    <cfRule type="expression" dxfId="10854" priority="12422">
      <formula>$H840="CÉLULA CONSTRUTIVA"</formula>
    </cfRule>
    <cfRule type="expression" dxfId="10853" priority="12423">
      <formula>$H840="ETAPA"</formula>
    </cfRule>
    <cfRule type="expression" dxfId="10852" priority="12421">
      <formula>$H840="SUBETAPA"</formula>
    </cfRule>
  </conditionalFormatting>
  <conditionalFormatting sqref="O851:P851">
    <cfRule type="expression" dxfId="10851" priority="12402">
      <formula>$H851="SUBETAPA"</formula>
    </cfRule>
    <cfRule type="expression" dxfId="10850" priority="12404">
      <formula>$H851="ETAPA"</formula>
    </cfRule>
    <cfRule type="expression" dxfId="10849" priority="12403">
      <formula>$H851="CÉLULA CONSTRUTIVA"</formula>
    </cfRule>
  </conditionalFormatting>
  <conditionalFormatting sqref="O856:P857">
    <cfRule type="expression" dxfId="10848" priority="12878">
      <formula>$H856="ETAPA"</formula>
    </cfRule>
    <cfRule type="expression" dxfId="10847" priority="12876">
      <formula>$H856="SUBETAPA"</formula>
    </cfRule>
    <cfRule type="expression" dxfId="10846" priority="12877">
      <formula>$H856="CÉLULA CONSTRUTIVA"</formula>
    </cfRule>
  </conditionalFormatting>
  <conditionalFormatting sqref="O862:P862">
    <cfRule type="expression" dxfId="10845" priority="12859">
      <formula>$H862="ETAPA"</formula>
    </cfRule>
    <cfRule type="expression" dxfId="10844" priority="12858">
      <formula>$H862="CÉLULA CONSTRUTIVA"</formula>
    </cfRule>
    <cfRule type="expression" dxfId="10843" priority="12857">
      <formula>$H862="SUBETAPA"</formula>
    </cfRule>
  </conditionalFormatting>
  <conditionalFormatting sqref="O866:P866 O867 O871:P871 O872 O876:P876 O877 O881:P881 O890:P890 O897:P897 O907:P907 O908 O904:P904">
    <cfRule type="expression" dxfId="10842" priority="12248">
      <formula>$H866="ETAPA"</formula>
    </cfRule>
  </conditionalFormatting>
  <conditionalFormatting sqref="O866:P867 O871:P872 O876:P877 O907:P908">
    <cfRule type="expression" dxfId="10841" priority="12230">
      <formula>$H866="CÉLULA CONSTRUTIVA"</formula>
    </cfRule>
    <cfRule type="expression" dxfId="10840" priority="12229">
      <formula>$H866="SUBETAPA"</formula>
    </cfRule>
  </conditionalFormatting>
  <conditionalFormatting sqref="O869:P869 O874:P874 G874:K875 O879:P879 G879:K880 O910:P910 G910:K911">
    <cfRule type="expression" dxfId="10839" priority="12225">
      <formula>$H869="ETAPA"</formula>
    </cfRule>
    <cfRule type="expression" dxfId="10838" priority="12223">
      <formula>$H869="SUBETAPA"</formula>
    </cfRule>
    <cfRule type="expression" dxfId="10837" priority="12224">
      <formula>$H869="CÉLULA CONSTRUTIVA"</formula>
    </cfRule>
  </conditionalFormatting>
  <conditionalFormatting sqref="O882:P882 M883:O883">
    <cfRule type="expression" dxfId="10836" priority="6449">
      <formula>$H882="CÉLULA CONSTRUTIVA"</formula>
    </cfRule>
    <cfRule type="expression" dxfId="10835" priority="6450">
      <formula>$H882="ETAPA"</formula>
    </cfRule>
  </conditionalFormatting>
  <conditionalFormatting sqref="O882:P882">
    <cfRule type="expression" dxfId="10834" priority="6448">
      <formula>$H882="SUBETAPA"</formula>
    </cfRule>
  </conditionalFormatting>
  <conditionalFormatting sqref="O884:P884 M885:O885">
    <cfRule type="expression" dxfId="10833" priority="11958">
      <formula>$H884="CÉLULA CONSTRUTIVA"</formula>
    </cfRule>
    <cfRule type="expression" dxfId="10832" priority="11959">
      <formula>$H884="ETAPA"</formula>
    </cfRule>
  </conditionalFormatting>
  <conditionalFormatting sqref="O884:P884">
    <cfRule type="expression" dxfId="10831" priority="11957">
      <formula>$H884="SUBETAPA"</formula>
    </cfRule>
  </conditionalFormatting>
  <conditionalFormatting sqref="O886:P886">
    <cfRule type="expression" dxfId="10830" priority="6543">
      <formula>$H886="CÉLULA CONSTRUTIVA"</formula>
    </cfRule>
    <cfRule type="expression" dxfId="10829" priority="6542">
      <formula>$H886="SUBETAPA"</formula>
    </cfRule>
  </conditionalFormatting>
  <conditionalFormatting sqref="O888:P888 G888:K889">
    <cfRule type="expression" dxfId="10828" priority="6539">
      <formula>$H888="SUBETAPA"</formula>
    </cfRule>
    <cfRule type="expression" dxfId="10827" priority="6540">
      <formula>$H888="CÉLULA CONSTRUTIVA"</formula>
    </cfRule>
    <cfRule type="expression" dxfId="10826" priority="6541">
      <formula>$H888="ETAPA"</formula>
    </cfRule>
  </conditionalFormatting>
  <conditionalFormatting sqref="O891:P891 M892:O892">
    <cfRule type="expression" dxfId="10825" priority="11882">
      <formula>$H891="CÉLULA CONSTRUTIVA"</formula>
    </cfRule>
    <cfRule type="expression" dxfId="10824" priority="11883">
      <formula>$H891="ETAPA"</formula>
    </cfRule>
  </conditionalFormatting>
  <conditionalFormatting sqref="O891:P891">
    <cfRule type="expression" dxfId="10823" priority="11881">
      <formula>$H891="SUBETAPA"</formula>
    </cfRule>
  </conditionalFormatting>
  <conditionalFormatting sqref="O893:P893">
    <cfRule type="expression" dxfId="10822" priority="2359">
      <formula>$H893="SUBETAPA"</formula>
    </cfRule>
    <cfRule type="expression" dxfId="10821" priority="2360">
      <formula>$H893="CÉLULA CONSTRUTIVA"</formula>
    </cfRule>
  </conditionalFormatting>
  <conditionalFormatting sqref="O895:P895 G895:K896">
    <cfRule type="expression" dxfId="10820" priority="2358">
      <formula>$H895="ETAPA"</formula>
    </cfRule>
    <cfRule type="expression" dxfId="10819" priority="2357">
      <formula>$H895="CÉLULA CONSTRUTIVA"</formula>
    </cfRule>
    <cfRule type="expression" dxfId="10818" priority="2356">
      <formula>$H895="SUBETAPA"</formula>
    </cfRule>
  </conditionalFormatting>
  <conditionalFormatting sqref="O898:P898 M899:O899">
    <cfRule type="expression" dxfId="10817" priority="11807">
      <formula>$H898="ETAPA"</formula>
    </cfRule>
    <cfRule type="expression" dxfId="10816" priority="11806">
      <formula>$H898="CÉLULA CONSTRUTIVA"</formula>
    </cfRule>
  </conditionalFormatting>
  <conditionalFormatting sqref="O898:P898">
    <cfRule type="expression" dxfId="10815" priority="11805">
      <formula>$H898="SUBETAPA"</formula>
    </cfRule>
  </conditionalFormatting>
  <conditionalFormatting sqref="O900:P900">
    <cfRule type="expression" dxfId="10814" priority="2286">
      <formula>$H900="SUBETAPA"</formula>
    </cfRule>
    <cfRule type="expression" dxfId="10813" priority="2287">
      <formula>$H900="CÉLULA CONSTRUTIVA"</formula>
    </cfRule>
  </conditionalFormatting>
  <conditionalFormatting sqref="O902:P902 G902:K903">
    <cfRule type="expression" dxfId="10812" priority="2284">
      <formula>$H902="CÉLULA CONSTRUTIVA"</formula>
    </cfRule>
    <cfRule type="expression" dxfId="10811" priority="2283">
      <formula>$H902="SUBETAPA"</formula>
    </cfRule>
    <cfRule type="expression" dxfId="10810" priority="2285">
      <formula>$H902="ETAPA"</formula>
    </cfRule>
  </conditionalFormatting>
  <conditionalFormatting sqref="O904:P904">
    <cfRule type="expression" dxfId="10809" priority="11586">
      <formula>$H904="CÉLULA CONSTRUTIVA"</formula>
    </cfRule>
    <cfRule type="expression" dxfId="10808" priority="11585">
      <formula>$H904="SUBETAPA"</formula>
    </cfRule>
  </conditionalFormatting>
  <conditionalFormatting sqref="O905:P905 M906:O906">
    <cfRule type="expression" dxfId="10807" priority="11571">
      <formula>$H905="ETAPA"</formula>
    </cfRule>
    <cfRule type="expression" dxfId="10806" priority="11570">
      <formula>$H905="CÉLULA CONSTRUTIVA"</formula>
    </cfRule>
  </conditionalFormatting>
  <conditionalFormatting sqref="O905:P905">
    <cfRule type="expression" dxfId="10805" priority="11569">
      <formula>$H905="SUBETAPA"</formula>
    </cfRule>
  </conditionalFormatting>
  <conditionalFormatting sqref="O945:P945 M945">
    <cfRule type="expression" dxfId="10804" priority="11200">
      <formula>$H945="ETAPA"</formula>
    </cfRule>
  </conditionalFormatting>
  <conditionalFormatting sqref="O960:P960">
    <cfRule type="expression" dxfId="10803" priority="5952">
      <formula>$H960="CÉLULA CONSTRUTIVA"</formula>
    </cfRule>
    <cfRule type="expression" dxfId="10802" priority="5951">
      <formula>$H960="SUBETAPA"</formula>
    </cfRule>
    <cfRule type="expression" dxfId="10801" priority="5953">
      <formula>$H960="ETAPA"</formula>
    </cfRule>
  </conditionalFormatting>
  <conditionalFormatting sqref="O962:P962 M962">
    <cfRule type="expression" dxfId="10800" priority="11120">
      <formula>$H962="ETAPA"</formula>
    </cfRule>
  </conditionalFormatting>
  <conditionalFormatting sqref="O982:P982 M982">
    <cfRule type="expression" dxfId="10799" priority="11036">
      <formula>$H982="ETAPA"</formula>
    </cfRule>
  </conditionalFormatting>
  <conditionalFormatting sqref="O1002:P1002 M1002 L1006:M1006">
    <cfRule type="expression" dxfId="10798" priority="10915">
      <formula>$H1002="ETAPA"</formula>
    </cfRule>
  </conditionalFormatting>
  <conditionalFormatting sqref="O1022:P1022 M1022 L1026:M1026">
    <cfRule type="expression" dxfId="10797" priority="10480">
      <formula>$H1022="ETAPA"</formula>
    </cfRule>
  </conditionalFormatting>
  <conditionalFormatting sqref="O1041:P1041 M1041 L1045:M1045">
    <cfRule type="expression" dxfId="10796" priority="10313">
      <formula>$H1041="ETAPA"</formula>
    </cfRule>
  </conditionalFormatting>
  <conditionalFormatting sqref="O1052:P1052 M1052">
    <cfRule type="expression" dxfId="10795" priority="10706">
      <formula>$H1052="ETAPA"</formula>
    </cfRule>
  </conditionalFormatting>
  <conditionalFormatting sqref="O1055:P1055">
    <cfRule type="expression" dxfId="10794" priority="25153">
      <formula>$H1055="SUBETAPA"</formula>
    </cfRule>
    <cfRule type="expression" dxfId="10793" priority="25154">
      <formula>$H1055="CÉLULA CONSTRUTIVA"</formula>
    </cfRule>
  </conditionalFormatting>
  <conditionalFormatting sqref="O1056:P1057 G1056:K1058 M1056:M1057">
    <cfRule type="expression" dxfId="10792" priority="10173">
      <formula>$H1056="ETAPA"</formula>
    </cfRule>
  </conditionalFormatting>
  <conditionalFormatting sqref="O1056:P1057">
    <cfRule type="expression" dxfId="10791" priority="10170">
      <formula>$H1056="CÉLULA CONSTRUTIVA"</formula>
    </cfRule>
    <cfRule type="expression" dxfId="10790" priority="10169">
      <formula>$H1056="SUBETAPA"</formula>
    </cfRule>
  </conditionalFormatting>
  <conditionalFormatting sqref="O1066:P1066">
    <cfRule type="expression" dxfId="10789" priority="9779">
      <formula>$H1066="SUBETAPA"</formula>
    </cfRule>
    <cfRule type="expression" dxfId="10788" priority="9785">
      <formula>$H1066="ETAPA"</formula>
    </cfRule>
    <cfRule type="expression" dxfId="10787" priority="9780">
      <formula>$H1066="CÉLULA CONSTRUTIVA"</formula>
    </cfRule>
  </conditionalFormatting>
  <conditionalFormatting sqref="O1075:P1076 G1075:K1076 M1075:M1076">
    <cfRule type="expression" dxfId="10786" priority="10086">
      <formula>$H1075="ETAPA"</formula>
    </cfRule>
  </conditionalFormatting>
  <conditionalFormatting sqref="O1075:P1076">
    <cfRule type="expression" dxfId="10785" priority="10084">
      <formula>$H1075="SUBETAPA"</formula>
    </cfRule>
    <cfRule type="expression" dxfId="10784" priority="10085">
      <formula>$H1075="CÉLULA CONSTRUTIVA"</formula>
    </cfRule>
  </conditionalFormatting>
  <conditionalFormatting sqref="O1084:P1084 M1086 O1086:P1086">
    <cfRule type="expression" dxfId="10783" priority="10088">
      <formula>$H1084="CÉLULA CONSTRUTIVA"</formula>
    </cfRule>
    <cfRule type="expression" dxfId="10782" priority="10087">
      <formula>$H1084="SUBETAPA"</formula>
    </cfRule>
  </conditionalFormatting>
  <conditionalFormatting sqref="O1084:P1084">
    <cfRule type="expression" dxfId="10781" priority="10094">
      <formula>$H1084="ETAPA"</formula>
    </cfRule>
  </conditionalFormatting>
  <conditionalFormatting sqref="O1092:P1093 G1092:K1093 M1092:M1093">
    <cfRule type="expression" dxfId="10780" priority="10030">
      <formula>$H1092="ETAPA"</formula>
    </cfRule>
  </conditionalFormatting>
  <conditionalFormatting sqref="O1092:P1093">
    <cfRule type="expression" dxfId="10779" priority="10029">
      <formula>$H1092="CÉLULA CONSTRUTIVA"</formula>
    </cfRule>
    <cfRule type="expression" dxfId="10778" priority="10028">
      <formula>$H1092="SUBETAPA"</formula>
    </cfRule>
  </conditionalFormatting>
  <conditionalFormatting sqref="O1101:P1101 M1103 O1103:P1103">
    <cfRule type="expression" dxfId="10777" priority="10031">
      <formula>$H1101="SUBETAPA"</formula>
    </cfRule>
    <cfRule type="expression" dxfId="10776" priority="10032">
      <formula>$H1101="CÉLULA CONSTRUTIVA"</formula>
    </cfRule>
  </conditionalFormatting>
  <conditionalFormatting sqref="O1101:P1101">
    <cfRule type="expression" dxfId="10775" priority="10038">
      <formula>$H1101="ETAPA"</formula>
    </cfRule>
  </conditionalFormatting>
  <conditionalFormatting sqref="O1109:P1110 G1109:K1110 M1109:M1110">
    <cfRule type="expression" dxfId="10774" priority="9975">
      <formula>$H1109="ETAPA"</formula>
    </cfRule>
  </conditionalFormatting>
  <conditionalFormatting sqref="O1109:P1110">
    <cfRule type="expression" dxfId="10773" priority="9973">
      <formula>$H1109="SUBETAPA"</formula>
    </cfRule>
    <cfRule type="expression" dxfId="10772" priority="9974">
      <formula>$H1109="CÉLULA CONSTRUTIVA"</formula>
    </cfRule>
  </conditionalFormatting>
  <conditionalFormatting sqref="O1118:P1118 M1120 O1120:P1120">
    <cfRule type="expression" dxfId="10771" priority="9976">
      <formula>$H1118="SUBETAPA"</formula>
    </cfRule>
    <cfRule type="expression" dxfId="10770" priority="9977">
      <formula>$H1118="CÉLULA CONSTRUTIVA"</formula>
    </cfRule>
  </conditionalFormatting>
  <conditionalFormatting sqref="O1118:P1118">
    <cfRule type="expression" dxfId="10769" priority="9982">
      <formula>$H1118="ETAPA"</formula>
    </cfRule>
  </conditionalFormatting>
  <conditionalFormatting sqref="O1127:P1128 G1127:K1128 M1127:M1128">
    <cfRule type="expression" dxfId="10768" priority="9920">
      <formula>$H1127="ETAPA"</formula>
    </cfRule>
  </conditionalFormatting>
  <conditionalFormatting sqref="O1127:P1128">
    <cfRule type="expression" dxfId="10767" priority="9918">
      <formula>$H1127="SUBETAPA"</formula>
    </cfRule>
    <cfRule type="expression" dxfId="10766" priority="9919">
      <formula>$H1127="CÉLULA CONSTRUTIVA"</formula>
    </cfRule>
  </conditionalFormatting>
  <conditionalFormatting sqref="O1135:P1135 M1137 O1137:P1137">
    <cfRule type="expression" dxfId="10765" priority="9922">
      <formula>$H1135="CÉLULA CONSTRUTIVA"</formula>
    </cfRule>
    <cfRule type="expression" dxfId="10764" priority="9921">
      <formula>$H1135="SUBETAPA"</formula>
    </cfRule>
  </conditionalFormatting>
  <conditionalFormatting sqref="O1135:P1135">
    <cfRule type="expression" dxfId="10763" priority="9927">
      <formula>$H1135="ETAPA"</formula>
    </cfRule>
  </conditionalFormatting>
  <conditionalFormatting sqref="O1143:P1144 G1143:K1144 M1143:M1144">
    <cfRule type="expression" dxfId="10762" priority="9865">
      <formula>$H1143="ETAPA"</formula>
    </cfRule>
  </conditionalFormatting>
  <conditionalFormatting sqref="O1143:P1144">
    <cfRule type="expression" dxfId="10761" priority="9863">
      <formula>$H1143="SUBETAPA"</formula>
    </cfRule>
    <cfRule type="expression" dxfId="10760" priority="9864">
      <formula>$H1143="CÉLULA CONSTRUTIVA"</formula>
    </cfRule>
  </conditionalFormatting>
  <conditionalFormatting sqref="O1151:P1151 M1153 O1153:P1153">
    <cfRule type="expression" dxfId="10759" priority="9866">
      <formula>$H1151="SUBETAPA"</formula>
    </cfRule>
    <cfRule type="expression" dxfId="10758" priority="9867">
      <formula>$H1151="CÉLULA CONSTRUTIVA"</formula>
    </cfRule>
  </conditionalFormatting>
  <conditionalFormatting sqref="O1151:P1151">
    <cfRule type="expression" dxfId="10757" priority="9872">
      <formula>$H1151="ETAPA"</formula>
    </cfRule>
  </conditionalFormatting>
  <conditionalFormatting sqref="O1166:P1166 M1168 O1168:P1168">
    <cfRule type="expression" dxfId="10756" priority="9504">
      <formula>$H1166="SUBETAPA"</formula>
    </cfRule>
    <cfRule type="expression" dxfId="10755" priority="9505">
      <formula>$H1166="CÉLULA CONSTRUTIVA"</formula>
    </cfRule>
  </conditionalFormatting>
  <conditionalFormatting sqref="O1166:P1166">
    <cfRule type="expression" dxfId="10754" priority="9510">
      <formula>$H1166="ETAPA"</formula>
    </cfRule>
  </conditionalFormatting>
  <conditionalFormatting sqref="O1179:P1179 M1181 O1181:P1181">
    <cfRule type="expression" dxfId="10753" priority="9811">
      <formula>$H1179="SUBETAPA"</formula>
    </cfRule>
    <cfRule type="expression" dxfId="10752" priority="9812">
      <formula>$H1179="CÉLULA CONSTRUTIVA"</formula>
    </cfRule>
  </conditionalFormatting>
  <conditionalFormatting sqref="O1179:P1179">
    <cfRule type="expression" dxfId="10751" priority="9817">
      <formula>$H1179="ETAPA"</formula>
    </cfRule>
  </conditionalFormatting>
  <conditionalFormatting sqref="O1186:P1186 N1188:O1189 N1201:O1202 N1211:O1212 N1221:O1221 N1238:O1238 N1261:O1261 N1262 N1239 N1222">
    <cfRule type="expression" dxfId="10750" priority="9467">
      <formula>$H1186="ETAPA"</formula>
    </cfRule>
  </conditionalFormatting>
  <conditionalFormatting sqref="O1187:P1187 O1200:P1200 O1210:P1210 O1220:P1220 O1225:P1225 O1237:P1237 K1242:M1242 O1242:P1242 O1260:P1260 O1265:P1265 O1302:P1302 K1265:M1265">
    <cfRule type="expression" dxfId="10749" priority="9439">
      <formula>$H1187="CÉLULA CONSTRUTIVA"</formula>
    </cfRule>
    <cfRule type="expression" dxfId="10748" priority="9440">
      <formula>$H1187="ETAPA"</formula>
    </cfRule>
  </conditionalFormatting>
  <conditionalFormatting sqref="O1187:P1187">
    <cfRule type="expression" dxfId="10747" priority="9438">
      <formula>$H1187="SUBETAPA"</formula>
    </cfRule>
  </conditionalFormatting>
  <conditionalFormatting sqref="O1190:P1190 L1190:M1190">
    <cfRule type="expression" dxfId="10746" priority="8252">
      <formula>$H1190="ETAPA"</formula>
    </cfRule>
  </conditionalFormatting>
  <conditionalFormatting sqref="O1192:P1192 L1192:M1192">
    <cfRule type="expression" dxfId="10745" priority="5739">
      <formula>$H1192="ETAPA"</formula>
    </cfRule>
  </conditionalFormatting>
  <conditionalFormatting sqref="O1196:P1196 M1196">
    <cfRule type="expression" dxfId="10744" priority="5414">
      <formula>$H1196="SUBETAPA"</formula>
    </cfRule>
  </conditionalFormatting>
  <conditionalFormatting sqref="O1200:P1200">
    <cfRule type="expression" dxfId="10743" priority="8871">
      <formula>$H1200="SUBETAPA"</formula>
    </cfRule>
  </conditionalFormatting>
  <conditionalFormatting sqref="O1203:P1203 L1203:M1203">
    <cfRule type="expression" dxfId="10742" priority="5723">
      <formula>$H1203="ETAPA"</formula>
    </cfRule>
  </conditionalFormatting>
  <conditionalFormatting sqref="O1207:P1207 M1207">
    <cfRule type="expression" dxfId="10741" priority="5339">
      <formula>$H1207="SUBETAPA"</formula>
    </cfRule>
  </conditionalFormatting>
  <conditionalFormatting sqref="O1210:P1210">
    <cfRule type="expression" dxfId="10740" priority="8766">
      <formula>$H1210="SUBETAPA"</formula>
    </cfRule>
  </conditionalFormatting>
  <conditionalFormatting sqref="O1213:P1213 L1213:M1213">
    <cfRule type="expression" dxfId="10739" priority="5707">
      <formula>$H1213="ETAPA"</formula>
    </cfRule>
  </conditionalFormatting>
  <conditionalFormatting sqref="O1217:P1217 M1217">
    <cfRule type="expression" dxfId="10738" priority="5297">
      <formula>$H1217="SUBETAPA"</formula>
    </cfRule>
  </conditionalFormatting>
  <conditionalFormatting sqref="O1220:P1220 K1225:L1225 O1225:P1225">
    <cfRule type="expression" dxfId="10737" priority="8656">
      <formula>$H1220="SUBETAPA"</formula>
    </cfRule>
  </conditionalFormatting>
  <conditionalFormatting sqref="O1223:P1223 L1223:M1223">
    <cfRule type="expression" dxfId="10736" priority="5668">
      <formula>$H1223="ETAPA"</formula>
    </cfRule>
  </conditionalFormatting>
  <conditionalFormatting sqref="O1234:P1234 M1234">
    <cfRule type="expression" dxfId="10735" priority="5255">
      <formula>$H1234="SUBETAPA"</formula>
    </cfRule>
  </conditionalFormatting>
  <conditionalFormatting sqref="O1237:P1237 K1242:M1242 O1242:P1242">
    <cfRule type="expression" dxfId="10734" priority="8583">
      <formula>$H1237="SUBETAPA"</formula>
    </cfRule>
  </conditionalFormatting>
  <conditionalFormatting sqref="O1240:P1240 L1240:M1240">
    <cfRule type="expression" dxfId="10733" priority="5626">
      <formula>$H1240="ETAPA"</formula>
    </cfRule>
  </conditionalFormatting>
  <conditionalFormatting sqref="O1255:P1255 M1255">
    <cfRule type="expression" dxfId="10732" priority="5213">
      <formula>$H1255="SUBETAPA"</formula>
    </cfRule>
  </conditionalFormatting>
  <conditionalFormatting sqref="O1257:P1257 M1257">
    <cfRule type="expression" dxfId="10731" priority="5175">
      <formula>$H1257="SUBETAPA"</formula>
    </cfRule>
  </conditionalFormatting>
  <conditionalFormatting sqref="O1260:P1260 K1265:L1265 O1265:P1265">
    <cfRule type="expression" dxfId="10730" priority="8470">
      <formula>$H1260="SUBETAPA"</formula>
    </cfRule>
  </conditionalFormatting>
  <conditionalFormatting sqref="O1263:P1263 L1263:M1263">
    <cfRule type="expression" dxfId="10729" priority="5584">
      <formula>$H1263="ETAPA"</formula>
    </cfRule>
  </conditionalFormatting>
  <conditionalFormatting sqref="O1278:P1278 M1278">
    <cfRule type="expression" dxfId="10728" priority="5155">
      <formula>$H1278="SUBETAPA"</formula>
    </cfRule>
  </conditionalFormatting>
  <conditionalFormatting sqref="O1280:P1280 M1280">
    <cfRule type="expression" dxfId="10727" priority="5117">
      <formula>$H1280="SUBETAPA"</formula>
    </cfRule>
  </conditionalFormatting>
  <conditionalFormatting sqref="O1283:P1283 K1286:L1286 O1286:P1286">
    <cfRule type="expression" dxfId="10726" priority="8075">
      <formula>$H1283="ETAPA"</formula>
    </cfRule>
    <cfRule type="expression" dxfId="10725" priority="8056">
      <formula>$H1283="SUBETAPA"</formula>
    </cfRule>
    <cfRule type="expression" dxfId="10724" priority="8074">
      <formula>$H1283="CÉLULA CONSTRUTIVA"</formula>
    </cfRule>
  </conditionalFormatting>
  <conditionalFormatting sqref="O1297:P1297 M1297">
    <cfRule type="expression" dxfId="10723" priority="5097">
      <formula>$H1297="SUBETAPA"</formula>
    </cfRule>
  </conditionalFormatting>
  <conditionalFormatting sqref="O1299:P1299 M1299">
    <cfRule type="expression" dxfId="10722" priority="5059">
      <formula>$H1299="SUBETAPA"</formula>
    </cfRule>
  </conditionalFormatting>
  <conditionalFormatting sqref="O1302:P1302">
    <cfRule type="expression" dxfId="10721" priority="8362">
      <formula>$H1302="SUBETAPA"</formula>
    </cfRule>
  </conditionalFormatting>
  <conditionalFormatting sqref="O1304:P1304 M1304">
    <cfRule type="expression" dxfId="10720" priority="5037">
      <formula>$H1304="SUBETAPA"</formula>
    </cfRule>
  </conditionalFormatting>
  <conditionalFormatting sqref="O1306:P1306">
    <cfRule type="expression" dxfId="10719" priority="925">
      <formula>$H1306="ETAPA"</formula>
    </cfRule>
    <cfRule type="expression" dxfId="10718" priority="913">
      <formula>$H1306="SUBETAPA"</formula>
    </cfRule>
    <cfRule type="expression" dxfId="10717" priority="924">
      <formula>$H1306="CÉLULA CONSTRUTIVA"</formula>
    </cfRule>
  </conditionalFormatting>
  <conditionalFormatting sqref="O1309:P1309 L1309:M1309">
    <cfRule type="expression" dxfId="10716" priority="14033">
      <formula>$H1309="ETAPA"</formula>
    </cfRule>
  </conditionalFormatting>
  <conditionalFormatting sqref="O1309:P1309 M1309">
    <cfRule type="expression" dxfId="10715" priority="14032">
      <formula>$H1309="CÉLULA CONSTRUTIVA"</formula>
    </cfRule>
    <cfRule type="expression" dxfId="10714" priority="14017">
      <formula>$H1309="SUBETAPA"</formula>
    </cfRule>
  </conditionalFormatting>
  <conditionalFormatting sqref="O1312:P1313 M1312:M1313 G1312:K1313">
    <cfRule type="expression" dxfId="10713" priority="13941">
      <formula>$H1312="SUBETAPA"</formula>
    </cfRule>
  </conditionalFormatting>
  <conditionalFormatting sqref="O1312:P1313">
    <cfRule type="expression" dxfId="10712" priority="13945">
      <formula>$H1312="ETAPA"</formula>
    </cfRule>
  </conditionalFormatting>
  <conditionalFormatting sqref="O1321:P1322 M1321:M1322 G1321:K1322">
    <cfRule type="expression" dxfId="10711" priority="13901">
      <formula>$H1321="SUBETAPA"</formula>
    </cfRule>
  </conditionalFormatting>
  <conditionalFormatting sqref="O1321:P1322">
    <cfRule type="expression" dxfId="10710" priority="13905">
      <formula>$H1321="ETAPA"</formula>
    </cfRule>
  </conditionalFormatting>
  <conditionalFormatting sqref="O1324:P1324 M1324 G1324:K1324">
    <cfRule type="expression" dxfId="10709" priority="4783">
      <formula>$H1324="SUBETAPA"</formula>
    </cfRule>
  </conditionalFormatting>
  <conditionalFormatting sqref="O1324:P1324">
    <cfRule type="expression" dxfId="10708" priority="4787">
      <formula>$H1324="ETAPA"</formula>
    </cfRule>
  </conditionalFormatting>
  <conditionalFormatting sqref="O1328:P1329 M1328:M1329 G1328:K1329">
    <cfRule type="expression" dxfId="10707" priority="13823">
      <formula>$H1328="SUBETAPA"</formula>
    </cfRule>
  </conditionalFormatting>
  <conditionalFormatting sqref="O1328:P1329">
    <cfRule type="expression" dxfId="10706" priority="13827">
      <formula>$H1328="ETAPA"</formula>
    </cfRule>
  </conditionalFormatting>
  <conditionalFormatting sqref="O1331:P1331 M1331 G1331:K1331">
    <cfRule type="expression" dxfId="10705" priority="4737">
      <formula>$H1331="SUBETAPA"</formula>
    </cfRule>
  </conditionalFormatting>
  <conditionalFormatting sqref="O1331:P1331">
    <cfRule type="expression" dxfId="10704" priority="4741">
      <formula>$H1331="ETAPA"</formula>
    </cfRule>
  </conditionalFormatting>
  <conditionalFormatting sqref="O1335:P1336 M1308 G1335:K1336 M1335:M1336">
    <cfRule type="expression" dxfId="10703" priority="25099">
      <formula>$H1308="SUBETAPA"</formula>
    </cfRule>
  </conditionalFormatting>
  <conditionalFormatting sqref="O1335:P1336">
    <cfRule type="expression" dxfId="10702" priority="25103">
      <formula>$H1335="ETAPA"</formula>
    </cfRule>
  </conditionalFormatting>
  <conditionalFormatting sqref="O1338:P1338 M1338 G1338:K1338">
    <cfRule type="expression" dxfId="10701" priority="4691">
      <formula>$H1338="SUBETAPA"</formula>
    </cfRule>
  </conditionalFormatting>
  <conditionalFormatting sqref="O1338:P1338">
    <cfRule type="expression" dxfId="10700" priority="4695">
      <formula>$H1338="ETAPA"</formula>
    </cfRule>
  </conditionalFormatting>
  <conditionalFormatting sqref="O1342:P1342">
    <cfRule type="expression" dxfId="10699" priority="24188">
      <formula>$H1342="CÉLULA CONSTRUTIVA"</formula>
    </cfRule>
    <cfRule type="expression" dxfId="10698" priority="24199">
      <formula>$H1342="ETAPA"</formula>
    </cfRule>
    <cfRule type="expression" dxfId="10697" priority="24187">
      <formula>$H1342="SUBETAPA"</formula>
    </cfRule>
  </conditionalFormatting>
  <conditionalFormatting sqref="O1353:P1353 M1373:P1373 M1379:P1379 H36:H47 I330 O1185:P1185 G1340:M1340 O1340:P1340 G1353:M1353 M1374 O1374:P1374 M1378 O1378:P1378 M1380 O1380:P1380 M1383 O1383:P1383 M1384:O1384 M1385:M1387 O1385:P1387 M1388:P1389">
    <cfRule type="expression" dxfId="10696" priority="25264">
      <formula>$H36="SUBETAPA"</formula>
    </cfRule>
  </conditionalFormatting>
  <conditionalFormatting sqref="O1358:P1358 O1354:P1355 L1354:M1355 M1358">
    <cfRule type="expression" dxfId="10695" priority="7674">
      <formula>$H1354="SUBETAPA"</formula>
    </cfRule>
  </conditionalFormatting>
  <conditionalFormatting sqref="O1360:P1360">
    <cfRule type="expression" dxfId="10694" priority="7668">
      <formula>$H1360="ETAPA"</formula>
    </cfRule>
    <cfRule type="expression" dxfId="10693" priority="7666">
      <formula>$H1360="SUBETAPA"</formula>
    </cfRule>
    <cfRule type="expression" dxfId="10692" priority="7667">
      <formula>$H1360="CÉLULA CONSTRUTIVA"</formula>
    </cfRule>
  </conditionalFormatting>
  <conditionalFormatting sqref="O1364:P1364">
    <cfRule type="expression" dxfId="10691" priority="7664">
      <formula>$H1364="SUBETAPA"</formula>
    </cfRule>
    <cfRule type="expression" dxfId="10690" priority="7665">
      <formula>$H1364="CÉLULA CONSTRUTIVA"</formula>
    </cfRule>
  </conditionalFormatting>
  <conditionalFormatting sqref="O1371:P1372 M1371:M1372">
    <cfRule type="expression" dxfId="10689" priority="25494">
      <formula>$H1371="SUBETAPA"</formula>
    </cfRule>
  </conditionalFormatting>
  <conditionalFormatting sqref="P1:P5 P7:P9 P12 P15 P18 P21:P23 P30 P34 P36:P37 P39 P48 P51 P53:P55 P62 P71 P75 P275:P277 P470 P609 P726 P1353 P1367:P1370 P1374:P1380 P1383 P1385:P1393">
    <cfRule type="containsText" dxfId="10688" priority="25530" operator="containsText" text="em andamento">
      <formula>NOT(ISERROR(SEARCH("em andamento",P1)))</formula>
    </cfRule>
  </conditionalFormatting>
  <conditionalFormatting sqref="P1:P5 P30 P34 P36:P37 P39 P48 P51 P53:P55 P62 P71 P75 P275:P277 P470 P609 P726 P1353 P1367:P1370 P1374:P1380 P1383 P1385:P1393 P7:P9 P12 P15 P18 P21:P23">
    <cfRule type="containsText" dxfId="10687" priority="25529" operator="containsText" text="Finalizado">
      <formula>NOT(ISERROR(SEARCH("Finalizado",P1)))</formula>
    </cfRule>
  </conditionalFormatting>
  <conditionalFormatting sqref="P1:P5 P30 P34 P36:P37 P39 P48 P51 P53:P55 P62 P71 P75 P275:P277 P470 P609 P726 P1367:P1370 P1353 P1375 P1377:P1380 P1383 P1244 P1267 P1288">
    <cfRule type="containsText" dxfId="10686" priority="25528" operator="containsText" text="Pendente">
      <formula>NOT(ISERROR(SEARCH("Pendente",P1)))</formula>
    </cfRule>
  </conditionalFormatting>
  <conditionalFormatting sqref="P7:P9 P12 P15 P18 P21:P23 P285 P1385:P1393 P1340">
    <cfRule type="containsText" dxfId="10685" priority="25395" operator="containsText" text="Pendente">
      <formula>NOT(ISERROR(SEARCH("Pendente",P7)))</formula>
    </cfRule>
  </conditionalFormatting>
  <conditionalFormatting sqref="P7:P10 P1353 P1375 P1377:P1380 P1383 P371:P374 P712:P715">
    <cfRule type="containsText" dxfId="10684" priority="25079" operator="containsText" text="N/A">
      <formula>NOT(ISERROR(SEARCH("N/A",P7)))</formula>
    </cfRule>
    <cfRule type="containsText" dxfId="10683" priority="25078" operator="containsText" text="Lançado">
      <formula>NOT(ISERROR(SEARCH("Lançado",P7)))</formula>
    </cfRule>
  </conditionalFormatting>
  <conditionalFormatting sqref="P10 P1194">
    <cfRule type="containsText" dxfId="10682" priority="25082" operator="containsText" text="em andamento">
      <formula>NOT(ISERROR(SEARCH("em andamento",P10)))</formula>
    </cfRule>
    <cfRule type="containsText" dxfId="10681" priority="25081" operator="containsText" text="Finalizado">
      <formula>NOT(ISERROR(SEARCH("Finalizado",P10)))</formula>
    </cfRule>
    <cfRule type="containsText" dxfId="10680" priority="25080" operator="containsText" text="Pendente">
      <formula>NOT(ISERROR(SEARCH("Pendente",P10)))</formula>
    </cfRule>
  </conditionalFormatting>
  <conditionalFormatting sqref="P11 P56:P61 P63:P70 P72:P74 P80:P85 P87:P93 P95:P96 P103:P106 P145:P146 P158 P163:P164 P166:P168 P170 P177 P179:P181 P272:P274 P278 P286 P289 P297 P300 P308 P311 P319 P1138:P1142 P1169:P1173 P1049">
    <cfRule type="containsText" dxfId="10679" priority="22606" operator="containsText" text="Finalizado">
      <formula>NOT(ISERROR(SEARCH("Finalizado",P11)))</formula>
    </cfRule>
  </conditionalFormatting>
  <conditionalFormatting sqref="P11 P56:P61 P63:P70 P72:P74 P80:P85 P87:P93 P95:P96 P103:P106 P145:P146 P158 P163:P164 P166:P168 P170 P177 P179:P181 P272:P274 P278 P286 P289 P297 P300 P308 P311 P319">
    <cfRule type="containsText" dxfId="10678" priority="22619" operator="containsText" text="Finalizado">
      <formula>NOT(ISERROR(SEARCH("Finalizado",P11)))</formula>
    </cfRule>
    <cfRule type="containsText" dxfId="10677" priority="22611" operator="containsText" text="Finalizado">
      <formula>NOT(ISERROR(SEARCH("Finalizado",P11)))</formula>
    </cfRule>
  </conditionalFormatting>
  <conditionalFormatting sqref="P11 P56:P61 P63:P70 P72:P74 P80:P85 P87:P93 P95:P96 P103:P106 P145:P146 P158 P163:P164 P170 P177 P179:P181 P286 P289 P297 P300 P308 P311 P319 P166:P168 P272:P274 P278">
    <cfRule type="containsText" dxfId="10676" priority="22617" operator="containsText" text="N/A">
      <formula>NOT(ISERROR(SEARCH("N/A",P11)))</formula>
    </cfRule>
    <cfRule type="containsText" dxfId="10675" priority="22604" operator="containsText" text="N/A">
      <formula>NOT(ISERROR(SEARCH("N/A",P11)))</formula>
    </cfRule>
    <cfRule type="containsText" dxfId="10674" priority="22609" operator="containsText" text="N/A">
      <formula>NOT(ISERROR(SEARCH("N/A",P11)))</formula>
    </cfRule>
  </conditionalFormatting>
  <conditionalFormatting sqref="P11 P87:P93 P80:P85 P56:P61 P63:P70 P72:P74 P95:P96 P103:P106 P163:P164 P170 P145:P146 P158 P177 P179:P181 P272:P274 P166:P168 P278 P289 P300 P311 P286 P297 P308 P319">
    <cfRule type="containsText" dxfId="10673" priority="22610" operator="containsText" text="Pendente">
      <formula>NOT(ISERROR(SEARCH("Pendente",P11)))</formula>
    </cfRule>
    <cfRule type="containsText" dxfId="10672" priority="22608" operator="containsText" text="Lançado">
      <formula>NOT(ISERROR(SEARCH("Lançado",P11)))</formula>
    </cfRule>
    <cfRule type="containsText" dxfId="10671" priority="22607" operator="containsText" text="em andamento">
      <formula>NOT(ISERROR(SEARCH("em andamento",P11)))</formula>
    </cfRule>
    <cfRule type="containsText" dxfId="10670" priority="22605" operator="containsText" text="Pendente">
      <formula>NOT(ISERROR(SEARCH("Pendente",P11)))</formula>
    </cfRule>
    <cfRule type="containsText" dxfId="10669" priority="22618" operator="containsText" text="Pendente">
      <formula>NOT(ISERROR(SEARCH("Pendente",P11)))</formula>
    </cfRule>
    <cfRule type="expression" dxfId="10668" priority="22600">
      <formula>$H11="SUBETAPA"</formula>
    </cfRule>
    <cfRule type="expression" dxfId="10667" priority="22601">
      <formula>$H11="CÉLULA CONSTRUTIVA"</formula>
    </cfRule>
    <cfRule type="expression" dxfId="10666" priority="22602">
      <formula>$H11="ETAPA"</formula>
    </cfRule>
    <cfRule type="containsText" dxfId="10665" priority="22620" operator="containsText" text="em andamento">
      <formula>NOT(ISERROR(SEARCH("em andamento",P11)))</formula>
    </cfRule>
    <cfRule type="containsText" dxfId="10664" priority="22616" operator="containsText" text="Lançado">
      <formula>NOT(ISERROR(SEARCH("Lançado",P11)))</formula>
    </cfRule>
    <cfRule type="expression" dxfId="10663" priority="22614">
      <formula>$H11="CÉLULA CONSTRUTIVA"</formula>
    </cfRule>
    <cfRule type="expression" dxfId="10662" priority="22615">
      <formula>$H11="ETAPA"</formula>
    </cfRule>
    <cfRule type="containsText" dxfId="10661" priority="22612" operator="containsText" text="em andamento">
      <formula>NOT(ISERROR(SEARCH("em andamento",P11)))</formula>
    </cfRule>
    <cfRule type="containsText" dxfId="10660" priority="22603" operator="containsText" text="Lançado">
      <formula>NOT(ISERROR(SEARCH("Lançado",P11)))</formula>
    </cfRule>
  </conditionalFormatting>
  <conditionalFormatting sqref="P12 P15 P18 P21:P23 P285 P1340 P1385:P1393">
    <cfRule type="containsText" dxfId="10659" priority="25394" operator="containsText" text="N/A">
      <formula>NOT(ISERROR(SEARCH("N/A",P12)))</formula>
    </cfRule>
    <cfRule type="containsText" dxfId="10658" priority="25393" operator="containsText" text="Lançado">
      <formula>NOT(ISERROR(SEARCH("Lançado",P12)))</formula>
    </cfRule>
  </conditionalFormatting>
  <conditionalFormatting sqref="P13:P14 P223 P225:P226 P228 P231 P233:P234 P236 P239 P241:P242 P244 P247 P249:P250 P252 P255 P257:P258 P260 P263 P265:P267 P269">
    <cfRule type="containsText" dxfId="10657" priority="22585" operator="containsText" text="Finalizado">
      <formula>NOT(ISERROR(SEARCH("Finalizado",P13)))</formula>
    </cfRule>
    <cfRule type="containsText" dxfId="10656" priority="22590" operator="containsText" text="Finalizado">
      <formula>NOT(ISERROR(SEARCH("Finalizado",P13)))</formula>
    </cfRule>
    <cfRule type="containsText" dxfId="10655" priority="22598" operator="containsText" text="Finalizado">
      <formula>NOT(ISERROR(SEARCH("Finalizado",P13)))</formula>
    </cfRule>
  </conditionalFormatting>
  <conditionalFormatting sqref="P13:P14 P265:P267 P223 P231 P239 P247 P255 P263 P225:P226 P233:P234 P241:P242 P249:P250 P257:P258 P228 P236 P244 P252 P260 P269">
    <cfRule type="containsText" dxfId="10654" priority="22596" operator="containsText" text="N/A">
      <formula>NOT(ISERROR(SEARCH("N/A",P13)))</formula>
    </cfRule>
    <cfRule type="containsText" dxfId="10653" priority="22595" operator="containsText" text="Lançado">
      <formula>NOT(ISERROR(SEARCH("Lançado",P13)))</formula>
    </cfRule>
    <cfRule type="expression" dxfId="10652" priority="22594">
      <formula>$H13="ETAPA"</formula>
    </cfRule>
    <cfRule type="expression" dxfId="10651" priority="22593">
      <formula>$H13="CÉLULA CONSTRUTIVA"</formula>
    </cfRule>
    <cfRule type="containsText" dxfId="10650" priority="22591" operator="containsText" text="em andamento">
      <formula>NOT(ISERROR(SEARCH("em andamento",P13)))</formula>
    </cfRule>
    <cfRule type="containsText" dxfId="10649" priority="22589" operator="containsText" text="Pendente">
      <formula>NOT(ISERROR(SEARCH("Pendente",P13)))</formula>
    </cfRule>
    <cfRule type="containsText" dxfId="10648" priority="22588" operator="containsText" text="N/A">
      <formula>NOT(ISERROR(SEARCH("N/A",P13)))</formula>
    </cfRule>
    <cfRule type="containsText" dxfId="10647" priority="22586" operator="containsText" text="em andamento">
      <formula>NOT(ISERROR(SEARCH("em andamento",P13)))</formula>
    </cfRule>
    <cfRule type="containsText" dxfId="10646" priority="22597" operator="containsText" text="Pendente">
      <formula>NOT(ISERROR(SEARCH("Pendente",P13)))</formula>
    </cfRule>
    <cfRule type="containsText" dxfId="10645" priority="22584" operator="containsText" text="Pendente">
      <formula>NOT(ISERROR(SEARCH("Pendente",P13)))</formula>
    </cfRule>
    <cfRule type="containsText" dxfId="10644" priority="22583" operator="containsText" text="N/A">
      <formula>NOT(ISERROR(SEARCH("N/A",P13)))</formula>
    </cfRule>
    <cfRule type="containsText" dxfId="10643" priority="22582" operator="containsText" text="Lançado">
      <formula>NOT(ISERROR(SEARCH("Lançado",P13)))</formula>
    </cfRule>
    <cfRule type="expression" dxfId="10642" priority="22581">
      <formula>$H13="ETAPA"</formula>
    </cfRule>
    <cfRule type="expression" dxfId="10641" priority="22580">
      <formula>$H13="CÉLULA CONSTRUTIVA"</formula>
    </cfRule>
    <cfRule type="expression" dxfId="10640" priority="22579">
      <formula>$H13="SUBETAPA"</formula>
    </cfRule>
    <cfRule type="containsText" dxfId="10639" priority="22587" operator="containsText" text="Lançado">
      <formula>NOT(ISERROR(SEARCH("Lançado",P13)))</formula>
    </cfRule>
    <cfRule type="containsText" dxfId="10638" priority="22599" operator="containsText" text="em andamento">
      <formula>NOT(ISERROR(SEARCH("em andamento",P13)))</formula>
    </cfRule>
  </conditionalFormatting>
  <conditionalFormatting sqref="P16:P17">
    <cfRule type="containsText" dxfId="10637" priority="22577" operator="containsText" text="Finalizado">
      <formula>NOT(ISERROR(SEARCH("Finalizado",P16)))</formula>
    </cfRule>
    <cfRule type="containsText" dxfId="10636" priority="22576" operator="containsText" text="Pendente">
      <formula>NOT(ISERROR(SEARCH("Pendente",P16)))</formula>
    </cfRule>
    <cfRule type="containsText" dxfId="10635" priority="22575" operator="containsText" text="N/A">
      <formula>NOT(ISERROR(SEARCH("N/A",P16)))</formula>
    </cfRule>
    <cfRule type="containsText" dxfId="10634" priority="22561" operator="containsText" text="Lançado">
      <formula>NOT(ISERROR(SEARCH("Lançado",P16)))</formula>
    </cfRule>
    <cfRule type="containsText" dxfId="10633" priority="22574" operator="containsText" text="Lançado">
      <formula>NOT(ISERROR(SEARCH("Lançado",P16)))</formula>
    </cfRule>
    <cfRule type="expression" dxfId="10632" priority="22572">
      <formula>$H16="CÉLULA CONSTRUTIVA"</formula>
    </cfRule>
    <cfRule type="containsText" dxfId="10631" priority="22570" operator="containsText" text="em andamento">
      <formula>NOT(ISERROR(SEARCH("em andamento",P16)))</formula>
    </cfRule>
    <cfRule type="containsText" dxfId="10630" priority="22569" operator="containsText" text="Finalizado">
      <formula>NOT(ISERROR(SEARCH("Finalizado",P16)))</formula>
    </cfRule>
    <cfRule type="containsText" dxfId="10629" priority="22568" operator="containsText" text="Pendente">
      <formula>NOT(ISERROR(SEARCH("Pendente",P16)))</formula>
    </cfRule>
    <cfRule type="expression" dxfId="10628" priority="22573">
      <formula>$H16="ETAPA"</formula>
    </cfRule>
    <cfRule type="containsText" dxfId="10627" priority="22567" operator="containsText" text="N/A">
      <formula>NOT(ISERROR(SEARCH("N/A",P16)))</formula>
    </cfRule>
    <cfRule type="containsText" dxfId="10626" priority="22565" operator="containsText" text="em andamento">
      <formula>NOT(ISERROR(SEARCH("em andamento",P16)))</formula>
    </cfRule>
    <cfRule type="containsText" dxfId="10625" priority="22566" operator="containsText" text="Lançado">
      <formula>NOT(ISERROR(SEARCH("Lançado",P16)))</formula>
    </cfRule>
    <cfRule type="expression" dxfId="10624" priority="22560">
      <formula>$H16="ETAPA"</formula>
    </cfRule>
    <cfRule type="expression" dxfId="10623" priority="22559">
      <formula>$H16="CÉLULA CONSTRUTIVA"</formula>
    </cfRule>
    <cfRule type="containsText" dxfId="10622" priority="22564" operator="containsText" text="Finalizado">
      <formula>NOT(ISERROR(SEARCH("Finalizado",P16)))</formula>
    </cfRule>
    <cfRule type="containsText" dxfId="10621" priority="22578" operator="containsText" text="em andamento">
      <formula>NOT(ISERROR(SEARCH("em andamento",P16)))</formula>
    </cfRule>
    <cfRule type="expression" dxfId="10620" priority="22558">
      <formula>$H16="SUBETAPA"</formula>
    </cfRule>
    <cfRule type="containsText" dxfId="10619" priority="22562" operator="containsText" text="N/A">
      <formula>NOT(ISERROR(SEARCH("N/A",P16)))</formula>
    </cfRule>
    <cfRule type="containsText" dxfId="10618" priority="22563" operator="containsText" text="Pendente">
      <formula>NOT(ISERROR(SEARCH("Pendente",P16)))</formula>
    </cfRule>
  </conditionalFormatting>
  <conditionalFormatting sqref="P19:P20">
    <cfRule type="containsText" dxfId="10617" priority="22547" operator="containsText" text="Pendente">
      <formula>NOT(ISERROR(SEARCH("Pendente",P19)))</formula>
    </cfRule>
    <cfRule type="containsText" dxfId="10616" priority="22546" operator="containsText" text="N/A">
      <formula>NOT(ISERROR(SEARCH("N/A",P19)))</formula>
    </cfRule>
    <cfRule type="expression" dxfId="10615" priority="22552">
      <formula>$H19="ETAPA"</formula>
    </cfRule>
    <cfRule type="containsText" dxfId="10614" priority="22543" operator="containsText" text="Finalizado">
      <formula>NOT(ISERROR(SEARCH("Finalizado",P19)))</formula>
    </cfRule>
    <cfRule type="expression" dxfId="10613" priority="22551">
      <formula>$H19="CÉLULA CONSTRUTIVA"</formula>
    </cfRule>
    <cfRule type="containsText" dxfId="10612" priority="22549" operator="containsText" text="em andamento">
      <formula>NOT(ISERROR(SEARCH("em andamento",P19)))</formula>
    </cfRule>
    <cfRule type="containsText" dxfId="10611" priority="22557" operator="containsText" text="em andamento">
      <formula>NOT(ISERROR(SEARCH("em andamento",P19)))</formula>
    </cfRule>
    <cfRule type="expression" dxfId="10610" priority="22537">
      <formula>$H19="SUBETAPA"</formula>
    </cfRule>
    <cfRule type="expression" dxfId="10609" priority="22538">
      <formula>$H19="CÉLULA CONSTRUTIVA"</formula>
    </cfRule>
    <cfRule type="expression" dxfId="10608" priority="22539">
      <formula>$H19="ETAPA"</formula>
    </cfRule>
    <cfRule type="containsText" dxfId="10607" priority="22540" operator="containsText" text="Lançado">
      <formula>NOT(ISERROR(SEARCH("Lançado",P19)))</formula>
    </cfRule>
    <cfRule type="containsText" dxfId="10606" priority="22545" operator="containsText" text="Lançado">
      <formula>NOT(ISERROR(SEARCH("Lançado",P19)))</formula>
    </cfRule>
    <cfRule type="containsText" dxfId="10605" priority="22548" operator="containsText" text="Finalizado">
      <formula>NOT(ISERROR(SEARCH("Finalizado",P19)))</formula>
    </cfRule>
    <cfRule type="containsText" dxfId="10604" priority="22541" operator="containsText" text="N/A">
      <formula>NOT(ISERROR(SEARCH("N/A",P19)))</formula>
    </cfRule>
    <cfRule type="containsText" dxfId="10603" priority="22542" operator="containsText" text="Pendente">
      <formula>NOT(ISERROR(SEARCH("Pendente",P19)))</formula>
    </cfRule>
    <cfRule type="containsText" dxfId="10602" priority="22555" operator="containsText" text="Pendente">
      <formula>NOT(ISERROR(SEARCH("Pendente",P19)))</formula>
    </cfRule>
    <cfRule type="containsText" dxfId="10601" priority="22554" operator="containsText" text="N/A">
      <formula>NOT(ISERROR(SEARCH("N/A",P19)))</formula>
    </cfRule>
    <cfRule type="containsText" dxfId="10600" priority="22556" operator="containsText" text="Finalizado">
      <formula>NOT(ISERROR(SEARCH("Finalizado",P19)))</formula>
    </cfRule>
    <cfRule type="containsText" dxfId="10599" priority="22553" operator="containsText" text="Lançado">
      <formula>NOT(ISERROR(SEARCH("Lançado",P19)))</formula>
    </cfRule>
    <cfRule type="containsText" dxfId="10598" priority="22544" operator="containsText" text="em andamento">
      <formula>NOT(ISERROR(SEARCH("em andamento",P19)))</formula>
    </cfRule>
  </conditionalFormatting>
  <conditionalFormatting sqref="P24:P29 P1303 P1267 P1288 P1272 P1274 P1276 P1295 P1293">
    <cfRule type="containsText" dxfId="10597" priority="22753" operator="containsText" text="Finalizado">
      <formula>NOT(ISERROR(SEARCH("Finalizado",P24)))</formula>
    </cfRule>
  </conditionalFormatting>
  <conditionalFormatting sqref="P24:P29 P1303">
    <cfRule type="expression" dxfId="10596" priority="22760">
      <formula>$H24="SUBETAPA"</formula>
    </cfRule>
    <cfRule type="containsText" dxfId="10595" priority="22759" operator="containsText" text="em andamento">
      <formula>NOT(ISERROR(SEARCH("em andamento",P24)))</formula>
    </cfRule>
    <cfRule type="containsText" dxfId="10594" priority="22758" operator="containsText" text="Finalizado">
      <formula>NOT(ISERROR(SEARCH("Finalizado",P24)))</formula>
    </cfRule>
    <cfRule type="containsText" dxfId="10593" priority="22757" operator="containsText" text="Pendente">
      <formula>NOT(ISERROR(SEARCH("Pendente",P24)))</formula>
    </cfRule>
    <cfRule type="containsText" dxfId="10592" priority="22756" operator="containsText" text="N/A">
      <formula>NOT(ISERROR(SEARCH("N/A",P24)))</formula>
    </cfRule>
    <cfRule type="containsText" dxfId="10591" priority="22755" operator="containsText" text="Lançado">
      <formula>NOT(ISERROR(SEARCH("Lançado",P24)))</formula>
    </cfRule>
    <cfRule type="containsText" dxfId="10590" priority="22754" operator="containsText" text="em andamento">
      <formula>NOT(ISERROR(SEARCH("em andamento",P24)))</formula>
    </cfRule>
    <cfRule type="containsText" dxfId="10589" priority="22765" operator="containsText" text="Pendente">
      <formula>NOT(ISERROR(SEARCH("Pendente",P24)))</formula>
    </cfRule>
    <cfRule type="containsText" dxfId="10588" priority="22752" operator="containsText" text="Pendente">
      <formula>NOT(ISERROR(SEARCH("Pendente",P24)))</formula>
    </cfRule>
    <cfRule type="containsText" dxfId="10587" priority="22764" operator="containsText" text="N/A">
      <formula>NOT(ISERROR(SEARCH("N/A",P24)))</formula>
    </cfRule>
    <cfRule type="containsText" dxfId="10586" priority="22751" operator="containsText" text="N/A">
      <formula>NOT(ISERROR(SEARCH("N/A",P24)))</formula>
    </cfRule>
    <cfRule type="containsText" dxfId="10585" priority="22766" operator="containsText" text="Finalizado">
      <formula>NOT(ISERROR(SEARCH("Finalizado",P24)))</formula>
    </cfRule>
    <cfRule type="containsText" dxfId="10584" priority="22767" operator="containsText" text="em andamento">
      <formula>NOT(ISERROR(SEARCH("em andamento",P24)))</formula>
    </cfRule>
    <cfRule type="containsText" dxfId="10583" priority="22750" operator="containsText" text="Lançado">
      <formula>NOT(ISERROR(SEARCH("Lançado",P24)))</formula>
    </cfRule>
    <cfRule type="containsText" dxfId="10582" priority="22763" operator="containsText" text="Lançado">
      <formula>NOT(ISERROR(SEARCH("Lançado",P24)))</formula>
    </cfRule>
    <cfRule type="expression" dxfId="10581" priority="22749">
      <formula>$H24="ETAPA"</formula>
    </cfRule>
    <cfRule type="expression" dxfId="10580" priority="22748">
      <formula>$H24="CÉLULA CONSTRUTIVA"</formula>
    </cfRule>
    <cfRule type="expression" dxfId="10579" priority="22762">
      <formula>$H24="ETAPA"</formula>
    </cfRule>
    <cfRule type="expression" dxfId="10578" priority="22761">
      <formula>$H24="CÉLULA CONSTRUTIVA"</formula>
    </cfRule>
    <cfRule type="expression" dxfId="10577" priority="22747">
      <formula>$H24="SUBETAPA"</formula>
    </cfRule>
  </conditionalFormatting>
  <conditionalFormatting sqref="P31:P33">
    <cfRule type="containsText" dxfId="10576" priority="22738" operator="containsText" text="em andamento">
      <formula>NOT(ISERROR(SEARCH("em andamento",P31)))</formula>
    </cfRule>
    <cfRule type="containsText" dxfId="10575" priority="22737" operator="containsText" text="Finalizado">
      <formula>NOT(ISERROR(SEARCH("Finalizado",P31)))</formula>
    </cfRule>
    <cfRule type="containsText" dxfId="10574" priority="22736" operator="containsText" text="Pendente">
      <formula>NOT(ISERROR(SEARCH("Pendente",P31)))</formula>
    </cfRule>
    <cfRule type="containsText" dxfId="10573" priority="22735" operator="containsText" text="N/A">
      <formula>NOT(ISERROR(SEARCH("N/A",P31)))</formula>
    </cfRule>
    <cfRule type="containsText" dxfId="10572" priority="22744" operator="containsText" text="Pendente">
      <formula>NOT(ISERROR(SEARCH("Pendente",P31)))</formula>
    </cfRule>
    <cfRule type="containsText" dxfId="10571" priority="22733" operator="containsText" text="em andamento">
      <formula>NOT(ISERROR(SEARCH("em andamento",P31)))</formula>
    </cfRule>
    <cfRule type="containsText" dxfId="10570" priority="22732" operator="containsText" text="Finalizado">
      <formula>NOT(ISERROR(SEARCH("Finalizado",P31)))</formula>
    </cfRule>
    <cfRule type="containsText" dxfId="10569" priority="22731" operator="containsText" text="Pendente">
      <formula>NOT(ISERROR(SEARCH("Pendente",P31)))</formula>
    </cfRule>
    <cfRule type="containsText" dxfId="10568" priority="22730" operator="containsText" text="N/A">
      <formula>NOT(ISERROR(SEARCH("N/A",P31)))</formula>
    </cfRule>
    <cfRule type="containsText" dxfId="10567" priority="22729" operator="containsText" text="Lançado">
      <formula>NOT(ISERROR(SEARCH("Lançado",P31)))</formula>
    </cfRule>
    <cfRule type="expression" dxfId="10566" priority="22728">
      <formula>$H31="ETAPA"</formula>
    </cfRule>
    <cfRule type="containsText" dxfId="10565" priority="22734" operator="containsText" text="Lançado">
      <formula>NOT(ISERROR(SEARCH("Lançado",P31)))</formula>
    </cfRule>
    <cfRule type="expression" dxfId="10564" priority="22727">
      <formula>$H31="CÉLULA CONSTRUTIVA"</formula>
    </cfRule>
    <cfRule type="expression" dxfId="10563" priority="22726">
      <formula>$H31="SUBETAPA"</formula>
    </cfRule>
    <cfRule type="containsText" dxfId="10562" priority="22746" operator="containsText" text="em andamento">
      <formula>NOT(ISERROR(SEARCH("em andamento",P31)))</formula>
    </cfRule>
    <cfRule type="containsText" dxfId="10561" priority="22745" operator="containsText" text="Finalizado">
      <formula>NOT(ISERROR(SEARCH("Finalizado",P31)))</formula>
    </cfRule>
    <cfRule type="containsText" dxfId="10560" priority="22743" operator="containsText" text="N/A">
      <formula>NOT(ISERROR(SEARCH("N/A",P31)))</formula>
    </cfRule>
    <cfRule type="containsText" dxfId="10559" priority="22742" operator="containsText" text="Lançado">
      <formula>NOT(ISERROR(SEARCH("Lançado",P31)))</formula>
    </cfRule>
    <cfRule type="expression" dxfId="10558" priority="22741">
      <formula>$H31="ETAPA"</formula>
    </cfRule>
    <cfRule type="expression" dxfId="10557" priority="22740">
      <formula>$H31="CÉLULA CONSTRUTIVA"</formula>
    </cfRule>
  </conditionalFormatting>
  <conditionalFormatting sqref="P35">
    <cfRule type="containsText" dxfId="10556" priority="22725" operator="containsText" text="em andamento">
      <formula>NOT(ISERROR(SEARCH("em andamento",P35)))</formula>
    </cfRule>
    <cfRule type="containsText" dxfId="10555" priority="22715" operator="containsText" text="Pendente">
      <formula>NOT(ISERROR(SEARCH("Pendente",P35)))</formula>
    </cfRule>
    <cfRule type="containsText" dxfId="10554" priority="22717" operator="containsText" text="em andamento">
      <formula>NOT(ISERROR(SEARCH("em andamento",P35)))</formula>
    </cfRule>
    <cfRule type="expression" dxfId="10553" priority="22719">
      <formula>$H35="CÉLULA CONSTRUTIVA"</formula>
    </cfRule>
    <cfRule type="expression" dxfId="10552" priority="22720">
      <formula>$H35="ETAPA"</formula>
    </cfRule>
    <cfRule type="containsText" dxfId="10551" priority="22710" operator="containsText" text="Pendente">
      <formula>NOT(ISERROR(SEARCH("Pendente",P35)))</formula>
    </cfRule>
    <cfRule type="containsText" dxfId="10550" priority="22721" operator="containsText" text="Lançado">
      <formula>NOT(ISERROR(SEARCH("Lançado",P35)))</formula>
    </cfRule>
    <cfRule type="containsText" dxfId="10549" priority="22722" operator="containsText" text="N/A">
      <formula>NOT(ISERROR(SEARCH("N/A",P35)))</formula>
    </cfRule>
    <cfRule type="expression" dxfId="10548" priority="22705">
      <formula>$H35="SUBETAPA"</formula>
    </cfRule>
    <cfRule type="expression" dxfId="10547" priority="22706">
      <formula>$H35="CÉLULA CONSTRUTIVA"</formula>
    </cfRule>
    <cfRule type="containsText" dxfId="10546" priority="22711" operator="containsText" text="Finalizado">
      <formula>NOT(ISERROR(SEARCH("Finalizado",P35)))</formula>
    </cfRule>
    <cfRule type="containsText" dxfId="10545" priority="22723" operator="containsText" text="Pendente">
      <formula>NOT(ISERROR(SEARCH("Pendente",P35)))</formula>
    </cfRule>
    <cfRule type="containsText" dxfId="10544" priority="22708" operator="containsText" text="Lançado">
      <formula>NOT(ISERROR(SEARCH("Lançado",P35)))</formula>
    </cfRule>
    <cfRule type="containsText" dxfId="10543" priority="22724" operator="containsText" text="Finalizado">
      <formula>NOT(ISERROR(SEARCH("Finalizado",P35)))</formula>
    </cfRule>
    <cfRule type="expression" dxfId="10542" priority="22707">
      <formula>$H35="ETAPA"</formula>
    </cfRule>
    <cfRule type="containsText" dxfId="10541" priority="22714" operator="containsText" text="N/A">
      <formula>NOT(ISERROR(SEARCH("N/A",P35)))</formula>
    </cfRule>
    <cfRule type="containsText" dxfId="10540" priority="22713" operator="containsText" text="Lançado">
      <formula>NOT(ISERROR(SEARCH("Lançado",P35)))</formula>
    </cfRule>
    <cfRule type="containsText" dxfId="10539" priority="22709" operator="containsText" text="N/A">
      <formula>NOT(ISERROR(SEARCH("N/A",P35)))</formula>
    </cfRule>
    <cfRule type="containsText" dxfId="10538" priority="22716" operator="containsText" text="Finalizado">
      <formula>NOT(ISERROR(SEARCH("Finalizado",P35)))</formula>
    </cfRule>
    <cfRule type="containsText" dxfId="10537" priority="22712" operator="containsText" text="em andamento">
      <formula>NOT(ISERROR(SEARCH("em andamento",P35)))</formula>
    </cfRule>
  </conditionalFormatting>
  <conditionalFormatting sqref="P38">
    <cfRule type="containsText" dxfId="10536" priority="22702" operator="containsText" text="Pendente">
      <formula>NOT(ISERROR(SEARCH("Pendente",P38)))</formula>
    </cfRule>
    <cfRule type="containsText" dxfId="10535" priority="22701" operator="containsText" text="N/A">
      <formula>NOT(ISERROR(SEARCH("N/A",P38)))</formula>
    </cfRule>
    <cfRule type="containsText" dxfId="10534" priority="22704" operator="containsText" text="em andamento">
      <formula>NOT(ISERROR(SEARCH("em andamento",P38)))</formula>
    </cfRule>
    <cfRule type="containsText" dxfId="10533" priority="22703" operator="containsText" text="Finalizado">
      <formula>NOT(ISERROR(SEARCH("Finalizado",P38)))</formula>
    </cfRule>
    <cfRule type="containsText" dxfId="10532" priority="22693" operator="containsText" text="N/A">
      <formula>NOT(ISERROR(SEARCH("N/A",P38)))</formula>
    </cfRule>
    <cfRule type="containsText" dxfId="10531" priority="22700" operator="containsText" text="Lançado">
      <formula>NOT(ISERROR(SEARCH("Lançado",P38)))</formula>
    </cfRule>
    <cfRule type="expression" dxfId="10530" priority="22699">
      <formula>$H38="ETAPA"</formula>
    </cfRule>
    <cfRule type="expression" dxfId="10529" priority="22698">
      <formula>$H38="CÉLULA CONSTRUTIVA"</formula>
    </cfRule>
    <cfRule type="expression" dxfId="10528" priority="22684">
      <formula>$H38="SUBETAPA"</formula>
    </cfRule>
    <cfRule type="containsText" dxfId="10527" priority="22696" operator="containsText" text="em andamento">
      <formula>NOT(ISERROR(SEARCH("em andamento",P38)))</formula>
    </cfRule>
    <cfRule type="containsText" dxfId="10526" priority="22695" operator="containsText" text="Finalizado">
      <formula>NOT(ISERROR(SEARCH("Finalizado",P38)))</formula>
    </cfRule>
    <cfRule type="containsText" dxfId="10525" priority="22687" operator="containsText" text="Lançado">
      <formula>NOT(ISERROR(SEARCH("Lançado",P38)))</formula>
    </cfRule>
    <cfRule type="containsText" dxfId="10524" priority="22694" operator="containsText" text="Pendente">
      <formula>NOT(ISERROR(SEARCH("Pendente",P38)))</formula>
    </cfRule>
    <cfRule type="expression" dxfId="10523" priority="22686">
      <formula>$H38="ETAPA"</formula>
    </cfRule>
    <cfRule type="containsText" dxfId="10522" priority="22692" operator="containsText" text="Lançado">
      <formula>NOT(ISERROR(SEARCH("Lançado",P38)))</formula>
    </cfRule>
    <cfRule type="expression" dxfId="10521" priority="22685">
      <formula>$H38="CÉLULA CONSTRUTIVA"</formula>
    </cfRule>
    <cfRule type="containsText" dxfId="10520" priority="22691" operator="containsText" text="em andamento">
      <formula>NOT(ISERROR(SEARCH("em andamento",P38)))</formula>
    </cfRule>
    <cfRule type="containsText" dxfId="10519" priority="22690" operator="containsText" text="Finalizado">
      <formula>NOT(ISERROR(SEARCH("Finalizado",P38)))</formula>
    </cfRule>
    <cfRule type="containsText" dxfId="10518" priority="22689" operator="containsText" text="Pendente">
      <formula>NOT(ISERROR(SEARCH("Pendente",P38)))</formula>
    </cfRule>
    <cfRule type="containsText" dxfId="10517" priority="22688" operator="containsText" text="N/A">
      <formula>NOT(ISERROR(SEARCH("N/A",P38)))</formula>
    </cfRule>
  </conditionalFormatting>
  <conditionalFormatting sqref="P39 P48 P51 P53:P55 P62 P71 P75 P275:P277 P470 P726 P609 P36:P37 P30 P34 P281 P1055 P1367:P1370 P1:P5 P1194">
    <cfRule type="containsText" dxfId="10516" priority="25526" operator="containsText" text="Lançado">
      <formula>NOT(ISERROR(SEARCH("Lançado",P1)))</formula>
    </cfRule>
  </conditionalFormatting>
  <conditionalFormatting sqref="P39 P48 P51 P53:P55 P62 P71 P75 P275:P277 P470 P726 P609 P36:P37 P30 P34 P281 P1055 P1367:P1370 P1:P5 P1295 P1308 P348 P351:P353 P968:P969 P952:P954 P1047:P1049 P1194 P1312:P1313 P1058:P1059 P1069:P1074 P1087:P1091 P1138:P1142 P1169:P1173 P1182:P1184">
    <cfRule type="containsText" dxfId="10515" priority="25527" operator="containsText" text="N/A">
      <formula>NOT(ISERROR(SEARCH("N/A",P1)))</formula>
    </cfRule>
  </conditionalFormatting>
  <conditionalFormatting sqref="P40:P47">
    <cfRule type="expression" dxfId="10514" priority="22664">
      <formula>$H40="CÉLULA CONSTRUTIVA"</formula>
    </cfRule>
    <cfRule type="containsText" dxfId="10513" priority="22673" operator="containsText" text="Pendente">
      <formula>NOT(ISERROR(SEARCH("Pendente",P40)))</formula>
    </cfRule>
    <cfRule type="containsText" dxfId="10512" priority="22683" operator="containsText" text="em andamento">
      <formula>NOT(ISERROR(SEARCH("em andamento",P40)))</formula>
    </cfRule>
    <cfRule type="containsText" dxfId="10511" priority="22682" operator="containsText" text="Finalizado">
      <formula>NOT(ISERROR(SEARCH("Finalizado",P40)))</formula>
    </cfRule>
    <cfRule type="containsText" dxfId="10510" priority="22681" operator="containsText" text="Pendente">
      <formula>NOT(ISERROR(SEARCH("Pendente",P40)))</formula>
    </cfRule>
    <cfRule type="expression" dxfId="10509" priority="22677">
      <formula>$H40="CÉLULA CONSTRUTIVA"</formula>
    </cfRule>
    <cfRule type="containsText" dxfId="10508" priority="22675" operator="containsText" text="em andamento">
      <formula>NOT(ISERROR(SEARCH("em andamento",P40)))</formula>
    </cfRule>
    <cfRule type="containsText" dxfId="10507" priority="22674" operator="containsText" text="Finalizado">
      <formula>NOT(ISERROR(SEARCH("Finalizado",P40)))</formula>
    </cfRule>
    <cfRule type="containsText" dxfId="10506" priority="22672" operator="containsText" text="N/A">
      <formula>NOT(ISERROR(SEARCH("N/A",P40)))</formula>
    </cfRule>
    <cfRule type="containsText" dxfId="10505" priority="22680" operator="containsText" text="N/A">
      <formula>NOT(ISERROR(SEARCH("N/A",P40)))</formula>
    </cfRule>
    <cfRule type="containsText" dxfId="10504" priority="22671" operator="containsText" text="Lançado">
      <formula>NOT(ISERROR(SEARCH("Lançado",P40)))</formula>
    </cfRule>
    <cfRule type="containsText" dxfId="10503" priority="22670" operator="containsText" text="em andamento">
      <formula>NOT(ISERROR(SEARCH("em andamento",P40)))</formula>
    </cfRule>
    <cfRule type="containsText" dxfId="10502" priority="22669" operator="containsText" text="Finalizado">
      <formula>NOT(ISERROR(SEARCH("Finalizado",P40)))</formula>
    </cfRule>
    <cfRule type="containsText" dxfId="10501" priority="22668" operator="containsText" text="Pendente">
      <formula>NOT(ISERROR(SEARCH("Pendente",P40)))</formula>
    </cfRule>
    <cfRule type="containsText" dxfId="10500" priority="22667" operator="containsText" text="N/A">
      <formula>NOT(ISERROR(SEARCH("N/A",P40)))</formula>
    </cfRule>
    <cfRule type="containsText" dxfId="10499" priority="22666" operator="containsText" text="Lançado">
      <formula>NOT(ISERROR(SEARCH("Lançado",P40)))</formula>
    </cfRule>
    <cfRule type="expression" dxfId="10498" priority="22665">
      <formula>$H40="ETAPA"</formula>
    </cfRule>
    <cfRule type="expression" dxfId="10497" priority="22663">
      <formula>$H40="SUBETAPA"</formula>
    </cfRule>
    <cfRule type="expression" dxfId="10496" priority="22678">
      <formula>$H40="ETAPA"</formula>
    </cfRule>
    <cfRule type="containsText" dxfId="10495" priority="22679" operator="containsText" text="Lançado">
      <formula>NOT(ISERROR(SEARCH("Lançado",P40)))</formula>
    </cfRule>
  </conditionalFormatting>
  <conditionalFormatting sqref="P49:P50">
    <cfRule type="containsText" dxfId="10494" priority="22654" operator="containsText" text="em andamento">
      <formula>NOT(ISERROR(SEARCH("em andamento",P49)))</formula>
    </cfRule>
    <cfRule type="containsText" dxfId="10493" priority="22651" operator="containsText" text="N/A">
      <formula>NOT(ISERROR(SEARCH("N/A",P49)))</formula>
    </cfRule>
    <cfRule type="containsText" dxfId="10492" priority="22650" operator="containsText" text="Lançado">
      <formula>NOT(ISERROR(SEARCH("Lançado",P49)))</formula>
    </cfRule>
    <cfRule type="containsText" dxfId="10491" priority="22649" operator="containsText" text="em andamento">
      <formula>NOT(ISERROR(SEARCH("em andamento",P49)))</formula>
    </cfRule>
    <cfRule type="expression" dxfId="10490" priority="22656">
      <formula>$H49="CÉLULA CONSTRUTIVA"</formula>
    </cfRule>
    <cfRule type="expression" dxfId="10489" priority="22657">
      <formula>$H49="ETAPA"</formula>
    </cfRule>
    <cfRule type="containsText" dxfId="10488" priority="22652" operator="containsText" text="Pendente">
      <formula>NOT(ISERROR(SEARCH("Pendente",P49)))</formula>
    </cfRule>
    <cfRule type="containsText" dxfId="10487" priority="22659" operator="containsText" text="N/A">
      <formula>NOT(ISERROR(SEARCH("N/A",P49)))</formula>
    </cfRule>
    <cfRule type="containsText" dxfId="10486" priority="22660" operator="containsText" text="Pendente">
      <formula>NOT(ISERROR(SEARCH("Pendente",P49)))</formula>
    </cfRule>
    <cfRule type="containsText" dxfId="10485" priority="22661" operator="containsText" text="Finalizado">
      <formula>NOT(ISERROR(SEARCH("Finalizado",P49)))</formula>
    </cfRule>
    <cfRule type="containsText" dxfId="10484" priority="22658" operator="containsText" text="Lançado">
      <formula>NOT(ISERROR(SEARCH("Lançado",P49)))</formula>
    </cfRule>
    <cfRule type="containsText" dxfId="10483" priority="22662" operator="containsText" text="em andamento">
      <formula>NOT(ISERROR(SEARCH("em andamento",P49)))</formula>
    </cfRule>
    <cfRule type="containsText" dxfId="10482" priority="22646" operator="containsText" text="N/A">
      <formula>NOT(ISERROR(SEARCH("N/A",P49)))</formula>
    </cfRule>
    <cfRule type="expression" dxfId="10481" priority="22642">
      <formula>$H49="SUBETAPA"</formula>
    </cfRule>
    <cfRule type="expression" dxfId="10480" priority="22643">
      <formula>$H49="CÉLULA CONSTRUTIVA"</formula>
    </cfRule>
    <cfRule type="containsText" dxfId="10479" priority="22647" operator="containsText" text="Pendente">
      <formula>NOT(ISERROR(SEARCH("Pendente",P49)))</formula>
    </cfRule>
    <cfRule type="expression" dxfId="10478" priority="22644">
      <formula>$H49="ETAPA"</formula>
    </cfRule>
    <cfRule type="containsText" dxfId="10477" priority="22648" operator="containsText" text="Finalizado">
      <formula>NOT(ISERROR(SEARCH("Finalizado",P49)))</formula>
    </cfRule>
    <cfRule type="containsText" dxfId="10476" priority="22645" operator="containsText" text="Lançado">
      <formula>NOT(ISERROR(SEARCH("Lançado",P49)))</formula>
    </cfRule>
    <cfRule type="containsText" dxfId="10475" priority="22653" operator="containsText" text="Finalizado">
      <formula>NOT(ISERROR(SEARCH("Finalizado",P49)))</formula>
    </cfRule>
  </conditionalFormatting>
  <conditionalFormatting sqref="P52">
    <cfRule type="expression" dxfId="10474" priority="22621">
      <formula>$H52="SUBETAPA"</formula>
    </cfRule>
    <cfRule type="containsText" dxfId="10473" priority="22633" operator="containsText" text="em andamento">
      <formula>NOT(ISERROR(SEARCH("em andamento",P52)))</formula>
    </cfRule>
    <cfRule type="expression" dxfId="10472" priority="22635">
      <formula>$H52="CÉLULA CONSTRUTIVA"</formula>
    </cfRule>
    <cfRule type="expression" dxfId="10471" priority="22636">
      <formula>$H52="ETAPA"</formula>
    </cfRule>
    <cfRule type="containsText" dxfId="10470" priority="22625" operator="containsText" text="N/A">
      <formula>NOT(ISERROR(SEARCH("N/A",P52)))</formula>
    </cfRule>
    <cfRule type="expression" dxfId="10469" priority="22623">
      <formula>$H52="ETAPA"</formula>
    </cfRule>
    <cfRule type="containsText" dxfId="10468" priority="22638" operator="containsText" text="N/A">
      <formula>NOT(ISERROR(SEARCH("N/A",P52)))</formula>
    </cfRule>
    <cfRule type="containsText" dxfId="10467" priority="22639" operator="containsText" text="Pendente">
      <formula>NOT(ISERROR(SEARCH("Pendente",P52)))</formula>
    </cfRule>
    <cfRule type="containsText" dxfId="10466" priority="22624" operator="containsText" text="Lançado">
      <formula>NOT(ISERROR(SEARCH("Lançado",P52)))</formula>
    </cfRule>
    <cfRule type="containsText" dxfId="10465" priority="22640" operator="containsText" text="Finalizado">
      <formula>NOT(ISERROR(SEARCH("Finalizado",P52)))</formula>
    </cfRule>
    <cfRule type="containsText" dxfId="10464" priority="22641" operator="containsText" text="em andamento">
      <formula>NOT(ISERROR(SEARCH("em andamento",P52)))</formula>
    </cfRule>
    <cfRule type="containsText" dxfId="10463" priority="22631" operator="containsText" text="Pendente">
      <formula>NOT(ISERROR(SEARCH("Pendente",P52)))</formula>
    </cfRule>
    <cfRule type="containsText" dxfId="10462" priority="22629" operator="containsText" text="Lançado">
      <formula>NOT(ISERROR(SEARCH("Lançado",P52)))</formula>
    </cfRule>
    <cfRule type="containsText" dxfId="10461" priority="22628" operator="containsText" text="em andamento">
      <formula>NOT(ISERROR(SEARCH("em andamento",P52)))</formula>
    </cfRule>
    <cfRule type="containsText" dxfId="10460" priority="22630" operator="containsText" text="N/A">
      <formula>NOT(ISERROR(SEARCH("N/A",P52)))</formula>
    </cfRule>
    <cfRule type="containsText" dxfId="10459" priority="22627" operator="containsText" text="Finalizado">
      <formula>NOT(ISERROR(SEARCH("Finalizado",P52)))</formula>
    </cfRule>
    <cfRule type="containsText" dxfId="10458" priority="22632" operator="containsText" text="Finalizado">
      <formula>NOT(ISERROR(SEARCH("Finalizado",P52)))</formula>
    </cfRule>
    <cfRule type="containsText" dxfId="10457" priority="22626" operator="containsText" text="Pendente">
      <formula>NOT(ISERROR(SEARCH("Pendente",P52)))</formula>
    </cfRule>
    <cfRule type="expression" dxfId="10456" priority="22622">
      <formula>$H52="CÉLULA CONSTRUTIVA"</formula>
    </cfRule>
    <cfRule type="containsText" dxfId="10455" priority="22637" operator="containsText" text="Lançado">
      <formula>NOT(ISERROR(SEARCH("Lançado",P52)))</formula>
    </cfRule>
  </conditionalFormatting>
  <conditionalFormatting sqref="P62">
    <cfRule type="expression" dxfId="10454" priority="25516">
      <formula>$H62="ETAPA"</formula>
    </cfRule>
    <cfRule type="expression" dxfId="10453" priority="25515">
      <formula>$H62="CÉLULA CONSTRUTIVA"</formula>
    </cfRule>
  </conditionalFormatting>
  <conditionalFormatting sqref="P71">
    <cfRule type="expression" dxfId="10452" priority="25513">
      <formula>$H71="ETAPA"</formula>
    </cfRule>
    <cfRule type="expression" dxfId="10451" priority="25512">
      <formula>$H71="CÉLULA CONSTRUTIVA"</formula>
    </cfRule>
  </conditionalFormatting>
  <conditionalFormatting sqref="P76:P77 P100 P121 P142 P160 P174 P187 P201 P219">
    <cfRule type="containsText" dxfId="10450" priority="22777" operator="containsText" text="N/A">
      <formula>NOT(ISERROR(SEARCH("N/A",P76)))</formula>
    </cfRule>
    <cfRule type="containsText" dxfId="10449" priority="22772" operator="containsText" text="N/A">
      <formula>NOT(ISERROR(SEARCH("N/A",P76)))</formula>
    </cfRule>
    <cfRule type="containsText" dxfId="10448" priority="22779" operator="containsText" text="Finalizado">
      <formula>NOT(ISERROR(SEARCH("Finalizado",P76)))</formula>
    </cfRule>
    <cfRule type="containsText" dxfId="10447" priority="22785" operator="containsText" text="N/A">
      <formula>NOT(ISERROR(SEARCH("N/A",P76)))</formula>
    </cfRule>
    <cfRule type="containsText" dxfId="10446" priority="22787" operator="containsText" text="Finalizado">
      <formula>NOT(ISERROR(SEARCH("Finalizado",P76)))</formula>
    </cfRule>
    <cfRule type="containsText" dxfId="10445" priority="22774" operator="containsText" text="Finalizado">
      <formula>NOT(ISERROR(SEARCH("Finalizado",P76)))</formula>
    </cfRule>
  </conditionalFormatting>
  <conditionalFormatting sqref="P76:P77 P100 P121 P142 P174 P160 P187 P201 P219">
    <cfRule type="containsText" dxfId="10444" priority="22784" operator="containsText" text="Lançado">
      <formula>NOT(ISERROR(SEARCH("Lançado",P76)))</formula>
    </cfRule>
    <cfRule type="expression" dxfId="10443" priority="22783">
      <formula>$H76="ETAPA"</formula>
    </cfRule>
    <cfRule type="expression" dxfId="10442" priority="22782">
      <formula>$H76="CÉLULA CONSTRUTIVA"</formula>
    </cfRule>
    <cfRule type="containsText" dxfId="10441" priority="22780" operator="containsText" text="em andamento">
      <formula>NOT(ISERROR(SEARCH("em andamento",P76)))</formula>
    </cfRule>
    <cfRule type="expression" dxfId="10440" priority="22769">
      <formula>$H76="CÉLULA CONSTRUTIVA"</formula>
    </cfRule>
    <cfRule type="containsText" dxfId="10439" priority="22778" operator="containsText" text="Pendente">
      <formula>NOT(ISERROR(SEARCH("Pendente",P76)))</formula>
    </cfRule>
    <cfRule type="containsText" dxfId="10438" priority="22776" operator="containsText" text="Lançado">
      <formula>NOT(ISERROR(SEARCH("Lançado",P76)))</formula>
    </cfRule>
    <cfRule type="containsText" dxfId="10437" priority="22775" operator="containsText" text="em andamento">
      <formula>NOT(ISERROR(SEARCH("em andamento",P76)))</formula>
    </cfRule>
    <cfRule type="containsText" dxfId="10436" priority="22788" operator="containsText" text="em andamento">
      <formula>NOT(ISERROR(SEARCH("em andamento",P76)))</formula>
    </cfRule>
    <cfRule type="containsText" dxfId="10435" priority="22773" operator="containsText" text="Pendente">
      <formula>NOT(ISERROR(SEARCH("Pendente",P76)))</formula>
    </cfRule>
    <cfRule type="containsText" dxfId="10434" priority="22786" operator="containsText" text="Pendente">
      <formula>NOT(ISERROR(SEARCH("Pendente",P76)))</formula>
    </cfRule>
    <cfRule type="containsText" dxfId="10433" priority="22771" operator="containsText" text="Lançado">
      <formula>NOT(ISERROR(SEARCH("Lançado",P76)))</formula>
    </cfRule>
    <cfRule type="expression" dxfId="10432" priority="22770">
      <formula>$H76="ETAPA"</formula>
    </cfRule>
  </conditionalFormatting>
  <conditionalFormatting sqref="P76:P77">
    <cfRule type="expression" dxfId="10431" priority="22781">
      <formula>$H76="SUBETAPA"</formula>
    </cfRule>
  </conditionalFormatting>
  <conditionalFormatting sqref="P78:P79 P86 P94 P97 P99">
    <cfRule type="containsText" dxfId="10430" priority="20435" operator="containsText" text="Pendente">
      <formula>NOT(ISERROR(SEARCH("Pendente",P78)))</formula>
    </cfRule>
    <cfRule type="containsText" dxfId="10429" priority="20433" operator="containsText" text="Lançado">
      <formula>NOT(ISERROR(SEARCH("Lançado",P78)))</formula>
    </cfRule>
    <cfRule type="containsText" dxfId="10428" priority="20437" operator="containsText" text="em andamento">
      <formula>NOT(ISERROR(SEARCH("em andamento",P78)))</formula>
    </cfRule>
    <cfRule type="containsText" dxfId="10427" priority="20436" operator="containsText" text="Finalizado">
      <formula>NOT(ISERROR(SEARCH("Finalizado",P78)))</formula>
    </cfRule>
  </conditionalFormatting>
  <conditionalFormatting sqref="P78:P79">
    <cfRule type="expression" dxfId="10426" priority="20426">
      <formula>$H78="CÉLULA CONSTRUTIVA"</formula>
    </cfRule>
    <cfRule type="expression" dxfId="10425" priority="20427">
      <formula>$H78="ETAPA"</formula>
    </cfRule>
  </conditionalFormatting>
  <conditionalFormatting sqref="P86 P94 P97 P78:P79 P99">
    <cfRule type="containsText" dxfId="10424" priority="20434" operator="containsText" text="N/A">
      <formula>NOT(ISERROR(SEARCH("N/A",P78)))</formula>
    </cfRule>
  </conditionalFormatting>
  <conditionalFormatting sqref="P86">
    <cfRule type="expression" dxfId="10423" priority="20431">
      <formula>$H86="CÉLULA CONSTRUTIVA"</formula>
    </cfRule>
    <cfRule type="expression" dxfId="10422" priority="20432">
      <formula>$H86="ETAPA"</formula>
    </cfRule>
  </conditionalFormatting>
  <conditionalFormatting sqref="P94 P97">
    <cfRule type="expression" dxfId="10421" priority="20429">
      <formula>$H94="CÉLULA CONSTRUTIVA"</formula>
    </cfRule>
    <cfRule type="expression" dxfId="10420" priority="20430">
      <formula>$H94="ETAPA"</formula>
    </cfRule>
  </conditionalFormatting>
  <conditionalFormatting sqref="P98">
    <cfRule type="containsText" dxfId="10419" priority="20344" operator="containsText" text="Lançado">
      <formula>NOT(ISERROR(SEARCH("Lançado",P98)))</formula>
    </cfRule>
    <cfRule type="containsText" dxfId="10418" priority="20345" operator="containsText" text="N/A">
      <formula>NOT(ISERROR(SEARCH("N/A",P98)))</formula>
    </cfRule>
    <cfRule type="containsText" dxfId="10417" priority="20356" operator="containsText" text="em andamento">
      <formula>NOT(ISERROR(SEARCH("em andamento",P98)))</formula>
    </cfRule>
    <cfRule type="containsText" dxfId="10416" priority="20355" operator="containsText" text="Finalizado">
      <formula>NOT(ISERROR(SEARCH("Finalizado",P98)))</formula>
    </cfRule>
    <cfRule type="containsText" dxfId="10415" priority="20354" operator="containsText" text="Pendente">
      <formula>NOT(ISERROR(SEARCH("Pendente",P98)))</formula>
    </cfRule>
    <cfRule type="containsText" dxfId="10414" priority="20353" operator="containsText" text="N/A">
      <formula>NOT(ISERROR(SEARCH("N/A",P98)))</formula>
    </cfRule>
    <cfRule type="containsText" dxfId="10413" priority="20352" operator="containsText" text="Lançado">
      <formula>NOT(ISERROR(SEARCH("Lançado",P98)))</formula>
    </cfRule>
    <cfRule type="containsText" dxfId="10412" priority="20346" operator="containsText" text="Pendente">
      <formula>NOT(ISERROR(SEARCH("Pendente",P98)))</formula>
    </cfRule>
    <cfRule type="expression" dxfId="10411" priority="20350">
      <formula>$H98="CÉLULA CONSTRUTIVA"</formula>
    </cfRule>
    <cfRule type="expression" dxfId="10410" priority="20351">
      <formula>$H98="ETAPA"</formula>
    </cfRule>
    <cfRule type="containsText" dxfId="10409" priority="20339" operator="containsText" text="Lançado">
      <formula>NOT(ISERROR(SEARCH("Lançado",P98)))</formula>
    </cfRule>
    <cfRule type="containsText" dxfId="10408" priority="20343" operator="containsText" text="em andamento">
      <formula>NOT(ISERROR(SEARCH("em andamento",P98)))</formula>
    </cfRule>
    <cfRule type="expression" dxfId="10407" priority="20336">
      <formula>$H98="SUBETAPA"</formula>
    </cfRule>
    <cfRule type="containsText" dxfId="10406" priority="20348" operator="containsText" text="em andamento">
      <formula>NOT(ISERROR(SEARCH("em andamento",P98)))</formula>
    </cfRule>
    <cfRule type="expression" dxfId="10405" priority="20337">
      <formula>$H98="CÉLULA CONSTRUTIVA"</formula>
    </cfRule>
    <cfRule type="expression" dxfId="10404" priority="20338">
      <formula>$H98="ETAPA"</formula>
    </cfRule>
    <cfRule type="containsText" dxfId="10403" priority="20340" operator="containsText" text="N/A">
      <formula>NOT(ISERROR(SEARCH("N/A",P98)))</formula>
    </cfRule>
    <cfRule type="containsText" dxfId="10402" priority="20347" operator="containsText" text="Finalizado">
      <formula>NOT(ISERROR(SEARCH("Finalizado",P98)))</formula>
    </cfRule>
    <cfRule type="containsText" dxfId="10401" priority="20341" operator="containsText" text="Pendente">
      <formula>NOT(ISERROR(SEARCH("Pendente",P98)))</formula>
    </cfRule>
    <cfRule type="containsText" dxfId="10400" priority="20342" operator="containsText" text="Finalizado">
      <formula>NOT(ISERROR(SEARCH("Finalizado",P98)))</formula>
    </cfRule>
  </conditionalFormatting>
  <conditionalFormatting sqref="P101:P102 P107 P115 P118 P120">
    <cfRule type="containsText" dxfId="10399" priority="20292" operator="containsText" text="Pendente">
      <formula>NOT(ISERROR(SEARCH("Pendente",P101)))</formula>
    </cfRule>
    <cfRule type="containsText" dxfId="10398" priority="20290" operator="containsText" text="Lançado">
      <formula>NOT(ISERROR(SEARCH("Lançado",P101)))</formula>
    </cfRule>
    <cfRule type="containsText" dxfId="10397" priority="20293" operator="containsText" text="Finalizado">
      <formula>NOT(ISERROR(SEARCH("Finalizado",P101)))</formula>
    </cfRule>
    <cfRule type="containsText" dxfId="10396" priority="20294" operator="containsText" text="em andamento">
      <formula>NOT(ISERROR(SEARCH("em andamento",P101)))</formula>
    </cfRule>
  </conditionalFormatting>
  <conditionalFormatting sqref="P101:P102">
    <cfRule type="expression" dxfId="10395" priority="20284">
      <formula>$H101="ETAPA"</formula>
    </cfRule>
    <cfRule type="expression" dxfId="10394" priority="20283">
      <formula>$H101="CÉLULA CONSTRUTIVA"</formula>
    </cfRule>
  </conditionalFormatting>
  <conditionalFormatting sqref="P107 P115 P118 P101:P102 P120">
    <cfRule type="containsText" dxfId="10393" priority="20291" operator="containsText" text="N/A">
      <formula>NOT(ISERROR(SEARCH("N/A",P101)))</formula>
    </cfRule>
  </conditionalFormatting>
  <conditionalFormatting sqref="P107">
    <cfRule type="expression" dxfId="10392" priority="20289">
      <formula>$H107="ETAPA"</formula>
    </cfRule>
    <cfRule type="expression" dxfId="10391" priority="20288">
      <formula>$H107="CÉLULA CONSTRUTIVA"</formula>
    </cfRule>
  </conditionalFormatting>
  <conditionalFormatting sqref="P108:P114 P116:P117">
    <cfRule type="expression" dxfId="10390" priority="20299">
      <formula>$H108="CÉLULA CONSTRUTIVA"</formula>
    </cfRule>
    <cfRule type="containsText" dxfId="10389" priority="20316" operator="containsText" text="Finalizado">
      <formula>NOT(ISERROR(SEARCH("Finalizado",P108)))</formula>
    </cfRule>
    <cfRule type="containsText" dxfId="10388" priority="20317" operator="containsText" text="em andamento">
      <formula>NOT(ISERROR(SEARCH("em andamento",P108)))</formula>
    </cfRule>
    <cfRule type="containsText" dxfId="10387" priority="20315" operator="containsText" text="Pendente">
      <formula>NOT(ISERROR(SEARCH("Pendente",P108)))</formula>
    </cfRule>
    <cfRule type="containsText" dxfId="10386" priority="20314" operator="containsText" text="N/A">
      <formula>NOT(ISERROR(SEARCH("N/A",P108)))</formula>
    </cfRule>
    <cfRule type="containsText" dxfId="10385" priority="20313" operator="containsText" text="Lançado">
      <formula>NOT(ISERROR(SEARCH("Lançado",P108)))</formula>
    </cfRule>
    <cfRule type="expression" dxfId="10384" priority="20312">
      <formula>$H108="ETAPA"</formula>
    </cfRule>
    <cfRule type="expression" dxfId="10383" priority="20311">
      <formula>$H108="CÉLULA CONSTRUTIVA"</formula>
    </cfRule>
    <cfRule type="containsText" dxfId="10382" priority="20310" operator="containsText" text="em andamento">
      <formula>NOT(ISERROR(SEARCH("em andamento",P108)))</formula>
    </cfRule>
    <cfRule type="containsText" dxfId="10381" priority="20309" operator="containsText" text="Finalizado">
      <formula>NOT(ISERROR(SEARCH("Finalizado",P108)))</formula>
    </cfRule>
    <cfRule type="containsText" dxfId="10380" priority="20308" operator="containsText" text="Pendente">
      <formula>NOT(ISERROR(SEARCH("Pendente",P108)))</formula>
    </cfRule>
    <cfRule type="containsText" dxfId="10379" priority="20307" operator="containsText" text="N/A">
      <formula>NOT(ISERROR(SEARCH("N/A",P108)))</formula>
    </cfRule>
    <cfRule type="containsText" dxfId="10378" priority="20306" operator="containsText" text="Lançado">
      <formula>NOT(ISERROR(SEARCH("Lançado",P108)))</formula>
    </cfRule>
    <cfRule type="containsText" dxfId="10377" priority="20305" operator="containsText" text="em andamento">
      <formula>NOT(ISERROR(SEARCH("em andamento",P108)))</formula>
    </cfRule>
    <cfRule type="containsText" dxfId="10376" priority="20304" operator="containsText" text="Finalizado">
      <formula>NOT(ISERROR(SEARCH("Finalizado",P108)))</formula>
    </cfRule>
    <cfRule type="containsText" dxfId="10375" priority="20303" operator="containsText" text="Pendente">
      <formula>NOT(ISERROR(SEARCH("Pendente",P108)))</formula>
    </cfRule>
    <cfRule type="containsText" dxfId="10374" priority="20302" operator="containsText" text="N/A">
      <formula>NOT(ISERROR(SEARCH("N/A",P108)))</formula>
    </cfRule>
    <cfRule type="containsText" dxfId="10373" priority="20301" operator="containsText" text="Lançado">
      <formula>NOT(ISERROR(SEARCH("Lançado",P108)))</formula>
    </cfRule>
    <cfRule type="expression" dxfId="10372" priority="20300">
      <formula>$H108="ETAPA"</formula>
    </cfRule>
    <cfRule type="expression" dxfId="10371" priority="20298">
      <formula>$H108="SUBETAPA"</formula>
    </cfRule>
  </conditionalFormatting>
  <conditionalFormatting sqref="P115 P118">
    <cfRule type="expression" dxfId="10370" priority="20286">
      <formula>$H115="CÉLULA CONSTRUTIVA"</formula>
    </cfRule>
    <cfRule type="expression" dxfId="10369" priority="20287">
      <formula>$H115="ETAPA"</formula>
    </cfRule>
  </conditionalFormatting>
  <conditionalFormatting sqref="P119">
    <cfRule type="expression" dxfId="10368" priority="20253">
      <formula>$H119="CÉLULA CONSTRUTIVA"</formula>
    </cfRule>
    <cfRule type="expression" dxfId="10367" priority="20252">
      <formula>$H119="SUBETAPA"</formula>
    </cfRule>
    <cfRule type="containsText" dxfId="10366" priority="20257" operator="containsText" text="Pendente">
      <formula>NOT(ISERROR(SEARCH("Pendente",P119)))</formula>
    </cfRule>
    <cfRule type="containsText" dxfId="10365" priority="20258" operator="containsText" text="Finalizado">
      <formula>NOT(ISERROR(SEARCH("Finalizado",P119)))</formula>
    </cfRule>
    <cfRule type="containsText" dxfId="10364" priority="20259" operator="containsText" text="em andamento">
      <formula>NOT(ISERROR(SEARCH("em andamento",P119)))</formula>
    </cfRule>
    <cfRule type="containsText" dxfId="10363" priority="20260" operator="containsText" text="Lançado">
      <formula>NOT(ISERROR(SEARCH("Lançado",P119)))</formula>
    </cfRule>
    <cfRule type="containsText" dxfId="10362" priority="20261" operator="containsText" text="N/A">
      <formula>NOT(ISERROR(SEARCH("N/A",P119)))</formula>
    </cfRule>
    <cfRule type="containsText" dxfId="10361" priority="20262" operator="containsText" text="Pendente">
      <formula>NOT(ISERROR(SEARCH("Pendente",P119)))</formula>
    </cfRule>
    <cfRule type="containsText" dxfId="10360" priority="20263" operator="containsText" text="Finalizado">
      <formula>NOT(ISERROR(SEARCH("Finalizado",P119)))</formula>
    </cfRule>
    <cfRule type="containsText" dxfId="10359" priority="20264" operator="containsText" text="em andamento">
      <formula>NOT(ISERROR(SEARCH("em andamento",P119)))</formula>
    </cfRule>
    <cfRule type="expression" dxfId="10358" priority="20267">
      <formula>$H119="ETAPA"</formula>
    </cfRule>
    <cfRule type="containsText" dxfId="10357" priority="20268" operator="containsText" text="Lançado">
      <formula>NOT(ISERROR(SEARCH("Lançado",P119)))</formula>
    </cfRule>
    <cfRule type="containsText" dxfId="10356" priority="20269" operator="containsText" text="N/A">
      <formula>NOT(ISERROR(SEARCH("N/A",P119)))</formula>
    </cfRule>
    <cfRule type="containsText" dxfId="10355" priority="20270" operator="containsText" text="Pendente">
      <formula>NOT(ISERROR(SEARCH("Pendente",P119)))</formula>
    </cfRule>
    <cfRule type="containsText" dxfId="10354" priority="20271" operator="containsText" text="Finalizado">
      <formula>NOT(ISERROR(SEARCH("Finalizado",P119)))</formula>
    </cfRule>
    <cfRule type="containsText" dxfId="10353" priority="20272" operator="containsText" text="em andamento">
      <formula>NOT(ISERROR(SEARCH("em andamento",P119)))</formula>
    </cfRule>
    <cfRule type="expression" dxfId="10352" priority="20266">
      <formula>$H119="CÉLULA CONSTRUTIVA"</formula>
    </cfRule>
    <cfRule type="expression" dxfId="10351" priority="20254">
      <formula>$H119="ETAPA"</formula>
    </cfRule>
    <cfRule type="containsText" dxfId="10350" priority="20255" operator="containsText" text="Lançado">
      <formula>NOT(ISERROR(SEARCH("Lançado",P119)))</formula>
    </cfRule>
    <cfRule type="containsText" dxfId="10349" priority="20256" operator="containsText" text="N/A">
      <formula>NOT(ISERROR(SEARCH("N/A",P119)))</formula>
    </cfRule>
  </conditionalFormatting>
  <conditionalFormatting sqref="P122:P123 P128 P136 P139 P141">
    <cfRule type="containsText" dxfId="10348" priority="20192" operator="containsText" text="Finalizado">
      <formula>NOT(ISERROR(SEARCH("Finalizado",P122)))</formula>
    </cfRule>
    <cfRule type="containsText" dxfId="10347" priority="20193" operator="containsText" text="em andamento">
      <formula>NOT(ISERROR(SEARCH("em andamento",P122)))</formula>
    </cfRule>
    <cfRule type="containsText" dxfId="10346" priority="20191" operator="containsText" text="Pendente">
      <formula>NOT(ISERROR(SEARCH("Pendente",P122)))</formula>
    </cfRule>
    <cfRule type="containsText" dxfId="10345" priority="20189" operator="containsText" text="Lançado">
      <formula>NOT(ISERROR(SEARCH("Lançado",P122)))</formula>
    </cfRule>
  </conditionalFormatting>
  <conditionalFormatting sqref="P122:P123">
    <cfRule type="expression" dxfId="10344" priority="20183">
      <formula>$H122="ETAPA"</formula>
    </cfRule>
    <cfRule type="expression" dxfId="10343" priority="20182">
      <formula>$H122="CÉLULA CONSTRUTIVA"</formula>
    </cfRule>
  </conditionalFormatting>
  <conditionalFormatting sqref="P124:P127">
    <cfRule type="containsText" dxfId="10342" priority="20236" operator="containsText" text="em andamento">
      <formula>NOT(ISERROR(SEARCH("em andamento",P124)))</formula>
    </cfRule>
    <cfRule type="containsText" dxfId="10341" priority="20235" operator="containsText" text="Finalizado">
      <formula>NOT(ISERROR(SEARCH("Finalizado",P124)))</formula>
    </cfRule>
    <cfRule type="containsText" dxfId="10340" priority="20234" operator="containsText" text="Pendente">
      <formula>NOT(ISERROR(SEARCH("Pendente",P124)))</formula>
    </cfRule>
    <cfRule type="containsText" dxfId="10339" priority="20233" operator="containsText" text="N/A">
      <formula>NOT(ISERROR(SEARCH("N/A",P124)))</formula>
    </cfRule>
    <cfRule type="containsText" dxfId="10338" priority="20232" operator="containsText" text="Lançado">
      <formula>NOT(ISERROR(SEARCH("Lançado",P124)))</formula>
    </cfRule>
    <cfRule type="expression" dxfId="10337" priority="20231">
      <formula>$H124="ETAPA"</formula>
    </cfRule>
    <cfRule type="expression" dxfId="10336" priority="20230">
      <formula>$H124="CÉLULA CONSTRUTIVA"</formula>
    </cfRule>
    <cfRule type="containsText" dxfId="10335" priority="20229" operator="containsText" text="em andamento">
      <formula>NOT(ISERROR(SEARCH("em andamento",P124)))</formula>
    </cfRule>
    <cfRule type="containsText" dxfId="10334" priority="20228" operator="containsText" text="Finalizado">
      <formula>NOT(ISERROR(SEARCH("Finalizado",P124)))</formula>
    </cfRule>
    <cfRule type="containsText" dxfId="10333" priority="20227" operator="containsText" text="Pendente">
      <formula>NOT(ISERROR(SEARCH("Pendente",P124)))</formula>
    </cfRule>
    <cfRule type="containsText" dxfId="10332" priority="20225" operator="containsText" text="Lançado">
      <formula>NOT(ISERROR(SEARCH("Lançado",P124)))</formula>
    </cfRule>
    <cfRule type="containsText" dxfId="10331" priority="20223" operator="containsText" text="Finalizado">
      <formula>NOT(ISERROR(SEARCH("Finalizado",P124)))</formula>
    </cfRule>
    <cfRule type="containsText" dxfId="10330" priority="20222" operator="containsText" text="Pendente">
      <formula>NOT(ISERROR(SEARCH("Pendente",P124)))</formula>
    </cfRule>
    <cfRule type="containsText" dxfId="10329" priority="20221" operator="containsText" text="N/A">
      <formula>NOT(ISERROR(SEARCH("N/A",P124)))</formula>
    </cfRule>
    <cfRule type="expression" dxfId="10328" priority="20219">
      <formula>$H124="ETAPA"</formula>
    </cfRule>
    <cfRule type="expression" dxfId="10327" priority="20218">
      <formula>$H124="CÉLULA CONSTRUTIVA"</formula>
    </cfRule>
    <cfRule type="expression" dxfId="10326" priority="20217">
      <formula>$H124="SUBETAPA"</formula>
    </cfRule>
    <cfRule type="containsText" dxfId="10325" priority="20220" operator="containsText" text="Lançado">
      <formula>NOT(ISERROR(SEARCH("Lançado",P124)))</formula>
    </cfRule>
    <cfRule type="containsText" dxfId="10324" priority="20224" operator="containsText" text="em andamento">
      <formula>NOT(ISERROR(SEARCH("em andamento",P124)))</formula>
    </cfRule>
    <cfRule type="containsText" dxfId="10323" priority="20226" operator="containsText" text="N/A">
      <formula>NOT(ISERROR(SEARCH("N/A",P124)))</formula>
    </cfRule>
  </conditionalFormatting>
  <conditionalFormatting sqref="P128 P136 P139 P122:P123 P141">
    <cfRule type="containsText" dxfId="10322" priority="20190" operator="containsText" text="N/A">
      <formula>NOT(ISERROR(SEARCH("N/A",P122)))</formula>
    </cfRule>
  </conditionalFormatting>
  <conditionalFormatting sqref="P128">
    <cfRule type="expression" dxfId="10321" priority="20187">
      <formula>$H128="CÉLULA CONSTRUTIVA"</formula>
    </cfRule>
    <cfRule type="expression" dxfId="10320" priority="20188">
      <formula>$H128="ETAPA"</formula>
    </cfRule>
  </conditionalFormatting>
  <conditionalFormatting sqref="P129:P135 P137:P138">
    <cfRule type="containsText" dxfId="10319" priority="20216" operator="containsText" text="em andamento">
      <formula>NOT(ISERROR(SEARCH("em andamento",P129)))</formula>
    </cfRule>
    <cfRule type="containsText" dxfId="10318" priority="20215" operator="containsText" text="Finalizado">
      <formula>NOT(ISERROR(SEARCH("Finalizado",P129)))</formula>
    </cfRule>
    <cfRule type="containsText" dxfId="10317" priority="20214" operator="containsText" text="Pendente">
      <formula>NOT(ISERROR(SEARCH("Pendente",P129)))</formula>
    </cfRule>
    <cfRule type="containsText" dxfId="10316" priority="20213" operator="containsText" text="N/A">
      <formula>NOT(ISERROR(SEARCH("N/A",P129)))</formula>
    </cfRule>
    <cfRule type="containsText" dxfId="10315" priority="20212" operator="containsText" text="Lançado">
      <formula>NOT(ISERROR(SEARCH("Lançado",P129)))</formula>
    </cfRule>
    <cfRule type="containsText" dxfId="10314" priority="20206" operator="containsText" text="N/A">
      <formula>NOT(ISERROR(SEARCH("N/A",P129)))</formula>
    </cfRule>
    <cfRule type="containsText" dxfId="10313" priority="20201" operator="containsText" text="N/A">
      <formula>NOT(ISERROR(SEARCH("N/A",P129)))</formula>
    </cfRule>
    <cfRule type="containsText" dxfId="10312" priority="20200" operator="containsText" text="Lançado">
      <formula>NOT(ISERROR(SEARCH("Lançado",P129)))</formula>
    </cfRule>
    <cfRule type="expression" dxfId="10311" priority="20198">
      <formula>$H129="CÉLULA CONSTRUTIVA"</formula>
    </cfRule>
    <cfRule type="expression" dxfId="10310" priority="20197">
      <formula>$H129="SUBETAPA"</formula>
    </cfRule>
    <cfRule type="expression" dxfId="10309" priority="20199">
      <formula>$H129="ETAPA"</formula>
    </cfRule>
    <cfRule type="containsText" dxfId="10308" priority="20202" operator="containsText" text="Pendente">
      <formula>NOT(ISERROR(SEARCH("Pendente",P129)))</formula>
    </cfRule>
    <cfRule type="containsText" dxfId="10307" priority="20203" operator="containsText" text="Finalizado">
      <formula>NOT(ISERROR(SEARCH("Finalizado",P129)))</formula>
    </cfRule>
    <cfRule type="containsText" dxfId="10306" priority="20204" operator="containsText" text="em andamento">
      <formula>NOT(ISERROR(SEARCH("em andamento",P129)))</formula>
    </cfRule>
    <cfRule type="containsText" dxfId="10305" priority="20205" operator="containsText" text="Lançado">
      <formula>NOT(ISERROR(SEARCH("Lançado",P129)))</formula>
    </cfRule>
    <cfRule type="containsText" dxfId="10304" priority="20207" operator="containsText" text="Pendente">
      <formula>NOT(ISERROR(SEARCH("Pendente",P129)))</formula>
    </cfRule>
    <cfRule type="containsText" dxfId="10303" priority="20208" operator="containsText" text="Finalizado">
      <formula>NOT(ISERROR(SEARCH("Finalizado",P129)))</formula>
    </cfRule>
    <cfRule type="containsText" dxfId="10302" priority="20209" operator="containsText" text="em andamento">
      <formula>NOT(ISERROR(SEARCH("em andamento",P129)))</formula>
    </cfRule>
    <cfRule type="expression" dxfId="10301" priority="20210">
      <formula>$H129="CÉLULA CONSTRUTIVA"</formula>
    </cfRule>
    <cfRule type="expression" dxfId="10300" priority="20211">
      <formula>$H129="ETAPA"</formula>
    </cfRule>
  </conditionalFormatting>
  <conditionalFormatting sqref="P136 P139">
    <cfRule type="expression" dxfId="10299" priority="20185">
      <formula>$H136="CÉLULA CONSTRUTIVA"</formula>
    </cfRule>
    <cfRule type="expression" dxfId="10298" priority="20186">
      <formula>$H136="ETAPA"</formula>
    </cfRule>
  </conditionalFormatting>
  <conditionalFormatting sqref="P140">
    <cfRule type="containsText" dxfId="10297" priority="20154" operator="containsText" text="Lançado">
      <formula>NOT(ISERROR(SEARCH("Lançado",P140)))</formula>
    </cfRule>
    <cfRule type="expression" dxfId="10296" priority="20153">
      <formula>$H140="ETAPA"</formula>
    </cfRule>
    <cfRule type="expression" dxfId="10295" priority="20151">
      <formula>$H140="SUBETAPA"</formula>
    </cfRule>
    <cfRule type="containsText" dxfId="10294" priority="20160" operator="containsText" text="N/A">
      <formula>NOT(ISERROR(SEARCH("N/A",P140)))</formula>
    </cfRule>
    <cfRule type="containsText" dxfId="10293" priority="20167" operator="containsText" text="Lançado">
      <formula>NOT(ISERROR(SEARCH("Lançado",P140)))</formula>
    </cfRule>
    <cfRule type="expression" dxfId="10292" priority="20166">
      <formula>$H140="ETAPA"</formula>
    </cfRule>
    <cfRule type="expression" dxfId="10291" priority="20152">
      <formula>$H140="CÉLULA CONSTRUTIVA"</formula>
    </cfRule>
    <cfRule type="expression" dxfId="10290" priority="20165">
      <formula>$H140="CÉLULA CONSTRUTIVA"</formula>
    </cfRule>
    <cfRule type="containsText" dxfId="10289" priority="20163" operator="containsText" text="em andamento">
      <formula>NOT(ISERROR(SEARCH("em andamento",P140)))</formula>
    </cfRule>
    <cfRule type="containsText" dxfId="10288" priority="20161" operator="containsText" text="Pendente">
      <formula>NOT(ISERROR(SEARCH("Pendente",P140)))</formula>
    </cfRule>
    <cfRule type="containsText" dxfId="10287" priority="20162" operator="containsText" text="Finalizado">
      <formula>NOT(ISERROR(SEARCH("Finalizado",P140)))</formula>
    </cfRule>
    <cfRule type="containsText" dxfId="10286" priority="20168" operator="containsText" text="N/A">
      <formula>NOT(ISERROR(SEARCH("N/A",P140)))</formula>
    </cfRule>
    <cfRule type="containsText" dxfId="10285" priority="20169" operator="containsText" text="Pendente">
      <formula>NOT(ISERROR(SEARCH("Pendente",P140)))</formula>
    </cfRule>
    <cfRule type="containsText" dxfId="10284" priority="20170" operator="containsText" text="Finalizado">
      <formula>NOT(ISERROR(SEARCH("Finalizado",P140)))</formula>
    </cfRule>
    <cfRule type="containsText" dxfId="10283" priority="20171" operator="containsText" text="em andamento">
      <formula>NOT(ISERROR(SEARCH("em andamento",P140)))</formula>
    </cfRule>
    <cfRule type="containsText" dxfId="10282" priority="20159" operator="containsText" text="Lançado">
      <formula>NOT(ISERROR(SEARCH("Lançado",P140)))</formula>
    </cfRule>
    <cfRule type="containsText" dxfId="10281" priority="20158" operator="containsText" text="em andamento">
      <formula>NOT(ISERROR(SEARCH("em andamento",P140)))</formula>
    </cfRule>
    <cfRule type="containsText" dxfId="10280" priority="20157" operator="containsText" text="Finalizado">
      <formula>NOT(ISERROR(SEARCH("Finalizado",P140)))</formula>
    </cfRule>
    <cfRule type="containsText" dxfId="10279" priority="20155" operator="containsText" text="N/A">
      <formula>NOT(ISERROR(SEARCH("N/A",P140)))</formula>
    </cfRule>
    <cfRule type="containsText" dxfId="10278" priority="20156" operator="containsText" text="Pendente">
      <formula>NOT(ISERROR(SEARCH("Pendente",P140)))</formula>
    </cfRule>
  </conditionalFormatting>
  <conditionalFormatting sqref="P143:P144 P147 P157 P159">
    <cfRule type="containsText" dxfId="10277" priority="20141" operator="containsText" text="em andamento">
      <formula>NOT(ISERROR(SEARCH("em andamento",P143)))</formula>
    </cfRule>
    <cfRule type="containsText" dxfId="10276" priority="20137" operator="containsText" text="Lançado">
      <formula>NOT(ISERROR(SEARCH("Lançado",P143)))</formula>
    </cfRule>
    <cfRule type="containsText" dxfId="10275" priority="20139" operator="containsText" text="Pendente">
      <formula>NOT(ISERROR(SEARCH("Pendente",P143)))</formula>
    </cfRule>
    <cfRule type="containsText" dxfId="10274" priority="20140" operator="containsText" text="Finalizado">
      <formula>NOT(ISERROR(SEARCH("Finalizado",P143)))</formula>
    </cfRule>
  </conditionalFormatting>
  <conditionalFormatting sqref="P143:P144">
    <cfRule type="expression" dxfId="10273" priority="20131">
      <formula>$H143="ETAPA"</formula>
    </cfRule>
    <cfRule type="expression" dxfId="10272" priority="20130">
      <formula>$H143="CÉLULA CONSTRUTIVA"</formula>
    </cfRule>
  </conditionalFormatting>
  <conditionalFormatting sqref="P147 P157 P143:P144 P159">
    <cfRule type="containsText" dxfId="10271" priority="20138" operator="containsText" text="N/A">
      <formula>NOT(ISERROR(SEARCH("N/A",P143)))</formula>
    </cfRule>
  </conditionalFormatting>
  <conditionalFormatting sqref="P147">
    <cfRule type="expression" dxfId="10270" priority="20136">
      <formula>$H147="ETAPA"</formula>
    </cfRule>
    <cfRule type="expression" dxfId="10269" priority="20135">
      <formula>$H147="CÉLULA CONSTRUTIVA"</formula>
    </cfRule>
  </conditionalFormatting>
  <conditionalFormatting sqref="P148:P156">
    <cfRule type="containsText" dxfId="10268" priority="20100" operator="containsText" text="Finalizado">
      <formula>NOT(ISERROR(SEARCH("Finalizado",P148)))</formula>
    </cfRule>
    <cfRule type="containsText" dxfId="10267" priority="20099" operator="containsText" text="Pendente">
      <formula>NOT(ISERROR(SEARCH("Pendente",P148)))</formula>
    </cfRule>
    <cfRule type="containsText" dxfId="10266" priority="20098" operator="containsText" text="N/A">
      <formula>NOT(ISERROR(SEARCH("N/A",P148)))</formula>
    </cfRule>
    <cfRule type="containsText" dxfId="10265" priority="20097" operator="containsText" text="Lançado">
      <formula>NOT(ISERROR(SEARCH("Lançado",P148)))</formula>
    </cfRule>
    <cfRule type="expression" dxfId="10264" priority="20091">
      <formula>$H148="ETAPA"</formula>
    </cfRule>
    <cfRule type="containsText" dxfId="10263" priority="20096" operator="containsText" text="em andamento">
      <formula>NOT(ISERROR(SEARCH("em andamento",P148)))</formula>
    </cfRule>
    <cfRule type="containsText" dxfId="10262" priority="20095" operator="containsText" text="Finalizado">
      <formula>NOT(ISERROR(SEARCH("Finalizado",P148)))</formula>
    </cfRule>
    <cfRule type="containsText" dxfId="10261" priority="20094" operator="containsText" text="Pendente">
      <formula>NOT(ISERROR(SEARCH("Pendente",P148)))</formula>
    </cfRule>
    <cfRule type="containsText" dxfId="10260" priority="20093" operator="containsText" text="N/A">
      <formula>NOT(ISERROR(SEARCH("N/A",P148)))</formula>
    </cfRule>
    <cfRule type="containsText" dxfId="10259" priority="20092" operator="containsText" text="Lançado">
      <formula>NOT(ISERROR(SEARCH("Lançado",P148)))</formula>
    </cfRule>
    <cfRule type="expression" dxfId="10258" priority="20090">
      <formula>$H148="CÉLULA CONSTRUTIVA"</formula>
    </cfRule>
    <cfRule type="expression" dxfId="10257" priority="20089">
      <formula>$H148="SUBETAPA"</formula>
    </cfRule>
    <cfRule type="containsText" dxfId="10256" priority="20109" operator="containsText" text="em andamento">
      <formula>NOT(ISERROR(SEARCH("em andamento",P148)))</formula>
    </cfRule>
    <cfRule type="containsText" dxfId="10255" priority="20108" operator="containsText" text="Finalizado">
      <formula>NOT(ISERROR(SEARCH("Finalizado",P148)))</formula>
    </cfRule>
    <cfRule type="containsText" dxfId="10254" priority="20107" operator="containsText" text="Pendente">
      <formula>NOT(ISERROR(SEARCH("Pendente",P148)))</formula>
    </cfRule>
    <cfRule type="containsText" dxfId="10253" priority="20106" operator="containsText" text="N/A">
      <formula>NOT(ISERROR(SEARCH("N/A",P148)))</formula>
    </cfRule>
    <cfRule type="containsText" dxfId="10252" priority="20105" operator="containsText" text="Lançado">
      <formula>NOT(ISERROR(SEARCH("Lançado",P148)))</formula>
    </cfRule>
    <cfRule type="expression" dxfId="10251" priority="20104">
      <formula>$H148="ETAPA"</formula>
    </cfRule>
    <cfRule type="expression" dxfId="10250" priority="20103">
      <formula>$H148="CÉLULA CONSTRUTIVA"</formula>
    </cfRule>
    <cfRule type="containsText" dxfId="10249" priority="20101" operator="containsText" text="em andamento">
      <formula>NOT(ISERROR(SEARCH("em andamento",P148)))</formula>
    </cfRule>
  </conditionalFormatting>
  <conditionalFormatting sqref="P157">
    <cfRule type="expression" dxfId="10248" priority="20134">
      <formula>$H157="ETAPA"</formula>
    </cfRule>
    <cfRule type="expression" dxfId="10247" priority="20133">
      <formula>$H157="CÉLULA CONSTRUTIVA"</formula>
    </cfRule>
  </conditionalFormatting>
  <conditionalFormatting sqref="P161:P162 P165 P169 P171 P173 P220:P270 P347:P348">
    <cfRule type="containsText" dxfId="10246" priority="20573" operator="containsText" text="Finalizado">
      <formula>NOT(ISERROR(SEARCH("Finalizado",P161)))</formula>
    </cfRule>
  </conditionalFormatting>
  <conditionalFormatting sqref="P161:P162 P165 P169 P171 P173 P347:P348 P220:P270">
    <cfRule type="containsText" dxfId="10245" priority="20570" operator="containsText" text="Lançado">
      <formula>NOT(ISERROR(SEARCH("Lançado",P161)))</formula>
    </cfRule>
    <cfRule type="containsText" dxfId="10244" priority="20572" operator="containsText" text="Pendente">
      <formula>NOT(ISERROR(SEARCH("Pendente",P161)))</formula>
    </cfRule>
    <cfRule type="containsText" dxfId="10243" priority="20574" operator="containsText" text="em andamento">
      <formula>NOT(ISERROR(SEARCH("em andamento",P161)))</formula>
    </cfRule>
    <cfRule type="containsText" dxfId="10242" priority="20571" operator="containsText" text="N/A">
      <formula>NOT(ISERROR(SEARCH("N/A",P161)))</formula>
    </cfRule>
  </conditionalFormatting>
  <conditionalFormatting sqref="P161:P162">
    <cfRule type="expression" dxfId="10241" priority="20563">
      <formula>$H161="ETAPA"</formula>
    </cfRule>
    <cfRule type="expression" dxfId="10240" priority="20562">
      <formula>$H161="CÉLULA CONSTRUTIVA"</formula>
    </cfRule>
  </conditionalFormatting>
  <conditionalFormatting sqref="P165">
    <cfRule type="expression" dxfId="10239" priority="20568">
      <formula>$H165="ETAPA"</formula>
    </cfRule>
    <cfRule type="expression" dxfId="10238" priority="20567">
      <formula>$H165="CÉLULA CONSTRUTIVA"</formula>
    </cfRule>
  </conditionalFormatting>
  <conditionalFormatting sqref="P169 P171">
    <cfRule type="expression" dxfId="10237" priority="20566">
      <formula>$H169="ETAPA"</formula>
    </cfRule>
    <cfRule type="expression" dxfId="10236" priority="20565">
      <formula>$H169="CÉLULA CONSTRUTIVA"</formula>
    </cfRule>
  </conditionalFormatting>
  <conditionalFormatting sqref="P172">
    <cfRule type="expression" dxfId="10235" priority="20448">
      <formula>$H172="CÉLULA CONSTRUTIVA"</formula>
    </cfRule>
    <cfRule type="containsText" dxfId="10234" priority="20450" operator="containsText" text="Lançado">
      <formula>NOT(ISERROR(SEARCH("Lançado",P172)))</formula>
    </cfRule>
    <cfRule type="expression" dxfId="10233" priority="20449">
      <formula>$H172="ETAPA"</formula>
    </cfRule>
    <cfRule type="expression" dxfId="10232" priority="20447">
      <formula>$H172="SUBETAPA"</formula>
    </cfRule>
    <cfRule type="containsText" dxfId="10231" priority="20467" operator="containsText" text="em andamento">
      <formula>NOT(ISERROR(SEARCH("em andamento",P172)))</formula>
    </cfRule>
    <cfRule type="containsText" dxfId="10230" priority="20466" operator="containsText" text="Finalizado">
      <formula>NOT(ISERROR(SEARCH("Finalizado",P172)))</formula>
    </cfRule>
    <cfRule type="containsText" dxfId="10229" priority="20465" operator="containsText" text="Pendente">
      <formula>NOT(ISERROR(SEARCH("Pendente",P172)))</formula>
    </cfRule>
    <cfRule type="containsText" dxfId="10228" priority="20464" operator="containsText" text="N/A">
      <formula>NOT(ISERROR(SEARCH("N/A",P172)))</formula>
    </cfRule>
    <cfRule type="containsText" dxfId="10227" priority="20463" operator="containsText" text="Lançado">
      <formula>NOT(ISERROR(SEARCH("Lançado",P172)))</formula>
    </cfRule>
    <cfRule type="expression" dxfId="10226" priority="20462">
      <formula>$H172="ETAPA"</formula>
    </cfRule>
    <cfRule type="expression" dxfId="10225" priority="20461">
      <formula>$H172="CÉLULA CONSTRUTIVA"</formula>
    </cfRule>
    <cfRule type="containsText" dxfId="10224" priority="20459" operator="containsText" text="em andamento">
      <formula>NOT(ISERROR(SEARCH("em andamento",P172)))</formula>
    </cfRule>
    <cfRule type="containsText" dxfId="10223" priority="20458" operator="containsText" text="Finalizado">
      <formula>NOT(ISERROR(SEARCH("Finalizado",P172)))</formula>
    </cfRule>
    <cfRule type="containsText" dxfId="10222" priority="20457" operator="containsText" text="Pendente">
      <formula>NOT(ISERROR(SEARCH("Pendente",P172)))</formula>
    </cfRule>
    <cfRule type="containsText" dxfId="10221" priority="20456" operator="containsText" text="N/A">
      <formula>NOT(ISERROR(SEARCH("N/A",P172)))</formula>
    </cfRule>
    <cfRule type="containsText" dxfId="10220" priority="20455" operator="containsText" text="Lançado">
      <formula>NOT(ISERROR(SEARCH("Lançado",P172)))</formula>
    </cfRule>
    <cfRule type="containsText" dxfId="10219" priority="20454" operator="containsText" text="em andamento">
      <formula>NOT(ISERROR(SEARCH("em andamento",P172)))</formula>
    </cfRule>
    <cfRule type="containsText" dxfId="10218" priority="20453" operator="containsText" text="Finalizado">
      <formula>NOT(ISERROR(SEARCH("Finalizado",P172)))</formula>
    </cfRule>
    <cfRule type="containsText" dxfId="10217" priority="20452" operator="containsText" text="Pendente">
      <formula>NOT(ISERROR(SEARCH("Pendente",P172)))</formula>
    </cfRule>
    <cfRule type="containsText" dxfId="10216" priority="20451" operator="containsText" text="N/A">
      <formula>NOT(ISERROR(SEARCH("N/A",P172)))</formula>
    </cfRule>
  </conditionalFormatting>
  <conditionalFormatting sqref="P175:P176 P178 P182 P184 P186">
    <cfRule type="containsText" dxfId="10215" priority="20049" operator="containsText" text="Lançado">
      <formula>NOT(ISERROR(SEARCH("Lançado",P175)))</formula>
    </cfRule>
    <cfRule type="containsText" dxfId="10214" priority="20053" operator="containsText" text="em andamento">
      <formula>NOT(ISERROR(SEARCH("em andamento",P175)))</formula>
    </cfRule>
    <cfRule type="containsText" dxfId="10213" priority="20052" operator="containsText" text="Finalizado">
      <formula>NOT(ISERROR(SEARCH("Finalizado",P175)))</formula>
    </cfRule>
    <cfRule type="containsText" dxfId="10212" priority="20051" operator="containsText" text="Pendente">
      <formula>NOT(ISERROR(SEARCH("Pendente",P175)))</formula>
    </cfRule>
  </conditionalFormatting>
  <conditionalFormatting sqref="P175:P176">
    <cfRule type="expression" dxfId="10211" priority="20042">
      <formula>$H175="CÉLULA CONSTRUTIVA"</formula>
    </cfRule>
    <cfRule type="expression" dxfId="10210" priority="20043">
      <formula>$H175="ETAPA"</formula>
    </cfRule>
  </conditionalFormatting>
  <conditionalFormatting sqref="P178 P182 P184 P175:P176 P186">
    <cfRule type="containsText" dxfId="10209" priority="20050" operator="containsText" text="N/A">
      <formula>NOT(ISERROR(SEARCH("N/A",P175)))</formula>
    </cfRule>
  </conditionalFormatting>
  <conditionalFormatting sqref="P178">
    <cfRule type="expression" dxfId="10208" priority="20048">
      <formula>$H178="ETAPA"</formula>
    </cfRule>
    <cfRule type="expression" dxfId="10207" priority="20047">
      <formula>$H178="CÉLULA CONSTRUTIVA"</formula>
    </cfRule>
  </conditionalFormatting>
  <conditionalFormatting sqref="P182 P184">
    <cfRule type="expression" dxfId="10206" priority="20045">
      <formula>$H182="CÉLULA CONSTRUTIVA"</formula>
    </cfRule>
    <cfRule type="expression" dxfId="10205" priority="20046">
      <formula>$H182="ETAPA"</formula>
    </cfRule>
  </conditionalFormatting>
  <conditionalFormatting sqref="P183">
    <cfRule type="expression" dxfId="10204" priority="20058">
      <formula>$H183="CÉLULA CONSTRUTIVA"</formula>
    </cfRule>
    <cfRule type="containsText" dxfId="10203" priority="20076" operator="containsText" text="em andamento">
      <formula>NOT(ISERROR(SEARCH("em andamento",P183)))</formula>
    </cfRule>
    <cfRule type="containsText" dxfId="10202" priority="20075" operator="containsText" text="Finalizado">
      <formula>NOT(ISERROR(SEARCH("Finalizado",P183)))</formula>
    </cfRule>
    <cfRule type="containsText" dxfId="10201" priority="20074" operator="containsText" text="Pendente">
      <formula>NOT(ISERROR(SEARCH("Pendente",P183)))</formula>
    </cfRule>
    <cfRule type="containsText" dxfId="10200" priority="20073" operator="containsText" text="N/A">
      <formula>NOT(ISERROR(SEARCH("N/A",P183)))</formula>
    </cfRule>
    <cfRule type="containsText" dxfId="10199" priority="20072" operator="containsText" text="Lançado">
      <formula>NOT(ISERROR(SEARCH("Lançado",P183)))</formula>
    </cfRule>
    <cfRule type="expression" dxfId="10198" priority="20071">
      <formula>$H183="ETAPA"</formula>
    </cfRule>
    <cfRule type="expression" dxfId="10197" priority="20070">
      <formula>$H183="CÉLULA CONSTRUTIVA"</formula>
    </cfRule>
    <cfRule type="containsText" dxfId="10196" priority="20069" operator="containsText" text="em andamento">
      <formula>NOT(ISERROR(SEARCH("em andamento",P183)))</formula>
    </cfRule>
    <cfRule type="containsText" dxfId="10195" priority="20068" operator="containsText" text="Finalizado">
      <formula>NOT(ISERROR(SEARCH("Finalizado",P183)))</formula>
    </cfRule>
    <cfRule type="containsText" dxfId="10194" priority="20067" operator="containsText" text="Pendente">
      <formula>NOT(ISERROR(SEARCH("Pendente",P183)))</formula>
    </cfRule>
    <cfRule type="containsText" dxfId="10193" priority="20066" operator="containsText" text="N/A">
      <formula>NOT(ISERROR(SEARCH("N/A",P183)))</formula>
    </cfRule>
    <cfRule type="containsText" dxfId="10192" priority="20065" operator="containsText" text="Lançado">
      <formula>NOT(ISERROR(SEARCH("Lançado",P183)))</formula>
    </cfRule>
    <cfRule type="containsText" dxfId="10191" priority="20064" operator="containsText" text="em andamento">
      <formula>NOT(ISERROR(SEARCH("em andamento",P183)))</formula>
    </cfRule>
    <cfRule type="containsText" dxfId="10190" priority="20062" operator="containsText" text="Pendente">
      <formula>NOT(ISERROR(SEARCH("Pendente",P183)))</formula>
    </cfRule>
    <cfRule type="containsText" dxfId="10189" priority="20061" operator="containsText" text="N/A">
      <formula>NOT(ISERROR(SEARCH("N/A",P183)))</formula>
    </cfRule>
    <cfRule type="containsText" dxfId="10188" priority="20060" operator="containsText" text="Lançado">
      <formula>NOT(ISERROR(SEARCH("Lançado",P183)))</formula>
    </cfRule>
    <cfRule type="expression" dxfId="10187" priority="20059">
      <formula>$H183="ETAPA"</formula>
    </cfRule>
    <cfRule type="expression" dxfId="10186" priority="20057">
      <formula>$H183="SUBETAPA"</formula>
    </cfRule>
    <cfRule type="containsText" dxfId="10185" priority="20063" operator="containsText" text="Finalizado">
      <formula>NOT(ISERROR(SEARCH("Finalizado",P183)))</formula>
    </cfRule>
  </conditionalFormatting>
  <conditionalFormatting sqref="P185">
    <cfRule type="containsText" dxfId="10184" priority="20029" operator="containsText" text="Pendente">
      <formula>NOT(ISERROR(SEARCH("Pendente",P185)))</formula>
    </cfRule>
    <cfRule type="containsText" dxfId="10183" priority="20031" operator="containsText" text="em andamento">
      <formula>NOT(ISERROR(SEARCH("em andamento",P185)))</formula>
    </cfRule>
    <cfRule type="containsText" dxfId="10182" priority="20030" operator="containsText" text="Finalizado">
      <formula>NOT(ISERROR(SEARCH("Finalizado",P185)))</formula>
    </cfRule>
    <cfRule type="containsText" dxfId="10181" priority="20022" operator="containsText" text="Finalizado">
      <formula>NOT(ISERROR(SEARCH("Finalizado",P185)))</formula>
    </cfRule>
    <cfRule type="containsText" dxfId="10180" priority="20028" operator="containsText" text="N/A">
      <formula>NOT(ISERROR(SEARCH("N/A",P185)))</formula>
    </cfRule>
    <cfRule type="containsText" dxfId="10179" priority="20027" operator="containsText" text="Lançado">
      <formula>NOT(ISERROR(SEARCH("Lançado",P185)))</formula>
    </cfRule>
    <cfRule type="expression" dxfId="10178" priority="20026">
      <formula>$H185="ETAPA"</formula>
    </cfRule>
    <cfRule type="expression" dxfId="10177" priority="20025">
      <formula>$H185="CÉLULA CONSTRUTIVA"</formula>
    </cfRule>
    <cfRule type="containsText" dxfId="10176" priority="20023" operator="containsText" text="em andamento">
      <formula>NOT(ISERROR(SEARCH("em andamento",P185)))</formula>
    </cfRule>
    <cfRule type="containsText" dxfId="10175" priority="20021" operator="containsText" text="Pendente">
      <formula>NOT(ISERROR(SEARCH("Pendente",P185)))</formula>
    </cfRule>
    <cfRule type="containsText" dxfId="10174" priority="20020" operator="containsText" text="N/A">
      <formula>NOT(ISERROR(SEARCH("N/A",P185)))</formula>
    </cfRule>
    <cfRule type="containsText" dxfId="10173" priority="20019" operator="containsText" text="Lançado">
      <formula>NOT(ISERROR(SEARCH("Lançado",P185)))</formula>
    </cfRule>
    <cfRule type="containsText" dxfId="10172" priority="20018" operator="containsText" text="em andamento">
      <formula>NOT(ISERROR(SEARCH("em andamento",P185)))</formula>
    </cfRule>
    <cfRule type="containsText" dxfId="10171" priority="20017" operator="containsText" text="Finalizado">
      <formula>NOT(ISERROR(SEARCH("Finalizado",P185)))</formula>
    </cfRule>
    <cfRule type="containsText" dxfId="10170" priority="20016" operator="containsText" text="Pendente">
      <formula>NOT(ISERROR(SEARCH("Pendente",P185)))</formula>
    </cfRule>
    <cfRule type="containsText" dxfId="10169" priority="20015" operator="containsText" text="N/A">
      <formula>NOT(ISERROR(SEARCH("N/A",P185)))</formula>
    </cfRule>
    <cfRule type="containsText" dxfId="10168" priority="20014" operator="containsText" text="Lançado">
      <formula>NOT(ISERROR(SEARCH("Lançado",P185)))</formula>
    </cfRule>
    <cfRule type="expression" dxfId="10167" priority="20013">
      <formula>$H185="ETAPA"</formula>
    </cfRule>
    <cfRule type="expression" dxfId="10166" priority="20012">
      <formula>$H185="CÉLULA CONSTRUTIVA"</formula>
    </cfRule>
    <cfRule type="expression" dxfId="10165" priority="20011">
      <formula>$H185="SUBETAPA"</formula>
    </cfRule>
  </conditionalFormatting>
  <conditionalFormatting sqref="P188:P189 P191 P196 P198 P200">
    <cfRule type="containsText" dxfId="10164" priority="19948" operator="containsText" text="Lançado">
      <formula>NOT(ISERROR(SEARCH("Lançado",P188)))</formula>
    </cfRule>
    <cfRule type="containsText" dxfId="10163" priority="19950" operator="containsText" text="Pendente">
      <formula>NOT(ISERROR(SEARCH("Pendente",P188)))</formula>
    </cfRule>
    <cfRule type="containsText" dxfId="10162" priority="19951" operator="containsText" text="Finalizado">
      <formula>NOT(ISERROR(SEARCH("Finalizado",P188)))</formula>
    </cfRule>
    <cfRule type="containsText" dxfId="10161" priority="19952" operator="containsText" text="em andamento">
      <formula>NOT(ISERROR(SEARCH("em andamento",P188)))</formula>
    </cfRule>
  </conditionalFormatting>
  <conditionalFormatting sqref="P188:P189">
    <cfRule type="expression" dxfId="10160" priority="19942">
      <formula>$H188="ETAPA"</formula>
    </cfRule>
    <cfRule type="expression" dxfId="10159" priority="19941">
      <formula>$H188="CÉLULA CONSTRUTIVA"</formula>
    </cfRule>
  </conditionalFormatting>
  <conditionalFormatting sqref="P190 P192:P195">
    <cfRule type="containsText" dxfId="10158" priority="19996" operator="containsText" text="Pendente">
      <formula>NOT(ISERROR(SEARCH("Pendente",P190)))</formula>
    </cfRule>
    <cfRule type="containsText" dxfId="10157" priority="19995" operator="containsText" text="N/A">
      <formula>NOT(ISERROR(SEARCH("N/A",P190)))</formula>
    </cfRule>
    <cfRule type="containsText" dxfId="10156" priority="19994" operator="containsText" text="Lançado">
      <formula>NOT(ISERROR(SEARCH("Lançado",P190)))</formula>
    </cfRule>
    <cfRule type="expression" dxfId="10155" priority="19993">
      <formula>$H190="ETAPA"</formula>
    </cfRule>
    <cfRule type="expression" dxfId="10154" priority="19992">
      <formula>$H190="CÉLULA CONSTRUTIVA"</formula>
    </cfRule>
    <cfRule type="containsText" dxfId="10153" priority="19991" operator="containsText" text="em andamento">
      <formula>NOT(ISERROR(SEARCH("em andamento",P190)))</formula>
    </cfRule>
    <cfRule type="containsText" dxfId="10152" priority="19990" operator="containsText" text="Finalizado">
      <formula>NOT(ISERROR(SEARCH("Finalizado",P190)))</formula>
    </cfRule>
    <cfRule type="containsText" dxfId="10151" priority="19989" operator="containsText" text="Pendente">
      <formula>NOT(ISERROR(SEARCH("Pendente",P190)))</formula>
    </cfRule>
    <cfRule type="containsText" dxfId="10150" priority="19988" operator="containsText" text="N/A">
      <formula>NOT(ISERROR(SEARCH("N/A",P190)))</formula>
    </cfRule>
    <cfRule type="containsText" dxfId="10149" priority="19987" operator="containsText" text="Lançado">
      <formula>NOT(ISERROR(SEARCH("Lançado",P190)))</formula>
    </cfRule>
    <cfRule type="containsText" dxfId="10148" priority="19986" operator="containsText" text="em andamento">
      <formula>NOT(ISERROR(SEARCH("em andamento",P190)))</formula>
    </cfRule>
    <cfRule type="containsText" dxfId="10147" priority="19998" operator="containsText" text="em andamento">
      <formula>NOT(ISERROR(SEARCH("em andamento",P190)))</formula>
    </cfRule>
    <cfRule type="containsText" dxfId="10146" priority="19984" operator="containsText" text="Pendente">
      <formula>NOT(ISERROR(SEARCH("Pendente",P190)))</formula>
    </cfRule>
    <cfRule type="containsText" dxfId="10145" priority="19983" operator="containsText" text="N/A">
      <formula>NOT(ISERROR(SEARCH("N/A",P190)))</formula>
    </cfRule>
    <cfRule type="containsText" dxfId="10144" priority="19982" operator="containsText" text="Lançado">
      <formula>NOT(ISERROR(SEARCH("Lançado",P190)))</formula>
    </cfRule>
    <cfRule type="expression" dxfId="10143" priority="19981">
      <formula>$H190="ETAPA"</formula>
    </cfRule>
    <cfRule type="expression" dxfId="10142" priority="19980">
      <formula>$H190="CÉLULA CONSTRUTIVA"</formula>
    </cfRule>
    <cfRule type="expression" dxfId="10141" priority="19979">
      <formula>$H190="SUBETAPA"</formula>
    </cfRule>
    <cfRule type="containsText" dxfId="10140" priority="19985" operator="containsText" text="Finalizado">
      <formula>NOT(ISERROR(SEARCH("Finalizado",P190)))</formula>
    </cfRule>
    <cfRule type="containsText" dxfId="10139" priority="19997" operator="containsText" text="Finalizado">
      <formula>NOT(ISERROR(SEARCH("Finalizado",P190)))</formula>
    </cfRule>
  </conditionalFormatting>
  <conditionalFormatting sqref="P191 P196 P198 P188:P189 P200">
    <cfRule type="containsText" dxfId="10138" priority="19949" operator="containsText" text="N/A">
      <formula>NOT(ISERROR(SEARCH("N/A",P188)))</formula>
    </cfRule>
  </conditionalFormatting>
  <conditionalFormatting sqref="P191">
    <cfRule type="expression" dxfId="10137" priority="19947">
      <formula>$H191="ETAPA"</formula>
    </cfRule>
    <cfRule type="expression" dxfId="10136" priority="19946">
      <formula>$H191="CÉLULA CONSTRUTIVA"</formula>
    </cfRule>
  </conditionalFormatting>
  <conditionalFormatting sqref="P196 P198">
    <cfRule type="expression" dxfId="10135" priority="19944">
      <formula>$H196="CÉLULA CONSTRUTIVA"</formula>
    </cfRule>
    <cfRule type="expression" dxfId="10134" priority="19945">
      <formula>$H196="ETAPA"</formula>
    </cfRule>
  </conditionalFormatting>
  <conditionalFormatting sqref="P197">
    <cfRule type="expression" dxfId="10133" priority="19970">
      <formula>$H197="ETAPA"</formula>
    </cfRule>
    <cfRule type="containsText" dxfId="10132" priority="19975" operator="containsText" text="em andamento">
      <formula>NOT(ISERROR(SEARCH("em andamento",P197)))</formula>
    </cfRule>
    <cfRule type="containsText" dxfId="10131" priority="19973" operator="containsText" text="Pendente">
      <formula>NOT(ISERROR(SEARCH("Pendente",P197)))</formula>
    </cfRule>
    <cfRule type="containsText" dxfId="10130" priority="19972" operator="containsText" text="N/A">
      <formula>NOT(ISERROR(SEARCH("N/A",P197)))</formula>
    </cfRule>
    <cfRule type="containsText" dxfId="10129" priority="19971" operator="containsText" text="Lançado">
      <formula>NOT(ISERROR(SEARCH("Lançado",P197)))</formula>
    </cfRule>
    <cfRule type="containsText" dxfId="10128" priority="19974" operator="containsText" text="Finalizado">
      <formula>NOT(ISERROR(SEARCH("Finalizado",P197)))</formula>
    </cfRule>
    <cfRule type="expression" dxfId="10127" priority="19969">
      <formula>$H197="CÉLULA CONSTRUTIVA"</formula>
    </cfRule>
    <cfRule type="containsText" dxfId="10126" priority="19968" operator="containsText" text="em andamento">
      <formula>NOT(ISERROR(SEARCH("em andamento",P197)))</formula>
    </cfRule>
    <cfRule type="containsText" dxfId="10125" priority="19967" operator="containsText" text="Finalizado">
      <formula>NOT(ISERROR(SEARCH("Finalizado",P197)))</formula>
    </cfRule>
    <cfRule type="containsText" dxfId="10124" priority="19966" operator="containsText" text="Pendente">
      <formula>NOT(ISERROR(SEARCH("Pendente",P197)))</formula>
    </cfRule>
    <cfRule type="containsText" dxfId="10123" priority="19965" operator="containsText" text="N/A">
      <formula>NOT(ISERROR(SEARCH("N/A",P197)))</formula>
    </cfRule>
    <cfRule type="containsText" dxfId="10122" priority="19964" operator="containsText" text="Lançado">
      <formula>NOT(ISERROR(SEARCH("Lançado",P197)))</formula>
    </cfRule>
    <cfRule type="containsText" dxfId="10121" priority="19963" operator="containsText" text="em andamento">
      <formula>NOT(ISERROR(SEARCH("em andamento",P197)))</formula>
    </cfRule>
    <cfRule type="containsText" dxfId="10120" priority="19962" operator="containsText" text="Finalizado">
      <formula>NOT(ISERROR(SEARCH("Finalizado",P197)))</formula>
    </cfRule>
    <cfRule type="containsText" dxfId="10119" priority="19961" operator="containsText" text="Pendente">
      <formula>NOT(ISERROR(SEARCH("Pendente",P197)))</formula>
    </cfRule>
    <cfRule type="containsText" dxfId="10118" priority="19960" operator="containsText" text="N/A">
      <formula>NOT(ISERROR(SEARCH("N/A",P197)))</formula>
    </cfRule>
    <cfRule type="containsText" dxfId="10117" priority="19959" operator="containsText" text="Lançado">
      <formula>NOT(ISERROR(SEARCH("Lançado",P197)))</formula>
    </cfRule>
    <cfRule type="expression" dxfId="10116" priority="19958">
      <formula>$H197="ETAPA"</formula>
    </cfRule>
    <cfRule type="expression" dxfId="10115" priority="19957">
      <formula>$H197="CÉLULA CONSTRUTIVA"</formula>
    </cfRule>
    <cfRule type="expression" dxfId="10114" priority="19956">
      <formula>$H197="SUBETAPA"</formula>
    </cfRule>
  </conditionalFormatting>
  <conditionalFormatting sqref="P199">
    <cfRule type="containsText" dxfId="10113" priority="19930" operator="containsText" text="Finalizado">
      <formula>NOT(ISERROR(SEARCH("Finalizado",P199)))</formula>
    </cfRule>
    <cfRule type="containsText" dxfId="10112" priority="19929" operator="containsText" text="Pendente">
      <formula>NOT(ISERROR(SEARCH("Pendente",P199)))</formula>
    </cfRule>
    <cfRule type="containsText" dxfId="10111" priority="19928" operator="containsText" text="N/A">
      <formula>NOT(ISERROR(SEARCH("N/A",P199)))</formula>
    </cfRule>
    <cfRule type="containsText" dxfId="10110" priority="19927" operator="containsText" text="Lançado">
      <formula>NOT(ISERROR(SEARCH("Lançado",P199)))</formula>
    </cfRule>
    <cfRule type="expression" dxfId="10109" priority="19926">
      <formula>$H199="ETAPA"</formula>
    </cfRule>
    <cfRule type="expression" dxfId="10108" priority="19925">
      <formula>$H199="CÉLULA CONSTRUTIVA"</formula>
    </cfRule>
    <cfRule type="containsText" dxfId="10107" priority="19931" operator="containsText" text="em andamento">
      <formula>NOT(ISERROR(SEARCH("em andamento",P199)))</formula>
    </cfRule>
    <cfRule type="expression" dxfId="10106" priority="19913">
      <formula>$H199="ETAPA"</formula>
    </cfRule>
    <cfRule type="expression" dxfId="10105" priority="19912">
      <formula>$H199="CÉLULA CONSTRUTIVA"</formula>
    </cfRule>
    <cfRule type="expression" dxfId="10104" priority="19911">
      <formula>$H199="SUBETAPA"</formula>
    </cfRule>
    <cfRule type="containsText" dxfId="10103" priority="19923" operator="containsText" text="em andamento">
      <formula>NOT(ISERROR(SEARCH("em andamento",P199)))</formula>
    </cfRule>
    <cfRule type="containsText" dxfId="10102" priority="19920" operator="containsText" text="N/A">
      <formula>NOT(ISERROR(SEARCH("N/A",P199)))</formula>
    </cfRule>
    <cfRule type="containsText" dxfId="10101" priority="19921" operator="containsText" text="Pendente">
      <formula>NOT(ISERROR(SEARCH("Pendente",P199)))</formula>
    </cfRule>
    <cfRule type="containsText" dxfId="10100" priority="19914" operator="containsText" text="Lançado">
      <formula>NOT(ISERROR(SEARCH("Lançado",P199)))</formula>
    </cfRule>
    <cfRule type="containsText" dxfId="10099" priority="19919" operator="containsText" text="Lançado">
      <formula>NOT(ISERROR(SEARCH("Lançado",P199)))</formula>
    </cfRule>
    <cfRule type="containsText" dxfId="10098" priority="19915" operator="containsText" text="N/A">
      <formula>NOT(ISERROR(SEARCH("N/A",P199)))</formula>
    </cfRule>
    <cfRule type="containsText" dxfId="10097" priority="19922" operator="containsText" text="Finalizado">
      <formula>NOT(ISERROR(SEARCH("Finalizado",P199)))</formula>
    </cfRule>
    <cfRule type="containsText" dxfId="10096" priority="19916" operator="containsText" text="Pendente">
      <formula>NOT(ISERROR(SEARCH("Pendente",P199)))</formula>
    </cfRule>
    <cfRule type="containsText" dxfId="10095" priority="19917" operator="containsText" text="Finalizado">
      <formula>NOT(ISERROR(SEARCH("Finalizado",P199)))</formula>
    </cfRule>
    <cfRule type="containsText" dxfId="10094" priority="19918" operator="containsText" text="em andamento">
      <formula>NOT(ISERROR(SEARCH("em andamento",P199)))</formula>
    </cfRule>
  </conditionalFormatting>
  <conditionalFormatting sqref="P202:P203 P206 P214 P216 P218">
    <cfRule type="containsText" dxfId="10093" priority="19855" operator="containsText" text="em andamento">
      <formula>NOT(ISERROR(SEARCH("em andamento",P202)))</formula>
    </cfRule>
    <cfRule type="containsText" dxfId="10092" priority="19854" operator="containsText" text="Finalizado">
      <formula>NOT(ISERROR(SEARCH("Finalizado",P202)))</formula>
    </cfRule>
    <cfRule type="containsText" dxfId="10091" priority="19853" operator="containsText" text="Pendente">
      <formula>NOT(ISERROR(SEARCH("Pendente",P202)))</formula>
    </cfRule>
    <cfRule type="containsText" dxfId="10090" priority="19851" operator="containsText" text="Lançado">
      <formula>NOT(ISERROR(SEARCH("Lançado",P202)))</formula>
    </cfRule>
  </conditionalFormatting>
  <conditionalFormatting sqref="P202:P203">
    <cfRule type="expression" dxfId="10089" priority="19845">
      <formula>$H202="ETAPA"</formula>
    </cfRule>
    <cfRule type="expression" dxfId="10088" priority="19844">
      <formula>$H202="CÉLULA CONSTRUTIVA"</formula>
    </cfRule>
  </conditionalFormatting>
  <conditionalFormatting sqref="P204:P205 P207:P211">
    <cfRule type="containsText" dxfId="10087" priority="19892" operator="containsText" text="Pendente">
      <formula>NOT(ISERROR(SEARCH("Pendente",P204)))</formula>
    </cfRule>
    <cfRule type="expression" dxfId="10086" priority="19882">
      <formula>$H204="SUBETAPA"</formula>
    </cfRule>
    <cfRule type="containsText" dxfId="10085" priority="19894" operator="containsText" text="em andamento">
      <formula>NOT(ISERROR(SEARCH("em andamento",P204)))</formula>
    </cfRule>
    <cfRule type="expression" dxfId="10084" priority="19883">
      <formula>$H204="CÉLULA CONSTRUTIVA"</formula>
    </cfRule>
    <cfRule type="containsText" dxfId="10083" priority="19891" operator="containsText" text="N/A">
      <formula>NOT(ISERROR(SEARCH("N/A",P204)))</formula>
    </cfRule>
    <cfRule type="containsText" dxfId="10082" priority="19900" operator="containsText" text="Finalizado">
      <formula>NOT(ISERROR(SEARCH("Finalizado",P204)))</formula>
    </cfRule>
    <cfRule type="containsText" dxfId="10081" priority="19890" operator="containsText" text="Lançado">
      <formula>NOT(ISERROR(SEARCH("Lançado",P204)))</formula>
    </cfRule>
    <cfRule type="containsText" dxfId="10080" priority="19889" operator="containsText" text="em andamento">
      <formula>NOT(ISERROR(SEARCH("em andamento",P204)))</formula>
    </cfRule>
    <cfRule type="containsText" dxfId="10079" priority="19888" operator="containsText" text="Finalizado">
      <formula>NOT(ISERROR(SEARCH("Finalizado",P204)))</formula>
    </cfRule>
    <cfRule type="containsText" dxfId="10078" priority="19887" operator="containsText" text="Pendente">
      <formula>NOT(ISERROR(SEARCH("Pendente",P204)))</formula>
    </cfRule>
    <cfRule type="containsText" dxfId="10077" priority="19899" operator="containsText" text="Pendente">
      <formula>NOT(ISERROR(SEARCH("Pendente",P204)))</formula>
    </cfRule>
    <cfRule type="containsText" dxfId="10076" priority="19886" operator="containsText" text="N/A">
      <formula>NOT(ISERROR(SEARCH("N/A",P204)))</formula>
    </cfRule>
    <cfRule type="containsText" dxfId="10075" priority="19893" operator="containsText" text="Finalizado">
      <formula>NOT(ISERROR(SEARCH("Finalizado",P204)))</formula>
    </cfRule>
    <cfRule type="containsText" dxfId="10074" priority="19901" operator="containsText" text="em andamento">
      <formula>NOT(ISERROR(SEARCH("em andamento",P204)))</formula>
    </cfRule>
    <cfRule type="expression" dxfId="10073" priority="19895">
      <formula>$H204="CÉLULA CONSTRUTIVA"</formula>
    </cfRule>
    <cfRule type="containsText" dxfId="10072" priority="19897" operator="containsText" text="Lançado">
      <formula>NOT(ISERROR(SEARCH("Lançado",P204)))</formula>
    </cfRule>
    <cfRule type="expression" dxfId="10071" priority="19896">
      <formula>$H204="ETAPA"</formula>
    </cfRule>
    <cfRule type="containsText" dxfId="10070" priority="19898" operator="containsText" text="N/A">
      <formula>NOT(ISERROR(SEARCH("N/A",P204)))</formula>
    </cfRule>
    <cfRule type="containsText" dxfId="10069" priority="19885" operator="containsText" text="Lançado">
      <formula>NOT(ISERROR(SEARCH("Lançado",P204)))</formula>
    </cfRule>
    <cfRule type="expression" dxfId="10068" priority="19884">
      <formula>$H204="ETAPA"</formula>
    </cfRule>
  </conditionalFormatting>
  <conditionalFormatting sqref="P206 P214 P216 P202:P203 P218">
    <cfRule type="containsText" dxfId="10067" priority="19852" operator="containsText" text="N/A">
      <formula>NOT(ISERROR(SEARCH("N/A",P202)))</formula>
    </cfRule>
  </conditionalFormatting>
  <conditionalFormatting sqref="P206">
    <cfRule type="expression" dxfId="10066" priority="19849">
      <formula>$H206="CÉLULA CONSTRUTIVA"</formula>
    </cfRule>
    <cfRule type="expression" dxfId="10065" priority="19850">
      <formula>$H206="ETAPA"</formula>
    </cfRule>
  </conditionalFormatting>
  <conditionalFormatting sqref="P212:P213 P1370">
    <cfRule type="containsText" dxfId="10064" priority="19788" operator="containsText" text="Finalizado">
      <formula>NOT(ISERROR(SEARCH("Finalizado",P212)))</formula>
    </cfRule>
    <cfRule type="containsText" dxfId="10063" priority="19787" operator="containsText" text="Pendente">
      <formula>NOT(ISERROR(SEARCH("Pendente",P212)))</formula>
    </cfRule>
    <cfRule type="containsText" dxfId="10062" priority="19786" operator="containsText" text="N/A">
      <formula>NOT(ISERROR(SEARCH("N/A",P212)))</formula>
    </cfRule>
    <cfRule type="containsText" dxfId="10061" priority="19785" operator="containsText" text="Lançado">
      <formula>NOT(ISERROR(SEARCH("Lançado",P212)))</formula>
    </cfRule>
    <cfRule type="expression" dxfId="10060" priority="19784">
      <formula>$H212="ETAPA"</formula>
    </cfRule>
    <cfRule type="expression" dxfId="10059" priority="19783">
      <formula>$H212="CÉLULA CONSTRUTIVA"</formula>
    </cfRule>
    <cfRule type="expression" dxfId="10058" priority="19782">
      <formula>$H212="SUBETAPA"</formula>
    </cfRule>
    <cfRule type="containsText" dxfId="10057" priority="19781" operator="containsText" text="em andamento">
      <formula>NOT(ISERROR(SEARCH("em andamento",P212)))</formula>
    </cfRule>
    <cfRule type="containsText" dxfId="10056" priority="19780" operator="containsText" text="Finalizado">
      <formula>NOT(ISERROR(SEARCH("Finalizado",P212)))</formula>
    </cfRule>
    <cfRule type="containsText" dxfId="10055" priority="19779" operator="containsText" text="Pendente">
      <formula>NOT(ISERROR(SEARCH("Pendente",P212)))</formula>
    </cfRule>
    <cfRule type="containsText" dxfId="10054" priority="19778" operator="containsText" text="N/A">
      <formula>NOT(ISERROR(SEARCH("N/A",P212)))</formula>
    </cfRule>
    <cfRule type="containsText" dxfId="10053" priority="19777" operator="containsText" text="Lançado">
      <formula>NOT(ISERROR(SEARCH("Lançado",P212)))</formula>
    </cfRule>
    <cfRule type="containsText" dxfId="10052" priority="19776" operator="containsText" text="em andamento">
      <formula>NOT(ISERROR(SEARCH("em andamento",P212)))</formula>
    </cfRule>
    <cfRule type="containsText" dxfId="10051" priority="19775" operator="containsText" text="Finalizado">
      <formula>NOT(ISERROR(SEARCH("Finalizado",P212)))</formula>
    </cfRule>
    <cfRule type="containsText" dxfId="10050" priority="19774" operator="containsText" text="Pendente">
      <formula>NOT(ISERROR(SEARCH("Pendente",P212)))</formula>
    </cfRule>
    <cfRule type="containsText" dxfId="10049" priority="19773" operator="containsText" text="N/A">
      <formula>NOT(ISERROR(SEARCH("N/A",P212)))</formula>
    </cfRule>
    <cfRule type="containsText" dxfId="10048" priority="19772" operator="containsText" text="Lançado">
      <formula>NOT(ISERROR(SEARCH("Lançado",P212)))</formula>
    </cfRule>
    <cfRule type="expression" dxfId="10047" priority="19771">
      <formula>$H212="ETAPA"</formula>
    </cfRule>
    <cfRule type="expression" dxfId="10046" priority="19770">
      <formula>$H212="CÉLULA CONSTRUTIVA"</formula>
    </cfRule>
    <cfRule type="expression" dxfId="10045" priority="19769">
      <formula>$H212="SUBETAPA"</formula>
    </cfRule>
    <cfRule type="containsText" dxfId="10044" priority="19789" operator="containsText" text="em andamento">
      <formula>NOT(ISERROR(SEARCH("em andamento",P212)))</formula>
    </cfRule>
  </conditionalFormatting>
  <conditionalFormatting sqref="P214 P216">
    <cfRule type="expression" dxfId="10043" priority="19848">
      <formula>$H214="ETAPA"</formula>
    </cfRule>
    <cfRule type="expression" dxfId="10042" priority="19847">
      <formula>$H214="CÉLULA CONSTRUTIVA"</formula>
    </cfRule>
  </conditionalFormatting>
  <conditionalFormatting sqref="P215">
    <cfRule type="expression" dxfId="10041" priority="19860">
      <formula>$H215="CÉLULA CONSTRUTIVA"</formula>
    </cfRule>
    <cfRule type="expression" dxfId="10040" priority="19859">
      <formula>$H215="SUBETAPA"</formula>
    </cfRule>
    <cfRule type="containsText" dxfId="10039" priority="19868" operator="containsText" text="N/A">
      <formula>NOT(ISERROR(SEARCH("N/A",P215)))</formula>
    </cfRule>
    <cfRule type="containsText" dxfId="10038" priority="19878" operator="containsText" text="em andamento">
      <formula>NOT(ISERROR(SEARCH("em andamento",P215)))</formula>
    </cfRule>
    <cfRule type="containsText" dxfId="10037" priority="19877" operator="containsText" text="Finalizado">
      <formula>NOT(ISERROR(SEARCH("Finalizado",P215)))</formula>
    </cfRule>
    <cfRule type="containsText" dxfId="10036" priority="19876" operator="containsText" text="Pendente">
      <formula>NOT(ISERROR(SEARCH("Pendente",P215)))</formula>
    </cfRule>
    <cfRule type="containsText" dxfId="10035" priority="19875" operator="containsText" text="N/A">
      <formula>NOT(ISERROR(SEARCH("N/A",P215)))</formula>
    </cfRule>
    <cfRule type="containsText" dxfId="10034" priority="19874" operator="containsText" text="Lançado">
      <formula>NOT(ISERROR(SEARCH("Lançado",P215)))</formula>
    </cfRule>
    <cfRule type="expression" dxfId="10033" priority="19873">
      <formula>$H215="ETAPA"</formula>
    </cfRule>
    <cfRule type="expression" dxfId="10032" priority="19872">
      <formula>$H215="CÉLULA CONSTRUTIVA"</formula>
    </cfRule>
    <cfRule type="containsText" dxfId="10031" priority="19871" operator="containsText" text="em andamento">
      <formula>NOT(ISERROR(SEARCH("em andamento",P215)))</formula>
    </cfRule>
    <cfRule type="containsText" dxfId="10030" priority="19870" operator="containsText" text="Finalizado">
      <formula>NOT(ISERROR(SEARCH("Finalizado",P215)))</formula>
    </cfRule>
    <cfRule type="containsText" dxfId="10029" priority="19869" operator="containsText" text="Pendente">
      <formula>NOT(ISERROR(SEARCH("Pendente",P215)))</formula>
    </cfRule>
    <cfRule type="containsText" dxfId="10028" priority="19867" operator="containsText" text="Lançado">
      <formula>NOT(ISERROR(SEARCH("Lançado",P215)))</formula>
    </cfRule>
    <cfRule type="containsText" dxfId="10027" priority="19866" operator="containsText" text="em andamento">
      <formula>NOT(ISERROR(SEARCH("em andamento",P215)))</formula>
    </cfRule>
    <cfRule type="containsText" dxfId="10026" priority="19865" operator="containsText" text="Finalizado">
      <formula>NOT(ISERROR(SEARCH("Finalizado",P215)))</formula>
    </cfRule>
    <cfRule type="containsText" dxfId="10025" priority="19864" operator="containsText" text="Pendente">
      <formula>NOT(ISERROR(SEARCH("Pendente",P215)))</formula>
    </cfRule>
    <cfRule type="containsText" dxfId="10024" priority="19863" operator="containsText" text="N/A">
      <formula>NOT(ISERROR(SEARCH("N/A",P215)))</formula>
    </cfRule>
    <cfRule type="containsText" dxfId="10023" priority="19862" operator="containsText" text="Lançado">
      <formula>NOT(ISERROR(SEARCH("Lançado",P215)))</formula>
    </cfRule>
    <cfRule type="expression" dxfId="10022" priority="19861">
      <formula>$H215="ETAPA"</formula>
    </cfRule>
  </conditionalFormatting>
  <conditionalFormatting sqref="P217">
    <cfRule type="containsText" dxfId="10021" priority="19821" operator="containsText" text="em andamento">
      <formula>NOT(ISERROR(SEARCH("em andamento",P217)))</formula>
    </cfRule>
    <cfRule type="containsText" dxfId="10020" priority="19832" operator="containsText" text="Pendente">
      <formula>NOT(ISERROR(SEARCH("Pendente",P217)))</formula>
    </cfRule>
    <cfRule type="containsText" dxfId="10019" priority="19826" operator="containsText" text="em andamento">
      <formula>NOT(ISERROR(SEARCH("em andamento",P217)))</formula>
    </cfRule>
    <cfRule type="containsText" dxfId="10018" priority="19824" operator="containsText" text="Pendente">
      <formula>NOT(ISERROR(SEARCH("Pendente",P217)))</formula>
    </cfRule>
    <cfRule type="containsText" dxfId="10017" priority="19823" operator="containsText" text="N/A">
      <formula>NOT(ISERROR(SEARCH("N/A",P217)))</formula>
    </cfRule>
    <cfRule type="containsText" dxfId="10016" priority="19822" operator="containsText" text="Lançado">
      <formula>NOT(ISERROR(SEARCH("Lançado",P217)))</formula>
    </cfRule>
    <cfRule type="containsText" dxfId="10015" priority="19831" operator="containsText" text="N/A">
      <formula>NOT(ISERROR(SEARCH("N/A",P217)))</formula>
    </cfRule>
    <cfRule type="containsText" dxfId="10014" priority="19820" operator="containsText" text="Finalizado">
      <formula>NOT(ISERROR(SEARCH("Finalizado",P217)))</formula>
    </cfRule>
    <cfRule type="expression" dxfId="10013" priority="19828">
      <formula>$H217="CÉLULA CONSTRUTIVA"</formula>
    </cfRule>
    <cfRule type="containsText" dxfId="10012" priority="19819" operator="containsText" text="Pendente">
      <formula>NOT(ISERROR(SEARCH("Pendente",P217)))</formula>
    </cfRule>
    <cfRule type="containsText" dxfId="10011" priority="19825" operator="containsText" text="Finalizado">
      <formula>NOT(ISERROR(SEARCH("Finalizado",P217)))</formula>
    </cfRule>
    <cfRule type="containsText" dxfId="10010" priority="19834" operator="containsText" text="em andamento">
      <formula>NOT(ISERROR(SEARCH("em andamento",P217)))</formula>
    </cfRule>
    <cfRule type="containsText" dxfId="10009" priority="19833" operator="containsText" text="Finalizado">
      <formula>NOT(ISERROR(SEARCH("Finalizado",P217)))</formula>
    </cfRule>
    <cfRule type="expression" dxfId="10008" priority="19816">
      <formula>$H217="ETAPA"</formula>
    </cfRule>
    <cfRule type="containsText" dxfId="10007" priority="19818" operator="containsText" text="N/A">
      <formula>NOT(ISERROR(SEARCH("N/A",P217)))</formula>
    </cfRule>
    <cfRule type="containsText" dxfId="10006" priority="19817" operator="containsText" text="Lançado">
      <formula>NOT(ISERROR(SEARCH("Lançado",P217)))</formula>
    </cfRule>
    <cfRule type="expression" dxfId="10005" priority="19815">
      <formula>$H217="CÉLULA CONSTRUTIVA"</formula>
    </cfRule>
    <cfRule type="expression" dxfId="10004" priority="19814">
      <formula>$H217="SUBETAPA"</formula>
    </cfRule>
    <cfRule type="containsText" dxfId="10003" priority="19830" operator="containsText" text="Lançado">
      <formula>NOT(ISERROR(SEARCH("Lançado",P217)))</formula>
    </cfRule>
    <cfRule type="expression" dxfId="10002" priority="19829">
      <formula>$H217="ETAPA"</formula>
    </cfRule>
  </conditionalFormatting>
  <conditionalFormatting sqref="P221:P222">
    <cfRule type="containsText" dxfId="10001" priority="21530" operator="containsText" text="Lançado">
      <formula>NOT(ISERROR(SEARCH("Lançado",P221)))</formula>
    </cfRule>
    <cfRule type="containsText" dxfId="10000" priority="21531" operator="containsText" text="N/A">
      <formula>NOT(ISERROR(SEARCH("N/A",P221)))</formula>
    </cfRule>
    <cfRule type="containsText" dxfId="9999" priority="21532" operator="containsText" text="Pendente">
      <formula>NOT(ISERROR(SEARCH("Pendente",P221)))</formula>
    </cfRule>
    <cfRule type="containsText" dxfId="9998" priority="21533" operator="containsText" text="Finalizado">
      <formula>NOT(ISERROR(SEARCH("Finalizado",P221)))</formula>
    </cfRule>
    <cfRule type="containsText" dxfId="9997" priority="21534" operator="containsText" text="em andamento">
      <formula>NOT(ISERROR(SEARCH("em andamento",P221)))</formula>
    </cfRule>
    <cfRule type="containsText" dxfId="9996" priority="7341" operator="containsText" text="em andamento">
      <formula>NOT(ISERROR(SEARCH("em andamento",P221)))</formula>
    </cfRule>
    <cfRule type="containsText" dxfId="9995" priority="7340" operator="containsText" text="Finalizado">
      <formula>NOT(ISERROR(SEARCH("Finalizado",P221)))</formula>
    </cfRule>
    <cfRule type="containsText" dxfId="9994" priority="7339" operator="containsText" text="Pendente">
      <formula>NOT(ISERROR(SEARCH("Pendente",P221)))</formula>
    </cfRule>
    <cfRule type="containsText" dxfId="9993" priority="7338" operator="containsText" text="N/A">
      <formula>NOT(ISERROR(SEARCH("N/A",P221)))</formula>
    </cfRule>
    <cfRule type="containsText" dxfId="9992" priority="7337" operator="containsText" text="Lançado">
      <formula>NOT(ISERROR(SEARCH("Lançado",P221)))</formula>
    </cfRule>
  </conditionalFormatting>
  <conditionalFormatting sqref="P224 P232 P248 P256 N264:N267 P264 P240">
    <cfRule type="expression" dxfId="9991" priority="7350">
      <formula>$H224="SUBETAPA"</formula>
    </cfRule>
    <cfRule type="expression" dxfId="9990" priority="7352">
      <formula>$H224="ETAPA"</formula>
    </cfRule>
    <cfRule type="expression" dxfId="9989" priority="7351">
      <formula>$H224="CÉLULA CONSTRUTIVA"</formula>
    </cfRule>
  </conditionalFormatting>
  <conditionalFormatting sqref="P224 P1205 P1215 P1230">
    <cfRule type="containsText" dxfId="9988" priority="7333" operator="containsText" text="em andamento">
      <formula>NOT(ISERROR(SEARCH("em andamento",P224)))</formula>
    </cfRule>
    <cfRule type="containsText" dxfId="9987" priority="7332" operator="containsText" text="Finalizado">
      <formula>NOT(ISERROR(SEARCH("Finalizado",P224)))</formula>
    </cfRule>
    <cfRule type="containsText" dxfId="9986" priority="7330" operator="containsText" text="N/A">
      <formula>NOT(ISERROR(SEARCH("N/A",P224)))</formula>
    </cfRule>
    <cfRule type="containsText" dxfId="9985" priority="7329" operator="containsText" text="Lançado">
      <formula>NOT(ISERROR(SEARCH("Lançado",P224)))</formula>
    </cfRule>
    <cfRule type="containsText" dxfId="9984" priority="7331" operator="containsText" text="Pendente">
      <formula>NOT(ISERROR(SEARCH("Pendente",P224)))</formula>
    </cfRule>
  </conditionalFormatting>
  <conditionalFormatting sqref="P224:P226 P232:P234 P240:P242 P248:P250 P256:P258 P264:P267">
    <cfRule type="containsText" dxfId="9983" priority="7356" operator="containsText" text="Finalizado">
      <formula>NOT(ISERROR(SEARCH("Finalizado",P224)))</formula>
    </cfRule>
  </conditionalFormatting>
  <conditionalFormatting sqref="P227">
    <cfRule type="containsText" dxfId="9982" priority="1059" operator="containsText" text="Pendente">
      <formula>NOT(ISERROR(SEARCH("Pendente",P227)))</formula>
    </cfRule>
    <cfRule type="containsText" dxfId="9981" priority="1060" operator="containsText" text="Finalizado">
      <formula>NOT(ISERROR(SEARCH("Finalizado",P227)))</formula>
    </cfRule>
    <cfRule type="containsText" dxfId="9980" priority="1061" operator="containsText" text="em andamento">
      <formula>NOT(ISERROR(SEARCH("em andamento",P227)))</formula>
    </cfRule>
    <cfRule type="containsText" dxfId="9979" priority="1058" operator="containsText" text="N/A">
      <formula>NOT(ISERROR(SEARCH("N/A",P227)))</formula>
    </cfRule>
    <cfRule type="containsText" dxfId="9978" priority="1057" operator="containsText" text="Lançado">
      <formula>NOT(ISERROR(SEARCH("Lançado",P227)))</formula>
    </cfRule>
    <cfRule type="containsText" dxfId="9977" priority="1052" operator="containsText" text="Lançado">
      <formula>NOT(ISERROR(SEARCH("Lançado",P227)))</formula>
    </cfRule>
    <cfRule type="containsText" dxfId="9976" priority="1056" operator="containsText" text="em andamento">
      <formula>NOT(ISERROR(SEARCH("em andamento",P227)))</formula>
    </cfRule>
    <cfRule type="containsText" dxfId="9975" priority="1053" operator="containsText" text="N/A">
      <formula>NOT(ISERROR(SEARCH("N/A",P227)))</formula>
    </cfRule>
    <cfRule type="containsText" dxfId="9974" priority="1055" operator="containsText" text="Finalizado">
      <formula>NOT(ISERROR(SEARCH("Finalizado",P227)))</formula>
    </cfRule>
    <cfRule type="containsText" dxfId="9973" priority="1054" operator="containsText" text="Pendente">
      <formula>NOT(ISERROR(SEARCH("Pendente",P227)))</formula>
    </cfRule>
  </conditionalFormatting>
  <conditionalFormatting sqref="P229:P230">
    <cfRule type="containsText" dxfId="9972" priority="7321" operator="containsText" text="Lançado">
      <formula>NOT(ISERROR(SEARCH("Lançado",P229)))</formula>
    </cfRule>
    <cfRule type="containsText" dxfId="9971" priority="7317" operator="containsText" text="em andamento">
      <formula>NOT(ISERROR(SEARCH("em andamento",P229)))</formula>
    </cfRule>
    <cfRule type="containsText" dxfId="9970" priority="7316" operator="containsText" text="Finalizado">
      <formula>NOT(ISERROR(SEARCH("Finalizado",P229)))</formula>
    </cfRule>
    <cfRule type="containsText" dxfId="9969" priority="7315" operator="containsText" text="Pendente">
      <formula>NOT(ISERROR(SEARCH("Pendente",P229)))</formula>
    </cfRule>
    <cfRule type="containsText" dxfId="9968" priority="7314" operator="containsText" text="N/A">
      <formula>NOT(ISERROR(SEARCH("N/A",P229)))</formula>
    </cfRule>
    <cfRule type="containsText" dxfId="9967" priority="7313" operator="containsText" text="Lançado">
      <formula>NOT(ISERROR(SEARCH("Lançado",P229)))</formula>
    </cfRule>
    <cfRule type="containsText" dxfId="9966" priority="7325" operator="containsText" text="em andamento">
      <formula>NOT(ISERROR(SEARCH("em andamento",P229)))</formula>
    </cfRule>
    <cfRule type="containsText" dxfId="9965" priority="7324" operator="containsText" text="Finalizado">
      <formula>NOT(ISERROR(SEARCH("Finalizado",P229)))</formula>
    </cfRule>
    <cfRule type="containsText" dxfId="9964" priority="7323" operator="containsText" text="Pendente">
      <formula>NOT(ISERROR(SEARCH("Pendente",P229)))</formula>
    </cfRule>
    <cfRule type="containsText" dxfId="9963" priority="7322" operator="containsText" text="N/A">
      <formula>NOT(ISERROR(SEARCH("N/A",P229)))</formula>
    </cfRule>
  </conditionalFormatting>
  <conditionalFormatting sqref="P232">
    <cfRule type="containsText" dxfId="9962" priority="7305" operator="containsText" text="Lançado">
      <formula>NOT(ISERROR(SEARCH("Lançado",P232)))</formula>
    </cfRule>
    <cfRule type="containsText" dxfId="9961" priority="7306" operator="containsText" text="N/A">
      <formula>NOT(ISERROR(SEARCH("N/A",P232)))</formula>
    </cfRule>
    <cfRule type="containsText" dxfId="9960" priority="7308" operator="containsText" text="Finalizado">
      <formula>NOT(ISERROR(SEARCH("Finalizado",P232)))</formula>
    </cfRule>
    <cfRule type="containsText" dxfId="9959" priority="7309" operator="containsText" text="em andamento">
      <formula>NOT(ISERROR(SEARCH("em andamento",P232)))</formula>
    </cfRule>
    <cfRule type="containsText" dxfId="9958" priority="7307" operator="containsText" text="Pendente">
      <formula>NOT(ISERROR(SEARCH("Pendente",P232)))</formula>
    </cfRule>
  </conditionalFormatting>
  <conditionalFormatting sqref="P235">
    <cfRule type="containsText" dxfId="9957" priority="1040" operator="containsText" text="N/A">
      <formula>NOT(ISERROR(SEARCH("N/A",P235)))</formula>
    </cfRule>
    <cfRule type="containsText" dxfId="9956" priority="1041" operator="containsText" text="Pendente">
      <formula>NOT(ISERROR(SEARCH("Pendente",P235)))</formula>
    </cfRule>
    <cfRule type="containsText" dxfId="9955" priority="1042" operator="containsText" text="Finalizado">
      <formula>NOT(ISERROR(SEARCH("Finalizado",P235)))</formula>
    </cfRule>
    <cfRule type="containsText" dxfId="9954" priority="1043" operator="containsText" text="em andamento">
      <formula>NOT(ISERROR(SEARCH("em andamento",P235)))</formula>
    </cfRule>
    <cfRule type="containsText" dxfId="9953" priority="1044" operator="containsText" text="Lançado">
      <formula>NOT(ISERROR(SEARCH("Lançado",P235)))</formula>
    </cfRule>
    <cfRule type="containsText" dxfId="9952" priority="1045" operator="containsText" text="N/A">
      <formula>NOT(ISERROR(SEARCH("N/A",P235)))</formula>
    </cfRule>
    <cfRule type="containsText" dxfId="9951" priority="1046" operator="containsText" text="Pendente">
      <formula>NOT(ISERROR(SEARCH("Pendente",P235)))</formula>
    </cfRule>
    <cfRule type="containsText" dxfId="9950" priority="1047" operator="containsText" text="Finalizado">
      <formula>NOT(ISERROR(SEARCH("Finalizado",P235)))</formula>
    </cfRule>
    <cfRule type="containsText" dxfId="9949" priority="1048" operator="containsText" text="em andamento">
      <formula>NOT(ISERROR(SEARCH("em andamento",P235)))</formula>
    </cfRule>
    <cfRule type="containsText" dxfId="9948" priority="1039" operator="containsText" text="Lançado">
      <formula>NOT(ISERROR(SEARCH("Lançado",P235)))</formula>
    </cfRule>
  </conditionalFormatting>
  <conditionalFormatting sqref="P237:P238">
    <cfRule type="containsText" dxfId="9947" priority="7300" operator="containsText" text="Finalizado">
      <formula>NOT(ISERROR(SEARCH("Finalizado",P237)))</formula>
    </cfRule>
    <cfRule type="containsText" dxfId="9946" priority="7299" operator="containsText" text="Pendente">
      <formula>NOT(ISERROR(SEARCH("Pendente",P237)))</formula>
    </cfRule>
    <cfRule type="containsText" dxfId="9945" priority="7298" operator="containsText" text="N/A">
      <formula>NOT(ISERROR(SEARCH("N/A",P237)))</formula>
    </cfRule>
    <cfRule type="containsText" dxfId="9944" priority="7297" operator="containsText" text="Lançado">
      <formula>NOT(ISERROR(SEARCH("Lançado",P237)))</formula>
    </cfRule>
    <cfRule type="containsText" dxfId="9943" priority="7293" operator="containsText" text="em andamento">
      <formula>NOT(ISERROR(SEARCH("em andamento",P237)))</formula>
    </cfRule>
    <cfRule type="containsText" dxfId="9942" priority="7292" operator="containsText" text="Finalizado">
      <formula>NOT(ISERROR(SEARCH("Finalizado",P237)))</formula>
    </cfRule>
    <cfRule type="containsText" dxfId="9941" priority="7291" operator="containsText" text="Pendente">
      <formula>NOT(ISERROR(SEARCH("Pendente",P237)))</formula>
    </cfRule>
    <cfRule type="containsText" dxfId="9940" priority="7290" operator="containsText" text="N/A">
      <formula>NOT(ISERROR(SEARCH("N/A",P237)))</formula>
    </cfRule>
    <cfRule type="containsText" dxfId="9939" priority="7289" operator="containsText" text="Lançado">
      <formula>NOT(ISERROR(SEARCH("Lançado",P237)))</formula>
    </cfRule>
    <cfRule type="containsText" dxfId="9938" priority="7301" operator="containsText" text="em andamento">
      <formula>NOT(ISERROR(SEARCH("em andamento",P237)))</formula>
    </cfRule>
  </conditionalFormatting>
  <conditionalFormatting sqref="P240">
    <cfRule type="containsText" dxfId="9937" priority="7157" operator="containsText" text="em andamento">
      <formula>NOT(ISERROR(SEARCH("em andamento",P240)))</formula>
    </cfRule>
    <cfRule type="containsText" dxfId="9936" priority="7156" operator="containsText" text="Finalizado">
      <formula>NOT(ISERROR(SEARCH("Finalizado",P240)))</formula>
    </cfRule>
    <cfRule type="containsText" dxfId="9935" priority="7153" operator="containsText" text="Lançado">
      <formula>NOT(ISERROR(SEARCH("Lançado",P240)))</formula>
    </cfRule>
    <cfRule type="containsText" dxfId="9934" priority="7154" operator="containsText" text="N/A">
      <formula>NOT(ISERROR(SEARCH("N/A",P240)))</formula>
    </cfRule>
    <cfRule type="containsText" dxfId="9933" priority="7155" operator="containsText" text="Pendente">
      <formula>NOT(ISERROR(SEARCH("Pendente",P240)))</formula>
    </cfRule>
  </conditionalFormatting>
  <conditionalFormatting sqref="P243">
    <cfRule type="containsText" dxfId="9932" priority="1032" operator="containsText" text="N/A">
      <formula>NOT(ISERROR(SEARCH("N/A",P243)))</formula>
    </cfRule>
    <cfRule type="containsText" dxfId="9931" priority="1031" operator="containsText" text="Lançado">
      <formula>NOT(ISERROR(SEARCH("Lançado",P243)))</formula>
    </cfRule>
    <cfRule type="containsText" dxfId="9930" priority="1030" operator="containsText" text="em andamento">
      <formula>NOT(ISERROR(SEARCH("em andamento",P243)))</formula>
    </cfRule>
    <cfRule type="containsText" dxfId="9929" priority="1029" operator="containsText" text="Finalizado">
      <formula>NOT(ISERROR(SEARCH("Finalizado",P243)))</formula>
    </cfRule>
    <cfRule type="containsText" dxfId="9928" priority="1028" operator="containsText" text="Pendente">
      <formula>NOT(ISERROR(SEARCH("Pendente",P243)))</formula>
    </cfRule>
    <cfRule type="containsText" dxfId="9927" priority="1027" operator="containsText" text="N/A">
      <formula>NOT(ISERROR(SEARCH("N/A",P243)))</formula>
    </cfRule>
    <cfRule type="containsText" dxfId="9926" priority="1035" operator="containsText" text="em andamento">
      <formula>NOT(ISERROR(SEARCH("em andamento",P243)))</formula>
    </cfRule>
    <cfRule type="containsText" dxfId="9925" priority="1026" operator="containsText" text="Lançado">
      <formula>NOT(ISERROR(SEARCH("Lançado",P243)))</formula>
    </cfRule>
    <cfRule type="containsText" dxfId="9924" priority="1034" operator="containsText" text="Finalizado">
      <formula>NOT(ISERROR(SEARCH("Finalizado",P243)))</formula>
    </cfRule>
    <cfRule type="containsText" dxfId="9923" priority="1033" operator="containsText" text="Pendente">
      <formula>NOT(ISERROR(SEARCH("Pendente",P243)))</formula>
    </cfRule>
  </conditionalFormatting>
  <conditionalFormatting sqref="P245:P246">
    <cfRule type="containsText" dxfId="9922" priority="7277" operator="containsText" text="em andamento">
      <formula>NOT(ISERROR(SEARCH("em andamento",P245)))</formula>
    </cfRule>
    <cfRule type="containsText" dxfId="9921" priority="7275" operator="containsText" text="Pendente">
      <formula>NOT(ISERROR(SEARCH("Pendente",P245)))</formula>
    </cfRule>
    <cfRule type="containsText" dxfId="9920" priority="7274" operator="containsText" text="N/A">
      <formula>NOT(ISERROR(SEARCH("N/A",P245)))</formula>
    </cfRule>
    <cfRule type="containsText" dxfId="9919" priority="7273" operator="containsText" text="Lançado">
      <formula>NOT(ISERROR(SEARCH("Lançado",P245)))</formula>
    </cfRule>
    <cfRule type="containsText" dxfId="9918" priority="7269" operator="containsText" text="em andamento">
      <formula>NOT(ISERROR(SEARCH("em andamento",P245)))</formula>
    </cfRule>
    <cfRule type="containsText" dxfId="9917" priority="7268" operator="containsText" text="Finalizado">
      <formula>NOT(ISERROR(SEARCH("Finalizado",P245)))</formula>
    </cfRule>
    <cfRule type="containsText" dxfId="9916" priority="7266" operator="containsText" text="N/A">
      <formula>NOT(ISERROR(SEARCH("N/A",P245)))</formula>
    </cfRule>
    <cfRule type="containsText" dxfId="9915" priority="7265" operator="containsText" text="Lançado">
      <formula>NOT(ISERROR(SEARCH("Lançado",P245)))</formula>
    </cfRule>
    <cfRule type="containsText" dxfId="9914" priority="7276" operator="containsText" text="Finalizado">
      <formula>NOT(ISERROR(SEARCH("Finalizado",P245)))</formula>
    </cfRule>
    <cfRule type="containsText" dxfId="9913" priority="7267" operator="containsText" text="Pendente">
      <formula>NOT(ISERROR(SEARCH("Pendente",P245)))</formula>
    </cfRule>
  </conditionalFormatting>
  <conditionalFormatting sqref="P248">
    <cfRule type="containsText" dxfId="9912" priority="7260" operator="containsText" text="Finalizado">
      <formula>NOT(ISERROR(SEARCH("Finalizado",P248)))</formula>
    </cfRule>
    <cfRule type="containsText" dxfId="9911" priority="7261" operator="containsText" text="em andamento">
      <formula>NOT(ISERROR(SEARCH("em andamento",P248)))</formula>
    </cfRule>
    <cfRule type="containsText" dxfId="9910" priority="7257" operator="containsText" text="Lançado">
      <formula>NOT(ISERROR(SEARCH("Lançado",P248)))</formula>
    </cfRule>
    <cfRule type="containsText" dxfId="9909" priority="7258" operator="containsText" text="N/A">
      <formula>NOT(ISERROR(SEARCH("N/A",P248)))</formula>
    </cfRule>
    <cfRule type="containsText" dxfId="9908" priority="7259" operator="containsText" text="Pendente">
      <formula>NOT(ISERROR(SEARCH("Pendente",P248)))</formula>
    </cfRule>
  </conditionalFormatting>
  <conditionalFormatting sqref="P248:P250 P256:P258 P264:P267 P224:P226 P232:P234 P240:P242">
    <cfRule type="containsText" dxfId="9907" priority="7353" operator="containsText" text="Lançado">
      <formula>NOT(ISERROR(SEARCH("Lançado",P224)))</formula>
    </cfRule>
    <cfRule type="containsText" dxfId="9906" priority="7355" operator="containsText" text="Pendente">
      <formula>NOT(ISERROR(SEARCH("Pendente",P224)))</formula>
    </cfRule>
    <cfRule type="containsText" dxfId="9905" priority="7357" operator="containsText" text="em andamento">
      <formula>NOT(ISERROR(SEARCH("em andamento",P224)))</formula>
    </cfRule>
    <cfRule type="containsText" dxfId="9904" priority="7354" operator="containsText" text="N/A">
      <formula>NOT(ISERROR(SEARCH("N/A",P224)))</formula>
    </cfRule>
  </conditionalFormatting>
  <conditionalFormatting sqref="P251">
    <cfRule type="containsText" dxfId="9903" priority="1014" operator="containsText" text="N/A">
      <formula>NOT(ISERROR(SEARCH("N/A",P251)))</formula>
    </cfRule>
    <cfRule type="containsText" dxfId="9902" priority="1015" operator="containsText" text="Pendente">
      <formula>NOT(ISERROR(SEARCH("Pendente",P251)))</formula>
    </cfRule>
    <cfRule type="containsText" dxfId="9901" priority="1016" operator="containsText" text="Finalizado">
      <formula>NOT(ISERROR(SEARCH("Finalizado",P251)))</formula>
    </cfRule>
    <cfRule type="containsText" dxfId="9900" priority="1017" operator="containsText" text="em andamento">
      <formula>NOT(ISERROR(SEARCH("em andamento",P251)))</formula>
    </cfRule>
    <cfRule type="containsText" dxfId="9899" priority="1018" operator="containsText" text="Lançado">
      <formula>NOT(ISERROR(SEARCH("Lançado",P251)))</formula>
    </cfRule>
    <cfRule type="containsText" dxfId="9898" priority="1019" operator="containsText" text="N/A">
      <formula>NOT(ISERROR(SEARCH("N/A",P251)))</formula>
    </cfRule>
    <cfRule type="containsText" dxfId="9897" priority="1020" operator="containsText" text="Pendente">
      <formula>NOT(ISERROR(SEARCH("Pendente",P251)))</formula>
    </cfRule>
    <cfRule type="containsText" dxfId="9896" priority="1021" operator="containsText" text="Finalizado">
      <formula>NOT(ISERROR(SEARCH("Finalizado",P251)))</formula>
    </cfRule>
    <cfRule type="containsText" dxfId="9895" priority="1022" operator="containsText" text="em andamento">
      <formula>NOT(ISERROR(SEARCH("em andamento",P251)))</formula>
    </cfRule>
    <cfRule type="containsText" dxfId="9894" priority="1013" operator="containsText" text="Lançado">
      <formula>NOT(ISERROR(SEARCH("Lançado",P251)))</formula>
    </cfRule>
  </conditionalFormatting>
  <conditionalFormatting sqref="P253:P254">
    <cfRule type="containsText" dxfId="9893" priority="7253" operator="containsText" text="em andamento">
      <formula>NOT(ISERROR(SEARCH("em andamento",P253)))</formula>
    </cfRule>
    <cfRule type="containsText" dxfId="9892" priority="7241" operator="containsText" text="Lançado">
      <formula>NOT(ISERROR(SEARCH("Lançado",P253)))</formula>
    </cfRule>
    <cfRule type="containsText" dxfId="9891" priority="7242" operator="containsText" text="N/A">
      <formula>NOT(ISERROR(SEARCH("N/A",P253)))</formula>
    </cfRule>
    <cfRule type="containsText" dxfId="9890" priority="7243" operator="containsText" text="Pendente">
      <formula>NOT(ISERROR(SEARCH("Pendente",P253)))</formula>
    </cfRule>
    <cfRule type="containsText" dxfId="9889" priority="7244" operator="containsText" text="Finalizado">
      <formula>NOT(ISERROR(SEARCH("Finalizado",P253)))</formula>
    </cfRule>
    <cfRule type="containsText" dxfId="9888" priority="7245" operator="containsText" text="em andamento">
      <formula>NOT(ISERROR(SEARCH("em andamento",P253)))</formula>
    </cfRule>
    <cfRule type="containsText" dxfId="9887" priority="7249" operator="containsText" text="Lançado">
      <formula>NOT(ISERROR(SEARCH("Lançado",P253)))</formula>
    </cfRule>
    <cfRule type="containsText" dxfId="9886" priority="7250" operator="containsText" text="N/A">
      <formula>NOT(ISERROR(SEARCH("N/A",P253)))</formula>
    </cfRule>
    <cfRule type="containsText" dxfId="9885" priority="7251" operator="containsText" text="Pendente">
      <formula>NOT(ISERROR(SEARCH("Pendente",P253)))</formula>
    </cfRule>
    <cfRule type="containsText" dxfId="9884" priority="7252" operator="containsText" text="Finalizado">
      <formula>NOT(ISERROR(SEARCH("Finalizado",P253)))</formula>
    </cfRule>
  </conditionalFormatting>
  <conditionalFormatting sqref="P256">
    <cfRule type="containsText" dxfId="9883" priority="7236" operator="containsText" text="Finalizado">
      <formula>NOT(ISERROR(SEARCH("Finalizado",P256)))</formula>
    </cfRule>
    <cfRule type="containsText" dxfId="9882" priority="7233" operator="containsText" text="Lançado">
      <formula>NOT(ISERROR(SEARCH("Lançado",P256)))</formula>
    </cfRule>
    <cfRule type="containsText" dxfId="9881" priority="7235" operator="containsText" text="Pendente">
      <formula>NOT(ISERROR(SEARCH("Pendente",P256)))</formula>
    </cfRule>
    <cfRule type="containsText" dxfId="9880" priority="7234" operator="containsText" text="N/A">
      <formula>NOT(ISERROR(SEARCH("N/A",P256)))</formula>
    </cfRule>
    <cfRule type="containsText" dxfId="9879" priority="7237" operator="containsText" text="em andamento">
      <formula>NOT(ISERROR(SEARCH("em andamento",P256)))</formula>
    </cfRule>
  </conditionalFormatting>
  <conditionalFormatting sqref="P259">
    <cfRule type="containsText" dxfId="9878" priority="1003" operator="containsText" text="Finalizado">
      <formula>NOT(ISERROR(SEARCH("Finalizado",P259)))</formula>
    </cfRule>
    <cfRule type="containsText" dxfId="9877" priority="1002" operator="containsText" text="Pendente">
      <formula>NOT(ISERROR(SEARCH("Pendente",P259)))</formula>
    </cfRule>
    <cfRule type="containsText" dxfId="9876" priority="1001" operator="containsText" text="N/A">
      <formula>NOT(ISERROR(SEARCH("N/A",P259)))</formula>
    </cfRule>
    <cfRule type="containsText" dxfId="9875" priority="1000" operator="containsText" text="Lançado">
      <formula>NOT(ISERROR(SEARCH("Lançado",P259)))</formula>
    </cfRule>
    <cfRule type="containsText" dxfId="9874" priority="1008" operator="containsText" text="Finalizado">
      <formula>NOT(ISERROR(SEARCH("Finalizado",P259)))</formula>
    </cfRule>
    <cfRule type="containsText" dxfId="9873" priority="1009" operator="containsText" text="em andamento">
      <formula>NOT(ISERROR(SEARCH("em andamento",P259)))</formula>
    </cfRule>
    <cfRule type="containsText" dxfId="9872" priority="1007" operator="containsText" text="Pendente">
      <formula>NOT(ISERROR(SEARCH("Pendente",P259)))</formula>
    </cfRule>
    <cfRule type="containsText" dxfId="9871" priority="1006" operator="containsText" text="N/A">
      <formula>NOT(ISERROR(SEARCH("N/A",P259)))</formula>
    </cfRule>
    <cfRule type="containsText" dxfId="9870" priority="1005" operator="containsText" text="Lançado">
      <formula>NOT(ISERROR(SEARCH("Lançado",P259)))</formula>
    </cfRule>
    <cfRule type="containsText" dxfId="9869" priority="1004" operator="containsText" text="em andamento">
      <formula>NOT(ISERROR(SEARCH("em andamento",P259)))</formula>
    </cfRule>
  </conditionalFormatting>
  <conditionalFormatting sqref="P261:P262">
    <cfRule type="containsText" dxfId="9868" priority="7229" operator="containsText" text="em andamento">
      <formula>NOT(ISERROR(SEARCH("em andamento",P261)))</formula>
    </cfRule>
    <cfRule type="containsText" dxfId="9867" priority="7217" operator="containsText" text="Lançado">
      <formula>NOT(ISERROR(SEARCH("Lançado",P261)))</formula>
    </cfRule>
    <cfRule type="containsText" dxfId="9866" priority="7218" operator="containsText" text="N/A">
      <formula>NOT(ISERROR(SEARCH("N/A",P261)))</formula>
    </cfRule>
    <cfRule type="containsText" dxfId="9865" priority="7219" operator="containsText" text="Pendente">
      <formula>NOT(ISERROR(SEARCH("Pendente",P261)))</formula>
    </cfRule>
    <cfRule type="containsText" dxfId="9864" priority="7226" operator="containsText" text="N/A">
      <formula>NOT(ISERROR(SEARCH("N/A",P261)))</formula>
    </cfRule>
    <cfRule type="containsText" dxfId="9863" priority="7225" operator="containsText" text="Lançado">
      <formula>NOT(ISERROR(SEARCH("Lançado",P261)))</formula>
    </cfRule>
    <cfRule type="containsText" dxfId="9862" priority="7220" operator="containsText" text="Finalizado">
      <formula>NOT(ISERROR(SEARCH("Finalizado",P261)))</formula>
    </cfRule>
    <cfRule type="containsText" dxfId="9861" priority="7221" operator="containsText" text="em andamento">
      <formula>NOT(ISERROR(SEARCH("em andamento",P261)))</formula>
    </cfRule>
    <cfRule type="containsText" dxfId="9860" priority="7228" operator="containsText" text="Finalizado">
      <formula>NOT(ISERROR(SEARCH("Finalizado",P261)))</formula>
    </cfRule>
    <cfRule type="containsText" dxfId="9859" priority="7227" operator="containsText" text="Pendente">
      <formula>NOT(ISERROR(SEARCH("Pendente",P261)))</formula>
    </cfRule>
  </conditionalFormatting>
  <conditionalFormatting sqref="P264">
    <cfRule type="containsText" dxfId="9858" priority="7211" operator="containsText" text="Pendente">
      <formula>NOT(ISERROR(SEARCH("Pendente",P264)))</formula>
    </cfRule>
    <cfRule type="containsText" dxfId="9857" priority="7212" operator="containsText" text="Finalizado">
      <formula>NOT(ISERROR(SEARCH("Finalizado",P264)))</formula>
    </cfRule>
    <cfRule type="containsText" dxfId="9856" priority="7213" operator="containsText" text="em andamento">
      <formula>NOT(ISERROR(SEARCH("em andamento",P264)))</formula>
    </cfRule>
    <cfRule type="containsText" dxfId="9855" priority="7209" operator="containsText" text="Lançado">
      <formula>NOT(ISERROR(SEARCH("Lançado",P264)))</formula>
    </cfRule>
    <cfRule type="containsText" dxfId="9854" priority="7210" operator="containsText" text="N/A">
      <formula>NOT(ISERROR(SEARCH("N/A",P264)))</formula>
    </cfRule>
  </conditionalFormatting>
  <conditionalFormatting sqref="P268">
    <cfRule type="containsText" dxfId="9853" priority="987" operator="containsText" text="Finalizado">
      <formula>NOT(ISERROR(SEARCH("Finalizado",P268)))</formula>
    </cfRule>
    <cfRule type="containsText" dxfId="9852" priority="988" operator="containsText" text="em andamento">
      <formula>NOT(ISERROR(SEARCH("em andamento",P268)))</formula>
    </cfRule>
    <cfRule type="containsText" dxfId="9851" priority="989" operator="containsText" text="Lançado">
      <formula>NOT(ISERROR(SEARCH("Lançado",P268)))</formula>
    </cfRule>
    <cfRule type="containsText" dxfId="9850" priority="986" operator="containsText" text="Pendente">
      <formula>NOT(ISERROR(SEARCH("Pendente",P268)))</formula>
    </cfRule>
    <cfRule type="containsText" dxfId="9849" priority="990" operator="containsText" text="N/A">
      <formula>NOT(ISERROR(SEARCH("N/A",P268)))</formula>
    </cfRule>
    <cfRule type="containsText" dxfId="9848" priority="991" operator="containsText" text="Pendente">
      <formula>NOT(ISERROR(SEARCH("Pendente",P268)))</formula>
    </cfRule>
    <cfRule type="containsText" dxfId="9847" priority="992" operator="containsText" text="Finalizado">
      <formula>NOT(ISERROR(SEARCH("Finalizado",P268)))</formula>
    </cfRule>
    <cfRule type="containsText" dxfId="9846" priority="993" operator="containsText" text="em andamento">
      <formula>NOT(ISERROR(SEARCH("em andamento",P268)))</formula>
    </cfRule>
    <cfRule type="containsText" dxfId="9845" priority="985" operator="containsText" text="N/A">
      <formula>NOT(ISERROR(SEARCH("N/A",P268)))</formula>
    </cfRule>
    <cfRule type="containsText" dxfId="9844" priority="984" operator="containsText" text="Lançado">
      <formula>NOT(ISERROR(SEARCH("Lançado",P268)))</formula>
    </cfRule>
  </conditionalFormatting>
  <conditionalFormatting sqref="P270">
    <cfRule type="containsText" dxfId="9843" priority="7365" operator="containsText" text="em andamento">
      <formula>NOT(ISERROR(SEARCH("em andamento",P270)))</formula>
    </cfRule>
    <cfRule type="containsText" dxfId="9842" priority="7364" operator="containsText" text="Finalizado">
      <formula>NOT(ISERROR(SEARCH("Finalizado",P270)))</formula>
    </cfRule>
    <cfRule type="containsText" dxfId="9841" priority="7363" operator="containsText" text="Pendente">
      <formula>NOT(ISERROR(SEARCH("Pendente",P270)))</formula>
    </cfRule>
    <cfRule type="containsText" dxfId="9840" priority="7362" operator="containsText" text="N/A">
      <formula>NOT(ISERROR(SEARCH("N/A",P270)))</formula>
    </cfRule>
    <cfRule type="containsText" dxfId="9839" priority="7361" operator="containsText" text="Lançado">
      <formula>NOT(ISERROR(SEARCH("Lançado",P270)))</formula>
    </cfRule>
  </conditionalFormatting>
  <conditionalFormatting sqref="P271">
    <cfRule type="expression" dxfId="9838" priority="7369">
      <formula>$H271="CÉLULA CONSTRUTIVA"</formula>
    </cfRule>
    <cfRule type="expression" dxfId="9837" priority="7370">
      <formula>$H271="ETAPA"</formula>
    </cfRule>
    <cfRule type="containsText" dxfId="9836" priority="7372" operator="containsText" text="Lançado">
      <formula>NOT(ISERROR(SEARCH("Lançado",P271)))</formula>
    </cfRule>
    <cfRule type="containsText" dxfId="9835" priority="7373" operator="containsText" text="N/A">
      <formula>NOT(ISERROR(SEARCH("N/A",P271)))</formula>
    </cfRule>
    <cfRule type="containsText" dxfId="9834" priority="7375" operator="containsText" text="Finalizado">
      <formula>NOT(ISERROR(SEARCH("Finalizado",P271)))</formula>
    </cfRule>
    <cfRule type="containsText" dxfId="9833" priority="7374" operator="containsText" text="Pendente">
      <formula>NOT(ISERROR(SEARCH("Pendente",P271)))</formula>
    </cfRule>
    <cfRule type="containsText" dxfId="9832" priority="7376" operator="containsText" text="em andamento">
      <formula>NOT(ISERROR(SEARCH("em andamento",P271)))</formula>
    </cfRule>
  </conditionalFormatting>
  <conditionalFormatting sqref="P275:P276">
    <cfRule type="expression" dxfId="9831" priority="25509">
      <formula>$H275="CÉLULA CONSTRUTIVA"</formula>
    </cfRule>
    <cfRule type="expression" dxfId="9830" priority="25510">
      <formula>$H275="ETAPA"</formula>
    </cfRule>
  </conditionalFormatting>
  <conditionalFormatting sqref="P279">
    <cfRule type="containsText" dxfId="9829" priority="21425" operator="containsText" text="Lançado">
      <formula>NOT(ISERROR(SEARCH("Lançado",P279)))</formula>
    </cfRule>
    <cfRule type="containsText" dxfId="9828" priority="21426" operator="containsText" text="N/A">
      <formula>NOT(ISERROR(SEARCH("N/A",P279)))</formula>
    </cfRule>
    <cfRule type="containsText" dxfId="9827" priority="21427" operator="containsText" text="Pendente">
      <formula>NOT(ISERROR(SEARCH("Pendente",P279)))</formula>
    </cfRule>
    <cfRule type="containsText" dxfId="9826" priority="21429" operator="containsText" text="em andamento">
      <formula>NOT(ISERROR(SEARCH("em andamento",P279)))</formula>
    </cfRule>
    <cfRule type="containsText" dxfId="9825" priority="21428" operator="containsText" text="Finalizado">
      <formula>NOT(ISERROR(SEARCH("Finalizado",P279)))</formula>
    </cfRule>
  </conditionalFormatting>
  <conditionalFormatting sqref="P280">
    <cfRule type="containsText" dxfId="9824" priority="21400" operator="containsText" text="Lançado">
      <formula>NOT(ISERROR(SEARCH("Lançado",P280)))</formula>
    </cfRule>
    <cfRule type="containsText" dxfId="9823" priority="21399" operator="containsText" text="em andamento">
      <formula>NOT(ISERROR(SEARCH("em andamento",P280)))</formula>
    </cfRule>
    <cfRule type="expression" dxfId="9822" priority="21393">
      <formula>$H280="CÉLULA CONSTRUTIVA"</formula>
    </cfRule>
    <cfRule type="containsText" dxfId="9821" priority="21398" operator="containsText" text="Finalizado">
      <formula>NOT(ISERROR(SEARCH("Finalizado",P280)))</formula>
    </cfRule>
    <cfRule type="expression" dxfId="9820" priority="21412">
      <formula>$H280="SUBETAPA"</formula>
    </cfRule>
    <cfRule type="containsText" dxfId="9819" priority="21411" operator="containsText" text="em andamento">
      <formula>NOT(ISERROR(SEARCH("em andamento",P280)))</formula>
    </cfRule>
    <cfRule type="containsText" dxfId="9818" priority="21401" operator="containsText" text="N/A">
      <formula>NOT(ISERROR(SEARCH("N/A",P280)))</formula>
    </cfRule>
    <cfRule type="expression" dxfId="9817" priority="21406">
      <formula>$H280="ETAPA"</formula>
    </cfRule>
    <cfRule type="containsText" dxfId="9816" priority="21408" operator="containsText" text="N/A">
      <formula>NOT(ISERROR(SEARCH("N/A",P280)))</formula>
    </cfRule>
    <cfRule type="containsText" dxfId="9815" priority="21397" operator="containsText" text="Pendente">
      <formula>NOT(ISERROR(SEARCH("Pendente",P280)))</formula>
    </cfRule>
    <cfRule type="containsText" dxfId="9814" priority="21396" operator="containsText" text="N/A">
      <formula>NOT(ISERROR(SEARCH("N/A",P280)))</formula>
    </cfRule>
    <cfRule type="containsText" dxfId="9813" priority="21395" operator="containsText" text="Lançado">
      <formula>NOT(ISERROR(SEARCH("Lançado",P280)))</formula>
    </cfRule>
    <cfRule type="expression" dxfId="9812" priority="21392">
      <formula>$H280="SUBETAPA"</formula>
    </cfRule>
    <cfRule type="expression" dxfId="9811" priority="21394">
      <formula>$H280="ETAPA"</formula>
    </cfRule>
    <cfRule type="containsText" dxfId="9810" priority="21409" operator="containsText" text="Pendente">
      <formula>NOT(ISERROR(SEARCH("Pendente",P280)))</formula>
    </cfRule>
    <cfRule type="containsText" dxfId="9809" priority="21407" operator="containsText" text="Lançado">
      <formula>NOT(ISERROR(SEARCH("Lançado",P280)))</formula>
    </cfRule>
    <cfRule type="expression" dxfId="9808" priority="21405">
      <formula>$H280="CÉLULA CONSTRUTIVA"</formula>
    </cfRule>
    <cfRule type="containsText" dxfId="9807" priority="21404" operator="containsText" text="em andamento">
      <formula>NOT(ISERROR(SEARCH("em andamento",P280)))</formula>
    </cfRule>
    <cfRule type="containsText" dxfId="9806" priority="21403" operator="containsText" text="Finalizado">
      <formula>NOT(ISERROR(SEARCH("Finalizado",P280)))</formula>
    </cfRule>
    <cfRule type="containsText" dxfId="9805" priority="21402" operator="containsText" text="Pendente">
      <formula>NOT(ISERROR(SEARCH("Pendente",P280)))</formula>
    </cfRule>
    <cfRule type="containsText" dxfId="9804" priority="21410" operator="containsText" text="Finalizado">
      <formula>NOT(ISERROR(SEARCH("Finalizado",P280)))</formula>
    </cfRule>
  </conditionalFormatting>
  <conditionalFormatting sqref="P281 P1055">
    <cfRule type="containsText" dxfId="9803" priority="25370" operator="containsText" text="Pendente">
      <formula>NOT(ISERROR(SEARCH("Pendente",P281)))</formula>
    </cfRule>
    <cfRule type="containsText" dxfId="9802" priority="25371" operator="containsText" text="Finalizado">
      <formula>NOT(ISERROR(SEARCH("Finalizado",P281)))</formula>
    </cfRule>
    <cfRule type="containsText" dxfId="9801" priority="25372" operator="containsText" text="em andamento">
      <formula>NOT(ISERROR(SEARCH("em andamento",P281)))</formula>
    </cfRule>
  </conditionalFormatting>
  <conditionalFormatting sqref="P282:P284">
    <cfRule type="containsText" dxfId="9800" priority="22911" operator="containsText" text="N/A">
      <formula>NOT(ISERROR(SEARCH("N/A",P282)))</formula>
    </cfRule>
    <cfRule type="containsText" dxfId="9799" priority="22912" operator="containsText" text="Pendente">
      <formula>NOT(ISERROR(SEARCH("Pendente",P282)))</formula>
    </cfRule>
    <cfRule type="containsText" dxfId="9798" priority="22913" operator="containsText" text="Finalizado">
      <formula>NOT(ISERROR(SEARCH("Finalizado",P282)))</formula>
    </cfRule>
    <cfRule type="containsText" dxfId="9797" priority="22914" operator="containsText" text="em andamento">
      <formula>NOT(ISERROR(SEARCH("em andamento",P282)))</formula>
    </cfRule>
    <cfRule type="containsText" dxfId="9796" priority="22897" operator="containsText" text="Lançado">
      <formula>NOT(ISERROR(SEARCH("Lançado",P282)))</formula>
    </cfRule>
    <cfRule type="expression" dxfId="9795" priority="22894">
      <formula>$H282="SUBETAPA"</formula>
    </cfRule>
    <cfRule type="expression" dxfId="9794" priority="22895">
      <formula>$H282="CÉLULA CONSTRUTIVA"</formula>
    </cfRule>
    <cfRule type="expression" dxfId="9793" priority="22896">
      <formula>$H282="ETAPA"</formula>
    </cfRule>
    <cfRule type="containsText" dxfId="9792" priority="22898" operator="containsText" text="N/A">
      <formula>NOT(ISERROR(SEARCH("N/A",P282)))</formula>
    </cfRule>
    <cfRule type="containsText" dxfId="9791" priority="22899" operator="containsText" text="Pendente">
      <formula>NOT(ISERROR(SEARCH("Pendente",P282)))</formula>
    </cfRule>
    <cfRule type="containsText" dxfId="9790" priority="22900" operator="containsText" text="Finalizado">
      <formula>NOT(ISERROR(SEARCH("Finalizado",P282)))</formula>
    </cfRule>
    <cfRule type="containsText" dxfId="9789" priority="22901" operator="containsText" text="em andamento">
      <formula>NOT(ISERROR(SEARCH("em andamento",P282)))</formula>
    </cfRule>
    <cfRule type="containsText" dxfId="9788" priority="22902" operator="containsText" text="Lançado">
      <formula>NOT(ISERROR(SEARCH("Lançado",P282)))</formula>
    </cfRule>
    <cfRule type="containsText" dxfId="9787" priority="22903" operator="containsText" text="N/A">
      <formula>NOT(ISERROR(SEARCH("N/A",P282)))</formula>
    </cfRule>
    <cfRule type="containsText" dxfId="9786" priority="22904" operator="containsText" text="Pendente">
      <formula>NOT(ISERROR(SEARCH("Pendente",P282)))</formula>
    </cfRule>
    <cfRule type="containsText" dxfId="9785" priority="22905" operator="containsText" text="Finalizado">
      <formula>NOT(ISERROR(SEARCH("Finalizado",P282)))</formula>
    </cfRule>
    <cfRule type="containsText" dxfId="9784" priority="22906" operator="containsText" text="em andamento">
      <formula>NOT(ISERROR(SEARCH("em andamento",P282)))</formula>
    </cfRule>
    <cfRule type="expression" dxfId="9783" priority="22907">
      <formula>$H282="SUBETAPA"</formula>
    </cfRule>
    <cfRule type="expression" dxfId="9782" priority="22908">
      <formula>$H282="CÉLULA CONSTRUTIVA"</formula>
    </cfRule>
    <cfRule type="expression" dxfId="9781" priority="22909">
      <formula>$H282="ETAPA"</formula>
    </cfRule>
    <cfRule type="containsText" dxfId="9780" priority="22910" operator="containsText" text="Lançado">
      <formula>NOT(ISERROR(SEARCH("Lançado",P282)))</formula>
    </cfRule>
  </conditionalFormatting>
  <conditionalFormatting sqref="P285">
    <cfRule type="containsText" dxfId="9779" priority="25368" operator="containsText" text="em andamento">
      <formula>NOT(ISERROR(SEARCH("em andamento",P285)))</formula>
    </cfRule>
    <cfRule type="containsText" dxfId="9778" priority="25367" operator="containsText" text="Finalizado">
      <formula>NOT(ISERROR(SEARCH("Finalizado",P285)))</formula>
    </cfRule>
  </conditionalFormatting>
  <conditionalFormatting sqref="P287">
    <cfRule type="expression" dxfId="9777" priority="21342">
      <formula>$H287="SUBETAPA"</formula>
    </cfRule>
    <cfRule type="expression" dxfId="9776" priority="21386">
      <formula>$H287="ETAPA"</formula>
    </cfRule>
    <cfRule type="expression" dxfId="9775" priority="21385">
      <formula>$H287="CÉLULA CONSTRUTIVA"</formula>
    </cfRule>
  </conditionalFormatting>
  <conditionalFormatting sqref="P287:P288 P292">
    <cfRule type="containsText" dxfId="9774" priority="21387" operator="containsText" text="Lançado">
      <formula>NOT(ISERROR(SEARCH("Lançado",P287)))</formula>
    </cfRule>
    <cfRule type="containsText" dxfId="9773" priority="21388" operator="containsText" text="N/A">
      <formula>NOT(ISERROR(SEARCH("N/A",P287)))</formula>
    </cfRule>
  </conditionalFormatting>
  <conditionalFormatting sqref="P287:P288">
    <cfRule type="containsText" dxfId="9772" priority="21391" operator="containsText" text="em andamento">
      <formula>NOT(ISERROR(SEARCH("em andamento",P287)))</formula>
    </cfRule>
    <cfRule type="containsText" dxfId="9771" priority="21389" operator="containsText" text="Pendente">
      <formula>NOT(ISERROR(SEARCH("Pendente",P287)))</formula>
    </cfRule>
    <cfRule type="containsText" dxfId="9770" priority="21390" operator="containsText" text="Finalizado">
      <formula>NOT(ISERROR(SEARCH("Finalizado",P287)))</formula>
    </cfRule>
  </conditionalFormatting>
  <conditionalFormatting sqref="P290">
    <cfRule type="containsText" dxfId="9769" priority="21306" operator="containsText" text="Pendente">
      <formula>NOT(ISERROR(SEARCH("Pendente",P290)))</formula>
    </cfRule>
    <cfRule type="containsText" dxfId="9768" priority="21307" operator="containsText" text="Finalizado">
      <formula>NOT(ISERROR(SEARCH("Finalizado",P290)))</formula>
    </cfRule>
    <cfRule type="containsText" dxfId="9767" priority="21308" operator="containsText" text="em andamento">
      <formula>NOT(ISERROR(SEARCH("em andamento",P290)))</formula>
    </cfRule>
    <cfRule type="containsText" dxfId="9766" priority="21305" operator="containsText" text="N/A">
      <formula>NOT(ISERROR(SEARCH("N/A",P290)))</formula>
    </cfRule>
    <cfRule type="containsText" dxfId="9765" priority="21304" operator="containsText" text="Lançado">
      <formula>NOT(ISERROR(SEARCH("Lançado",P290)))</formula>
    </cfRule>
  </conditionalFormatting>
  <conditionalFormatting sqref="P291">
    <cfRule type="expression" dxfId="9764" priority="21291">
      <formula>$H291="SUBETAPA"</formula>
    </cfRule>
    <cfRule type="containsText" dxfId="9763" priority="21290" operator="containsText" text="em andamento">
      <formula>NOT(ISERROR(SEARCH("em andamento",P291)))</formula>
    </cfRule>
    <cfRule type="containsText" dxfId="9762" priority="21289" operator="containsText" text="Finalizado">
      <formula>NOT(ISERROR(SEARCH("Finalizado",P291)))</formula>
    </cfRule>
    <cfRule type="containsText" dxfId="9761" priority="21288" operator="containsText" text="Pendente">
      <formula>NOT(ISERROR(SEARCH("Pendente",P291)))</formula>
    </cfRule>
    <cfRule type="containsText" dxfId="9760" priority="21287" operator="containsText" text="N/A">
      <formula>NOT(ISERROR(SEARCH("N/A",P291)))</formula>
    </cfRule>
    <cfRule type="containsText" dxfId="9759" priority="21286" operator="containsText" text="Lançado">
      <formula>NOT(ISERROR(SEARCH("Lançado",P291)))</formula>
    </cfRule>
    <cfRule type="containsText" dxfId="9758" priority="21278" operator="containsText" text="em andamento">
      <formula>NOT(ISERROR(SEARCH("em andamento",P291)))</formula>
    </cfRule>
    <cfRule type="containsText" dxfId="9757" priority="21277" operator="containsText" text="Finalizado">
      <formula>NOT(ISERROR(SEARCH("Finalizado",P291)))</formula>
    </cfRule>
    <cfRule type="containsText" dxfId="9756" priority="21276" operator="containsText" text="Pendente">
      <formula>NOT(ISERROR(SEARCH("Pendente",P291)))</formula>
    </cfRule>
    <cfRule type="containsText" dxfId="9755" priority="21275" operator="containsText" text="N/A">
      <formula>NOT(ISERROR(SEARCH("N/A",P291)))</formula>
    </cfRule>
    <cfRule type="containsText" dxfId="9754" priority="21274" operator="containsText" text="Lançado">
      <formula>NOT(ISERROR(SEARCH("Lançado",P291)))</formula>
    </cfRule>
    <cfRule type="expression" dxfId="9753" priority="21273">
      <formula>$H291="ETAPA"</formula>
    </cfRule>
    <cfRule type="expression" dxfId="9752" priority="21272">
      <formula>$H291="CÉLULA CONSTRUTIVA"</formula>
    </cfRule>
    <cfRule type="expression" dxfId="9751" priority="21271">
      <formula>$H291="SUBETAPA"</formula>
    </cfRule>
    <cfRule type="containsText" dxfId="9750" priority="21281" operator="containsText" text="Pendente">
      <formula>NOT(ISERROR(SEARCH("Pendente",P291)))</formula>
    </cfRule>
    <cfRule type="containsText" dxfId="9749" priority="21282" operator="containsText" text="Finalizado">
      <formula>NOT(ISERROR(SEARCH("Finalizado",P291)))</formula>
    </cfRule>
    <cfRule type="containsText" dxfId="9748" priority="21283" operator="containsText" text="em andamento">
      <formula>NOT(ISERROR(SEARCH("em andamento",P291)))</formula>
    </cfRule>
    <cfRule type="expression" dxfId="9747" priority="21284">
      <formula>$H291="CÉLULA CONSTRUTIVA"</formula>
    </cfRule>
    <cfRule type="containsText" dxfId="9746" priority="21279" operator="containsText" text="Lançado">
      <formula>NOT(ISERROR(SEARCH("Lançado",P291)))</formula>
    </cfRule>
    <cfRule type="expression" dxfId="9745" priority="21285">
      <formula>$H291="ETAPA"</formula>
    </cfRule>
    <cfRule type="containsText" dxfId="9744" priority="21280" operator="containsText" text="N/A">
      <formula>NOT(ISERROR(SEARCH("N/A",P291)))</formula>
    </cfRule>
  </conditionalFormatting>
  <conditionalFormatting sqref="P292">
    <cfRule type="containsText" dxfId="9743" priority="21377" operator="containsText" text="Pendente">
      <formula>NOT(ISERROR(SEARCH("Pendente",P292)))</formula>
    </cfRule>
    <cfRule type="containsText" dxfId="9742" priority="21378" operator="containsText" text="Finalizado">
      <formula>NOT(ISERROR(SEARCH("Finalizado",P292)))</formula>
    </cfRule>
    <cfRule type="containsText" dxfId="9741" priority="21379" operator="containsText" text="em andamento">
      <formula>NOT(ISERROR(SEARCH("em andamento",P292)))</formula>
    </cfRule>
  </conditionalFormatting>
  <conditionalFormatting sqref="P293:P295">
    <cfRule type="expression" dxfId="9740" priority="21343">
      <formula>$H293="SUBETAPA"</formula>
    </cfRule>
    <cfRule type="expression" dxfId="9739" priority="21344">
      <formula>$H293="CÉLULA CONSTRUTIVA"</formula>
    </cfRule>
    <cfRule type="expression" dxfId="9738" priority="21345">
      <formula>$H293="ETAPA"</formula>
    </cfRule>
    <cfRule type="expression" dxfId="9737" priority="21356">
      <formula>$H293="SUBETAPA"</formula>
    </cfRule>
    <cfRule type="expression" dxfId="9736" priority="21357">
      <formula>$H293="CÉLULA CONSTRUTIVA"</formula>
    </cfRule>
    <cfRule type="expression" dxfId="9735" priority="21358">
      <formula>$H293="ETAPA"</formula>
    </cfRule>
    <cfRule type="containsText" dxfId="9734" priority="21359" operator="containsText" text="Lançado">
      <formula>NOT(ISERROR(SEARCH("Lançado",P293)))</formula>
    </cfRule>
    <cfRule type="containsText" dxfId="9733" priority="21360" operator="containsText" text="N/A">
      <formula>NOT(ISERROR(SEARCH("N/A",P293)))</formula>
    </cfRule>
    <cfRule type="containsText" dxfId="9732" priority="21361" operator="containsText" text="Pendente">
      <formula>NOT(ISERROR(SEARCH("Pendente",P293)))</formula>
    </cfRule>
    <cfRule type="containsText" dxfId="9731" priority="21362" operator="containsText" text="Finalizado">
      <formula>NOT(ISERROR(SEARCH("Finalizado",P293)))</formula>
    </cfRule>
    <cfRule type="containsText" dxfId="9730" priority="21346" operator="containsText" text="Lançado">
      <formula>NOT(ISERROR(SEARCH("Lançado",P293)))</formula>
    </cfRule>
    <cfRule type="containsText" dxfId="9729" priority="21347" operator="containsText" text="N/A">
      <formula>NOT(ISERROR(SEARCH("N/A",P293)))</formula>
    </cfRule>
    <cfRule type="containsText" dxfId="9728" priority="21363" operator="containsText" text="em andamento">
      <formula>NOT(ISERROR(SEARCH("em andamento",P293)))</formula>
    </cfRule>
    <cfRule type="containsText" dxfId="9727" priority="21348" operator="containsText" text="Pendente">
      <formula>NOT(ISERROR(SEARCH("Pendente",P293)))</formula>
    </cfRule>
    <cfRule type="containsText" dxfId="9726" priority="21349" operator="containsText" text="Finalizado">
      <formula>NOT(ISERROR(SEARCH("Finalizado",P293)))</formula>
    </cfRule>
    <cfRule type="containsText" dxfId="9725" priority="21350" operator="containsText" text="em andamento">
      <formula>NOT(ISERROR(SEARCH("em andamento",P293)))</formula>
    </cfRule>
    <cfRule type="containsText" dxfId="9724" priority="21351" operator="containsText" text="Lançado">
      <formula>NOT(ISERROR(SEARCH("Lançado",P293)))</formula>
    </cfRule>
    <cfRule type="containsText" dxfId="9723" priority="21352" operator="containsText" text="N/A">
      <formula>NOT(ISERROR(SEARCH("N/A",P293)))</formula>
    </cfRule>
    <cfRule type="containsText" dxfId="9722" priority="21353" operator="containsText" text="Pendente">
      <formula>NOT(ISERROR(SEARCH("Pendente",P293)))</formula>
    </cfRule>
    <cfRule type="containsText" dxfId="9721" priority="21354" operator="containsText" text="Finalizado">
      <formula>NOT(ISERROR(SEARCH("Finalizado",P293)))</formula>
    </cfRule>
    <cfRule type="containsText" dxfId="9720" priority="21355" operator="containsText" text="em andamento">
      <formula>NOT(ISERROR(SEARCH("em andamento",P293)))</formula>
    </cfRule>
  </conditionalFormatting>
  <conditionalFormatting sqref="P296">
    <cfRule type="containsText" dxfId="9719" priority="21380" operator="containsText" text="Lançado">
      <formula>NOT(ISERROR(SEARCH("Lançado",P296)))</formula>
    </cfRule>
    <cfRule type="containsText" dxfId="9718" priority="21375" operator="containsText" text="em andamento">
      <formula>NOT(ISERROR(SEARCH("em andamento",P296)))</formula>
    </cfRule>
    <cfRule type="containsText" dxfId="9717" priority="21374" operator="containsText" text="Finalizado">
      <formula>NOT(ISERROR(SEARCH("Finalizado",P296)))</formula>
    </cfRule>
    <cfRule type="containsText" dxfId="9716" priority="21381" operator="containsText" text="N/A">
      <formula>NOT(ISERROR(SEARCH("N/A",P296)))</formula>
    </cfRule>
    <cfRule type="containsText" dxfId="9715" priority="21382" operator="containsText" text="Pendente">
      <formula>NOT(ISERROR(SEARCH("Pendente",P296)))</formula>
    </cfRule>
  </conditionalFormatting>
  <conditionalFormatting sqref="P298">
    <cfRule type="expression" dxfId="9714" priority="21265">
      <formula>$H298="ETAPA"</formula>
    </cfRule>
    <cfRule type="expression" dxfId="9713" priority="21264">
      <formula>$H298="CÉLULA CONSTRUTIVA"</formula>
    </cfRule>
    <cfRule type="expression" dxfId="9712" priority="21221">
      <formula>$H298="SUBETAPA"</formula>
    </cfRule>
  </conditionalFormatting>
  <conditionalFormatting sqref="P298:P299 P303">
    <cfRule type="containsText" dxfId="9711" priority="21267" operator="containsText" text="N/A">
      <formula>NOT(ISERROR(SEARCH("N/A",P298)))</formula>
    </cfRule>
    <cfRule type="containsText" dxfId="9710" priority="21266" operator="containsText" text="Lançado">
      <formula>NOT(ISERROR(SEARCH("Lançado",P298)))</formula>
    </cfRule>
  </conditionalFormatting>
  <conditionalFormatting sqref="P298:P299">
    <cfRule type="containsText" dxfId="9709" priority="21269" operator="containsText" text="Finalizado">
      <formula>NOT(ISERROR(SEARCH("Finalizado",P298)))</formula>
    </cfRule>
    <cfRule type="containsText" dxfId="9708" priority="21268" operator="containsText" text="Pendente">
      <formula>NOT(ISERROR(SEARCH("Pendente",P298)))</formula>
    </cfRule>
    <cfRule type="containsText" dxfId="9707" priority="21270" operator="containsText" text="em andamento">
      <formula>NOT(ISERROR(SEARCH("em andamento",P298)))</formula>
    </cfRule>
  </conditionalFormatting>
  <conditionalFormatting sqref="P301">
    <cfRule type="containsText" dxfId="9706" priority="21187" operator="containsText" text="em andamento">
      <formula>NOT(ISERROR(SEARCH("em andamento",P301)))</formula>
    </cfRule>
    <cfRule type="containsText" dxfId="9705" priority="21186" operator="containsText" text="Finalizado">
      <formula>NOT(ISERROR(SEARCH("Finalizado",P301)))</formula>
    </cfRule>
    <cfRule type="containsText" dxfId="9704" priority="21185" operator="containsText" text="Pendente">
      <formula>NOT(ISERROR(SEARCH("Pendente",P301)))</formula>
    </cfRule>
    <cfRule type="containsText" dxfId="9703" priority="21184" operator="containsText" text="N/A">
      <formula>NOT(ISERROR(SEARCH("N/A",P301)))</formula>
    </cfRule>
    <cfRule type="containsText" dxfId="9702" priority="21183" operator="containsText" text="Lançado">
      <formula>NOT(ISERROR(SEARCH("Lançado",P301)))</formula>
    </cfRule>
  </conditionalFormatting>
  <conditionalFormatting sqref="P302">
    <cfRule type="expression" dxfId="9701" priority="21150">
      <formula>$H302="SUBETAPA"</formula>
    </cfRule>
    <cfRule type="containsText" dxfId="9700" priority="21156" operator="containsText" text="Finalizado">
      <formula>NOT(ISERROR(SEARCH("Finalizado",P302)))</formula>
    </cfRule>
    <cfRule type="containsText" dxfId="9699" priority="21157" operator="containsText" text="em andamento">
      <formula>NOT(ISERROR(SEARCH("em andamento",P302)))</formula>
    </cfRule>
    <cfRule type="containsText" dxfId="9698" priority="21155" operator="containsText" text="Pendente">
      <formula>NOT(ISERROR(SEARCH("Pendente",P302)))</formula>
    </cfRule>
    <cfRule type="expression" dxfId="9697" priority="21152">
      <formula>$H302="ETAPA"</formula>
    </cfRule>
    <cfRule type="containsText" dxfId="9696" priority="21158" operator="containsText" text="Lançado">
      <formula>NOT(ISERROR(SEARCH("Lançado",P302)))</formula>
    </cfRule>
    <cfRule type="expression" dxfId="9695" priority="21151">
      <formula>$H302="CÉLULA CONSTRUTIVA"</formula>
    </cfRule>
    <cfRule type="containsText" dxfId="9694" priority="21153" operator="containsText" text="Lançado">
      <formula>NOT(ISERROR(SEARCH("Lançado",P302)))</formula>
    </cfRule>
    <cfRule type="containsText" dxfId="9693" priority="21160" operator="containsText" text="Pendente">
      <formula>NOT(ISERROR(SEARCH("Pendente",P302)))</formula>
    </cfRule>
    <cfRule type="expression" dxfId="9692" priority="21170">
      <formula>$H302="SUBETAPA"</formula>
    </cfRule>
    <cfRule type="containsText" dxfId="9691" priority="21154" operator="containsText" text="N/A">
      <formula>NOT(ISERROR(SEARCH("N/A",P302)))</formula>
    </cfRule>
    <cfRule type="containsText" dxfId="9690" priority="21168" operator="containsText" text="Finalizado">
      <formula>NOT(ISERROR(SEARCH("Finalizado",P302)))</formula>
    </cfRule>
    <cfRule type="containsText" dxfId="9689" priority="21167" operator="containsText" text="Pendente">
      <formula>NOT(ISERROR(SEARCH("Pendente",P302)))</formula>
    </cfRule>
    <cfRule type="containsText" dxfId="9688" priority="21166" operator="containsText" text="N/A">
      <formula>NOT(ISERROR(SEARCH("N/A",P302)))</formula>
    </cfRule>
    <cfRule type="containsText" dxfId="9687" priority="21165" operator="containsText" text="Lançado">
      <formula>NOT(ISERROR(SEARCH("Lançado",P302)))</formula>
    </cfRule>
    <cfRule type="containsText" dxfId="9686" priority="21169" operator="containsText" text="em andamento">
      <formula>NOT(ISERROR(SEARCH("em andamento",P302)))</formula>
    </cfRule>
    <cfRule type="expression" dxfId="9685" priority="21163">
      <formula>$H302="CÉLULA CONSTRUTIVA"</formula>
    </cfRule>
    <cfRule type="containsText" dxfId="9684" priority="21162" operator="containsText" text="em andamento">
      <formula>NOT(ISERROR(SEARCH("em andamento",P302)))</formula>
    </cfRule>
    <cfRule type="containsText" dxfId="9683" priority="21161" operator="containsText" text="Finalizado">
      <formula>NOT(ISERROR(SEARCH("Finalizado",P302)))</formula>
    </cfRule>
    <cfRule type="containsText" dxfId="9682" priority="21159" operator="containsText" text="N/A">
      <formula>NOT(ISERROR(SEARCH("N/A",P302)))</formula>
    </cfRule>
    <cfRule type="expression" dxfId="9681" priority="21164">
      <formula>$H302="ETAPA"</formula>
    </cfRule>
  </conditionalFormatting>
  <conditionalFormatting sqref="P303">
    <cfRule type="containsText" dxfId="9680" priority="21256" operator="containsText" text="Pendente">
      <formula>NOT(ISERROR(SEARCH("Pendente",P303)))</formula>
    </cfRule>
    <cfRule type="containsText" dxfId="9679" priority="21257" operator="containsText" text="Finalizado">
      <formula>NOT(ISERROR(SEARCH("Finalizado",P303)))</formula>
    </cfRule>
    <cfRule type="containsText" dxfId="9678" priority="21258" operator="containsText" text="em andamento">
      <formula>NOT(ISERROR(SEARCH("em andamento",P303)))</formula>
    </cfRule>
  </conditionalFormatting>
  <conditionalFormatting sqref="P304:P306">
    <cfRule type="containsText" dxfId="9677" priority="21228" operator="containsText" text="Finalizado">
      <formula>NOT(ISERROR(SEARCH("Finalizado",P304)))</formula>
    </cfRule>
    <cfRule type="containsText" dxfId="9676" priority="21240" operator="containsText" text="Pendente">
      <formula>NOT(ISERROR(SEARCH("Pendente",P304)))</formula>
    </cfRule>
    <cfRule type="containsText" dxfId="9675" priority="21239" operator="containsText" text="N/A">
      <formula>NOT(ISERROR(SEARCH("N/A",P304)))</formula>
    </cfRule>
    <cfRule type="containsText" dxfId="9674" priority="21238" operator="containsText" text="Lançado">
      <formula>NOT(ISERROR(SEARCH("Lançado",P304)))</formula>
    </cfRule>
    <cfRule type="expression" dxfId="9673" priority="21237">
      <formula>$H304="ETAPA"</formula>
    </cfRule>
    <cfRule type="expression" dxfId="9672" priority="21236">
      <formula>$H304="CÉLULA CONSTRUTIVA"</formula>
    </cfRule>
    <cfRule type="expression" dxfId="9671" priority="21235">
      <formula>$H304="SUBETAPA"</formula>
    </cfRule>
    <cfRule type="containsText" dxfId="9670" priority="21234" operator="containsText" text="em andamento">
      <formula>NOT(ISERROR(SEARCH("em andamento",P304)))</formula>
    </cfRule>
    <cfRule type="containsText" dxfId="9669" priority="21233" operator="containsText" text="Finalizado">
      <formula>NOT(ISERROR(SEARCH("Finalizado",P304)))</formula>
    </cfRule>
    <cfRule type="containsText" dxfId="9668" priority="21232" operator="containsText" text="Pendente">
      <formula>NOT(ISERROR(SEARCH("Pendente",P304)))</formula>
    </cfRule>
    <cfRule type="containsText" dxfId="9667" priority="21231" operator="containsText" text="N/A">
      <formula>NOT(ISERROR(SEARCH("N/A",P304)))</formula>
    </cfRule>
    <cfRule type="containsText" dxfId="9666" priority="21227" operator="containsText" text="Pendente">
      <formula>NOT(ISERROR(SEARCH("Pendente",P304)))</formula>
    </cfRule>
    <cfRule type="containsText" dxfId="9665" priority="21226" operator="containsText" text="N/A">
      <formula>NOT(ISERROR(SEARCH("N/A",P304)))</formula>
    </cfRule>
    <cfRule type="containsText" dxfId="9664" priority="21225" operator="containsText" text="Lançado">
      <formula>NOT(ISERROR(SEARCH("Lançado",P304)))</formula>
    </cfRule>
    <cfRule type="expression" dxfId="9663" priority="21224">
      <formula>$H304="ETAPA"</formula>
    </cfRule>
    <cfRule type="expression" dxfId="9662" priority="21223">
      <formula>$H304="CÉLULA CONSTRUTIVA"</formula>
    </cfRule>
    <cfRule type="expression" dxfId="9661" priority="21222">
      <formula>$H304="SUBETAPA"</formula>
    </cfRule>
    <cfRule type="containsText" dxfId="9660" priority="21242" operator="containsText" text="em andamento">
      <formula>NOT(ISERROR(SEARCH("em andamento",P304)))</formula>
    </cfRule>
    <cfRule type="containsText" dxfId="9659" priority="21229" operator="containsText" text="em andamento">
      <formula>NOT(ISERROR(SEARCH("em andamento",P304)))</formula>
    </cfRule>
    <cfRule type="containsText" dxfId="9658" priority="21230" operator="containsText" text="Lançado">
      <formula>NOT(ISERROR(SEARCH("Lançado",P304)))</formula>
    </cfRule>
    <cfRule type="containsText" dxfId="9657" priority="21241" operator="containsText" text="Finalizado">
      <formula>NOT(ISERROR(SEARCH("Finalizado",P304)))</formula>
    </cfRule>
  </conditionalFormatting>
  <conditionalFormatting sqref="P307">
    <cfRule type="containsText" dxfId="9656" priority="21253" operator="containsText" text="Finalizado">
      <formula>NOT(ISERROR(SEARCH("Finalizado",P307)))</formula>
    </cfRule>
    <cfRule type="containsText" dxfId="9655" priority="21259" operator="containsText" text="Lançado">
      <formula>NOT(ISERROR(SEARCH("Lançado",P307)))</formula>
    </cfRule>
    <cfRule type="containsText" dxfId="9654" priority="21254" operator="containsText" text="em andamento">
      <formula>NOT(ISERROR(SEARCH("em andamento",P307)))</formula>
    </cfRule>
    <cfRule type="containsText" dxfId="9653" priority="21261" operator="containsText" text="Pendente">
      <formula>NOT(ISERROR(SEARCH("Pendente",P307)))</formula>
    </cfRule>
    <cfRule type="containsText" dxfId="9652" priority="21260" operator="containsText" text="N/A">
      <formula>NOT(ISERROR(SEARCH("N/A",P307)))</formula>
    </cfRule>
  </conditionalFormatting>
  <conditionalFormatting sqref="P309">
    <cfRule type="expression" dxfId="9651" priority="21100">
      <formula>$H309="SUBETAPA"</formula>
    </cfRule>
    <cfRule type="expression" dxfId="9650" priority="21144">
      <formula>$H309="ETAPA"</formula>
    </cfRule>
    <cfRule type="expression" dxfId="9649" priority="21143">
      <formula>$H309="CÉLULA CONSTRUTIVA"</formula>
    </cfRule>
  </conditionalFormatting>
  <conditionalFormatting sqref="P309:P310 P314">
    <cfRule type="containsText" dxfId="9648" priority="21146" operator="containsText" text="N/A">
      <formula>NOT(ISERROR(SEARCH("N/A",P309)))</formula>
    </cfRule>
    <cfRule type="containsText" dxfId="9647" priority="21145" operator="containsText" text="Lançado">
      <formula>NOT(ISERROR(SEARCH("Lançado",P309)))</formula>
    </cfRule>
  </conditionalFormatting>
  <conditionalFormatting sqref="P309:P310">
    <cfRule type="containsText" dxfId="9646" priority="21149" operator="containsText" text="em andamento">
      <formula>NOT(ISERROR(SEARCH("em andamento",P309)))</formula>
    </cfRule>
    <cfRule type="containsText" dxfId="9645" priority="21148" operator="containsText" text="Finalizado">
      <formula>NOT(ISERROR(SEARCH("Finalizado",P309)))</formula>
    </cfRule>
    <cfRule type="containsText" dxfId="9644" priority="21147" operator="containsText" text="Pendente">
      <formula>NOT(ISERROR(SEARCH("Pendente",P309)))</formula>
    </cfRule>
  </conditionalFormatting>
  <conditionalFormatting sqref="P312">
    <cfRule type="containsText" dxfId="9643" priority="21066" operator="containsText" text="em andamento">
      <formula>NOT(ISERROR(SEARCH("em andamento",P312)))</formula>
    </cfRule>
    <cfRule type="containsText" dxfId="9642" priority="21064" operator="containsText" text="Pendente">
      <formula>NOT(ISERROR(SEARCH("Pendente",P312)))</formula>
    </cfRule>
    <cfRule type="containsText" dxfId="9641" priority="21063" operator="containsText" text="N/A">
      <formula>NOT(ISERROR(SEARCH("N/A",P312)))</formula>
    </cfRule>
    <cfRule type="containsText" dxfId="9640" priority="21062" operator="containsText" text="Lançado">
      <formula>NOT(ISERROR(SEARCH("Lançado",P312)))</formula>
    </cfRule>
    <cfRule type="containsText" dxfId="9639" priority="21065" operator="containsText" text="Finalizado">
      <formula>NOT(ISERROR(SEARCH("Finalizado",P312)))</formula>
    </cfRule>
  </conditionalFormatting>
  <conditionalFormatting sqref="P313">
    <cfRule type="containsText" dxfId="9638" priority="21032" operator="containsText" text="Lançado">
      <formula>NOT(ISERROR(SEARCH("Lançado",P313)))</formula>
    </cfRule>
    <cfRule type="expression" dxfId="9637" priority="21029">
      <formula>$H313="SUBETAPA"</formula>
    </cfRule>
    <cfRule type="expression" dxfId="9636" priority="21030">
      <formula>$H313="CÉLULA CONSTRUTIVA"</formula>
    </cfRule>
    <cfRule type="expression" dxfId="9635" priority="21031">
      <formula>$H313="ETAPA"</formula>
    </cfRule>
    <cfRule type="containsText" dxfId="9634" priority="21033" operator="containsText" text="N/A">
      <formula>NOT(ISERROR(SEARCH("N/A",P313)))</formula>
    </cfRule>
    <cfRule type="containsText" dxfId="9633" priority="21034" operator="containsText" text="Pendente">
      <formula>NOT(ISERROR(SEARCH("Pendente",P313)))</formula>
    </cfRule>
    <cfRule type="containsText" dxfId="9632" priority="21044" operator="containsText" text="Lançado">
      <formula>NOT(ISERROR(SEARCH("Lançado",P313)))</formula>
    </cfRule>
    <cfRule type="containsText" dxfId="9631" priority="21041" operator="containsText" text="em andamento">
      <formula>NOT(ISERROR(SEARCH("em andamento",P313)))</formula>
    </cfRule>
    <cfRule type="expression" dxfId="9630" priority="21042">
      <formula>$H313="CÉLULA CONSTRUTIVA"</formula>
    </cfRule>
    <cfRule type="expression" dxfId="9629" priority="21043">
      <formula>$H313="ETAPA"</formula>
    </cfRule>
    <cfRule type="containsText" dxfId="9628" priority="21040" operator="containsText" text="Finalizado">
      <formula>NOT(ISERROR(SEARCH("Finalizado",P313)))</formula>
    </cfRule>
    <cfRule type="containsText" dxfId="9627" priority="21039" operator="containsText" text="Pendente">
      <formula>NOT(ISERROR(SEARCH("Pendente",P313)))</formula>
    </cfRule>
    <cfRule type="containsText" dxfId="9626" priority="21045" operator="containsText" text="N/A">
      <formula>NOT(ISERROR(SEARCH("N/A",P313)))</formula>
    </cfRule>
    <cfRule type="containsText" dxfId="9625" priority="21046" operator="containsText" text="Pendente">
      <formula>NOT(ISERROR(SEARCH("Pendente",P313)))</formula>
    </cfRule>
    <cfRule type="containsText" dxfId="9624" priority="21047" operator="containsText" text="Finalizado">
      <formula>NOT(ISERROR(SEARCH("Finalizado",P313)))</formula>
    </cfRule>
    <cfRule type="containsText" dxfId="9623" priority="21048" operator="containsText" text="em andamento">
      <formula>NOT(ISERROR(SEARCH("em andamento",P313)))</formula>
    </cfRule>
    <cfRule type="containsText" dxfId="9622" priority="21037" operator="containsText" text="Lançado">
      <formula>NOT(ISERROR(SEARCH("Lançado",P313)))</formula>
    </cfRule>
    <cfRule type="containsText" dxfId="9621" priority="21038" operator="containsText" text="N/A">
      <formula>NOT(ISERROR(SEARCH("N/A",P313)))</formula>
    </cfRule>
    <cfRule type="containsText" dxfId="9620" priority="21036" operator="containsText" text="em andamento">
      <formula>NOT(ISERROR(SEARCH("em andamento",P313)))</formula>
    </cfRule>
    <cfRule type="containsText" dxfId="9619" priority="21035" operator="containsText" text="Finalizado">
      <formula>NOT(ISERROR(SEARCH("Finalizado",P313)))</formula>
    </cfRule>
    <cfRule type="expression" dxfId="9618" priority="21049">
      <formula>$H313="SUBETAPA"</formula>
    </cfRule>
  </conditionalFormatting>
  <conditionalFormatting sqref="P314">
    <cfRule type="containsText" dxfId="9617" priority="21137" operator="containsText" text="em andamento">
      <formula>NOT(ISERROR(SEARCH("em andamento",P314)))</formula>
    </cfRule>
    <cfRule type="containsText" dxfId="9616" priority="21135" operator="containsText" text="Pendente">
      <formula>NOT(ISERROR(SEARCH("Pendente",P314)))</formula>
    </cfRule>
    <cfRule type="containsText" dxfId="9615" priority="21136" operator="containsText" text="Finalizado">
      <formula>NOT(ISERROR(SEARCH("Finalizado",P314)))</formula>
    </cfRule>
  </conditionalFormatting>
  <conditionalFormatting sqref="P315:P317">
    <cfRule type="expression" dxfId="9614" priority="21116">
      <formula>$H315="ETAPA"</formula>
    </cfRule>
    <cfRule type="expression" dxfId="9613" priority="21115">
      <formula>$H315="CÉLULA CONSTRUTIVA"</formula>
    </cfRule>
    <cfRule type="expression" dxfId="9612" priority="21114">
      <formula>$H315="SUBETAPA"</formula>
    </cfRule>
    <cfRule type="containsText" dxfId="9611" priority="21113" operator="containsText" text="em andamento">
      <formula>NOT(ISERROR(SEARCH("em andamento",P315)))</formula>
    </cfRule>
    <cfRule type="containsText" dxfId="9610" priority="21112" operator="containsText" text="Finalizado">
      <formula>NOT(ISERROR(SEARCH("Finalizado",P315)))</formula>
    </cfRule>
    <cfRule type="containsText" dxfId="9609" priority="21110" operator="containsText" text="N/A">
      <formula>NOT(ISERROR(SEARCH("N/A",P315)))</formula>
    </cfRule>
    <cfRule type="containsText" dxfId="9608" priority="21109" operator="containsText" text="Lançado">
      <formula>NOT(ISERROR(SEARCH("Lançado",P315)))</formula>
    </cfRule>
    <cfRule type="containsText" dxfId="9607" priority="21108" operator="containsText" text="em andamento">
      <formula>NOT(ISERROR(SEARCH("em andamento",P315)))</formula>
    </cfRule>
    <cfRule type="containsText" dxfId="9606" priority="21107" operator="containsText" text="Finalizado">
      <formula>NOT(ISERROR(SEARCH("Finalizado",P315)))</formula>
    </cfRule>
    <cfRule type="containsText" dxfId="9605" priority="21106" operator="containsText" text="Pendente">
      <formula>NOT(ISERROR(SEARCH("Pendente",P315)))</formula>
    </cfRule>
    <cfRule type="containsText" dxfId="9604" priority="21105" operator="containsText" text="N/A">
      <formula>NOT(ISERROR(SEARCH("N/A",P315)))</formula>
    </cfRule>
    <cfRule type="containsText" dxfId="9603" priority="21104" operator="containsText" text="Lançado">
      <formula>NOT(ISERROR(SEARCH("Lançado",P315)))</formula>
    </cfRule>
    <cfRule type="expression" dxfId="9602" priority="21103">
      <formula>$H315="ETAPA"</formula>
    </cfRule>
    <cfRule type="expression" dxfId="9601" priority="21102">
      <formula>$H315="CÉLULA CONSTRUTIVA"</formula>
    </cfRule>
    <cfRule type="expression" dxfId="9600" priority="21101">
      <formula>$H315="SUBETAPA"</formula>
    </cfRule>
    <cfRule type="containsText" dxfId="9599" priority="21111" operator="containsText" text="Pendente">
      <formula>NOT(ISERROR(SEARCH("Pendente",P315)))</formula>
    </cfRule>
    <cfRule type="containsText" dxfId="9598" priority="21121" operator="containsText" text="em andamento">
      <formula>NOT(ISERROR(SEARCH("em andamento",P315)))</formula>
    </cfRule>
    <cfRule type="containsText" dxfId="9597" priority="21120" operator="containsText" text="Finalizado">
      <formula>NOT(ISERROR(SEARCH("Finalizado",P315)))</formula>
    </cfRule>
    <cfRule type="containsText" dxfId="9596" priority="21119" operator="containsText" text="Pendente">
      <formula>NOT(ISERROR(SEARCH("Pendente",P315)))</formula>
    </cfRule>
    <cfRule type="containsText" dxfId="9595" priority="21118" operator="containsText" text="N/A">
      <formula>NOT(ISERROR(SEARCH("N/A",P315)))</formula>
    </cfRule>
    <cfRule type="containsText" dxfId="9594" priority="21117" operator="containsText" text="Lançado">
      <formula>NOT(ISERROR(SEARCH("Lançado",P315)))</formula>
    </cfRule>
  </conditionalFormatting>
  <conditionalFormatting sqref="P318">
    <cfRule type="containsText" dxfId="9593" priority="21138" operator="containsText" text="Lançado">
      <formula>NOT(ISERROR(SEARCH("Lançado",P318)))</formula>
    </cfRule>
    <cfRule type="containsText" dxfId="9592" priority="21139" operator="containsText" text="N/A">
      <formula>NOT(ISERROR(SEARCH("N/A",P318)))</formula>
    </cfRule>
    <cfRule type="containsText" dxfId="9591" priority="21132" operator="containsText" text="Finalizado">
      <formula>NOT(ISERROR(SEARCH("Finalizado",P318)))</formula>
    </cfRule>
    <cfRule type="containsText" dxfId="9590" priority="21133" operator="containsText" text="em andamento">
      <formula>NOT(ISERROR(SEARCH("em andamento",P318)))</formula>
    </cfRule>
    <cfRule type="containsText" dxfId="9589" priority="21140" operator="containsText" text="Pendente">
      <formula>NOT(ISERROR(SEARCH("Pendente",P318)))</formula>
    </cfRule>
  </conditionalFormatting>
  <conditionalFormatting sqref="P320">
    <cfRule type="expression" dxfId="9588" priority="7144">
      <formula>$H320="ETAPA"</formula>
    </cfRule>
    <cfRule type="containsText" dxfId="9587" priority="7149" operator="containsText" text="em andamento">
      <formula>NOT(ISERROR(SEARCH("em andamento",P320)))</formula>
    </cfRule>
    <cfRule type="containsText" dxfId="9586" priority="7148" operator="containsText" text="Finalizado">
      <formula>NOT(ISERROR(SEARCH("Finalizado",P320)))</formula>
    </cfRule>
    <cfRule type="containsText" dxfId="9585" priority="7147" operator="containsText" text="Pendente">
      <formula>NOT(ISERROR(SEARCH("Pendente",P320)))</formula>
    </cfRule>
    <cfRule type="containsText" dxfId="9584" priority="7146" operator="containsText" text="N/A">
      <formula>NOT(ISERROR(SEARCH("N/A",P320)))</formula>
    </cfRule>
    <cfRule type="containsText" dxfId="9583" priority="7145" operator="containsText" text="Lançado">
      <formula>NOT(ISERROR(SEARCH("Lançado",P320)))</formula>
    </cfRule>
    <cfRule type="expression" dxfId="9582" priority="7143">
      <formula>$H320="CÉLULA CONSTRUTIVA"</formula>
    </cfRule>
    <cfRule type="expression" dxfId="9581" priority="7138">
      <formula>$H320="SUBETAPA"</formula>
    </cfRule>
  </conditionalFormatting>
  <conditionalFormatting sqref="P321">
    <cfRule type="containsText" dxfId="9580" priority="20686" operator="containsText" text="Pendente">
      <formula>NOT(ISERROR(SEARCH("Pendente",P321)))</formula>
    </cfRule>
    <cfRule type="containsText" dxfId="9579" priority="20684" operator="containsText" text="Lançado">
      <formula>NOT(ISERROR(SEARCH("Lançado",P321)))</formula>
    </cfRule>
    <cfRule type="containsText" dxfId="9578" priority="20687" operator="containsText" text="Finalizado">
      <formula>NOT(ISERROR(SEARCH("Finalizado",P321)))</formula>
    </cfRule>
    <cfRule type="containsText" dxfId="9577" priority="20685" operator="containsText" text="N/A">
      <formula>NOT(ISERROR(SEARCH("N/A",P321)))</formula>
    </cfRule>
    <cfRule type="containsText" dxfId="9576" priority="20688" operator="containsText" text="em andamento">
      <formula>NOT(ISERROR(SEARCH("em andamento",P321)))</formula>
    </cfRule>
  </conditionalFormatting>
  <conditionalFormatting sqref="P322">
    <cfRule type="containsText" dxfId="9575" priority="20656" operator="containsText" text="Pendente">
      <formula>NOT(ISERROR(SEARCH("Pendente",P322)))</formula>
    </cfRule>
    <cfRule type="containsText" dxfId="9574" priority="20658" operator="containsText" text="em andamento">
      <formula>NOT(ISERROR(SEARCH("em andamento",P322)))</formula>
    </cfRule>
    <cfRule type="expression" dxfId="9573" priority="20653">
      <formula>$H322="ETAPA"</formula>
    </cfRule>
    <cfRule type="containsText" dxfId="9572" priority="20654" operator="containsText" text="Lançado">
      <formula>NOT(ISERROR(SEARCH("Lançado",P322)))</formula>
    </cfRule>
    <cfRule type="expression" dxfId="9571" priority="20652">
      <formula>$H322="CÉLULA CONSTRUTIVA"</formula>
    </cfRule>
    <cfRule type="containsText" dxfId="9570" priority="20655" operator="containsText" text="N/A">
      <formula>NOT(ISERROR(SEARCH("N/A",P322)))</formula>
    </cfRule>
    <cfRule type="containsText" dxfId="9569" priority="20662" operator="containsText" text="Finalizado">
      <formula>NOT(ISERROR(SEARCH("Finalizado",P322)))</formula>
    </cfRule>
    <cfRule type="containsText" dxfId="9568" priority="20663" operator="containsText" text="em andamento">
      <formula>NOT(ISERROR(SEARCH("em andamento",P322)))</formula>
    </cfRule>
    <cfRule type="containsText" dxfId="9567" priority="20666" operator="containsText" text="Lançado">
      <formula>NOT(ISERROR(SEARCH("Lançado",P322)))</formula>
    </cfRule>
    <cfRule type="containsText" dxfId="9566" priority="20661" operator="containsText" text="Pendente">
      <formula>NOT(ISERROR(SEARCH("Pendente",P322)))</formula>
    </cfRule>
    <cfRule type="expression" dxfId="9565" priority="20651">
      <formula>$H322="SUBETAPA"</formula>
    </cfRule>
    <cfRule type="expression" dxfId="9564" priority="20671">
      <formula>$H322="SUBETAPA"</formula>
    </cfRule>
    <cfRule type="containsText" dxfId="9563" priority="20670" operator="containsText" text="em andamento">
      <formula>NOT(ISERROR(SEARCH("em andamento",P322)))</formula>
    </cfRule>
    <cfRule type="containsText" dxfId="9562" priority="20669" operator="containsText" text="Finalizado">
      <formula>NOT(ISERROR(SEARCH("Finalizado",P322)))</formula>
    </cfRule>
    <cfRule type="containsText" dxfId="9561" priority="20668" operator="containsText" text="Pendente">
      <formula>NOT(ISERROR(SEARCH("Pendente",P322)))</formula>
    </cfRule>
    <cfRule type="containsText" dxfId="9560" priority="20667" operator="containsText" text="N/A">
      <formula>NOT(ISERROR(SEARCH("N/A",P322)))</formula>
    </cfRule>
    <cfRule type="expression" dxfId="9559" priority="20665">
      <formula>$H322="ETAPA"</formula>
    </cfRule>
    <cfRule type="expression" dxfId="9558" priority="20664">
      <formula>$H322="CÉLULA CONSTRUTIVA"</formula>
    </cfRule>
    <cfRule type="containsText" dxfId="9557" priority="20660" operator="containsText" text="N/A">
      <formula>NOT(ISERROR(SEARCH("N/A",P322)))</formula>
    </cfRule>
    <cfRule type="containsText" dxfId="9556" priority="20659" operator="containsText" text="Lançado">
      <formula>NOT(ISERROR(SEARCH("Lançado",P322)))</formula>
    </cfRule>
    <cfRule type="containsText" dxfId="9555" priority="20657" operator="containsText" text="Finalizado">
      <formula>NOT(ISERROR(SEARCH("Finalizado",P322)))</formula>
    </cfRule>
  </conditionalFormatting>
  <conditionalFormatting sqref="P323">
    <cfRule type="containsText" dxfId="9554" priority="20928" operator="containsText" text="em andamento">
      <formula>NOT(ISERROR(SEARCH("em andamento",P323)))</formula>
    </cfRule>
    <cfRule type="expression" dxfId="9553" priority="20922">
      <formula>$H323="ETAPA"</formula>
    </cfRule>
    <cfRule type="containsText" dxfId="9552" priority="20924" operator="containsText" text="Lançado">
      <formula>NOT(ISERROR(SEARCH("Lançado",P323)))</formula>
    </cfRule>
    <cfRule type="expression" dxfId="9551" priority="20921">
      <formula>$H323="CÉLULA CONSTRUTIVA"</formula>
    </cfRule>
    <cfRule type="containsText" dxfId="9550" priority="20927" operator="containsText" text="Finalizado">
      <formula>NOT(ISERROR(SEARCH("Finalizado",P323)))</formula>
    </cfRule>
    <cfRule type="expression" dxfId="9549" priority="20888">
      <formula>$H323="SUBETAPA"</formula>
    </cfRule>
    <cfRule type="containsText" dxfId="9548" priority="20925" operator="containsText" text="N/A">
      <formula>NOT(ISERROR(SEARCH("N/A",P323)))</formula>
    </cfRule>
    <cfRule type="containsText" dxfId="9547" priority="20926" operator="containsText" text="Pendente">
      <formula>NOT(ISERROR(SEARCH("Pendente",P323)))</formula>
    </cfRule>
  </conditionalFormatting>
  <conditionalFormatting sqref="P324">
    <cfRule type="containsText" dxfId="9546" priority="20650" operator="containsText" text="em andamento">
      <formula>NOT(ISERROR(SEARCH("em andamento",P324)))</formula>
    </cfRule>
    <cfRule type="containsText" dxfId="9545" priority="20649" operator="containsText" text="Finalizado">
      <formula>NOT(ISERROR(SEARCH("Finalizado",P324)))</formula>
    </cfRule>
    <cfRule type="containsText" dxfId="9544" priority="20648" operator="containsText" text="Pendente">
      <formula>NOT(ISERROR(SEARCH("Pendente",P324)))</formula>
    </cfRule>
    <cfRule type="containsText" dxfId="9543" priority="20647" operator="containsText" text="N/A">
      <formula>NOT(ISERROR(SEARCH("N/A",P324)))</formula>
    </cfRule>
    <cfRule type="containsText" dxfId="9542" priority="20646" operator="containsText" text="Lançado">
      <formula>NOT(ISERROR(SEARCH("Lançado",P324)))</formula>
    </cfRule>
  </conditionalFormatting>
  <conditionalFormatting sqref="P325">
    <cfRule type="containsText" dxfId="9541" priority="20617" operator="containsText" text="N/A">
      <formula>NOT(ISERROR(SEARCH("N/A",P325)))</formula>
    </cfRule>
    <cfRule type="containsText" dxfId="9540" priority="20618" operator="containsText" text="Pendente">
      <formula>NOT(ISERROR(SEARCH("Pendente",P325)))</formula>
    </cfRule>
    <cfRule type="containsText" dxfId="9539" priority="20619" operator="containsText" text="Finalizado">
      <formula>NOT(ISERROR(SEARCH("Finalizado",P325)))</formula>
    </cfRule>
    <cfRule type="containsText" dxfId="9538" priority="20620" operator="containsText" text="em andamento">
      <formula>NOT(ISERROR(SEARCH("em andamento",P325)))</formula>
    </cfRule>
    <cfRule type="containsText" dxfId="9537" priority="20621" operator="containsText" text="Lançado">
      <formula>NOT(ISERROR(SEARCH("Lançado",P325)))</formula>
    </cfRule>
    <cfRule type="containsText" dxfId="9536" priority="20622" operator="containsText" text="N/A">
      <formula>NOT(ISERROR(SEARCH("N/A",P325)))</formula>
    </cfRule>
    <cfRule type="containsText" dxfId="9535" priority="20623" operator="containsText" text="Pendente">
      <formula>NOT(ISERROR(SEARCH("Pendente",P325)))</formula>
    </cfRule>
    <cfRule type="containsText" dxfId="9534" priority="20625" operator="containsText" text="em andamento">
      <formula>NOT(ISERROR(SEARCH("em andamento",P325)))</formula>
    </cfRule>
    <cfRule type="expression" dxfId="9533" priority="20626">
      <formula>$H325="CÉLULA CONSTRUTIVA"</formula>
    </cfRule>
    <cfRule type="expression" dxfId="9532" priority="20627">
      <formula>$H325="ETAPA"</formula>
    </cfRule>
    <cfRule type="containsText" dxfId="9531" priority="20628" operator="containsText" text="Lançado">
      <formula>NOT(ISERROR(SEARCH("Lançado",P325)))</formula>
    </cfRule>
    <cfRule type="containsText" dxfId="9530" priority="20629" operator="containsText" text="N/A">
      <formula>NOT(ISERROR(SEARCH("N/A",P325)))</formula>
    </cfRule>
    <cfRule type="containsText" dxfId="9529" priority="20630" operator="containsText" text="Pendente">
      <formula>NOT(ISERROR(SEARCH("Pendente",P325)))</formula>
    </cfRule>
    <cfRule type="containsText" dxfId="9528" priority="20631" operator="containsText" text="Finalizado">
      <formula>NOT(ISERROR(SEARCH("Finalizado",P325)))</formula>
    </cfRule>
    <cfRule type="containsText" dxfId="9527" priority="20632" operator="containsText" text="em andamento">
      <formula>NOT(ISERROR(SEARCH("em andamento",P325)))</formula>
    </cfRule>
    <cfRule type="expression" dxfId="9526" priority="20633">
      <formula>$H325="SUBETAPA"</formula>
    </cfRule>
    <cfRule type="containsText" dxfId="9525" priority="20624" operator="containsText" text="Finalizado">
      <formula>NOT(ISERROR(SEARCH("Finalizado",P325)))</formula>
    </cfRule>
    <cfRule type="expression" dxfId="9524" priority="20613">
      <formula>$H325="SUBETAPA"</formula>
    </cfRule>
    <cfRule type="expression" dxfId="9523" priority="20614">
      <formula>$H325="CÉLULA CONSTRUTIVA"</formula>
    </cfRule>
    <cfRule type="expression" dxfId="9522" priority="20615">
      <formula>$H325="ETAPA"</formula>
    </cfRule>
    <cfRule type="containsText" dxfId="9521" priority="20616" operator="containsText" text="Lançado">
      <formula>NOT(ISERROR(SEARCH("Lançado",P325)))</formula>
    </cfRule>
  </conditionalFormatting>
  <conditionalFormatting sqref="P326">
    <cfRule type="containsText" dxfId="9520" priority="20847" operator="containsText" text="em andamento">
      <formula>NOT(ISERROR(SEARCH("em andamento",P326)))</formula>
    </cfRule>
    <cfRule type="containsText" dxfId="9519" priority="20846" operator="containsText" text="Finalizado">
      <formula>NOT(ISERROR(SEARCH("Finalizado",P326)))</formula>
    </cfRule>
    <cfRule type="containsText" dxfId="9518" priority="20845" operator="containsText" text="Pendente">
      <formula>NOT(ISERROR(SEARCH("Pendente",P326)))</formula>
    </cfRule>
    <cfRule type="containsText" dxfId="9517" priority="20844" operator="containsText" text="N/A">
      <formula>NOT(ISERROR(SEARCH("N/A",P326)))</formula>
    </cfRule>
    <cfRule type="expression" dxfId="9516" priority="20841">
      <formula>$H326="ETAPA"</formula>
    </cfRule>
    <cfRule type="containsText" dxfId="9515" priority="20843" operator="containsText" text="Lançado">
      <formula>NOT(ISERROR(SEARCH("Lançado",P326)))</formula>
    </cfRule>
    <cfRule type="expression" dxfId="9514" priority="20807">
      <formula>$H326="SUBETAPA"</formula>
    </cfRule>
    <cfRule type="expression" dxfId="9513" priority="20840">
      <formula>$H326="CÉLULA CONSTRUTIVA"</formula>
    </cfRule>
  </conditionalFormatting>
  <conditionalFormatting sqref="P327">
    <cfRule type="containsText" dxfId="9512" priority="20612" operator="containsText" text="em andamento">
      <formula>NOT(ISERROR(SEARCH("em andamento",P327)))</formula>
    </cfRule>
    <cfRule type="containsText" dxfId="9511" priority="20610" operator="containsText" text="Pendente">
      <formula>NOT(ISERROR(SEARCH("Pendente",P327)))</formula>
    </cfRule>
    <cfRule type="containsText" dxfId="9510" priority="20608" operator="containsText" text="Lançado">
      <formula>NOT(ISERROR(SEARCH("Lançado",P327)))</formula>
    </cfRule>
    <cfRule type="containsText" dxfId="9509" priority="20609" operator="containsText" text="N/A">
      <formula>NOT(ISERROR(SEARCH("N/A",P327)))</formula>
    </cfRule>
    <cfRule type="containsText" dxfId="9508" priority="20611" operator="containsText" text="Finalizado">
      <formula>NOT(ISERROR(SEARCH("Finalizado",P327)))</formula>
    </cfRule>
  </conditionalFormatting>
  <conditionalFormatting sqref="P328">
    <cfRule type="containsText" dxfId="9507" priority="20592" operator="containsText" text="Pendente">
      <formula>NOT(ISERROR(SEARCH("Pendente",P328)))</formula>
    </cfRule>
    <cfRule type="expression" dxfId="9506" priority="20595">
      <formula>$H328="SUBETAPA"</formula>
    </cfRule>
    <cfRule type="containsText" dxfId="9505" priority="20593" operator="containsText" text="Finalizado">
      <formula>NOT(ISERROR(SEARCH("Finalizado",P328)))</formula>
    </cfRule>
    <cfRule type="containsText" dxfId="9504" priority="20585" operator="containsText" text="Pendente">
      <formula>NOT(ISERROR(SEARCH("Pendente",P328)))</formula>
    </cfRule>
    <cfRule type="containsText" dxfId="9503" priority="20584" operator="containsText" text="N/A">
      <formula>NOT(ISERROR(SEARCH("N/A",P328)))</formula>
    </cfRule>
    <cfRule type="containsText" dxfId="9502" priority="20583" operator="containsText" text="Lançado">
      <formula>NOT(ISERROR(SEARCH("Lançado",P328)))</formula>
    </cfRule>
    <cfRule type="containsText" dxfId="9501" priority="20581" operator="containsText" text="Finalizado">
      <formula>NOT(ISERROR(SEARCH("Finalizado",P328)))</formula>
    </cfRule>
    <cfRule type="expression" dxfId="9500" priority="20588">
      <formula>$H328="CÉLULA CONSTRUTIVA"</formula>
    </cfRule>
    <cfRule type="containsText" dxfId="9499" priority="20587" operator="containsText" text="em andamento">
      <formula>NOT(ISERROR(SEARCH("em andamento",P328)))</formula>
    </cfRule>
    <cfRule type="containsText" dxfId="9498" priority="20580" operator="containsText" text="Pendente">
      <formula>NOT(ISERROR(SEARCH("Pendente",P328)))</formula>
    </cfRule>
    <cfRule type="containsText" dxfId="9497" priority="20579" operator="containsText" text="N/A">
      <formula>NOT(ISERROR(SEARCH("N/A",P328)))</formula>
    </cfRule>
    <cfRule type="containsText" dxfId="9496" priority="20578" operator="containsText" text="Lançado">
      <formula>NOT(ISERROR(SEARCH("Lançado",P328)))</formula>
    </cfRule>
    <cfRule type="expression" dxfId="9495" priority="20577">
      <formula>$H328="ETAPA"</formula>
    </cfRule>
    <cfRule type="expression" dxfId="9494" priority="20576">
      <formula>$H328="CÉLULA CONSTRUTIVA"</formula>
    </cfRule>
    <cfRule type="expression" dxfId="9493" priority="20575">
      <formula>$H328="SUBETAPA"</formula>
    </cfRule>
    <cfRule type="expression" dxfId="9492" priority="20589">
      <formula>$H328="ETAPA"</formula>
    </cfRule>
    <cfRule type="containsText" dxfId="9491" priority="20590" operator="containsText" text="Lançado">
      <formula>NOT(ISERROR(SEARCH("Lançado",P328)))</formula>
    </cfRule>
    <cfRule type="containsText" dxfId="9490" priority="20582" operator="containsText" text="em andamento">
      <formula>NOT(ISERROR(SEARCH("em andamento",P328)))</formula>
    </cfRule>
    <cfRule type="containsText" dxfId="9489" priority="20586" operator="containsText" text="Finalizado">
      <formula>NOT(ISERROR(SEARCH("Finalizado",P328)))</formula>
    </cfRule>
    <cfRule type="containsText" dxfId="9488" priority="20594" operator="containsText" text="em andamento">
      <formula>NOT(ISERROR(SEARCH("em andamento",P328)))</formula>
    </cfRule>
    <cfRule type="containsText" dxfId="9487" priority="20591" operator="containsText" text="N/A">
      <formula>NOT(ISERROR(SEARCH("N/A",P328)))</formula>
    </cfRule>
  </conditionalFormatting>
  <conditionalFormatting sqref="P329 G39:K48 O53:P55 P609 G711:L711 G710:M710 M51 O51:P51 N63:N64 O75:P75 M275:M277 O275:P277 M470 M708 M716 O716:P716 M717:O717 M724:O724 M726 O726:P726 O747:P747 M729:M730 O729:P730 M731:O731 M732 O732:P732 M733:O734 M735:M736 O735:P736 M737:O737 M738 O738:P738 M741:M742 O741:P742 M743:O743 M744 O744:P744 N711 O722:P723 M722:M723 M718:M720 O718:P720 M739:O740 M745:O746">
    <cfRule type="expression" dxfId="9486" priority="25398">
      <formula>$H39="SUBETAPA"</formula>
    </cfRule>
  </conditionalFormatting>
  <conditionalFormatting sqref="P329 G708:M708">
    <cfRule type="expression" dxfId="9485" priority="25478">
      <formula>$H329="ETAPA"</formula>
    </cfRule>
    <cfRule type="expression" dxfId="9484" priority="25477">
      <formula>$H329="CÉLULA CONSTRUTIVA"</formula>
    </cfRule>
  </conditionalFormatting>
  <conditionalFormatting sqref="P329">
    <cfRule type="containsText" dxfId="9483" priority="25375" operator="containsText" text="Pendente">
      <formula>NOT(ISERROR(SEARCH("Pendente",P329)))</formula>
    </cfRule>
    <cfRule type="containsText" dxfId="9482" priority="25376" operator="containsText" text="Finalizado">
      <formula>NOT(ISERROR(SEARCH("Finalizado",P329)))</formula>
    </cfRule>
    <cfRule type="containsText" dxfId="9481" priority="25377" operator="containsText" text="em andamento">
      <formula>NOT(ISERROR(SEARCH("em andamento",P329)))</formula>
    </cfRule>
  </conditionalFormatting>
  <conditionalFormatting sqref="P329:P330">
    <cfRule type="containsText" dxfId="9480" priority="23114" operator="containsText" text="Lançado">
      <formula>NOT(ISERROR(SEARCH("Lançado",P329)))</formula>
    </cfRule>
    <cfRule type="containsText" dxfId="9479" priority="23115" operator="containsText" text="N/A">
      <formula>NOT(ISERROR(SEARCH("N/A",P329)))</formula>
    </cfRule>
  </conditionalFormatting>
  <conditionalFormatting sqref="P330">
    <cfRule type="expression" dxfId="9478" priority="23112">
      <formula>$H330="CÉLULA CONSTRUTIVA"</formula>
    </cfRule>
    <cfRule type="expression" dxfId="9477" priority="23113">
      <formula>$H330="ETAPA"</formula>
    </cfRule>
    <cfRule type="containsText" dxfId="9476" priority="24807" operator="containsText" text="Pendente">
      <formula>NOT(ISERROR(SEARCH("Pendente",P330)))</formula>
    </cfRule>
    <cfRule type="containsText" dxfId="9475" priority="24809" operator="containsText" text="em andamento">
      <formula>NOT(ISERROR(SEARCH("em andamento",P330)))</formula>
    </cfRule>
    <cfRule type="containsText" dxfId="9474" priority="24808" operator="containsText" text="Finalizado">
      <formula>NOT(ISERROR(SEARCH("Finalizado",P330)))</formula>
    </cfRule>
  </conditionalFormatting>
  <conditionalFormatting sqref="P331:P333">
    <cfRule type="containsText" dxfId="9473" priority="19715" operator="containsText" text="Lançado">
      <formula>NOT(ISERROR(SEARCH("Lançado",P331)))</formula>
    </cfRule>
    <cfRule type="containsText" dxfId="9472" priority="19719" operator="containsText" text="em andamento">
      <formula>NOT(ISERROR(SEARCH("em andamento",P331)))</formula>
    </cfRule>
    <cfRule type="containsText" dxfId="9471" priority="19718" operator="containsText" text="Finalizado">
      <formula>NOT(ISERROR(SEARCH("Finalizado",P331)))</formula>
    </cfRule>
    <cfRule type="containsText" dxfId="9470" priority="19717" operator="containsText" text="Pendente">
      <formula>NOT(ISERROR(SEARCH("Pendente",P331)))</formula>
    </cfRule>
    <cfRule type="containsText" dxfId="9469" priority="19716" operator="containsText" text="N/A">
      <formula>NOT(ISERROR(SEARCH("N/A",P331)))</formula>
    </cfRule>
  </conditionalFormatting>
  <conditionalFormatting sqref="P332:P333 P348">
    <cfRule type="containsText" dxfId="9468" priority="19704" operator="containsText" text="Lançado">
      <formula>NOT(ISERROR(SEARCH("Lançado",P332)))</formula>
    </cfRule>
    <cfRule type="containsText" dxfId="9467" priority="19706" operator="containsText" text="Pendente">
      <formula>NOT(ISERROR(SEARCH("Pendente",P332)))</formula>
    </cfRule>
    <cfRule type="expression" dxfId="9466" priority="19714">
      <formula>$H332="SUBETAPA"</formula>
    </cfRule>
    <cfRule type="containsText" dxfId="9465" priority="19713" operator="containsText" text="em andamento">
      <formula>NOT(ISERROR(SEARCH("em andamento",P332)))</formula>
    </cfRule>
    <cfRule type="containsText" dxfId="9464" priority="19712" operator="containsText" text="Finalizado">
      <formula>NOT(ISERROR(SEARCH("Finalizado",P332)))</formula>
    </cfRule>
    <cfRule type="containsText" dxfId="9463" priority="19711" operator="containsText" text="Pendente">
      <formula>NOT(ISERROR(SEARCH("Pendente",P332)))</formula>
    </cfRule>
    <cfRule type="containsText" dxfId="9462" priority="19710" operator="containsText" text="N/A">
      <formula>NOT(ISERROR(SEARCH("N/A",P332)))</formula>
    </cfRule>
    <cfRule type="containsText" dxfId="9461" priority="19709" operator="containsText" text="Lançado">
      <formula>NOT(ISERROR(SEARCH("Lançado",P332)))</formula>
    </cfRule>
    <cfRule type="expression" dxfId="9460" priority="19701">
      <formula>$H332="SUBETAPA"</formula>
    </cfRule>
    <cfRule type="containsText" dxfId="9459" priority="19708" operator="containsText" text="em andamento">
      <formula>NOT(ISERROR(SEARCH("em andamento",P332)))</formula>
    </cfRule>
    <cfRule type="containsText" dxfId="9458" priority="19707" operator="containsText" text="Finalizado">
      <formula>NOT(ISERROR(SEARCH("Finalizado",P332)))</formula>
    </cfRule>
  </conditionalFormatting>
  <conditionalFormatting sqref="P334">
    <cfRule type="containsText" dxfId="9457" priority="19748" operator="containsText" text="Lançado">
      <formula>NOT(ISERROR(SEARCH("Lançado",P334)))</formula>
    </cfRule>
    <cfRule type="containsText" dxfId="9456" priority="19749" operator="containsText" text="N/A">
      <formula>NOT(ISERROR(SEARCH("N/A",P334)))</formula>
    </cfRule>
    <cfRule type="containsText" dxfId="9455" priority="19752" operator="containsText" text="em andamento">
      <formula>NOT(ISERROR(SEARCH("em andamento",P334)))</formula>
    </cfRule>
    <cfRule type="containsText" dxfId="9454" priority="19751" operator="containsText" text="Finalizado">
      <formula>NOT(ISERROR(SEARCH("Finalizado",P334)))</formula>
    </cfRule>
    <cfRule type="containsText" dxfId="9453" priority="19750" operator="containsText" text="Pendente">
      <formula>NOT(ISERROR(SEARCH("Pendente",P334)))</formula>
    </cfRule>
  </conditionalFormatting>
  <conditionalFormatting sqref="P335">
    <cfRule type="containsText" dxfId="9452" priority="19688" operator="containsText" text="Lançado">
      <formula>NOT(ISERROR(SEARCH("Lançado",P335)))</formula>
    </cfRule>
    <cfRule type="containsText" dxfId="9451" priority="19700" operator="containsText" text="em andamento">
      <formula>NOT(ISERROR(SEARCH("em andamento",P335)))</formula>
    </cfRule>
    <cfRule type="containsText" dxfId="9450" priority="19684" operator="containsText" text="N/A">
      <formula>NOT(ISERROR(SEARCH("N/A",P335)))</formula>
    </cfRule>
    <cfRule type="containsText" dxfId="9449" priority="19685" operator="containsText" text="Pendente">
      <formula>NOT(ISERROR(SEARCH("Pendente",P335)))</formula>
    </cfRule>
    <cfRule type="containsText" dxfId="9448" priority="19699" operator="containsText" text="Finalizado">
      <formula>NOT(ISERROR(SEARCH("Finalizado",P335)))</formula>
    </cfRule>
    <cfRule type="containsText" dxfId="9447" priority="19698" operator="containsText" text="Pendente">
      <formula>NOT(ISERROR(SEARCH("Pendente",P335)))</formula>
    </cfRule>
    <cfRule type="containsText" dxfId="9446" priority="19697" operator="containsText" text="N/A">
      <formula>NOT(ISERROR(SEARCH("N/A",P335)))</formula>
    </cfRule>
    <cfRule type="containsText" dxfId="9445" priority="19696" operator="containsText" text="Lançado">
      <formula>NOT(ISERROR(SEARCH("Lançado",P335)))</formula>
    </cfRule>
    <cfRule type="containsText" dxfId="9444" priority="19686" operator="containsText" text="Finalizado">
      <formula>NOT(ISERROR(SEARCH("Finalizado",P335)))</formula>
    </cfRule>
    <cfRule type="containsText" dxfId="9443" priority="19689" operator="containsText" text="N/A">
      <formula>NOT(ISERROR(SEARCH("N/A",P335)))</formula>
    </cfRule>
    <cfRule type="containsText" dxfId="9442" priority="19692" operator="containsText" text="em andamento">
      <formula>NOT(ISERROR(SEARCH("em andamento",P335)))</formula>
    </cfRule>
    <cfRule type="containsText" dxfId="9441" priority="19691" operator="containsText" text="Finalizado">
      <formula>NOT(ISERROR(SEARCH("Finalizado",P335)))</formula>
    </cfRule>
    <cfRule type="containsText" dxfId="9440" priority="19690" operator="containsText" text="Pendente">
      <formula>NOT(ISERROR(SEARCH("Pendente",P335)))</formula>
    </cfRule>
    <cfRule type="containsText" dxfId="9439" priority="19687" operator="containsText" text="em andamento">
      <formula>NOT(ISERROR(SEARCH("em andamento",P335)))</formula>
    </cfRule>
    <cfRule type="containsText" dxfId="9438" priority="19683" operator="containsText" text="Lançado">
      <formula>NOT(ISERROR(SEARCH("Lançado",P335)))</formula>
    </cfRule>
  </conditionalFormatting>
  <conditionalFormatting sqref="P335:P336">
    <cfRule type="expression" dxfId="9437" priority="19695">
      <formula>$H335="ETAPA"</formula>
    </cfRule>
    <cfRule type="expression" dxfId="9436" priority="19694">
      <formula>$H335="CÉLULA CONSTRUTIVA"</formula>
    </cfRule>
    <cfRule type="expression" dxfId="9435" priority="19693">
      <formula>$H335="SUBETAPA"</formula>
    </cfRule>
  </conditionalFormatting>
  <conditionalFormatting sqref="P336 P340">
    <cfRule type="containsText" dxfId="9434" priority="19739" operator="containsText" text="Finalizado">
      <formula>NOT(ISERROR(SEARCH("Finalizado",P336)))</formula>
    </cfRule>
    <cfRule type="containsText" dxfId="9433" priority="19736" operator="containsText" text="Lançado">
      <formula>NOT(ISERROR(SEARCH("Lançado",P336)))</formula>
    </cfRule>
    <cfRule type="containsText" dxfId="9432" priority="19740" operator="containsText" text="em andamento">
      <formula>NOT(ISERROR(SEARCH("em andamento",P336)))</formula>
    </cfRule>
    <cfRule type="containsText" dxfId="9431" priority="19738" operator="containsText" text="Pendente">
      <formula>NOT(ISERROR(SEARCH("Pendente",P336)))</formula>
    </cfRule>
  </conditionalFormatting>
  <conditionalFormatting sqref="P336 P340:P341 P344">
    <cfRule type="containsText" dxfId="9430" priority="19737" operator="containsText" text="N/A">
      <formula>NOT(ISERROR(SEARCH("N/A",P336)))</formula>
    </cfRule>
  </conditionalFormatting>
  <conditionalFormatting sqref="P337">
    <cfRule type="containsText" dxfId="9429" priority="19666" operator="containsText" text="em andamento">
      <formula>NOT(ISERROR(SEARCH("em andamento",P337)))</formula>
    </cfRule>
    <cfRule type="containsText" dxfId="9428" priority="19664" operator="containsText" text="Pendente">
      <formula>NOT(ISERROR(SEARCH("Pendente",P337)))</formula>
    </cfRule>
    <cfRule type="containsText" dxfId="9427" priority="19663" operator="containsText" text="N/A">
      <formula>NOT(ISERROR(SEARCH("N/A",P337)))</formula>
    </cfRule>
    <cfRule type="containsText" dxfId="9426" priority="19679" operator="containsText" text="em andamento">
      <formula>NOT(ISERROR(SEARCH("em andamento",P337)))</formula>
    </cfRule>
    <cfRule type="containsText" dxfId="9425" priority="19678" operator="containsText" text="Finalizado">
      <formula>NOT(ISERROR(SEARCH("Finalizado",P337)))</formula>
    </cfRule>
    <cfRule type="containsText" dxfId="9424" priority="19677" operator="containsText" text="Pendente">
      <formula>NOT(ISERROR(SEARCH("Pendente",P337)))</formula>
    </cfRule>
    <cfRule type="containsText" dxfId="9423" priority="19676" operator="containsText" text="N/A">
      <formula>NOT(ISERROR(SEARCH("N/A",P337)))</formula>
    </cfRule>
    <cfRule type="containsText" dxfId="9422" priority="19675" operator="containsText" text="Lançado">
      <formula>NOT(ISERROR(SEARCH("Lançado",P337)))</formula>
    </cfRule>
    <cfRule type="containsText" dxfId="9421" priority="19671" operator="containsText" text="em andamento">
      <formula>NOT(ISERROR(SEARCH("em andamento",P337)))</formula>
    </cfRule>
    <cfRule type="expression" dxfId="9420" priority="19661">
      <formula>$H337="ETAPA"</formula>
    </cfRule>
    <cfRule type="expression" dxfId="9419" priority="19659">
      <formula>$H337="SUBETAPA"</formula>
    </cfRule>
    <cfRule type="containsText" dxfId="9418" priority="19662" operator="containsText" text="Lançado">
      <formula>NOT(ISERROR(SEARCH("Lançado",P337)))</formula>
    </cfRule>
    <cfRule type="containsText" dxfId="9417" priority="19670" operator="containsText" text="Finalizado">
      <formula>NOT(ISERROR(SEARCH("Finalizado",P337)))</formula>
    </cfRule>
    <cfRule type="containsText" dxfId="9416" priority="19669" operator="containsText" text="Pendente">
      <formula>NOT(ISERROR(SEARCH("Pendente",P337)))</formula>
    </cfRule>
    <cfRule type="containsText" dxfId="9415" priority="19668" operator="containsText" text="N/A">
      <formula>NOT(ISERROR(SEARCH("N/A",P337)))</formula>
    </cfRule>
    <cfRule type="containsText" dxfId="9414" priority="19667" operator="containsText" text="Lançado">
      <formula>NOT(ISERROR(SEARCH("Lançado",P337)))</formula>
    </cfRule>
    <cfRule type="expression" dxfId="9413" priority="19660">
      <formula>$H337="CÉLULA CONSTRUTIVA"</formula>
    </cfRule>
    <cfRule type="containsText" dxfId="9412" priority="19665" operator="containsText" text="Finalizado">
      <formula>NOT(ISERROR(SEARCH("Finalizado",P337)))</formula>
    </cfRule>
  </conditionalFormatting>
  <conditionalFormatting sqref="P338">
    <cfRule type="expression" dxfId="9411" priority="6775">
      <formula>$H338="ETAPA"</formula>
    </cfRule>
    <cfRule type="containsText" dxfId="9410" priority="6782" operator="containsText" text="Finalizado">
      <formula>NOT(ISERROR(SEARCH("Finalizado",P338)))</formula>
    </cfRule>
    <cfRule type="containsText" dxfId="9409" priority="6780" operator="containsText" text="N/A">
      <formula>NOT(ISERROR(SEARCH("N/A",P338)))</formula>
    </cfRule>
    <cfRule type="containsText" dxfId="9408" priority="6779" operator="containsText" text="Lançado">
      <formula>NOT(ISERROR(SEARCH("Lançado",P338)))</formula>
    </cfRule>
    <cfRule type="containsText" dxfId="9407" priority="6783" operator="containsText" text="em andamento">
      <formula>NOT(ISERROR(SEARCH("em andamento",P338)))</formula>
    </cfRule>
    <cfRule type="expression" dxfId="9406" priority="6774">
      <formula>$H338="CÉLULA CONSTRUTIVA"</formula>
    </cfRule>
    <cfRule type="expression" dxfId="9405" priority="6768">
      <formula>$H338="SUBETAPA"</formula>
    </cfRule>
    <cfRule type="containsText" dxfId="9404" priority="6781" operator="containsText" text="Pendente">
      <formula>NOT(ISERROR(SEARCH("Pendente",P338)))</formula>
    </cfRule>
  </conditionalFormatting>
  <conditionalFormatting sqref="P339 G338:I339">
    <cfRule type="expression" dxfId="9403" priority="6785">
      <formula>$H338="SUBETAPA"</formula>
    </cfRule>
  </conditionalFormatting>
  <conditionalFormatting sqref="P339">
    <cfRule type="containsText" dxfId="9402" priority="6752" operator="containsText" text="N/A">
      <formula>NOT(ISERROR(SEARCH("N/A",P339)))</formula>
    </cfRule>
    <cfRule type="containsText" dxfId="9401" priority="6751" operator="containsText" text="Lançado">
      <formula>NOT(ISERROR(SEARCH("Lançado",P339)))</formula>
    </cfRule>
    <cfRule type="expression" dxfId="9400" priority="6749">
      <formula>$H339="CÉLULA CONSTRUTIVA"</formula>
    </cfRule>
    <cfRule type="containsText" dxfId="9399" priority="6765" operator="containsText" text="Pendente">
      <formula>NOT(ISERROR(SEARCH("Pendente",P339)))</formula>
    </cfRule>
    <cfRule type="containsText" dxfId="9398" priority="6767" operator="containsText" text="em andamento">
      <formula>NOT(ISERROR(SEARCH("em andamento",P339)))</formula>
    </cfRule>
    <cfRule type="containsText" dxfId="9397" priority="6766" operator="containsText" text="Finalizado">
      <formula>NOT(ISERROR(SEARCH("Finalizado",P339)))</formula>
    </cfRule>
    <cfRule type="containsText" dxfId="9396" priority="6754" operator="containsText" text="Finalizado">
      <formula>NOT(ISERROR(SEARCH("Finalizado",P339)))</formula>
    </cfRule>
    <cfRule type="containsText" dxfId="9395" priority="6764" operator="containsText" text="N/A">
      <formula>NOT(ISERROR(SEARCH("N/A",P339)))</formula>
    </cfRule>
    <cfRule type="containsText" dxfId="9394" priority="6763" operator="containsText" text="Lançado">
      <formula>NOT(ISERROR(SEARCH("Lançado",P339)))</formula>
    </cfRule>
    <cfRule type="expression" dxfId="9393" priority="6762">
      <formula>$H339="ETAPA"</formula>
    </cfRule>
    <cfRule type="expression" dxfId="9392" priority="6761">
      <formula>$H339="CÉLULA CONSTRUTIVA"</formula>
    </cfRule>
    <cfRule type="containsText" dxfId="9391" priority="6760" operator="containsText" text="em andamento">
      <formula>NOT(ISERROR(SEARCH("em andamento",P339)))</formula>
    </cfRule>
    <cfRule type="containsText" dxfId="9390" priority="6759" operator="containsText" text="Finalizado">
      <formula>NOT(ISERROR(SEARCH("Finalizado",P339)))</formula>
    </cfRule>
    <cfRule type="containsText" dxfId="9389" priority="6758" operator="containsText" text="Pendente">
      <formula>NOT(ISERROR(SEARCH("Pendente",P339)))</formula>
    </cfRule>
    <cfRule type="containsText" dxfId="9388" priority="6757" operator="containsText" text="N/A">
      <formula>NOT(ISERROR(SEARCH("N/A",P339)))</formula>
    </cfRule>
    <cfRule type="containsText" dxfId="9387" priority="6756" operator="containsText" text="Lançado">
      <formula>NOT(ISERROR(SEARCH("Lançado",P339)))</formula>
    </cfRule>
    <cfRule type="containsText" dxfId="9386" priority="6755" operator="containsText" text="em andamento">
      <formula>NOT(ISERROR(SEARCH("em andamento",P339)))</formula>
    </cfRule>
    <cfRule type="expression" dxfId="9385" priority="6750">
      <formula>$H339="ETAPA"</formula>
    </cfRule>
    <cfRule type="containsText" dxfId="9384" priority="6753" operator="containsText" text="Pendente">
      <formula>NOT(ISERROR(SEARCH("Pendente",P339)))</formula>
    </cfRule>
  </conditionalFormatting>
  <conditionalFormatting sqref="P340:P341 M341:O341">
    <cfRule type="expression" dxfId="9383" priority="19758">
      <formula>$H340="CÉLULA CONSTRUTIVA"</formula>
    </cfRule>
  </conditionalFormatting>
  <conditionalFormatting sqref="P341 P332:P333 P344">
    <cfRule type="containsText" dxfId="9382" priority="19705" operator="containsText" text="N/A">
      <formula>NOT(ISERROR(SEARCH("N/A",P332)))</formula>
    </cfRule>
  </conditionalFormatting>
  <conditionalFormatting sqref="P341 P344 P352:P353">
    <cfRule type="containsText" dxfId="9381" priority="19617" operator="containsText" text="em andamento">
      <formula>NOT(ISERROR(SEARCH("em andamento",P341)))</formula>
    </cfRule>
    <cfRule type="containsText" dxfId="9380" priority="19616" operator="containsText" text="Finalizado">
      <formula>NOT(ISERROR(SEARCH("Finalizado",P341)))</formula>
    </cfRule>
    <cfRule type="containsText" dxfId="9379" priority="19615" operator="containsText" text="Pendente">
      <formula>NOT(ISERROR(SEARCH("Pendente",P341)))</formula>
    </cfRule>
    <cfRule type="containsText" dxfId="9378" priority="19612" operator="containsText" text="em andamento">
      <formula>NOT(ISERROR(SEARCH("em andamento",P341)))</formula>
    </cfRule>
    <cfRule type="containsText" dxfId="9377" priority="19611" operator="containsText" text="Finalizado">
      <formula>NOT(ISERROR(SEARCH("Finalizado",P341)))</formula>
    </cfRule>
    <cfRule type="containsText" dxfId="9376" priority="19610" operator="containsText" text="Pendente">
      <formula>NOT(ISERROR(SEARCH("Pendente",P341)))</formula>
    </cfRule>
    <cfRule type="containsText" dxfId="9375" priority="19608" operator="containsText" text="Lançado">
      <formula>NOT(ISERROR(SEARCH("Lançado",P341)))</formula>
    </cfRule>
    <cfRule type="containsText" dxfId="9374" priority="19607" operator="containsText" text="em andamento">
      <formula>NOT(ISERROR(SEARCH("em andamento",P341)))</formula>
    </cfRule>
    <cfRule type="containsText" dxfId="9373" priority="19606" operator="containsText" text="Finalizado">
      <formula>NOT(ISERROR(SEARCH("Finalizado",P341)))</formula>
    </cfRule>
    <cfRule type="containsText" dxfId="9372" priority="19605" operator="containsText" text="Pendente">
      <formula>NOT(ISERROR(SEARCH("Pendente",P341)))</formula>
    </cfRule>
    <cfRule type="containsText" dxfId="9371" priority="19757" operator="containsText" text="Lançado">
      <formula>NOT(ISERROR(SEARCH("Lançado",P341)))</formula>
    </cfRule>
    <cfRule type="containsText" dxfId="9370" priority="19613" operator="containsText" text="Lançado">
      <formula>NOT(ISERROR(SEARCH("Lançado",P341)))</formula>
    </cfRule>
  </conditionalFormatting>
  <conditionalFormatting sqref="P342:P343">
    <cfRule type="containsText" dxfId="9369" priority="6712" operator="containsText" text="N/A">
      <formula>NOT(ISERROR(SEARCH("N/A",P342)))</formula>
    </cfRule>
    <cfRule type="containsText" dxfId="9368" priority="6708" operator="containsText" text="Pendente">
      <formula>NOT(ISERROR(SEARCH("Pendente",P342)))</formula>
    </cfRule>
    <cfRule type="containsText" dxfId="9367" priority="6704" operator="containsText" text="Finalizado">
      <formula>NOT(ISERROR(SEARCH("Finalizado",P342)))</formula>
    </cfRule>
    <cfRule type="containsText" dxfId="9366" priority="6711" operator="containsText" text="Lançado">
      <formula>NOT(ISERROR(SEARCH("Lançado",P342)))</formula>
    </cfRule>
    <cfRule type="containsText" dxfId="9365" priority="6699" operator="containsText" text="Finalizado">
      <formula>NOT(ISERROR(SEARCH("Finalizado",P342)))</formula>
    </cfRule>
    <cfRule type="containsText" dxfId="9364" priority="6700" operator="containsText" text="em andamento">
      <formula>NOT(ISERROR(SEARCH("em andamento",P342)))</formula>
    </cfRule>
    <cfRule type="containsText" dxfId="9363" priority="6701" operator="containsText" text="Lançado">
      <formula>NOT(ISERROR(SEARCH("Lançado",P342)))</formula>
    </cfRule>
    <cfRule type="containsText" dxfId="9362" priority="6709" operator="containsText" text="Finalizado">
      <formula>NOT(ISERROR(SEARCH("Finalizado",P342)))</formula>
    </cfRule>
    <cfRule type="containsText" dxfId="9361" priority="6710" operator="containsText" text="em andamento">
      <formula>NOT(ISERROR(SEARCH("em andamento",P342)))</formula>
    </cfRule>
    <cfRule type="containsText" dxfId="9360" priority="6707" operator="containsText" text="N/A">
      <formula>NOT(ISERROR(SEARCH("N/A",P342)))</formula>
    </cfRule>
    <cfRule type="containsText" dxfId="9359" priority="6702" operator="containsText" text="N/A">
      <formula>NOT(ISERROR(SEARCH("N/A",P342)))</formula>
    </cfRule>
    <cfRule type="containsText" dxfId="9358" priority="6706" operator="containsText" text="Lançado">
      <formula>NOT(ISERROR(SEARCH("Lançado",P342)))</formula>
    </cfRule>
    <cfRule type="containsText" dxfId="9357" priority="6703" operator="containsText" text="Pendente">
      <formula>NOT(ISERROR(SEARCH("Pendente",P342)))</formula>
    </cfRule>
    <cfRule type="containsText" dxfId="9356" priority="6698" operator="containsText" text="Pendente">
      <formula>NOT(ISERROR(SEARCH("Pendente",P342)))</formula>
    </cfRule>
    <cfRule type="containsText" dxfId="9355" priority="6705" operator="containsText" text="em andamento">
      <formula>NOT(ISERROR(SEARCH("em andamento",P342)))</formula>
    </cfRule>
  </conditionalFormatting>
  <conditionalFormatting sqref="P343">
    <cfRule type="containsText" dxfId="9354" priority="19562" operator="containsText" text="em andamento">
      <formula>NOT(ISERROR(SEARCH("em andamento",P343)))</formula>
    </cfRule>
    <cfRule type="containsText" dxfId="9353" priority="19563" operator="containsText" text="Lançado">
      <formula>NOT(ISERROR(SEARCH("Lançado",P343)))</formula>
    </cfRule>
    <cfRule type="containsText" dxfId="9352" priority="19564" operator="containsText" text="N/A">
      <formula>NOT(ISERROR(SEARCH("N/A",P343)))</formula>
    </cfRule>
    <cfRule type="containsText" dxfId="9351" priority="19565" operator="containsText" text="Pendente">
      <formula>NOT(ISERROR(SEARCH("Pendente",P343)))</formula>
    </cfRule>
    <cfRule type="containsText" dxfId="9350" priority="19566" operator="containsText" text="Finalizado">
      <formula>NOT(ISERROR(SEARCH("Finalizado",P343)))</formula>
    </cfRule>
    <cfRule type="containsText" dxfId="9349" priority="19567" operator="containsText" text="em andamento">
      <formula>NOT(ISERROR(SEARCH("em andamento",P343)))</formula>
    </cfRule>
    <cfRule type="containsText" dxfId="9348" priority="19568" operator="containsText" text="Lançado">
      <formula>NOT(ISERROR(SEARCH("Lançado",P343)))</formula>
    </cfRule>
    <cfRule type="containsText" dxfId="9347" priority="19569" operator="containsText" text="N/A">
      <formula>NOT(ISERROR(SEARCH("N/A",P343)))</formula>
    </cfRule>
    <cfRule type="containsText" dxfId="9346" priority="19571" operator="containsText" text="Finalizado">
      <formula>NOT(ISERROR(SEARCH("Finalizado",P343)))</formula>
    </cfRule>
    <cfRule type="containsText" dxfId="9345" priority="19560" operator="containsText" text="Pendente">
      <formula>NOT(ISERROR(SEARCH("Pendente",P343)))</formula>
    </cfRule>
    <cfRule type="containsText" dxfId="9344" priority="19572" operator="containsText" text="em andamento">
      <formula>NOT(ISERROR(SEARCH("em andamento",P343)))</formula>
    </cfRule>
    <cfRule type="containsText" dxfId="9343" priority="19573" operator="containsText" text="N/A">
      <formula>NOT(ISERROR(SEARCH("N/A",P343)))</formula>
    </cfRule>
    <cfRule type="containsText" dxfId="9342" priority="19574" operator="containsText" text="Lançado">
      <formula>NOT(ISERROR(SEARCH("Lançado",P343)))</formula>
    </cfRule>
    <cfRule type="containsText" dxfId="9341" priority="19570" operator="containsText" text="Pendente">
      <formula>NOT(ISERROR(SEARCH("Pendente",P343)))</formula>
    </cfRule>
    <cfRule type="containsText" dxfId="9340" priority="19561" operator="containsText" text="Finalizado">
      <formula>NOT(ISERROR(SEARCH("Finalizado",P343)))</formula>
    </cfRule>
  </conditionalFormatting>
  <conditionalFormatting sqref="P345">
    <cfRule type="containsText" dxfId="9339" priority="6723" operator="containsText" text="N/A">
      <formula>NOT(ISERROR(SEARCH("N/A",P345)))</formula>
    </cfRule>
    <cfRule type="containsText" dxfId="9338" priority="6724" operator="containsText" text="Pendente">
      <formula>NOT(ISERROR(SEARCH("Pendente",P345)))</formula>
    </cfRule>
    <cfRule type="containsText" dxfId="9337" priority="6725" operator="containsText" text="Finalizado">
      <formula>NOT(ISERROR(SEARCH("Finalizado",P345)))</formula>
    </cfRule>
    <cfRule type="containsText" dxfId="9336" priority="6726" operator="containsText" text="em andamento">
      <formula>NOT(ISERROR(SEARCH("em andamento",P345)))</formula>
    </cfRule>
    <cfRule type="containsText" dxfId="9335" priority="6727" operator="containsText" text="Lançado">
      <formula>NOT(ISERROR(SEARCH("Lançado",P345)))</formula>
    </cfRule>
    <cfRule type="containsText" dxfId="9334" priority="6728" operator="containsText" text="N/A">
      <formula>NOT(ISERROR(SEARCH("N/A",P345)))</formula>
    </cfRule>
    <cfRule type="containsText" dxfId="9333" priority="6730" operator="containsText" text="Finalizado">
      <formula>NOT(ISERROR(SEARCH("Finalizado",P345)))</formula>
    </cfRule>
    <cfRule type="containsText" dxfId="9332" priority="6731" operator="containsText" text="em andamento">
      <formula>NOT(ISERROR(SEARCH("em andamento",P345)))</formula>
    </cfRule>
    <cfRule type="expression" dxfId="9331" priority="6732">
      <formula>$H345="SUBETAPA"</formula>
    </cfRule>
    <cfRule type="expression" dxfId="9330" priority="6719">
      <formula>$H345="SUBETAPA"</formula>
    </cfRule>
    <cfRule type="expression" dxfId="9329" priority="6720">
      <formula>$H345="CÉLULA CONSTRUTIVA"</formula>
    </cfRule>
    <cfRule type="expression" dxfId="9328" priority="6733">
      <formula>$H345="CÉLULA CONSTRUTIVA"</formula>
    </cfRule>
    <cfRule type="expression" dxfId="9327" priority="6734">
      <formula>$H345="ETAPA"</formula>
    </cfRule>
    <cfRule type="containsText" dxfId="9326" priority="6735" operator="containsText" text="Pendente">
      <formula>NOT(ISERROR(SEARCH("Pendente",P345)))</formula>
    </cfRule>
    <cfRule type="containsText" dxfId="9325" priority="6736" operator="containsText" text="Finalizado">
      <formula>NOT(ISERROR(SEARCH("Finalizado",P345)))</formula>
    </cfRule>
    <cfRule type="containsText" dxfId="9324" priority="6737" operator="containsText" text="em andamento">
      <formula>NOT(ISERROR(SEARCH("em andamento",P345)))</formula>
    </cfRule>
    <cfRule type="expression" dxfId="9323" priority="6721">
      <formula>$H345="ETAPA"</formula>
    </cfRule>
    <cfRule type="containsText" dxfId="9322" priority="6722" operator="containsText" text="Lançado">
      <formula>NOT(ISERROR(SEARCH("Lançado",P345)))</formula>
    </cfRule>
    <cfRule type="containsText" dxfId="9321" priority="6729" operator="containsText" text="Pendente">
      <formula>NOT(ISERROR(SEARCH("Pendente",P345)))</formula>
    </cfRule>
    <cfRule type="containsText" dxfId="9320" priority="6739" operator="containsText" text="N/A">
      <formula>NOT(ISERROR(SEARCH("N/A",P345)))</formula>
    </cfRule>
    <cfRule type="containsText" dxfId="9319" priority="6738" operator="containsText" text="Lançado">
      <formula>NOT(ISERROR(SEARCH("Lançado",P345)))</formula>
    </cfRule>
  </conditionalFormatting>
  <conditionalFormatting sqref="P346">
    <cfRule type="containsText" dxfId="9318" priority="7120" operator="containsText" text="Pendente">
      <formula>NOT(ISERROR(SEARCH("Pendente",P346)))</formula>
    </cfRule>
    <cfRule type="containsText" dxfId="9317" priority="7116" operator="containsText" text="N/A">
      <formula>NOT(ISERROR(SEARCH("N/A",P346)))</formula>
    </cfRule>
    <cfRule type="containsText" dxfId="9316" priority="7115" operator="containsText" text="Lançado">
      <formula>NOT(ISERROR(SEARCH("Lançado",P346)))</formula>
    </cfRule>
    <cfRule type="expression" dxfId="9315" priority="7114">
      <formula>$H346="ETAPA"</formula>
    </cfRule>
    <cfRule type="expression" dxfId="9314" priority="7113">
      <formula>$H346="CÉLULA CONSTRUTIVA"</formula>
    </cfRule>
    <cfRule type="containsText" dxfId="9313" priority="7122" operator="containsText" text="em andamento">
      <formula>NOT(ISERROR(SEARCH("em andamento",P346)))</formula>
    </cfRule>
    <cfRule type="containsText" dxfId="9312" priority="7121" operator="containsText" text="Finalizado">
      <formula>NOT(ISERROR(SEARCH("Finalizado",P346)))</formula>
    </cfRule>
  </conditionalFormatting>
  <conditionalFormatting sqref="P349 O351:P351">
    <cfRule type="expression" dxfId="9311" priority="7087">
      <formula>$H349="CÉLULA CONSTRUTIVA"</formula>
    </cfRule>
  </conditionalFormatting>
  <conditionalFormatting sqref="P349 P351">
    <cfRule type="containsText" dxfId="9310" priority="7093" operator="containsText" text="em andamento">
      <formula>NOT(ISERROR(SEARCH("em andamento",P349)))</formula>
    </cfRule>
    <cfRule type="containsText" dxfId="9309" priority="7092" operator="containsText" text="Finalizado">
      <formula>NOT(ISERROR(SEARCH("Finalizado",P349)))</formula>
    </cfRule>
    <cfRule type="containsText" dxfId="9308" priority="7091" operator="containsText" text="Pendente">
      <formula>NOT(ISERROR(SEARCH("Pendente",P349)))</formula>
    </cfRule>
    <cfRule type="containsText" dxfId="9307" priority="7089" operator="containsText" text="Lançado">
      <formula>NOT(ISERROR(SEARCH("Lançado",P349)))</formula>
    </cfRule>
  </conditionalFormatting>
  <conditionalFormatting sqref="P349">
    <cfRule type="expression" dxfId="9306" priority="7088">
      <formula>$H349="ETAPA"</formula>
    </cfRule>
    <cfRule type="containsText" dxfId="9305" priority="7090" operator="containsText" text="N/A">
      <formula>NOT(ISERROR(SEARCH("N/A",P349)))</formula>
    </cfRule>
  </conditionalFormatting>
  <conditionalFormatting sqref="P350">
    <cfRule type="containsText" dxfId="9304" priority="7011" operator="containsText" text="Pendente">
      <formula>NOT(ISERROR(SEARCH("Pendente",P350)))</formula>
    </cfRule>
    <cfRule type="containsText" dxfId="9303" priority="7012" operator="containsText" text="Finalizado">
      <formula>NOT(ISERROR(SEARCH("Finalizado",P350)))</formula>
    </cfRule>
    <cfRule type="containsText" dxfId="9302" priority="7013" operator="containsText" text="em andamento">
      <formula>NOT(ISERROR(SEARCH("em andamento",P350)))</formula>
    </cfRule>
    <cfRule type="containsText" dxfId="9301" priority="7009" operator="containsText" text="Lançado">
      <formula>NOT(ISERROR(SEARCH("Lançado",P350)))</formula>
    </cfRule>
    <cfRule type="containsText" dxfId="9300" priority="7010" operator="containsText" text="N/A">
      <formula>NOT(ISERROR(SEARCH("N/A",P350)))</formula>
    </cfRule>
    <cfRule type="containsText" dxfId="9299" priority="7004" operator="containsText" text="Lançado">
      <formula>NOT(ISERROR(SEARCH("Lançado",P350)))</formula>
    </cfRule>
    <cfRule type="containsText" dxfId="9298" priority="7003" operator="containsText" text="em andamento">
      <formula>NOT(ISERROR(SEARCH("em andamento",P350)))</formula>
    </cfRule>
    <cfRule type="containsText" dxfId="9297" priority="7008" operator="containsText" text="em andamento">
      <formula>NOT(ISERROR(SEARCH("em andamento",P350)))</formula>
    </cfRule>
    <cfRule type="containsText" dxfId="9296" priority="7002" operator="containsText" text="Finalizado">
      <formula>NOT(ISERROR(SEARCH("Finalizado",P350)))</formula>
    </cfRule>
    <cfRule type="containsText" dxfId="9295" priority="7001" operator="containsText" text="Pendente">
      <formula>NOT(ISERROR(SEARCH("Pendente",P350)))</formula>
    </cfRule>
    <cfRule type="containsText" dxfId="9294" priority="7000" operator="containsText" text="N/A">
      <formula>NOT(ISERROR(SEARCH("N/A",P350)))</formula>
    </cfRule>
    <cfRule type="containsText" dxfId="9293" priority="6999" operator="containsText" text="Lançado">
      <formula>NOT(ISERROR(SEARCH("Lançado",P350)))</formula>
    </cfRule>
    <cfRule type="containsText" dxfId="9292" priority="7006" operator="containsText" text="Pendente">
      <formula>NOT(ISERROR(SEARCH("Pendente",P350)))</formula>
    </cfRule>
    <cfRule type="containsText" dxfId="9291" priority="7007" operator="containsText" text="Finalizado">
      <formula>NOT(ISERROR(SEARCH("Finalizado",P350)))</formula>
    </cfRule>
    <cfRule type="containsText" dxfId="9290" priority="7005" operator="containsText" text="N/A">
      <formula>NOT(ISERROR(SEARCH("N/A",P350)))</formula>
    </cfRule>
    <cfRule type="expression" dxfId="9289" priority="7110">
      <formula>$H350="SUBETAPA"</formula>
    </cfRule>
    <cfRule type="expression" dxfId="9288" priority="7111">
      <formula>$H350="CÉLULA CONSTRUTIVA"</formula>
    </cfRule>
    <cfRule type="expression" dxfId="9287" priority="7112">
      <formula>$H350="ETAPA"</formula>
    </cfRule>
  </conditionalFormatting>
  <conditionalFormatting sqref="P351:P352 M352:O352">
    <cfRule type="expression" dxfId="9286" priority="7105">
      <formula>$H351="CÉLULA CONSTRUTIVA"</formula>
    </cfRule>
  </conditionalFormatting>
  <conditionalFormatting sqref="P354">
    <cfRule type="expression" dxfId="9285" priority="6925">
      <formula>$H354="ETAPA"</formula>
    </cfRule>
    <cfRule type="containsText" dxfId="9284" priority="6932" operator="containsText" text="Finalizado">
      <formula>NOT(ISERROR(SEARCH("Finalizado",P354)))</formula>
    </cfRule>
    <cfRule type="containsText" dxfId="9283" priority="6933" operator="containsText" text="em andamento">
      <formula>NOT(ISERROR(SEARCH("em andamento",P354)))</formula>
    </cfRule>
    <cfRule type="containsText" dxfId="9282" priority="6927" operator="containsText" text="N/A">
      <formula>NOT(ISERROR(SEARCH("N/A",P354)))</formula>
    </cfRule>
    <cfRule type="expression" dxfId="9281" priority="6924">
      <formula>$H354="CÉLULA CONSTRUTIVA"</formula>
    </cfRule>
    <cfRule type="containsText" dxfId="9280" priority="6926" operator="containsText" text="Lançado">
      <formula>NOT(ISERROR(SEARCH("Lançado",P354)))</formula>
    </cfRule>
    <cfRule type="containsText" dxfId="9279" priority="6931" operator="containsText" text="Pendente">
      <formula>NOT(ISERROR(SEARCH("Pendente",P354)))</formula>
    </cfRule>
  </conditionalFormatting>
  <conditionalFormatting sqref="P355:P356">
    <cfRule type="expression" dxfId="9278" priority="6963">
      <formula>$H355="CÉLULA CONSTRUTIVA"</formula>
    </cfRule>
    <cfRule type="containsText" dxfId="9277" priority="6957" operator="containsText" text="Lançado">
      <formula>NOT(ISERROR(SEARCH("Lançado",P355)))</formula>
    </cfRule>
    <cfRule type="containsText" dxfId="9276" priority="6961" operator="containsText" text="em andamento">
      <formula>NOT(ISERROR(SEARCH("em andamento",P355)))</formula>
    </cfRule>
    <cfRule type="containsText" dxfId="9275" priority="6960" operator="containsText" text="Finalizado">
      <formula>NOT(ISERROR(SEARCH("Finalizado",P355)))</formula>
    </cfRule>
    <cfRule type="containsText" dxfId="9274" priority="6959" operator="containsText" text="Pendente">
      <formula>NOT(ISERROR(SEARCH("Pendente",P355)))</formula>
    </cfRule>
    <cfRule type="expression" dxfId="9273" priority="6964">
      <formula>$H355="ETAPA"</formula>
    </cfRule>
    <cfRule type="containsText" dxfId="9272" priority="6958" operator="containsText" text="N/A">
      <formula>NOT(ISERROR(SEARCH("N/A",P355)))</formula>
    </cfRule>
  </conditionalFormatting>
  <conditionalFormatting sqref="P356">
    <cfRule type="containsText" dxfId="9271" priority="6951" operator="containsText" text="Lançado">
      <formula>NOT(ISERROR(SEARCH("Lançado",P356)))</formula>
    </cfRule>
    <cfRule type="containsText" dxfId="9270" priority="6952" operator="containsText" text="N/A">
      <formula>NOT(ISERROR(SEARCH("N/A",P356)))</formula>
    </cfRule>
    <cfRule type="containsText" dxfId="9269" priority="6965" operator="containsText" text="N/A">
      <formula>NOT(ISERROR(SEARCH("N/A",P356)))</formula>
    </cfRule>
    <cfRule type="containsText" dxfId="9268" priority="6953" operator="containsText" text="Pendente">
      <formula>NOT(ISERROR(SEARCH("Pendente",P356)))</formula>
    </cfRule>
    <cfRule type="containsText" dxfId="9267" priority="6954" operator="containsText" text="Finalizado">
      <formula>NOT(ISERROR(SEARCH("Finalizado",P356)))</formula>
    </cfRule>
    <cfRule type="containsText" dxfId="9266" priority="6955" operator="containsText" text="em andamento">
      <formula>NOT(ISERROR(SEARCH("em andamento",P356)))</formula>
    </cfRule>
    <cfRule type="expression" dxfId="9265" priority="6956">
      <formula>$H356="SUBETAPA"</formula>
    </cfRule>
    <cfRule type="containsText" dxfId="9264" priority="6949" operator="containsText" text="Finalizado">
      <formula>NOT(ISERROR(SEARCH("Finalizado",P356)))</formula>
    </cfRule>
    <cfRule type="expression" dxfId="9263" priority="6946">
      <formula>$H356="SUBETAPA"</formula>
    </cfRule>
    <cfRule type="containsText" dxfId="9262" priority="6947" operator="containsText" text="Lançado">
      <formula>NOT(ISERROR(SEARCH("Lançado",P356)))</formula>
    </cfRule>
    <cfRule type="containsText" dxfId="9261" priority="6948" operator="containsText" text="Pendente">
      <formula>NOT(ISERROR(SEARCH("Pendente",P356)))</formula>
    </cfRule>
    <cfRule type="containsText" dxfId="9260" priority="6950" operator="containsText" text="em andamento">
      <formula>NOT(ISERROR(SEARCH("em andamento",P356)))</formula>
    </cfRule>
  </conditionalFormatting>
  <conditionalFormatting sqref="P357">
    <cfRule type="containsText" dxfId="9259" priority="6912" operator="containsText" text="Pendente">
      <formula>NOT(ISERROR(SEARCH("Pendente",P357)))</formula>
    </cfRule>
    <cfRule type="containsText" dxfId="9258" priority="6914" operator="containsText" text="em andamento">
      <formula>NOT(ISERROR(SEARCH("em andamento",P357)))</formula>
    </cfRule>
    <cfRule type="containsText" dxfId="9257" priority="6913" operator="containsText" text="Finalizado">
      <formula>NOT(ISERROR(SEARCH("Finalizado",P357)))</formula>
    </cfRule>
    <cfRule type="containsText" dxfId="9256" priority="6910" operator="containsText" text="Lançado">
      <formula>NOT(ISERROR(SEARCH("Lançado",P357)))</formula>
    </cfRule>
    <cfRule type="containsText" dxfId="9255" priority="6911" operator="containsText" text="N/A">
      <formula>NOT(ISERROR(SEARCH("N/A",P357)))</formula>
    </cfRule>
  </conditionalFormatting>
  <conditionalFormatting sqref="P358">
    <cfRule type="containsText" dxfId="9254" priority="6872" operator="containsText" text="Lançado">
      <formula>NOT(ISERROR(SEARCH("Lançado",P358)))</formula>
    </cfRule>
    <cfRule type="containsText" dxfId="9253" priority="6869" operator="containsText" text="Pendente">
      <formula>NOT(ISERROR(SEARCH("Pendente",P358)))</formula>
    </cfRule>
    <cfRule type="containsText" dxfId="9252" priority="6870" operator="containsText" text="Finalizado">
      <formula>NOT(ISERROR(SEARCH("Finalizado",P358)))</formula>
    </cfRule>
    <cfRule type="containsText" dxfId="9251" priority="6871" operator="containsText" text="em andamento">
      <formula>NOT(ISERROR(SEARCH("em andamento",P358)))</formula>
    </cfRule>
    <cfRule type="containsText" dxfId="9250" priority="6873" operator="containsText" text="N/A">
      <formula>NOT(ISERROR(SEARCH("N/A",P358)))</formula>
    </cfRule>
    <cfRule type="containsText" dxfId="9249" priority="6874" operator="containsText" text="Pendente">
      <formula>NOT(ISERROR(SEARCH("Pendente",P358)))</formula>
    </cfRule>
    <cfRule type="containsText" dxfId="9248" priority="6875" operator="containsText" text="Finalizado">
      <formula>NOT(ISERROR(SEARCH("Finalizado",P358)))</formula>
    </cfRule>
    <cfRule type="containsText" dxfId="9247" priority="6876" operator="containsText" text="em andamento">
      <formula>NOT(ISERROR(SEARCH("em andamento",P358)))</formula>
    </cfRule>
    <cfRule type="containsText" dxfId="9246" priority="6880" operator="containsText" text="Lançado">
      <formula>NOT(ISERROR(SEARCH("Lançado",P358)))</formula>
    </cfRule>
    <cfRule type="containsText" dxfId="9245" priority="6881" operator="containsText" text="N/A">
      <formula>NOT(ISERROR(SEARCH("N/A",P358)))</formula>
    </cfRule>
    <cfRule type="containsText" dxfId="9244" priority="6883" operator="containsText" text="Finalizado">
      <formula>NOT(ISERROR(SEARCH("Finalizado",P358)))</formula>
    </cfRule>
    <cfRule type="containsText" dxfId="9243" priority="6884" operator="containsText" text="em andamento">
      <formula>NOT(ISERROR(SEARCH("em andamento",P358)))</formula>
    </cfRule>
    <cfRule type="containsText" dxfId="9242" priority="6882" operator="containsText" text="Pendente">
      <formula>NOT(ISERROR(SEARCH("Pendente",P358)))</formula>
    </cfRule>
    <cfRule type="containsText" dxfId="9241" priority="6867" operator="containsText" text="Lançado">
      <formula>NOT(ISERROR(SEARCH("Lançado",P358)))</formula>
    </cfRule>
    <cfRule type="containsText" dxfId="9240" priority="6868" operator="containsText" text="N/A">
      <formula>NOT(ISERROR(SEARCH("N/A",P358)))</formula>
    </cfRule>
  </conditionalFormatting>
  <conditionalFormatting sqref="P359">
    <cfRule type="containsText" dxfId="9239" priority="6900" operator="containsText" text="Lançado">
      <formula>NOT(ISERROR(SEARCH("Lançado",P359)))</formula>
    </cfRule>
    <cfRule type="containsText" dxfId="9238" priority="6902" operator="containsText" text="Pendente">
      <formula>NOT(ISERROR(SEARCH("Pendente",P359)))</formula>
    </cfRule>
    <cfRule type="containsText" dxfId="9237" priority="6903" operator="containsText" text="Finalizado">
      <formula>NOT(ISERROR(SEARCH("Finalizado",P359)))</formula>
    </cfRule>
    <cfRule type="containsText" dxfId="9236" priority="6904" operator="containsText" text="em andamento">
      <formula>NOT(ISERROR(SEARCH("em andamento",P359)))</formula>
    </cfRule>
  </conditionalFormatting>
  <conditionalFormatting sqref="P359:P360 M360:O360">
    <cfRule type="expression" dxfId="9235" priority="6916">
      <formula>$H359="CÉLULA CONSTRUTIVA"</formula>
    </cfRule>
  </conditionalFormatting>
  <conditionalFormatting sqref="P359:P361">
    <cfRule type="containsText" dxfId="9234" priority="6901" operator="containsText" text="N/A">
      <formula>NOT(ISERROR(SEARCH("N/A",P359)))</formula>
    </cfRule>
  </conditionalFormatting>
  <conditionalFormatting sqref="P360:P361">
    <cfRule type="containsText" dxfId="9233" priority="6885" operator="containsText" text="N/A">
      <formula>NOT(ISERROR(SEARCH("N/A",P360)))</formula>
    </cfRule>
    <cfRule type="containsText" dxfId="9232" priority="6821" operator="containsText" text="Lançado">
      <formula>NOT(ISERROR(SEARCH("Lançado",P360)))</formula>
    </cfRule>
    <cfRule type="containsText" dxfId="9231" priority="6822" operator="containsText" text="Pendente">
      <formula>NOT(ISERROR(SEARCH("Pendente",P360)))</formula>
    </cfRule>
    <cfRule type="containsText" dxfId="9230" priority="6824" operator="containsText" text="em andamento">
      <formula>NOT(ISERROR(SEARCH("em andamento",P360)))</formula>
    </cfRule>
    <cfRule type="containsText" dxfId="9229" priority="6817" operator="containsText" text="Lançado">
      <formula>NOT(ISERROR(SEARCH("Lançado",P360)))</formula>
    </cfRule>
    <cfRule type="containsText" dxfId="9228" priority="6819" operator="containsText" text="Finalizado">
      <formula>NOT(ISERROR(SEARCH("Finalizado",P360)))</formula>
    </cfRule>
    <cfRule type="containsText" dxfId="9227" priority="6915" operator="containsText" text="Lançado">
      <formula>NOT(ISERROR(SEARCH("Lançado",P360)))</formula>
    </cfRule>
    <cfRule type="containsText" dxfId="9226" priority="6816" operator="containsText" text="em andamento">
      <formula>NOT(ISERROR(SEARCH("em andamento",P360)))</formula>
    </cfRule>
    <cfRule type="containsText" dxfId="9225" priority="6823" operator="containsText" text="Finalizado">
      <formula>NOT(ISERROR(SEARCH("Finalizado",P360)))</formula>
    </cfRule>
    <cfRule type="containsText" dxfId="9224" priority="6815" operator="containsText" text="Finalizado">
      <formula>NOT(ISERROR(SEARCH("Finalizado",P360)))</formula>
    </cfRule>
    <cfRule type="containsText" dxfId="9223" priority="6814" operator="containsText" text="Pendente">
      <formula>NOT(ISERROR(SEARCH("Pendente",P360)))</formula>
    </cfRule>
    <cfRule type="containsText" dxfId="9222" priority="6818" operator="containsText" text="Pendente">
      <formula>NOT(ISERROR(SEARCH("Pendente",P360)))</formula>
    </cfRule>
    <cfRule type="containsText" dxfId="9221" priority="6820" operator="containsText" text="em andamento">
      <formula>NOT(ISERROR(SEARCH("em andamento",P360)))</formula>
    </cfRule>
  </conditionalFormatting>
  <conditionalFormatting sqref="P362:P363">
    <cfRule type="containsText" dxfId="9220" priority="19371" operator="containsText" text="Finalizado">
      <formula>NOT(ISERROR(SEARCH("Finalizado",P362)))</formula>
    </cfRule>
    <cfRule type="containsText" dxfId="9219" priority="19370" operator="containsText" text="Pendente">
      <formula>NOT(ISERROR(SEARCH("Pendente",P362)))</formula>
    </cfRule>
    <cfRule type="containsText" dxfId="9218" priority="19372" operator="containsText" text="em andamento">
      <formula>NOT(ISERROR(SEARCH("em andamento",P362)))</formula>
    </cfRule>
  </conditionalFormatting>
  <conditionalFormatting sqref="P362:P364">
    <cfRule type="containsText" dxfId="9217" priority="19345" operator="containsText" text="N/A">
      <formula>NOT(ISERROR(SEARCH("N/A",P362)))</formula>
    </cfRule>
    <cfRule type="containsText" dxfId="9216" priority="19344" operator="containsText" text="Lançado">
      <formula>NOT(ISERROR(SEARCH("Lançado",P362)))</formula>
    </cfRule>
    <cfRule type="expression" dxfId="9215" priority="19342">
      <formula>$H362="CÉLULA CONSTRUTIVA"</formula>
    </cfRule>
    <cfRule type="expression" dxfId="9214" priority="19343">
      <formula>$H362="ETAPA"</formula>
    </cfRule>
  </conditionalFormatting>
  <conditionalFormatting sqref="P364">
    <cfRule type="containsText" dxfId="9213" priority="19427" operator="containsText" text="N/A">
      <formula>NOT(ISERROR(SEARCH("N/A",P364)))</formula>
    </cfRule>
    <cfRule type="containsText" dxfId="9212" priority="19426" operator="containsText" text="Lançado">
      <formula>NOT(ISERROR(SEARCH("Lançado",P364)))</formula>
    </cfRule>
    <cfRule type="containsText" dxfId="9211" priority="19424" operator="containsText" text="Finalizado">
      <formula>NOT(ISERROR(SEARCH("Finalizado",P364)))</formula>
    </cfRule>
    <cfRule type="containsText" dxfId="9210" priority="19423" operator="containsText" text="Pendente">
      <formula>NOT(ISERROR(SEARCH("Pendente",P364)))</formula>
    </cfRule>
    <cfRule type="containsText" dxfId="9209" priority="19422" operator="containsText" text="N/A">
      <formula>NOT(ISERROR(SEARCH("N/A",P364)))</formula>
    </cfRule>
    <cfRule type="containsText" dxfId="9208" priority="19421" operator="containsText" text="Lançado">
      <formula>NOT(ISERROR(SEARCH("Lançado",P364)))</formula>
    </cfRule>
    <cfRule type="expression" dxfId="9207" priority="19420">
      <formula>$H364="ETAPA"</formula>
    </cfRule>
    <cfRule type="expression" dxfId="9206" priority="19419">
      <formula>$H364="CÉLULA CONSTRUTIVA"</formula>
    </cfRule>
    <cfRule type="containsText" dxfId="9205" priority="19432" operator="containsText" text="Pendente">
      <formula>NOT(ISERROR(SEARCH("Pendente",P364)))</formula>
    </cfRule>
    <cfRule type="expression" dxfId="9204" priority="19418">
      <formula>$H364="SUBETAPA"</formula>
    </cfRule>
    <cfRule type="containsText" dxfId="9203" priority="19425" operator="containsText" text="em andamento">
      <formula>NOT(ISERROR(SEARCH("em andamento",P364)))</formula>
    </cfRule>
    <cfRule type="containsText" dxfId="9202" priority="19434" operator="containsText" text="em andamento">
      <formula>NOT(ISERROR(SEARCH("em andamento",P364)))</formula>
    </cfRule>
    <cfRule type="containsText" dxfId="9201" priority="19433" operator="containsText" text="Finalizado">
      <formula>NOT(ISERROR(SEARCH("Finalizado",P364)))</formula>
    </cfRule>
    <cfRule type="expression" dxfId="9200" priority="19431">
      <formula>$H364="SUBETAPA"</formula>
    </cfRule>
    <cfRule type="containsText" dxfId="9199" priority="19430" operator="containsText" text="em andamento">
      <formula>NOT(ISERROR(SEARCH("em andamento",P364)))</formula>
    </cfRule>
    <cfRule type="containsText" dxfId="9198" priority="19429" operator="containsText" text="Finalizado">
      <formula>NOT(ISERROR(SEARCH("Finalizado",P364)))</formula>
    </cfRule>
    <cfRule type="containsText" dxfId="9197" priority="19428" operator="containsText" text="Pendente">
      <formula>NOT(ISERROR(SEARCH("Pendente",P364)))</formula>
    </cfRule>
  </conditionalFormatting>
  <conditionalFormatting sqref="P365">
    <cfRule type="containsText" dxfId="9196" priority="19259" operator="containsText" text="N/A">
      <formula>NOT(ISERROR(SEARCH("N/A",P365)))</formula>
    </cfRule>
    <cfRule type="containsText" dxfId="9195" priority="19258" operator="containsText" text="Lançado">
      <formula>NOT(ISERROR(SEARCH("Lançado",P365)))</formula>
    </cfRule>
    <cfRule type="containsText" dxfId="9194" priority="19255" operator="containsText" text="Pendente">
      <formula>NOT(ISERROR(SEARCH("Pendente",P365)))</formula>
    </cfRule>
    <cfRule type="containsText" dxfId="9193" priority="19257" operator="containsText" text="em andamento">
      <formula>NOT(ISERROR(SEARCH("em andamento",P365)))</formula>
    </cfRule>
    <cfRule type="expression" dxfId="9192" priority="19254">
      <formula>$H365="SUBETAPA"</formula>
    </cfRule>
    <cfRule type="containsText" dxfId="9191" priority="19253" operator="containsText" text="em andamento">
      <formula>NOT(ISERROR(SEARCH("em andamento",P365)))</formula>
    </cfRule>
    <cfRule type="containsText" dxfId="9190" priority="19252" operator="containsText" text="Finalizado">
      <formula>NOT(ISERROR(SEARCH("Finalizado",P365)))</formula>
    </cfRule>
    <cfRule type="containsText" dxfId="9189" priority="19251" operator="containsText" text="Pendente">
      <formula>NOT(ISERROR(SEARCH("Pendente",P365)))</formula>
    </cfRule>
    <cfRule type="containsText" dxfId="9188" priority="19250" operator="containsText" text="N/A">
      <formula>NOT(ISERROR(SEARCH("N/A",P365)))</formula>
    </cfRule>
    <cfRule type="containsText" dxfId="9187" priority="19244" operator="containsText" text="Lançado">
      <formula>NOT(ISERROR(SEARCH("Lançado",P365)))</formula>
    </cfRule>
    <cfRule type="containsText" dxfId="9186" priority="19256" operator="containsText" text="Finalizado">
      <formula>NOT(ISERROR(SEARCH("Finalizado",P365)))</formula>
    </cfRule>
    <cfRule type="containsText" dxfId="9185" priority="19249" operator="containsText" text="Lançado">
      <formula>NOT(ISERROR(SEARCH("Lançado",P365)))</formula>
    </cfRule>
    <cfRule type="expression" dxfId="9184" priority="19243">
      <formula>$H365="SUBETAPA"</formula>
    </cfRule>
    <cfRule type="containsText" dxfId="9183" priority="19245" operator="containsText" text="N/A">
      <formula>NOT(ISERROR(SEARCH("N/A",P365)))</formula>
    </cfRule>
    <cfRule type="containsText" dxfId="9182" priority="19246" operator="containsText" text="Pendente">
      <formula>NOT(ISERROR(SEARCH("Pendente",P365)))</formula>
    </cfRule>
    <cfRule type="containsText" dxfId="9181" priority="19247" operator="containsText" text="Finalizado">
      <formula>NOT(ISERROR(SEARCH("Finalizado",P365)))</formula>
    </cfRule>
    <cfRule type="containsText" dxfId="9180" priority="19248" operator="containsText" text="em andamento">
      <formula>NOT(ISERROR(SEARCH("em andamento",P365)))</formula>
    </cfRule>
  </conditionalFormatting>
  <conditionalFormatting sqref="P366">
    <cfRule type="containsText" dxfId="9179" priority="19380" operator="containsText" text="N/A">
      <formula>NOT(ISERROR(SEARCH("N/A",P366)))</formula>
    </cfRule>
    <cfRule type="containsText" dxfId="9178" priority="19379" operator="containsText" text="Lançado">
      <formula>NOT(ISERROR(SEARCH("Lançado",P366)))</formula>
    </cfRule>
    <cfRule type="containsText" dxfId="9177" priority="19381" operator="containsText" text="Pendente">
      <formula>NOT(ISERROR(SEARCH("Pendente",P366)))</formula>
    </cfRule>
    <cfRule type="containsText" dxfId="9176" priority="19383" operator="containsText" text="em andamento">
      <formula>NOT(ISERROR(SEARCH("em andamento",P366)))</formula>
    </cfRule>
    <cfRule type="containsText" dxfId="9175" priority="19382" operator="containsText" text="Finalizado">
      <formula>NOT(ISERROR(SEARCH("Finalizado",P366)))</formula>
    </cfRule>
  </conditionalFormatting>
  <conditionalFormatting sqref="P367">
    <cfRule type="containsText" dxfId="9174" priority="19339" operator="containsText" text="Pendente">
      <formula>NOT(ISERROR(SEARCH("Pendente",P367)))</formula>
    </cfRule>
    <cfRule type="containsText" dxfId="9173" priority="19338" operator="containsText" text="N/A">
      <formula>NOT(ISERROR(SEARCH("N/A",P367)))</formula>
    </cfRule>
    <cfRule type="containsText" dxfId="9172" priority="19332" operator="containsText" text="Pendente">
      <formula>NOT(ISERROR(SEARCH("Pendente",P367)))</formula>
    </cfRule>
    <cfRule type="containsText" dxfId="9171" priority="19337" operator="containsText" text="Lançado">
      <formula>NOT(ISERROR(SEARCH("Lançado",P367)))</formula>
    </cfRule>
    <cfRule type="expression" dxfId="9170" priority="19336">
      <formula>$H367="ETAPA"</formula>
    </cfRule>
    <cfRule type="containsText" dxfId="9169" priority="19330" operator="containsText" text="Lançado">
      <formula>NOT(ISERROR(SEARCH("Lançado",P367)))</formula>
    </cfRule>
    <cfRule type="containsText" dxfId="9168" priority="19331" operator="containsText" text="N/A">
      <formula>NOT(ISERROR(SEARCH("N/A",P367)))</formula>
    </cfRule>
    <cfRule type="expression" dxfId="9167" priority="19435">
      <formula>$H367="SUBETAPA"</formula>
    </cfRule>
    <cfRule type="expression" dxfId="9166" priority="19335">
      <formula>$H367="CÉLULA CONSTRUTIVA"</formula>
    </cfRule>
    <cfRule type="containsText" dxfId="9165" priority="19329" operator="containsText" text="em andamento">
      <formula>NOT(ISERROR(SEARCH("em andamento",P367)))</formula>
    </cfRule>
    <cfRule type="containsText" dxfId="9164" priority="19325" operator="containsText" text="Lançado">
      <formula>NOT(ISERROR(SEARCH("Lançado",P367)))</formula>
    </cfRule>
    <cfRule type="containsText" dxfId="9163" priority="19341" operator="containsText" text="em andamento">
      <formula>NOT(ISERROR(SEARCH("em andamento",P367)))</formula>
    </cfRule>
    <cfRule type="containsText" dxfId="9162" priority="19327" operator="containsText" text="Pendente">
      <formula>NOT(ISERROR(SEARCH("Pendente",P367)))</formula>
    </cfRule>
    <cfRule type="containsText" dxfId="9161" priority="19326" operator="containsText" text="N/A">
      <formula>NOT(ISERROR(SEARCH("N/A",P367)))</formula>
    </cfRule>
    <cfRule type="containsText" dxfId="9160" priority="19340" operator="containsText" text="Finalizado">
      <formula>NOT(ISERROR(SEARCH("Finalizado",P367)))</formula>
    </cfRule>
    <cfRule type="expression" dxfId="9159" priority="19324">
      <formula>$H367="ETAPA"</formula>
    </cfRule>
    <cfRule type="containsText" dxfId="9158" priority="19333" operator="containsText" text="Finalizado">
      <formula>NOT(ISERROR(SEARCH("Finalizado",P367)))</formula>
    </cfRule>
    <cfRule type="containsText" dxfId="9157" priority="19334" operator="containsText" text="em andamento">
      <formula>NOT(ISERROR(SEARCH("em andamento",P367)))</formula>
    </cfRule>
    <cfRule type="expression" dxfId="9156" priority="19323">
      <formula>$H367="CÉLULA CONSTRUTIVA"</formula>
    </cfRule>
    <cfRule type="containsText" dxfId="9155" priority="19328" operator="containsText" text="Finalizado">
      <formula>NOT(ISERROR(SEARCH("Finalizado",P367)))</formula>
    </cfRule>
  </conditionalFormatting>
  <conditionalFormatting sqref="P368 P370 P1244 P1267 P1288">
    <cfRule type="containsText" dxfId="9154" priority="19369" operator="containsText" text="em andamento">
      <formula>NOT(ISERROR(SEARCH("em andamento",P368)))</formula>
    </cfRule>
    <cfRule type="containsText" dxfId="9153" priority="19365" operator="containsText" text="Lançado">
      <formula>NOT(ISERROR(SEARCH("Lançado",P368)))</formula>
    </cfRule>
    <cfRule type="containsText" dxfId="9152" priority="19366" operator="containsText" text="N/A">
      <formula>NOT(ISERROR(SEARCH("N/A",P368)))</formula>
    </cfRule>
  </conditionalFormatting>
  <conditionalFormatting sqref="P368 P370 P1267 P1288">
    <cfRule type="containsText" dxfId="9151" priority="19368" operator="containsText" text="Finalizado">
      <formula>NOT(ISERROR(SEARCH("Finalizado",P368)))</formula>
    </cfRule>
  </conditionalFormatting>
  <conditionalFormatting sqref="P368">
    <cfRule type="expression" dxfId="9150" priority="19364">
      <formula>$H368="ETAPA"</formula>
    </cfRule>
  </conditionalFormatting>
  <conditionalFormatting sqref="P369">
    <cfRule type="containsText" dxfId="9149" priority="19317" operator="containsText" text="Lançado">
      <formula>NOT(ISERROR(SEARCH("Lançado",P369)))</formula>
    </cfRule>
    <cfRule type="expression" dxfId="9148" priority="19316">
      <formula>$H369="ETAPA"</formula>
    </cfRule>
    <cfRule type="expression" dxfId="9147" priority="19315">
      <formula>$H369="CÉLULA CONSTRUTIVA"</formula>
    </cfRule>
    <cfRule type="containsText" dxfId="9146" priority="19313" operator="containsText" text="em andamento">
      <formula>NOT(ISERROR(SEARCH("em andamento",P369)))</formula>
    </cfRule>
    <cfRule type="containsText" dxfId="9145" priority="19312" operator="containsText" text="Finalizado">
      <formula>NOT(ISERROR(SEARCH("Finalizado",P369)))</formula>
    </cfRule>
    <cfRule type="containsText" dxfId="9144" priority="19308" operator="containsText" text="em andamento">
      <formula>NOT(ISERROR(SEARCH("em andamento",P369)))</formula>
    </cfRule>
    <cfRule type="containsText" dxfId="9143" priority="19319" operator="containsText" text="Pendente">
      <formula>NOT(ISERROR(SEARCH("Pendente",P369)))</formula>
    </cfRule>
    <cfRule type="containsText" dxfId="9142" priority="19311" operator="containsText" text="Pendente">
      <formula>NOT(ISERROR(SEARCH("Pendente",P369)))</formula>
    </cfRule>
    <cfRule type="containsText" dxfId="9141" priority="19306" operator="containsText" text="Pendente">
      <formula>NOT(ISERROR(SEARCH("Pendente",P369)))</formula>
    </cfRule>
    <cfRule type="containsText" dxfId="9140" priority="19305" operator="containsText" text="N/A">
      <formula>NOT(ISERROR(SEARCH("N/A",P369)))</formula>
    </cfRule>
    <cfRule type="containsText" dxfId="9139" priority="19304" operator="containsText" text="Lançado">
      <formula>NOT(ISERROR(SEARCH("Lançado",P369)))</formula>
    </cfRule>
    <cfRule type="expression" dxfId="9138" priority="19303">
      <formula>$H369="ETAPA"</formula>
    </cfRule>
    <cfRule type="expression" dxfId="9137" priority="19302">
      <formula>$H369="CÉLULA CONSTRUTIVA"</formula>
    </cfRule>
    <cfRule type="containsText" dxfId="9136" priority="19310" operator="containsText" text="N/A">
      <formula>NOT(ISERROR(SEARCH("N/A",P369)))</formula>
    </cfRule>
    <cfRule type="containsText" dxfId="9135" priority="19320" operator="containsText" text="Finalizado">
      <formula>NOT(ISERROR(SEARCH("Finalizado",P369)))</formula>
    </cfRule>
    <cfRule type="containsText" dxfId="9134" priority="19318" operator="containsText" text="N/A">
      <formula>NOT(ISERROR(SEARCH("N/A",P369)))</formula>
    </cfRule>
    <cfRule type="containsText" dxfId="9133" priority="19321" operator="containsText" text="em andamento">
      <formula>NOT(ISERROR(SEARCH("em andamento",P369)))</formula>
    </cfRule>
    <cfRule type="containsText" dxfId="9132" priority="19309" operator="containsText" text="Lançado">
      <formula>NOT(ISERROR(SEARCH("Lançado",P369)))</formula>
    </cfRule>
    <cfRule type="containsText" dxfId="9131" priority="19307" operator="containsText" text="Finalizado">
      <formula>NOT(ISERROR(SEARCH("Finalizado",P369)))</formula>
    </cfRule>
  </conditionalFormatting>
  <conditionalFormatting sqref="P370 P368">
    <cfRule type="containsText" dxfId="9130" priority="19367" operator="containsText" text="Pendente">
      <formula>NOT(ISERROR(SEARCH("Pendente",P368)))</formula>
    </cfRule>
  </conditionalFormatting>
  <conditionalFormatting sqref="P370">
    <cfRule type="expression" dxfId="9129" priority="19361">
      <formula>$H370="ETAPA"</formula>
    </cfRule>
  </conditionalFormatting>
  <conditionalFormatting sqref="P370:P371 J366:K367 M371:O371 P365 I362:I364 P373 M372:P372">
    <cfRule type="expression" dxfId="9128" priority="19441">
      <formula>$H362="CÉLULA CONSTRUTIVA"</formula>
    </cfRule>
  </conditionalFormatting>
  <conditionalFormatting sqref="P371:P373 P712:P715">
    <cfRule type="containsText" dxfId="9127" priority="19411" operator="containsText" text="Finalizado">
      <formula>NOT(ISERROR(SEARCH("Finalizado",P371)))</formula>
    </cfRule>
    <cfRule type="containsText" dxfId="9126" priority="19407" operator="containsText" text="em andamento">
      <formula>NOT(ISERROR(SEARCH("em andamento",P371)))</formula>
    </cfRule>
    <cfRule type="containsText" dxfId="9125" priority="19406" operator="containsText" text="Finalizado">
      <formula>NOT(ISERROR(SEARCH("Finalizado",P371)))</formula>
    </cfRule>
    <cfRule type="containsText" dxfId="9124" priority="19417" operator="containsText" text="em andamento">
      <formula>NOT(ISERROR(SEARCH("em andamento",P371)))</formula>
    </cfRule>
    <cfRule type="containsText" dxfId="9123" priority="19416" operator="containsText" text="Finalizado">
      <formula>NOT(ISERROR(SEARCH("Finalizado",P371)))</formula>
    </cfRule>
    <cfRule type="containsText" dxfId="9122" priority="19415" operator="containsText" text="Pendente">
      <formula>NOT(ISERROR(SEARCH("Pendente",P371)))</formula>
    </cfRule>
    <cfRule type="containsText" dxfId="9121" priority="19414" operator="containsText" text="N/A">
      <formula>NOT(ISERROR(SEARCH("N/A",P371)))</formula>
    </cfRule>
    <cfRule type="containsText" dxfId="9120" priority="19413" operator="containsText" text="Lançado">
      <formula>NOT(ISERROR(SEARCH("Lançado",P371)))</formula>
    </cfRule>
    <cfRule type="containsText" dxfId="9119" priority="19412" operator="containsText" text="em andamento">
      <formula>NOT(ISERROR(SEARCH("em andamento",P371)))</formula>
    </cfRule>
    <cfRule type="containsText" dxfId="9118" priority="19408" operator="containsText" text="Lançado">
      <formula>NOT(ISERROR(SEARCH("Lançado",P371)))</formula>
    </cfRule>
    <cfRule type="containsText" dxfId="9117" priority="19409" operator="containsText" text="N/A">
      <formula>NOT(ISERROR(SEARCH("N/A",P371)))</formula>
    </cfRule>
    <cfRule type="containsText" dxfId="9116" priority="19410" operator="containsText" text="Pendente">
      <formula>NOT(ISERROR(SEARCH("Pendente",P371)))</formula>
    </cfRule>
    <cfRule type="containsText" dxfId="9115" priority="19405" operator="containsText" text="Pendente">
      <formula>NOT(ISERROR(SEARCH("Pendente",P371)))</formula>
    </cfRule>
  </conditionalFormatting>
  <conditionalFormatting sqref="P374">
    <cfRule type="expression" dxfId="9114" priority="19386">
      <formula>$H374="SUBETAPA"</formula>
    </cfRule>
    <cfRule type="containsText" dxfId="9113" priority="19397" operator="containsText" text="Finalizado">
      <formula>NOT(ISERROR(SEARCH("Finalizado",P374)))</formula>
    </cfRule>
    <cfRule type="containsText" dxfId="9112" priority="19398" operator="containsText" text="em andamento">
      <formula>NOT(ISERROR(SEARCH("em andamento",P374)))</formula>
    </cfRule>
    <cfRule type="expression" dxfId="9111" priority="19399">
      <formula>$H374="SUBETAPA"</formula>
    </cfRule>
    <cfRule type="expression" dxfId="9110" priority="19400">
      <formula>$H374="CÉLULA CONSTRUTIVA"</formula>
    </cfRule>
    <cfRule type="expression" dxfId="9109" priority="19401">
      <formula>$H374="ETAPA"</formula>
    </cfRule>
    <cfRule type="containsText" dxfId="9108" priority="19402" operator="containsText" text="Pendente">
      <formula>NOT(ISERROR(SEARCH("Pendente",P374)))</formula>
    </cfRule>
    <cfRule type="containsText" dxfId="9107" priority="19403" operator="containsText" text="Finalizado">
      <formula>NOT(ISERROR(SEARCH("Finalizado",P374)))</formula>
    </cfRule>
    <cfRule type="containsText" dxfId="9106" priority="19404" operator="containsText" text="em andamento">
      <formula>NOT(ISERROR(SEARCH("em andamento",P374)))</formula>
    </cfRule>
    <cfRule type="containsText" dxfId="9105" priority="19389" operator="containsText" text="Lançado">
      <formula>NOT(ISERROR(SEARCH("Lançado",P374)))</formula>
    </cfRule>
    <cfRule type="containsText" dxfId="9104" priority="19390" operator="containsText" text="N/A">
      <formula>NOT(ISERROR(SEARCH("N/A",P374)))</formula>
    </cfRule>
    <cfRule type="containsText" dxfId="9103" priority="19391" operator="containsText" text="Pendente">
      <formula>NOT(ISERROR(SEARCH("Pendente",P374)))</formula>
    </cfRule>
    <cfRule type="containsText" dxfId="9102" priority="19392" operator="containsText" text="Finalizado">
      <formula>NOT(ISERROR(SEARCH("Finalizado",P374)))</formula>
    </cfRule>
    <cfRule type="containsText" dxfId="9101" priority="19393" operator="containsText" text="em andamento">
      <formula>NOT(ISERROR(SEARCH("em andamento",P374)))</formula>
    </cfRule>
    <cfRule type="containsText" dxfId="9100" priority="19394" operator="containsText" text="Lançado">
      <formula>NOT(ISERROR(SEARCH("Lançado",P374)))</formula>
    </cfRule>
    <cfRule type="containsText" dxfId="9099" priority="19395" operator="containsText" text="N/A">
      <formula>NOT(ISERROR(SEARCH("N/A",P374)))</formula>
    </cfRule>
    <cfRule type="containsText" dxfId="9098" priority="19396" operator="containsText" text="Pendente">
      <formula>NOT(ISERROR(SEARCH("Pendente",P374)))</formula>
    </cfRule>
    <cfRule type="expression" dxfId="9097" priority="19388">
      <formula>$H374="ETAPA"</formula>
    </cfRule>
    <cfRule type="expression" dxfId="9096" priority="19387">
      <formula>$H374="CÉLULA CONSTRUTIVA"</formula>
    </cfRule>
  </conditionalFormatting>
  <conditionalFormatting sqref="P375:P376">
    <cfRule type="containsText" dxfId="9095" priority="19155" operator="containsText" text="em andamento">
      <formula>NOT(ISERROR(SEARCH("em andamento",P375)))</formula>
    </cfRule>
    <cfRule type="containsText" dxfId="9094" priority="19154" operator="containsText" text="Finalizado">
      <formula>NOT(ISERROR(SEARCH("Finalizado",P375)))</formula>
    </cfRule>
    <cfRule type="containsText" dxfId="9093" priority="19153" operator="containsText" text="Pendente">
      <formula>NOT(ISERROR(SEARCH("Pendente",P375)))</formula>
    </cfRule>
  </conditionalFormatting>
  <conditionalFormatting sqref="P375:P378">
    <cfRule type="expression" dxfId="9092" priority="19218">
      <formula>$H375="CÉLULA CONSTRUTIVA"</formula>
    </cfRule>
    <cfRule type="containsText" dxfId="9091" priority="19128" operator="containsText" text="Lançado">
      <formula>NOT(ISERROR(SEARCH("Lançado",P375)))</formula>
    </cfRule>
    <cfRule type="containsText" dxfId="9090" priority="19129" operator="containsText" text="N/A">
      <formula>NOT(ISERROR(SEARCH("N/A",P375)))</formula>
    </cfRule>
    <cfRule type="expression" dxfId="9089" priority="19219">
      <formula>$H375="ETAPA"</formula>
    </cfRule>
  </conditionalFormatting>
  <conditionalFormatting sqref="P377:P378">
    <cfRule type="expression" dxfId="9088" priority="19203">
      <formula>$H377="ETAPA"</formula>
    </cfRule>
    <cfRule type="containsText" dxfId="9087" priority="19207" operator="containsText" text="Finalizado">
      <formula>NOT(ISERROR(SEARCH("Finalizado",P377)))</formula>
    </cfRule>
    <cfRule type="containsText" dxfId="9086" priority="19204" operator="containsText" text="Lançado">
      <formula>NOT(ISERROR(SEARCH("Lançado",P377)))</formula>
    </cfRule>
    <cfRule type="containsText" dxfId="9085" priority="19205" operator="containsText" text="N/A">
      <formula>NOT(ISERROR(SEARCH("N/A",P377)))</formula>
    </cfRule>
    <cfRule type="containsText" dxfId="9084" priority="19206" operator="containsText" text="Pendente">
      <formula>NOT(ISERROR(SEARCH("Pendente",P377)))</formula>
    </cfRule>
    <cfRule type="expression" dxfId="9083" priority="19201">
      <formula>$H377="SUBETAPA"</formula>
    </cfRule>
    <cfRule type="containsText" dxfId="9082" priority="19208" operator="containsText" text="em andamento">
      <formula>NOT(ISERROR(SEARCH("em andamento",P377)))</formula>
    </cfRule>
    <cfRule type="containsText" dxfId="9081" priority="19209" operator="containsText" text="Lançado">
      <formula>NOT(ISERROR(SEARCH("Lançado",P377)))</formula>
    </cfRule>
    <cfRule type="containsText" dxfId="9080" priority="19210" operator="containsText" text="N/A">
      <formula>NOT(ISERROR(SEARCH("N/A",P377)))</formula>
    </cfRule>
    <cfRule type="containsText" dxfId="9079" priority="19211" operator="containsText" text="Pendente">
      <formula>NOT(ISERROR(SEARCH("Pendente",P377)))</formula>
    </cfRule>
    <cfRule type="containsText" dxfId="9078" priority="19212" operator="containsText" text="Finalizado">
      <formula>NOT(ISERROR(SEARCH("Finalizado",P377)))</formula>
    </cfRule>
    <cfRule type="containsText" dxfId="9077" priority="19213" operator="containsText" text="em andamento">
      <formula>NOT(ISERROR(SEARCH("em andamento",P377)))</formula>
    </cfRule>
    <cfRule type="expression" dxfId="9076" priority="19214">
      <formula>$H377="SUBETAPA"</formula>
    </cfRule>
    <cfRule type="containsText" dxfId="9075" priority="19215" operator="containsText" text="Pendente">
      <formula>NOT(ISERROR(SEARCH("Pendente",P377)))</formula>
    </cfRule>
    <cfRule type="containsText" dxfId="9074" priority="19216" operator="containsText" text="Finalizado">
      <formula>NOT(ISERROR(SEARCH("Finalizado",P377)))</formula>
    </cfRule>
    <cfRule type="containsText" dxfId="9073" priority="19217" operator="containsText" text="em andamento">
      <formula>NOT(ISERROR(SEARCH("em andamento",P377)))</formula>
    </cfRule>
    <cfRule type="expression" dxfId="9072" priority="19202">
      <formula>$H377="CÉLULA CONSTRUTIVA"</formula>
    </cfRule>
  </conditionalFormatting>
  <conditionalFormatting sqref="P379">
    <cfRule type="containsText" dxfId="9071" priority="19163" operator="containsText" text="N/A">
      <formula>NOT(ISERROR(SEARCH("N/A",P379)))</formula>
    </cfRule>
    <cfRule type="containsText" dxfId="9070" priority="19165" operator="containsText" text="Finalizado">
      <formula>NOT(ISERROR(SEARCH("Finalizado",P379)))</formula>
    </cfRule>
    <cfRule type="containsText" dxfId="9069" priority="19166" operator="containsText" text="em andamento">
      <formula>NOT(ISERROR(SEARCH("em andamento",P379)))</formula>
    </cfRule>
    <cfRule type="containsText" dxfId="9068" priority="19164" operator="containsText" text="Pendente">
      <formula>NOT(ISERROR(SEARCH("Pendente",P379)))</formula>
    </cfRule>
    <cfRule type="containsText" dxfId="9067" priority="19162" operator="containsText" text="Lançado">
      <formula>NOT(ISERROR(SEARCH("Lançado",P379)))</formula>
    </cfRule>
  </conditionalFormatting>
  <conditionalFormatting sqref="P380">
    <cfRule type="containsText" dxfId="9066" priority="19117" operator="containsText" text="N/A">
      <formula>NOT(ISERROR(SEARCH("N/A",P380)))</formula>
    </cfRule>
    <cfRule type="expression" dxfId="9065" priority="19110">
      <formula>$H380="ETAPA"</formula>
    </cfRule>
    <cfRule type="expression" dxfId="9064" priority="19109">
      <formula>$H380="CÉLULA CONSTRUTIVA"</formula>
    </cfRule>
    <cfRule type="containsText" dxfId="9063" priority="19111" operator="containsText" text="Lançado">
      <formula>NOT(ISERROR(SEARCH("Lançado",P380)))</formula>
    </cfRule>
    <cfRule type="containsText" dxfId="9062" priority="19112" operator="containsText" text="N/A">
      <formula>NOT(ISERROR(SEARCH("N/A",P380)))</formula>
    </cfRule>
    <cfRule type="containsText" dxfId="9061" priority="19127" operator="containsText" text="em andamento">
      <formula>NOT(ISERROR(SEARCH("em andamento",P380)))</formula>
    </cfRule>
    <cfRule type="containsText" dxfId="9060" priority="19126" operator="containsText" text="Finalizado">
      <formula>NOT(ISERROR(SEARCH("Finalizado",P380)))</formula>
    </cfRule>
    <cfRule type="containsText" dxfId="9059" priority="19125" operator="containsText" text="Pendente">
      <formula>NOT(ISERROR(SEARCH("Pendente",P380)))</formula>
    </cfRule>
    <cfRule type="containsText" dxfId="9058" priority="19124" operator="containsText" text="N/A">
      <formula>NOT(ISERROR(SEARCH("N/A",P380)))</formula>
    </cfRule>
    <cfRule type="containsText" dxfId="9057" priority="19123" operator="containsText" text="Lançado">
      <formula>NOT(ISERROR(SEARCH("Lançado",P380)))</formula>
    </cfRule>
    <cfRule type="containsText" dxfId="9056" priority="19116" operator="containsText" text="Lançado">
      <formula>NOT(ISERROR(SEARCH("Lançado",P380)))</formula>
    </cfRule>
    <cfRule type="expression" dxfId="9055" priority="19122">
      <formula>$H380="ETAPA"</formula>
    </cfRule>
    <cfRule type="containsText" dxfId="9054" priority="19113" operator="containsText" text="Pendente">
      <formula>NOT(ISERROR(SEARCH("Pendente",P380)))</formula>
    </cfRule>
    <cfRule type="containsText" dxfId="9053" priority="19114" operator="containsText" text="Finalizado">
      <formula>NOT(ISERROR(SEARCH("Finalizado",P380)))</formula>
    </cfRule>
    <cfRule type="containsText" dxfId="9052" priority="19115" operator="containsText" text="em andamento">
      <formula>NOT(ISERROR(SEARCH("em andamento",P380)))</formula>
    </cfRule>
    <cfRule type="expression" dxfId="9051" priority="19121">
      <formula>$H380="CÉLULA CONSTRUTIVA"</formula>
    </cfRule>
    <cfRule type="containsText" dxfId="9050" priority="19120" operator="containsText" text="em andamento">
      <formula>NOT(ISERROR(SEARCH("em andamento",P380)))</formula>
    </cfRule>
    <cfRule type="containsText" dxfId="9049" priority="19119" operator="containsText" text="Finalizado">
      <formula>NOT(ISERROR(SEARCH("Finalizado",P380)))</formula>
    </cfRule>
    <cfRule type="containsText" dxfId="9048" priority="19118" operator="containsText" text="Pendente">
      <formula>NOT(ISERROR(SEARCH("Pendente",P380)))</formula>
    </cfRule>
  </conditionalFormatting>
  <conditionalFormatting sqref="P381 P385">
    <cfRule type="containsText" dxfId="9047" priority="19148" operator="containsText" text="Lançado">
      <formula>NOT(ISERROR(SEARCH("Lançado",P381)))</formula>
    </cfRule>
    <cfRule type="containsText" dxfId="9046" priority="19152" operator="containsText" text="em andamento">
      <formula>NOT(ISERROR(SEARCH("em andamento",P381)))</formula>
    </cfRule>
    <cfRule type="containsText" dxfId="9045" priority="19149" operator="containsText" text="N/A">
      <formula>NOT(ISERROR(SEARCH("N/A",P381)))</formula>
    </cfRule>
    <cfRule type="containsText" dxfId="9044" priority="19150" operator="containsText" text="Pendente">
      <formula>NOT(ISERROR(SEARCH("Pendente",P381)))</formula>
    </cfRule>
    <cfRule type="containsText" dxfId="9043" priority="19151" operator="containsText" text="Finalizado">
      <formula>NOT(ISERROR(SEARCH("Finalizado",P381)))</formula>
    </cfRule>
    <cfRule type="expression" dxfId="9042" priority="19144">
      <formula>$H381="ETAPA"</formula>
    </cfRule>
  </conditionalFormatting>
  <conditionalFormatting sqref="P381">
    <cfRule type="expression" dxfId="9041" priority="19143">
      <formula>$H381="CÉLULA CONSTRUTIVA"</formula>
    </cfRule>
  </conditionalFormatting>
  <conditionalFormatting sqref="P382">
    <cfRule type="containsText" dxfId="9040" priority="19105" operator="containsText" text="Pendente">
      <formula>NOT(ISERROR(SEARCH("Pendente",P382)))</formula>
    </cfRule>
    <cfRule type="containsText" dxfId="9039" priority="19104" operator="containsText" text="N/A">
      <formula>NOT(ISERROR(SEARCH("N/A",P382)))</formula>
    </cfRule>
    <cfRule type="containsText" dxfId="9038" priority="19103" operator="containsText" text="Lançado">
      <formula>NOT(ISERROR(SEARCH("Lançado",P382)))</formula>
    </cfRule>
    <cfRule type="expression" dxfId="9037" priority="19089">
      <formula>$H382="CÉLULA CONSTRUTIVA"</formula>
    </cfRule>
    <cfRule type="expression" dxfId="9036" priority="19090">
      <formula>$H382="ETAPA"</formula>
    </cfRule>
    <cfRule type="containsText" dxfId="9035" priority="19091" operator="containsText" text="Lançado">
      <formula>NOT(ISERROR(SEARCH("Lançado",P382)))</formula>
    </cfRule>
    <cfRule type="containsText" dxfId="9034" priority="19092" operator="containsText" text="N/A">
      <formula>NOT(ISERROR(SEARCH("N/A",P382)))</formula>
    </cfRule>
    <cfRule type="containsText" dxfId="9033" priority="19093" operator="containsText" text="Pendente">
      <formula>NOT(ISERROR(SEARCH("Pendente",P382)))</formula>
    </cfRule>
    <cfRule type="containsText" dxfId="9032" priority="19094" operator="containsText" text="Finalizado">
      <formula>NOT(ISERROR(SEARCH("Finalizado",P382)))</formula>
    </cfRule>
    <cfRule type="containsText" dxfId="9031" priority="19107" operator="containsText" text="em andamento">
      <formula>NOT(ISERROR(SEARCH("em andamento",P382)))</formula>
    </cfRule>
    <cfRule type="containsText" dxfId="9030" priority="19106" operator="containsText" text="Finalizado">
      <formula>NOT(ISERROR(SEARCH("Finalizado",P382)))</formula>
    </cfRule>
    <cfRule type="containsText" dxfId="9029" priority="19095" operator="containsText" text="em andamento">
      <formula>NOT(ISERROR(SEARCH("em andamento",P382)))</formula>
    </cfRule>
    <cfRule type="containsText" dxfId="9028" priority="19096" operator="containsText" text="Lançado">
      <formula>NOT(ISERROR(SEARCH("Lançado",P382)))</formula>
    </cfRule>
    <cfRule type="containsText" dxfId="9027" priority="19097" operator="containsText" text="N/A">
      <formula>NOT(ISERROR(SEARCH("N/A",P382)))</formula>
    </cfRule>
    <cfRule type="containsText" dxfId="9026" priority="19098" operator="containsText" text="Pendente">
      <formula>NOT(ISERROR(SEARCH("Pendente",P382)))</formula>
    </cfRule>
    <cfRule type="containsText" dxfId="9025" priority="19099" operator="containsText" text="Finalizado">
      <formula>NOT(ISERROR(SEARCH("Finalizado",P382)))</formula>
    </cfRule>
    <cfRule type="containsText" dxfId="9024" priority="19100" operator="containsText" text="em andamento">
      <formula>NOT(ISERROR(SEARCH("em andamento",P382)))</formula>
    </cfRule>
    <cfRule type="expression" dxfId="9023" priority="19101">
      <formula>$H382="CÉLULA CONSTRUTIVA"</formula>
    </cfRule>
    <cfRule type="expression" dxfId="9022" priority="19102">
      <formula>$H382="ETAPA"</formula>
    </cfRule>
  </conditionalFormatting>
  <conditionalFormatting sqref="P383 N384:O384">
    <cfRule type="expression" dxfId="9021" priority="6677">
      <formula>$H383="CÉLULA CONSTRUTIVA"</formula>
    </cfRule>
  </conditionalFormatting>
  <conditionalFormatting sqref="P383">
    <cfRule type="containsText" dxfId="9020" priority="6679" operator="containsText" text="Lançado">
      <formula>NOT(ISERROR(SEARCH("Lançado",P383)))</formula>
    </cfRule>
    <cfRule type="expression" dxfId="9019" priority="6678">
      <formula>$H383="ETAPA"</formula>
    </cfRule>
    <cfRule type="containsText" dxfId="9018" priority="6683" operator="containsText" text="em andamento">
      <formula>NOT(ISERROR(SEARCH("em andamento",P383)))</formula>
    </cfRule>
    <cfRule type="containsText" dxfId="9017" priority="6680" operator="containsText" text="N/A">
      <formula>NOT(ISERROR(SEARCH("N/A",P383)))</formula>
    </cfRule>
    <cfRule type="containsText" dxfId="9016" priority="6681" operator="containsText" text="Pendente">
      <formula>NOT(ISERROR(SEARCH("Pendente",P383)))</formula>
    </cfRule>
    <cfRule type="containsText" dxfId="9015" priority="6682" operator="containsText" text="Finalizado">
      <formula>NOT(ISERROR(SEARCH("Finalizado",P383)))</formula>
    </cfRule>
    <cfRule type="expression" dxfId="9014" priority="6676">
      <formula>$H383="SUBETAPA"</formula>
    </cfRule>
  </conditionalFormatting>
  <conditionalFormatting sqref="P384 G383:I384">
    <cfRule type="expression" dxfId="9013" priority="6688">
      <formula>$H383="SUBETAPA"</formula>
    </cfRule>
  </conditionalFormatting>
  <conditionalFormatting sqref="P384">
    <cfRule type="containsText" dxfId="9012" priority="6669" operator="containsText" text="N/A">
      <formula>NOT(ISERROR(SEARCH("N/A",P384)))</formula>
    </cfRule>
    <cfRule type="containsText" dxfId="9011" priority="6671" operator="containsText" text="Finalizado">
      <formula>NOT(ISERROR(SEARCH("Finalizado",P384)))</formula>
    </cfRule>
    <cfRule type="containsText" dxfId="9010" priority="6661" operator="containsText" text="Lançado">
      <formula>NOT(ISERROR(SEARCH("Lançado",P384)))</formula>
    </cfRule>
    <cfRule type="containsText" dxfId="9009" priority="6657" operator="containsText" text="N/A">
      <formula>NOT(ISERROR(SEARCH("N/A",P384)))</formula>
    </cfRule>
    <cfRule type="containsText" dxfId="9008" priority="6665" operator="containsText" text="em andamento">
      <formula>NOT(ISERROR(SEARCH("em andamento",P384)))</formula>
    </cfRule>
    <cfRule type="containsText" dxfId="9007" priority="6664" operator="containsText" text="Finalizado">
      <formula>NOT(ISERROR(SEARCH("Finalizado",P384)))</formula>
    </cfRule>
    <cfRule type="containsText" dxfId="9006" priority="6670" operator="containsText" text="Pendente">
      <formula>NOT(ISERROR(SEARCH("Pendente",P384)))</formula>
    </cfRule>
    <cfRule type="expression" dxfId="9005" priority="6654">
      <formula>$H384="CÉLULA CONSTRUTIVA"</formula>
    </cfRule>
    <cfRule type="containsText" dxfId="9004" priority="6668" operator="containsText" text="Lançado">
      <formula>NOT(ISERROR(SEARCH("Lançado",P384)))</formula>
    </cfRule>
    <cfRule type="expression" dxfId="9003" priority="6667">
      <formula>$H384="ETAPA"</formula>
    </cfRule>
    <cfRule type="expression" dxfId="9002" priority="6666">
      <formula>$H384="CÉLULA CONSTRUTIVA"</formula>
    </cfRule>
    <cfRule type="expression" dxfId="9001" priority="6655">
      <formula>$H384="ETAPA"</formula>
    </cfRule>
    <cfRule type="containsText" dxfId="9000" priority="6663" operator="containsText" text="Pendente">
      <formula>NOT(ISERROR(SEARCH("Pendente",P384)))</formula>
    </cfRule>
    <cfRule type="containsText" dxfId="8999" priority="6662" operator="containsText" text="N/A">
      <formula>NOT(ISERROR(SEARCH("N/A",P384)))</formula>
    </cfRule>
    <cfRule type="containsText" dxfId="8998" priority="6660" operator="containsText" text="em andamento">
      <formula>NOT(ISERROR(SEARCH("em andamento",P384)))</formula>
    </cfRule>
    <cfRule type="containsText" dxfId="8997" priority="6659" operator="containsText" text="Finalizado">
      <formula>NOT(ISERROR(SEARCH("Finalizado",P384)))</formula>
    </cfRule>
    <cfRule type="containsText" dxfId="8996" priority="6658" operator="containsText" text="Pendente">
      <formula>NOT(ISERROR(SEARCH("Pendente",P384)))</formula>
    </cfRule>
    <cfRule type="containsText" dxfId="8995" priority="6656" operator="containsText" text="Lançado">
      <formula>NOT(ISERROR(SEARCH("Lançado",P384)))</formula>
    </cfRule>
    <cfRule type="containsText" dxfId="8994" priority="6672" operator="containsText" text="em andamento">
      <formula>NOT(ISERROR(SEARCH("em andamento",P384)))</formula>
    </cfRule>
  </conditionalFormatting>
  <conditionalFormatting sqref="P385:P386 J379:K380 M386:O386 G379:H382 P398:P400 J394:K395 M399:O401 G394:H401 I375:I382 G385:I386 G388:I389 M388:O389 P388 I391:I401">
    <cfRule type="expression" dxfId="8993" priority="19226">
      <formula>$H375="CÉLULA CONSTRUTIVA"</formula>
    </cfRule>
  </conditionalFormatting>
  <conditionalFormatting sqref="P386 P388">
    <cfRule type="containsText" dxfId="8992" priority="19196" operator="containsText" text="Lançado">
      <formula>NOT(ISERROR(SEARCH("Lançado",P386)))</formula>
    </cfRule>
    <cfRule type="containsText" dxfId="8991" priority="19195" operator="containsText" text="em andamento">
      <formula>NOT(ISERROR(SEARCH("em andamento",P386)))</formula>
    </cfRule>
    <cfRule type="containsText" dxfId="8990" priority="19193" operator="containsText" text="Pendente">
      <formula>NOT(ISERROR(SEARCH("Pendente",P386)))</formula>
    </cfRule>
    <cfRule type="containsText" dxfId="8989" priority="19194" operator="containsText" text="Finalizado">
      <formula>NOT(ISERROR(SEARCH("Finalizado",P386)))</formula>
    </cfRule>
    <cfRule type="containsText" dxfId="8988" priority="19197" operator="containsText" text="N/A">
      <formula>NOT(ISERROR(SEARCH("N/A",P386)))</formula>
    </cfRule>
    <cfRule type="containsText" dxfId="8987" priority="19200" operator="containsText" text="em andamento">
      <formula>NOT(ISERROR(SEARCH("em andamento",P386)))</formula>
    </cfRule>
    <cfRule type="containsText" dxfId="8986" priority="19199" operator="containsText" text="Finalizado">
      <formula>NOT(ISERROR(SEARCH("Finalizado",P386)))</formula>
    </cfRule>
    <cfRule type="containsText" dxfId="8985" priority="19198" operator="containsText" text="Pendente">
      <formula>NOT(ISERROR(SEARCH("Pendente",P386)))</formula>
    </cfRule>
    <cfRule type="containsText" dxfId="8984" priority="19192" operator="containsText" text="N/A">
      <formula>NOT(ISERROR(SEARCH("N/A",P386)))</formula>
    </cfRule>
    <cfRule type="containsText" dxfId="8983" priority="19188" operator="containsText" text="Pendente">
      <formula>NOT(ISERROR(SEARCH("Pendente",P386)))</formula>
    </cfRule>
    <cfRule type="containsText" dxfId="8982" priority="19189" operator="containsText" text="Finalizado">
      <formula>NOT(ISERROR(SEARCH("Finalizado",P386)))</formula>
    </cfRule>
    <cfRule type="containsText" dxfId="8981" priority="19190" operator="containsText" text="em andamento">
      <formula>NOT(ISERROR(SEARCH("em andamento",P386)))</formula>
    </cfRule>
    <cfRule type="containsText" dxfId="8980" priority="19191" operator="containsText" text="Lançado">
      <formula>NOT(ISERROR(SEARCH("Lançado",P386)))</formula>
    </cfRule>
  </conditionalFormatting>
  <conditionalFormatting sqref="P386 P399:P401 P388:P389">
    <cfRule type="containsText" dxfId="8979" priority="19221" operator="containsText" text="Lançado">
      <formula>NOT(ISERROR(SEARCH("Lançado",P386)))</formula>
    </cfRule>
    <cfRule type="containsText" dxfId="8978" priority="19222" operator="containsText" text="N/A">
      <formula>NOT(ISERROR(SEARCH("N/A",P386)))</formula>
    </cfRule>
  </conditionalFormatting>
  <conditionalFormatting sqref="P387">
    <cfRule type="containsText" dxfId="8977" priority="6636" operator="containsText" text="Lançado">
      <formula>NOT(ISERROR(SEARCH("Lançado",P387)))</formula>
    </cfRule>
    <cfRule type="containsText" dxfId="8976" priority="6633" operator="containsText" text="em andamento">
      <formula>NOT(ISERROR(SEARCH("em andamento",P387)))</formula>
    </cfRule>
    <cfRule type="containsText" dxfId="8975" priority="6632" operator="containsText" text="Finalizado">
      <formula>NOT(ISERROR(SEARCH("Finalizado",P387)))</formula>
    </cfRule>
    <cfRule type="containsText" dxfId="8974" priority="6631" operator="containsText" text="Pendente">
      <formula>NOT(ISERROR(SEARCH("Pendente",P387)))</formula>
    </cfRule>
    <cfRule type="containsText" dxfId="8973" priority="6630" operator="containsText" text="N/A">
      <formula>NOT(ISERROR(SEARCH("N/A",P387)))</formula>
    </cfRule>
    <cfRule type="containsText" dxfId="8972" priority="6629" operator="containsText" text="Lançado">
      <formula>NOT(ISERROR(SEARCH("Lançado",P387)))</formula>
    </cfRule>
    <cfRule type="containsText" dxfId="8971" priority="6628" operator="containsText" text="em andamento">
      <formula>NOT(ISERROR(SEARCH("em andamento",P387)))</formula>
    </cfRule>
    <cfRule type="containsText" dxfId="8970" priority="6627" operator="containsText" text="Finalizado">
      <formula>NOT(ISERROR(SEARCH("Finalizado",P387)))</formula>
    </cfRule>
    <cfRule type="containsText" dxfId="8969" priority="6626" operator="containsText" text="Pendente">
      <formula>NOT(ISERROR(SEARCH("Pendente",P387)))</formula>
    </cfRule>
    <cfRule type="containsText" dxfId="8968" priority="6625" operator="containsText" text="N/A">
      <formula>NOT(ISERROR(SEARCH("N/A",P387)))</formula>
    </cfRule>
    <cfRule type="containsText" dxfId="8967" priority="6624" operator="containsText" text="Lançado">
      <formula>NOT(ISERROR(SEARCH("Lançado",P387)))</formula>
    </cfRule>
    <cfRule type="containsText" dxfId="8966" priority="6622" operator="containsText" text="Finalizado">
      <formula>NOT(ISERROR(SEARCH("Finalizado",P387)))</formula>
    </cfRule>
    <cfRule type="containsText" dxfId="8965" priority="6621" operator="containsText" text="Pendente">
      <formula>NOT(ISERROR(SEARCH("Pendente",P387)))</formula>
    </cfRule>
    <cfRule type="containsText" dxfId="8964" priority="6623" operator="containsText" text="em andamento">
      <formula>NOT(ISERROR(SEARCH("em andamento",P387)))</formula>
    </cfRule>
    <cfRule type="containsText" dxfId="8963" priority="6637" operator="containsText" text="N/A">
      <formula>NOT(ISERROR(SEARCH("N/A",P387)))</formula>
    </cfRule>
  </conditionalFormatting>
  <conditionalFormatting sqref="P389 P401">
    <cfRule type="expression" dxfId="8962" priority="19170">
      <formula>$H389="CÉLULA CONSTRUTIVA"</formula>
    </cfRule>
    <cfRule type="expression" dxfId="8961" priority="19184">
      <formula>$H389="ETAPA"</formula>
    </cfRule>
    <cfRule type="expression" dxfId="8960" priority="19183">
      <formula>$H389="CÉLULA CONSTRUTIVA"</formula>
    </cfRule>
    <cfRule type="containsText" dxfId="8959" priority="19176" operator="containsText" text="em andamento">
      <formula>NOT(ISERROR(SEARCH("em andamento",P389)))</formula>
    </cfRule>
    <cfRule type="containsText" dxfId="8958" priority="19174" operator="containsText" text="Pendente">
      <formula>NOT(ISERROR(SEARCH("Pendente",P389)))</formula>
    </cfRule>
    <cfRule type="containsText" dxfId="8957" priority="19178" operator="containsText" text="N/A">
      <formula>NOT(ISERROR(SEARCH("N/A",P389)))</formula>
    </cfRule>
    <cfRule type="containsText" dxfId="8956" priority="19175" operator="containsText" text="Finalizado">
      <formula>NOT(ISERROR(SEARCH("Finalizado",P389)))</formula>
    </cfRule>
    <cfRule type="expression" dxfId="8955" priority="19182">
      <formula>$H389="SUBETAPA"</formula>
    </cfRule>
    <cfRule type="containsText" dxfId="8954" priority="19177" operator="containsText" text="Lançado">
      <formula>NOT(ISERROR(SEARCH("Lançado",P389)))</formula>
    </cfRule>
    <cfRule type="containsText" dxfId="8953" priority="19172" operator="containsText" text="Lançado">
      <formula>NOT(ISERROR(SEARCH("Lançado",P389)))</formula>
    </cfRule>
    <cfRule type="containsText" dxfId="8952" priority="19173" operator="containsText" text="N/A">
      <formula>NOT(ISERROR(SEARCH("N/A",P389)))</formula>
    </cfRule>
    <cfRule type="containsText" dxfId="8951" priority="19181" operator="containsText" text="em andamento">
      <formula>NOT(ISERROR(SEARCH("em andamento",P389)))</formula>
    </cfRule>
    <cfRule type="containsText" dxfId="8950" priority="19180" operator="containsText" text="Finalizado">
      <formula>NOT(ISERROR(SEARCH("Finalizado",P389)))</formula>
    </cfRule>
    <cfRule type="containsText" dxfId="8949" priority="19187" operator="containsText" text="em andamento">
      <formula>NOT(ISERROR(SEARCH("em andamento",P389)))</formula>
    </cfRule>
    <cfRule type="containsText" dxfId="8948" priority="19186" operator="containsText" text="Finalizado">
      <formula>NOT(ISERROR(SEARCH("Finalizado",P389)))</formula>
    </cfRule>
    <cfRule type="expression" dxfId="8947" priority="19171">
      <formula>$H389="ETAPA"</formula>
    </cfRule>
    <cfRule type="containsText" dxfId="8946" priority="19179" operator="containsText" text="Pendente">
      <formula>NOT(ISERROR(SEARCH("Pendente",P389)))</formula>
    </cfRule>
    <cfRule type="expression" dxfId="8945" priority="19169">
      <formula>$H389="SUBETAPA"</formula>
    </cfRule>
    <cfRule type="containsText" dxfId="8944" priority="19185" operator="containsText" text="Pendente">
      <formula>NOT(ISERROR(SEARCH("Pendente",P389)))</formula>
    </cfRule>
  </conditionalFormatting>
  <conditionalFormatting sqref="P390">
    <cfRule type="containsText" dxfId="8943" priority="6597" operator="containsText" text="em andamento">
      <formula>NOT(ISERROR(SEARCH("em andamento",P390)))</formula>
    </cfRule>
    <cfRule type="containsText" dxfId="8942" priority="6596" operator="containsText" text="Finalizado">
      <formula>NOT(ISERROR(SEARCH("Finalizado",P390)))</formula>
    </cfRule>
    <cfRule type="containsText" dxfId="8941" priority="6593" operator="containsText" text="Lançado">
      <formula>NOT(ISERROR(SEARCH("Lançado",P390)))</formula>
    </cfRule>
    <cfRule type="expression" dxfId="8940" priority="6592">
      <formula>$H390="ETAPA"</formula>
    </cfRule>
    <cfRule type="expression" dxfId="8939" priority="6591">
      <formula>$H390="CÉLULA CONSTRUTIVA"</formula>
    </cfRule>
    <cfRule type="expression" dxfId="8938" priority="6590">
      <formula>$H390="SUBETAPA"</formula>
    </cfRule>
    <cfRule type="containsText" dxfId="8937" priority="6595" operator="containsText" text="Pendente">
      <formula>NOT(ISERROR(SEARCH("Pendente",P390)))</formula>
    </cfRule>
    <cfRule type="expression" dxfId="8936" priority="6603">
      <formula>$H390="SUBETAPA"</formula>
    </cfRule>
    <cfRule type="containsText" dxfId="8935" priority="6610" operator="containsText" text="N/A">
      <formula>NOT(ISERROR(SEARCH("N/A",P390)))</formula>
    </cfRule>
    <cfRule type="containsText" dxfId="8934" priority="6609" operator="containsText" text="Lançado">
      <formula>NOT(ISERROR(SEARCH("Lançado",P390)))</formula>
    </cfRule>
    <cfRule type="containsText" dxfId="8933" priority="6608" operator="containsText" text="em andamento">
      <formula>NOT(ISERROR(SEARCH("em andamento",P390)))</formula>
    </cfRule>
    <cfRule type="containsText" dxfId="8932" priority="6607" operator="containsText" text="Finalizado">
      <formula>NOT(ISERROR(SEARCH("Finalizado",P390)))</formula>
    </cfRule>
    <cfRule type="containsText" dxfId="8931" priority="6606" operator="containsText" text="Pendente">
      <formula>NOT(ISERROR(SEARCH("Pendente",P390)))</formula>
    </cfRule>
    <cfRule type="expression" dxfId="8930" priority="6605">
      <formula>$H390="ETAPA"</formula>
    </cfRule>
    <cfRule type="expression" dxfId="8929" priority="6604">
      <formula>$H390="CÉLULA CONSTRUTIVA"</formula>
    </cfRule>
    <cfRule type="containsText" dxfId="8928" priority="6594" operator="containsText" text="N/A">
      <formula>NOT(ISERROR(SEARCH("N/A",P390)))</formula>
    </cfRule>
    <cfRule type="containsText" dxfId="8927" priority="6602" operator="containsText" text="em andamento">
      <formula>NOT(ISERROR(SEARCH("em andamento",P390)))</formula>
    </cfRule>
    <cfRule type="containsText" dxfId="8926" priority="6601" operator="containsText" text="Finalizado">
      <formula>NOT(ISERROR(SEARCH("Finalizado",P390)))</formula>
    </cfRule>
    <cfRule type="containsText" dxfId="8925" priority="6600" operator="containsText" text="Pendente">
      <formula>NOT(ISERROR(SEARCH("Pendente",P390)))</formula>
    </cfRule>
    <cfRule type="containsText" dxfId="8924" priority="6599" operator="containsText" text="N/A">
      <formula>NOT(ISERROR(SEARCH("N/A",P390)))</formula>
    </cfRule>
    <cfRule type="containsText" dxfId="8923" priority="6598" operator="containsText" text="Lançado">
      <formula>NOT(ISERROR(SEARCH("Lançado",P390)))</formula>
    </cfRule>
  </conditionalFormatting>
  <conditionalFormatting sqref="P391:P392">
    <cfRule type="containsText" dxfId="8922" priority="19035" operator="containsText" text="Pendente">
      <formula>NOT(ISERROR(SEARCH("Pendente",P391)))</formula>
    </cfRule>
    <cfRule type="containsText" dxfId="8921" priority="19037" operator="containsText" text="em andamento">
      <formula>NOT(ISERROR(SEARCH("em andamento",P391)))</formula>
    </cfRule>
    <cfRule type="containsText" dxfId="8920" priority="19036" operator="containsText" text="Finalizado">
      <formula>NOT(ISERROR(SEARCH("Finalizado",P391)))</formula>
    </cfRule>
  </conditionalFormatting>
  <conditionalFormatting sqref="P391:P393">
    <cfRule type="containsText" dxfId="8919" priority="19011" operator="containsText" text="N/A">
      <formula>NOT(ISERROR(SEARCH("N/A",P391)))</formula>
    </cfRule>
    <cfRule type="containsText" dxfId="8918" priority="19010" operator="containsText" text="Lançado">
      <formula>NOT(ISERROR(SEARCH("Lançado",P391)))</formula>
    </cfRule>
    <cfRule type="expression" dxfId="8917" priority="19081">
      <formula>$H391="ETAPA"</formula>
    </cfRule>
    <cfRule type="expression" dxfId="8916" priority="19080">
      <formula>$H391="CÉLULA CONSTRUTIVA"</formula>
    </cfRule>
  </conditionalFormatting>
  <conditionalFormatting sqref="P393">
    <cfRule type="containsText" dxfId="8915" priority="19068" operator="containsText" text="Pendente">
      <formula>NOT(ISERROR(SEARCH("Pendente",P393)))</formula>
    </cfRule>
    <cfRule type="containsText" dxfId="8914" priority="19067" operator="containsText" text="N/A">
      <formula>NOT(ISERROR(SEARCH("N/A",P393)))</formula>
    </cfRule>
    <cfRule type="containsText" dxfId="8913" priority="19066" operator="containsText" text="Lançado">
      <formula>NOT(ISERROR(SEARCH("Lançado",P393)))</formula>
    </cfRule>
    <cfRule type="expression" dxfId="8912" priority="19065">
      <formula>$H393="ETAPA"</formula>
    </cfRule>
    <cfRule type="expression" dxfId="8911" priority="19064">
      <formula>$H393="CÉLULA CONSTRUTIVA"</formula>
    </cfRule>
    <cfRule type="expression" dxfId="8910" priority="19063">
      <formula>$H393="SUBETAPA"</formula>
    </cfRule>
    <cfRule type="containsText" dxfId="8909" priority="19079" operator="containsText" text="em andamento">
      <formula>NOT(ISERROR(SEARCH("em andamento",P393)))</formula>
    </cfRule>
    <cfRule type="containsText" dxfId="8908" priority="19078" operator="containsText" text="Finalizado">
      <formula>NOT(ISERROR(SEARCH("Finalizado",P393)))</formula>
    </cfRule>
    <cfRule type="containsText" dxfId="8907" priority="19069" operator="containsText" text="Finalizado">
      <formula>NOT(ISERROR(SEARCH("Finalizado",P393)))</formula>
    </cfRule>
    <cfRule type="expression" dxfId="8906" priority="19076">
      <formula>$H393="SUBETAPA"</formula>
    </cfRule>
    <cfRule type="containsText" dxfId="8905" priority="19075" operator="containsText" text="em andamento">
      <formula>NOT(ISERROR(SEARCH("em andamento",P393)))</formula>
    </cfRule>
    <cfRule type="containsText" dxfId="8904" priority="19074" operator="containsText" text="Finalizado">
      <formula>NOT(ISERROR(SEARCH("Finalizado",P393)))</formula>
    </cfRule>
    <cfRule type="containsText" dxfId="8903" priority="19073" operator="containsText" text="Pendente">
      <formula>NOT(ISERROR(SEARCH("Pendente",P393)))</formula>
    </cfRule>
    <cfRule type="containsText" dxfId="8902" priority="19072" operator="containsText" text="N/A">
      <formula>NOT(ISERROR(SEARCH("N/A",P393)))</formula>
    </cfRule>
    <cfRule type="containsText" dxfId="8901" priority="19071" operator="containsText" text="Lançado">
      <formula>NOT(ISERROR(SEARCH("Lançado",P393)))</formula>
    </cfRule>
    <cfRule type="containsText" dxfId="8900" priority="19070" operator="containsText" text="em andamento">
      <formula>NOT(ISERROR(SEARCH("em andamento",P393)))</formula>
    </cfRule>
    <cfRule type="containsText" dxfId="8899" priority="19077" operator="containsText" text="Pendente">
      <formula>NOT(ISERROR(SEARCH("Pendente",P393)))</formula>
    </cfRule>
  </conditionalFormatting>
  <conditionalFormatting sqref="P394">
    <cfRule type="containsText" dxfId="8898" priority="19044" operator="containsText" text="Lançado">
      <formula>NOT(ISERROR(SEARCH("Lançado",P394)))</formula>
    </cfRule>
    <cfRule type="containsText" dxfId="8897" priority="19047" operator="containsText" text="Finalizado">
      <formula>NOT(ISERROR(SEARCH("Finalizado",P394)))</formula>
    </cfRule>
    <cfRule type="containsText" dxfId="8896" priority="19045" operator="containsText" text="N/A">
      <formula>NOT(ISERROR(SEARCH("N/A",P394)))</formula>
    </cfRule>
    <cfRule type="containsText" dxfId="8895" priority="19046" operator="containsText" text="Pendente">
      <formula>NOT(ISERROR(SEARCH("Pendente",P394)))</formula>
    </cfRule>
    <cfRule type="containsText" dxfId="8894" priority="19048" operator="containsText" text="em andamento">
      <formula>NOT(ISERROR(SEARCH("em andamento",P394)))</formula>
    </cfRule>
  </conditionalFormatting>
  <conditionalFormatting sqref="P395">
    <cfRule type="containsText" dxfId="8893" priority="19006" operator="containsText" text="N/A">
      <formula>NOT(ISERROR(SEARCH("N/A",P395)))</formula>
    </cfRule>
    <cfRule type="containsText" dxfId="8892" priority="19007" operator="containsText" text="Pendente">
      <formula>NOT(ISERROR(SEARCH("Pendente",P395)))</formula>
    </cfRule>
    <cfRule type="containsText" dxfId="8891" priority="19009" operator="containsText" text="em andamento">
      <formula>NOT(ISERROR(SEARCH("em andamento",P395)))</formula>
    </cfRule>
    <cfRule type="containsText" dxfId="8890" priority="19008" operator="containsText" text="Finalizado">
      <formula>NOT(ISERROR(SEARCH("Finalizado",P395)))</formula>
    </cfRule>
    <cfRule type="expression" dxfId="8889" priority="18991">
      <formula>$H395="CÉLULA CONSTRUTIVA"</formula>
    </cfRule>
    <cfRule type="expression" dxfId="8888" priority="18992">
      <formula>$H395="ETAPA"</formula>
    </cfRule>
    <cfRule type="containsText" dxfId="8887" priority="18993" operator="containsText" text="Lançado">
      <formula>NOT(ISERROR(SEARCH("Lançado",P395)))</formula>
    </cfRule>
    <cfRule type="containsText" dxfId="8886" priority="18994" operator="containsText" text="N/A">
      <formula>NOT(ISERROR(SEARCH("N/A",P395)))</formula>
    </cfRule>
    <cfRule type="containsText" dxfId="8885" priority="18995" operator="containsText" text="Pendente">
      <formula>NOT(ISERROR(SEARCH("Pendente",P395)))</formula>
    </cfRule>
    <cfRule type="containsText" dxfId="8884" priority="18996" operator="containsText" text="Finalizado">
      <formula>NOT(ISERROR(SEARCH("Finalizado",P395)))</formula>
    </cfRule>
    <cfRule type="containsText" dxfId="8883" priority="18997" operator="containsText" text="em andamento">
      <formula>NOT(ISERROR(SEARCH("em andamento",P395)))</formula>
    </cfRule>
    <cfRule type="containsText" dxfId="8882" priority="18998" operator="containsText" text="Lançado">
      <formula>NOT(ISERROR(SEARCH("Lançado",P395)))</formula>
    </cfRule>
    <cfRule type="containsText" dxfId="8881" priority="18999" operator="containsText" text="N/A">
      <formula>NOT(ISERROR(SEARCH("N/A",P395)))</formula>
    </cfRule>
    <cfRule type="containsText" dxfId="8880" priority="19000" operator="containsText" text="Pendente">
      <formula>NOT(ISERROR(SEARCH("Pendente",P395)))</formula>
    </cfRule>
    <cfRule type="containsText" dxfId="8879" priority="19001" operator="containsText" text="Finalizado">
      <formula>NOT(ISERROR(SEARCH("Finalizado",P395)))</formula>
    </cfRule>
    <cfRule type="containsText" dxfId="8878" priority="19002" operator="containsText" text="em andamento">
      <formula>NOT(ISERROR(SEARCH("em andamento",P395)))</formula>
    </cfRule>
    <cfRule type="expression" dxfId="8877" priority="19003">
      <formula>$H395="CÉLULA CONSTRUTIVA"</formula>
    </cfRule>
    <cfRule type="expression" dxfId="8876" priority="19004">
      <formula>$H395="ETAPA"</formula>
    </cfRule>
    <cfRule type="containsText" dxfId="8875" priority="19005" operator="containsText" text="Lançado">
      <formula>NOT(ISERROR(SEARCH("Lançado",P395)))</formula>
    </cfRule>
  </conditionalFormatting>
  <conditionalFormatting sqref="P396 P398">
    <cfRule type="expression" dxfId="8874" priority="19026">
      <formula>$H396="ETAPA"</formula>
    </cfRule>
    <cfRule type="containsText" dxfId="8873" priority="19030" operator="containsText" text="Lançado">
      <formula>NOT(ISERROR(SEARCH("Lançado",P396)))</formula>
    </cfRule>
    <cfRule type="containsText" dxfId="8872" priority="19031" operator="containsText" text="N/A">
      <formula>NOT(ISERROR(SEARCH("N/A",P396)))</formula>
    </cfRule>
    <cfRule type="containsText" dxfId="8871" priority="19032" operator="containsText" text="Pendente">
      <formula>NOT(ISERROR(SEARCH("Pendente",P396)))</formula>
    </cfRule>
    <cfRule type="containsText" dxfId="8870" priority="19034" operator="containsText" text="em andamento">
      <formula>NOT(ISERROR(SEARCH("em andamento",P396)))</formula>
    </cfRule>
    <cfRule type="containsText" dxfId="8869" priority="19033" operator="containsText" text="Finalizado">
      <formula>NOT(ISERROR(SEARCH("Finalizado",P396)))</formula>
    </cfRule>
  </conditionalFormatting>
  <conditionalFormatting sqref="P396">
    <cfRule type="expression" dxfId="8868" priority="19025">
      <formula>$H396="CÉLULA CONSTRUTIVA"</formula>
    </cfRule>
  </conditionalFormatting>
  <conditionalFormatting sqref="P397">
    <cfRule type="containsText" dxfId="8867" priority="18975" operator="containsText" text="Pendente">
      <formula>NOT(ISERROR(SEARCH("Pendente",P397)))</formula>
    </cfRule>
    <cfRule type="containsText" dxfId="8866" priority="18978" operator="containsText" text="Lançado">
      <formula>NOT(ISERROR(SEARCH("Lançado",P397)))</formula>
    </cfRule>
    <cfRule type="containsText" dxfId="8865" priority="18979" operator="containsText" text="N/A">
      <formula>NOT(ISERROR(SEARCH("N/A",P397)))</formula>
    </cfRule>
    <cfRule type="containsText" dxfId="8864" priority="18980" operator="containsText" text="Pendente">
      <formula>NOT(ISERROR(SEARCH("Pendente",P397)))</formula>
    </cfRule>
    <cfRule type="containsText" dxfId="8863" priority="18974" operator="containsText" text="N/A">
      <formula>NOT(ISERROR(SEARCH("N/A",P397)))</formula>
    </cfRule>
    <cfRule type="containsText" dxfId="8862" priority="18981" operator="containsText" text="Finalizado">
      <formula>NOT(ISERROR(SEARCH("Finalizado",P397)))</formula>
    </cfRule>
    <cfRule type="containsText" dxfId="8861" priority="18976" operator="containsText" text="Finalizado">
      <formula>NOT(ISERROR(SEARCH("Finalizado",P397)))</formula>
    </cfRule>
    <cfRule type="containsText" dxfId="8860" priority="18982" operator="containsText" text="em andamento">
      <formula>NOT(ISERROR(SEARCH("em andamento",P397)))</formula>
    </cfRule>
    <cfRule type="expression" dxfId="8859" priority="18984">
      <formula>$H397="ETAPA"</formula>
    </cfRule>
    <cfRule type="containsText" dxfId="8858" priority="18973" operator="containsText" text="Lançado">
      <formula>NOT(ISERROR(SEARCH("Lançado",P397)))</formula>
    </cfRule>
    <cfRule type="expression" dxfId="8857" priority="18972">
      <formula>$H397="ETAPA"</formula>
    </cfRule>
    <cfRule type="expression" dxfId="8856" priority="18971">
      <formula>$H397="CÉLULA CONSTRUTIVA"</formula>
    </cfRule>
    <cfRule type="containsText" dxfId="8855" priority="18985" operator="containsText" text="Lançado">
      <formula>NOT(ISERROR(SEARCH("Lançado",P397)))</formula>
    </cfRule>
    <cfRule type="containsText" dxfId="8854" priority="18986" operator="containsText" text="N/A">
      <formula>NOT(ISERROR(SEARCH("N/A",P397)))</formula>
    </cfRule>
    <cfRule type="containsText" dxfId="8853" priority="18987" operator="containsText" text="Pendente">
      <formula>NOT(ISERROR(SEARCH("Pendente",P397)))</formula>
    </cfRule>
    <cfRule type="expression" dxfId="8852" priority="18983">
      <formula>$H397="CÉLULA CONSTRUTIVA"</formula>
    </cfRule>
    <cfRule type="containsText" dxfId="8851" priority="18988" operator="containsText" text="Finalizado">
      <formula>NOT(ISERROR(SEARCH("Finalizado",P397)))</formula>
    </cfRule>
    <cfRule type="containsText" dxfId="8850" priority="18989" operator="containsText" text="em andamento">
      <formula>NOT(ISERROR(SEARCH("em andamento",P397)))</formula>
    </cfRule>
    <cfRule type="containsText" dxfId="8849" priority="18977" operator="containsText" text="em andamento">
      <formula>NOT(ISERROR(SEARCH("em andamento",P397)))</formula>
    </cfRule>
  </conditionalFormatting>
  <conditionalFormatting sqref="P399:P400">
    <cfRule type="containsText" dxfId="8848" priority="19060" operator="containsText" text="Pendente">
      <formula>NOT(ISERROR(SEARCH("Pendente",P399)))</formula>
    </cfRule>
    <cfRule type="containsText" dxfId="8847" priority="19059" operator="containsText" text="N/A">
      <formula>NOT(ISERROR(SEARCH("N/A",P399)))</formula>
    </cfRule>
    <cfRule type="containsText" dxfId="8846" priority="19058" operator="containsText" text="Lançado">
      <formula>NOT(ISERROR(SEARCH("Lançado",P399)))</formula>
    </cfRule>
    <cfRule type="containsText" dxfId="8845" priority="19057" operator="containsText" text="em andamento">
      <formula>NOT(ISERROR(SEARCH("em andamento",P399)))</formula>
    </cfRule>
    <cfRule type="containsText" dxfId="8844" priority="19056" operator="containsText" text="Finalizado">
      <formula>NOT(ISERROR(SEARCH("Finalizado",P399)))</formula>
    </cfRule>
    <cfRule type="containsText" dxfId="8843" priority="19062" operator="containsText" text="em andamento">
      <formula>NOT(ISERROR(SEARCH("em andamento",P399)))</formula>
    </cfRule>
    <cfRule type="containsText" dxfId="8842" priority="19054" operator="containsText" text="N/A">
      <formula>NOT(ISERROR(SEARCH("N/A",P399)))</formula>
    </cfRule>
    <cfRule type="containsText" dxfId="8841" priority="19053" operator="containsText" text="Lançado">
      <formula>NOT(ISERROR(SEARCH("Lançado",P399)))</formula>
    </cfRule>
    <cfRule type="containsText" dxfId="8840" priority="19052" operator="containsText" text="em andamento">
      <formula>NOT(ISERROR(SEARCH("em andamento",P399)))</formula>
    </cfRule>
    <cfRule type="containsText" dxfId="8839" priority="19051" operator="containsText" text="Finalizado">
      <formula>NOT(ISERROR(SEARCH("Finalizado",P399)))</formula>
    </cfRule>
    <cfRule type="containsText" dxfId="8838" priority="19050" operator="containsText" text="Pendente">
      <formula>NOT(ISERROR(SEARCH("Pendente",P399)))</formula>
    </cfRule>
    <cfRule type="containsText" dxfId="8837" priority="19055" operator="containsText" text="Pendente">
      <formula>NOT(ISERROR(SEARCH("Pendente",P399)))</formula>
    </cfRule>
    <cfRule type="containsText" dxfId="8836" priority="19061" operator="containsText" text="Finalizado">
      <formula>NOT(ISERROR(SEARCH("Finalizado",P399)))</formula>
    </cfRule>
  </conditionalFormatting>
  <conditionalFormatting sqref="P402:P403">
    <cfRule type="containsText" dxfId="8835" priority="18888" operator="containsText" text="em andamento">
      <formula>NOT(ISERROR(SEARCH("em andamento",P402)))</formula>
    </cfRule>
    <cfRule type="containsText" dxfId="8834" priority="18887" operator="containsText" text="Finalizado">
      <formula>NOT(ISERROR(SEARCH("Finalizado",P402)))</formula>
    </cfRule>
    <cfRule type="containsText" dxfId="8833" priority="18886" operator="containsText" text="Pendente">
      <formula>NOT(ISERROR(SEARCH("Pendente",P402)))</formula>
    </cfRule>
  </conditionalFormatting>
  <conditionalFormatting sqref="P402:P404">
    <cfRule type="expression" dxfId="8832" priority="18915">
      <formula>$H402="CÉLULA CONSTRUTIVA"</formula>
    </cfRule>
    <cfRule type="containsText" dxfId="8831" priority="18917" operator="containsText" text="Lançado">
      <formula>NOT(ISERROR(SEARCH("Lançado",P402)))</formula>
    </cfRule>
    <cfRule type="expression" dxfId="8830" priority="18916">
      <formula>$H402="ETAPA"</formula>
    </cfRule>
    <cfRule type="containsText" dxfId="8829" priority="18918" operator="containsText" text="N/A">
      <formula>NOT(ISERROR(SEARCH("N/A",P402)))</formula>
    </cfRule>
  </conditionalFormatting>
  <conditionalFormatting sqref="P404">
    <cfRule type="containsText" dxfId="8828" priority="18951" operator="containsText" text="em andamento">
      <formula>NOT(ISERROR(SEARCH("em andamento",P404)))</formula>
    </cfRule>
    <cfRule type="containsText" dxfId="8827" priority="18942" operator="containsText" text="Lançado">
      <formula>NOT(ISERROR(SEARCH("Lançado",P404)))</formula>
    </cfRule>
    <cfRule type="expression" dxfId="8826" priority="18952">
      <formula>$H404="SUBETAPA"</formula>
    </cfRule>
    <cfRule type="containsText" dxfId="8825" priority="18949" operator="containsText" text="Pendente">
      <formula>NOT(ISERROR(SEARCH("Pendente",P404)))</formula>
    </cfRule>
    <cfRule type="containsText" dxfId="8824" priority="18953" operator="containsText" text="Pendente">
      <formula>NOT(ISERROR(SEARCH("Pendente",P404)))</formula>
    </cfRule>
    <cfRule type="containsText" dxfId="8823" priority="18948" operator="containsText" text="N/A">
      <formula>NOT(ISERROR(SEARCH("N/A",P404)))</formula>
    </cfRule>
    <cfRule type="containsText" dxfId="8822" priority="18947" operator="containsText" text="Lançado">
      <formula>NOT(ISERROR(SEARCH("Lançado",P404)))</formula>
    </cfRule>
    <cfRule type="containsText" dxfId="8821" priority="18954" operator="containsText" text="Finalizado">
      <formula>NOT(ISERROR(SEARCH("Finalizado",P404)))</formula>
    </cfRule>
    <cfRule type="containsText" dxfId="8820" priority="18955" operator="containsText" text="em andamento">
      <formula>NOT(ISERROR(SEARCH("em andamento",P404)))</formula>
    </cfRule>
    <cfRule type="expression" dxfId="8819" priority="18941">
      <formula>$H404="ETAPA"</formula>
    </cfRule>
    <cfRule type="containsText" dxfId="8818" priority="18945" operator="containsText" text="Finalizado">
      <formula>NOT(ISERROR(SEARCH("Finalizado",P404)))</formula>
    </cfRule>
    <cfRule type="containsText" dxfId="8817" priority="18944" operator="containsText" text="Pendente">
      <formula>NOT(ISERROR(SEARCH("Pendente",P404)))</formula>
    </cfRule>
    <cfRule type="expression" dxfId="8816" priority="18940">
      <formula>$H404="CÉLULA CONSTRUTIVA"</formula>
    </cfRule>
    <cfRule type="expression" dxfId="8815" priority="18939">
      <formula>$H404="SUBETAPA"</formula>
    </cfRule>
    <cfRule type="containsText" dxfId="8814" priority="18943" operator="containsText" text="N/A">
      <formula>NOT(ISERROR(SEARCH("N/A",P404)))</formula>
    </cfRule>
    <cfRule type="containsText" dxfId="8813" priority="18950" operator="containsText" text="Finalizado">
      <formula>NOT(ISERROR(SEARCH("Finalizado",P404)))</formula>
    </cfRule>
    <cfRule type="containsText" dxfId="8812" priority="18946" operator="containsText" text="em andamento">
      <formula>NOT(ISERROR(SEARCH("em andamento",P404)))</formula>
    </cfRule>
  </conditionalFormatting>
  <conditionalFormatting sqref="P405">
    <cfRule type="containsText" dxfId="8811" priority="18787" operator="containsText" text="N/A">
      <formula>NOT(ISERROR(SEARCH("N/A",P405)))</formula>
    </cfRule>
    <cfRule type="containsText" dxfId="8810" priority="18783" operator="containsText" text="Pendente">
      <formula>NOT(ISERROR(SEARCH("Pendente",P405)))</formula>
    </cfRule>
    <cfRule type="containsText" dxfId="8809" priority="18784" operator="containsText" text="Finalizado">
      <formula>NOT(ISERROR(SEARCH("Finalizado",P405)))</formula>
    </cfRule>
    <cfRule type="containsText" dxfId="8808" priority="18785" operator="containsText" text="em andamento">
      <formula>NOT(ISERROR(SEARCH("em andamento",P405)))</formula>
    </cfRule>
    <cfRule type="containsText" dxfId="8807" priority="18786" operator="containsText" text="Lançado">
      <formula>NOT(ISERROR(SEARCH("Lançado",P405)))</formula>
    </cfRule>
    <cfRule type="containsText" dxfId="8806" priority="18775" operator="containsText" text="Finalizado">
      <formula>NOT(ISERROR(SEARCH("Finalizado",P405)))</formula>
    </cfRule>
    <cfRule type="expression" dxfId="8805" priority="18771">
      <formula>$H405="SUBETAPA"</formula>
    </cfRule>
    <cfRule type="containsText" dxfId="8804" priority="18772" operator="containsText" text="Lançado">
      <formula>NOT(ISERROR(SEARCH("Lançado",P405)))</formula>
    </cfRule>
    <cfRule type="containsText" dxfId="8803" priority="18773" operator="containsText" text="N/A">
      <formula>NOT(ISERROR(SEARCH("N/A",P405)))</formula>
    </cfRule>
    <cfRule type="containsText" dxfId="8802" priority="18774" operator="containsText" text="Pendente">
      <formula>NOT(ISERROR(SEARCH("Pendente",P405)))</formula>
    </cfRule>
    <cfRule type="containsText" dxfId="8801" priority="18776" operator="containsText" text="em andamento">
      <formula>NOT(ISERROR(SEARCH("em andamento",P405)))</formula>
    </cfRule>
    <cfRule type="containsText" dxfId="8800" priority="18777" operator="containsText" text="Lançado">
      <formula>NOT(ISERROR(SEARCH("Lançado",P405)))</formula>
    </cfRule>
    <cfRule type="containsText" dxfId="8799" priority="18778" operator="containsText" text="N/A">
      <formula>NOT(ISERROR(SEARCH("N/A",P405)))</formula>
    </cfRule>
    <cfRule type="containsText" dxfId="8798" priority="18779" operator="containsText" text="Pendente">
      <formula>NOT(ISERROR(SEARCH("Pendente",P405)))</formula>
    </cfRule>
    <cfRule type="containsText" dxfId="8797" priority="18780" operator="containsText" text="Finalizado">
      <formula>NOT(ISERROR(SEARCH("Finalizado",P405)))</formula>
    </cfRule>
    <cfRule type="containsText" dxfId="8796" priority="18781" operator="containsText" text="em andamento">
      <formula>NOT(ISERROR(SEARCH("em andamento",P405)))</formula>
    </cfRule>
    <cfRule type="expression" dxfId="8795" priority="18782">
      <formula>$H405="SUBETAPA"</formula>
    </cfRule>
  </conditionalFormatting>
  <conditionalFormatting sqref="P406">
    <cfRule type="containsText" dxfId="8794" priority="18897" operator="containsText" text="N/A">
      <formula>NOT(ISERROR(SEARCH("N/A",P406)))</formula>
    </cfRule>
    <cfRule type="containsText" dxfId="8793" priority="18898" operator="containsText" text="Pendente">
      <formula>NOT(ISERROR(SEARCH("Pendente",P406)))</formula>
    </cfRule>
    <cfRule type="containsText" dxfId="8792" priority="18899" operator="containsText" text="Finalizado">
      <formula>NOT(ISERROR(SEARCH("Finalizado",P406)))</formula>
    </cfRule>
    <cfRule type="containsText" dxfId="8791" priority="18900" operator="containsText" text="em andamento">
      <formula>NOT(ISERROR(SEARCH("em andamento",P406)))</formula>
    </cfRule>
    <cfRule type="containsText" dxfId="8790" priority="18896" operator="containsText" text="Lançado">
      <formula>NOT(ISERROR(SEARCH("Lançado",P406)))</formula>
    </cfRule>
  </conditionalFormatting>
  <conditionalFormatting sqref="P407 P409">
    <cfRule type="containsText" dxfId="8789" priority="18858" operator="containsText" text="Lançado">
      <formula>NOT(ISERROR(SEARCH("Lançado",P407)))</formula>
    </cfRule>
    <cfRule type="expression" dxfId="8788" priority="18845">
      <formula>$H407="ETAPA"</formula>
    </cfRule>
    <cfRule type="expression" dxfId="8787" priority="18844">
      <formula>$H407="CÉLULA CONSTRUTIVA"</formula>
    </cfRule>
    <cfRule type="containsText" dxfId="8786" priority="18851" operator="containsText" text="Lançado">
      <formula>NOT(ISERROR(SEARCH("Lançado",P407)))</formula>
    </cfRule>
    <cfRule type="containsText" dxfId="8785" priority="18850" operator="containsText" text="em andamento">
      <formula>NOT(ISERROR(SEARCH("em andamento",P407)))</formula>
    </cfRule>
    <cfRule type="containsText" dxfId="8784" priority="18849" operator="containsText" text="Finalizado">
      <formula>NOT(ISERROR(SEARCH("Finalizado",P407)))</formula>
    </cfRule>
    <cfRule type="containsText" dxfId="8783" priority="18854" operator="containsText" text="Finalizado">
      <formula>NOT(ISERROR(SEARCH("Finalizado",P407)))</formula>
    </cfRule>
    <cfRule type="containsText" dxfId="8782" priority="18848" operator="containsText" text="Pendente">
      <formula>NOT(ISERROR(SEARCH("Pendente",P407)))</formula>
    </cfRule>
    <cfRule type="containsText" dxfId="8781" priority="18847" operator="containsText" text="N/A">
      <formula>NOT(ISERROR(SEARCH("N/A",P407)))</formula>
    </cfRule>
    <cfRule type="containsText" dxfId="8780" priority="18862" operator="containsText" text="em andamento">
      <formula>NOT(ISERROR(SEARCH("em andamento",P407)))</formula>
    </cfRule>
    <cfRule type="containsText" dxfId="8779" priority="18861" operator="containsText" text="Finalizado">
      <formula>NOT(ISERROR(SEARCH("Finalizado",P407)))</formula>
    </cfRule>
    <cfRule type="containsText" dxfId="8778" priority="18860" operator="containsText" text="Pendente">
      <formula>NOT(ISERROR(SEARCH("Pendente",P407)))</formula>
    </cfRule>
    <cfRule type="containsText" dxfId="8777" priority="18859" operator="containsText" text="N/A">
      <formula>NOT(ISERROR(SEARCH("N/A",P407)))</formula>
    </cfRule>
    <cfRule type="containsText" dxfId="8776" priority="18846" operator="containsText" text="Lançado">
      <formula>NOT(ISERROR(SEARCH("Lançado",P407)))</formula>
    </cfRule>
    <cfRule type="expression" dxfId="8775" priority="18857">
      <formula>$H407="ETAPA"</formula>
    </cfRule>
    <cfRule type="expression" dxfId="8774" priority="18856">
      <formula>$H407="CÉLULA CONSTRUTIVA"</formula>
    </cfRule>
    <cfRule type="containsText" dxfId="8773" priority="18855" operator="containsText" text="em andamento">
      <formula>NOT(ISERROR(SEARCH("em andamento",P407)))</formula>
    </cfRule>
    <cfRule type="containsText" dxfId="8772" priority="18853" operator="containsText" text="Pendente">
      <formula>NOT(ISERROR(SEARCH("Pendente",P407)))</formula>
    </cfRule>
    <cfRule type="containsText" dxfId="8771" priority="18852" operator="containsText" text="N/A">
      <formula>NOT(ISERROR(SEARCH("N/A",P407)))</formula>
    </cfRule>
  </conditionalFormatting>
  <conditionalFormatting sqref="P407">
    <cfRule type="expression" dxfId="8770" priority="18956">
      <formula>$H407="SUBETAPA"</formula>
    </cfRule>
  </conditionalFormatting>
  <conditionalFormatting sqref="P408">
    <cfRule type="containsText" dxfId="8769" priority="18812" operator="containsText" text="Lançado">
      <formula>NOT(ISERROR(SEARCH("Lançado",P408)))</formula>
    </cfRule>
    <cfRule type="containsText" dxfId="8768" priority="18813" operator="containsText" text="N/A">
      <formula>NOT(ISERROR(SEARCH("N/A",P408)))</formula>
    </cfRule>
    <cfRule type="containsText" dxfId="8767" priority="18814" operator="containsText" text="Pendente">
      <formula>NOT(ISERROR(SEARCH("Pendente",P408)))</formula>
    </cfRule>
    <cfRule type="containsText" dxfId="8766" priority="18815" operator="containsText" text="Finalizado">
      <formula>NOT(ISERROR(SEARCH("Finalizado",P408)))</formula>
    </cfRule>
    <cfRule type="containsText" dxfId="8765" priority="18816" operator="containsText" text="em andamento">
      <formula>NOT(ISERROR(SEARCH("em andamento",P408)))</formula>
    </cfRule>
  </conditionalFormatting>
  <conditionalFormatting sqref="P410 P412">
    <cfRule type="containsText" dxfId="8764" priority="18883" operator="containsText" text="Pendente">
      <formula>NOT(ISERROR(SEARCH("Pendente",P410)))</formula>
    </cfRule>
    <cfRule type="containsText" dxfId="8763" priority="18882" operator="containsText" text="N/A">
      <formula>NOT(ISERROR(SEARCH("N/A",P410)))</formula>
    </cfRule>
    <cfRule type="containsText" dxfId="8762" priority="18881" operator="containsText" text="Lançado">
      <formula>NOT(ISERROR(SEARCH("Lançado",P410)))</formula>
    </cfRule>
    <cfRule type="expression" dxfId="8761" priority="18877">
      <formula>$H410="ETAPA"</formula>
    </cfRule>
    <cfRule type="containsText" dxfId="8760" priority="18884" operator="containsText" text="Finalizado">
      <formula>NOT(ISERROR(SEARCH("Finalizado",P410)))</formula>
    </cfRule>
    <cfRule type="containsText" dxfId="8759" priority="18885" operator="containsText" text="em andamento">
      <formula>NOT(ISERROR(SEARCH("em andamento",P410)))</formula>
    </cfRule>
  </conditionalFormatting>
  <conditionalFormatting sqref="P410">
    <cfRule type="expression" dxfId="8758" priority="18876">
      <formula>$H410="CÉLULA CONSTRUTIVA"</formula>
    </cfRule>
  </conditionalFormatting>
  <conditionalFormatting sqref="P411">
    <cfRule type="containsText" dxfId="8757" priority="18841" operator="containsText" text="Finalizado">
      <formula>NOT(ISERROR(SEARCH("Finalizado",P411)))</formula>
    </cfRule>
    <cfRule type="containsText" dxfId="8756" priority="18842" operator="containsText" text="em andamento">
      <formula>NOT(ISERROR(SEARCH("em andamento",P411)))</formula>
    </cfRule>
    <cfRule type="containsText" dxfId="8755" priority="18829" operator="containsText" text="Finalizado">
      <formula>NOT(ISERROR(SEARCH("Finalizado",P411)))</formula>
    </cfRule>
    <cfRule type="expression" dxfId="8754" priority="18824">
      <formula>$H411="CÉLULA CONSTRUTIVA"</formula>
    </cfRule>
    <cfRule type="expression" dxfId="8753" priority="18825">
      <formula>$H411="ETAPA"</formula>
    </cfRule>
    <cfRule type="containsText" dxfId="8752" priority="18826" operator="containsText" text="Lançado">
      <formula>NOT(ISERROR(SEARCH("Lançado",P411)))</formula>
    </cfRule>
    <cfRule type="containsText" dxfId="8751" priority="18827" operator="containsText" text="N/A">
      <formula>NOT(ISERROR(SEARCH("N/A",P411)))</formula>
    </cfRule>
    <cfRule type="containsText" dxfId="8750" priority="18828" operator="containsText" text="Pendente">
      <formula>NOT(ISERROR(SEARCH("Pendente",P411)))</formula>
    </cfRule>
    <cfRule type="containsText" dxfId="8749" priority="18832" operator="containsText" text="N/A">
      <formula>NOT(ISERROR(SEARCH("N/A",P411)))</formula>
    </cfRule>
    <cfRule type="containsText" dxfId="8748" priority="18830" operator="containsText" text="em andamento">
      <formula>NOT(ISERROR(SEARCH("em andamento",P411)))</formula>
    </cfRule>
    <cfRule type="containsText" dxfId="8747" priority="18831" operator="containsText" text="Lançado">
      <formula>NOT(ISERROR(SEARCH("Lançado",P411)))</formula>
    </cfRule>
    <cfRule type="containsText" dxfId="8746" priority="18833" operator="containsText" text="Pendente">
      <formula>NOT(ISERROR(SEARCH("Pendente",P411)))</formula>
    </cfRule>
    <cfRule type="containsText" dxfId="8745" priority="18834" operator="containsText" text="Finalizado">
      <formula>NOT(ISERROR(SEARCH("Finalizado",P411)))</formula>
    </cfRule>
    <cfRule type="containsText" dxfId="8744" priority="18835" operator="containsText" text="em andamento">
      <formula>NOT(ISERROR(SEARCH("em andamento",P411)))</formula>
    </cfRule>
    <cfRule type="expression" dxfId="8743" priority="18836">
      <formula>$H411="CÉLULA CONSTRUTIVA"</formula>
    </cfRule>
    <cfRule type="expression" dxfId="8742" priority="18837">
      <formula>$H411="ETAPA"</formula>
    </cfRule>
    <cfRule type="containsText" dxfId="8741" priority="18838" operator="containsText" text="Lançado">
      <formula>NOT(ISERROR(SEARCH("Lançado",P411)))</formula>
    </cfRule>
    <cfRule type="containsText" dxfId="8740" priority="18839" operator="containsText" text="N/A">
      <formula>NOT(ISERROR(SEARCH("N/A",P411)))</formula>
    </cfRule>
    <cfRule type="containsText" dxfId="8739" priority="18840" operator="containsText" text="Pendente">
      <formula>NOT(ISERROR(SEARCH("Pendente",P411)))</formula>
    </cfRule>
  </conditionalFormatting>
  <conditionalFormatting sqref="P412:P413 J406:K408 I402:I404 M413:O413 P405 M415:O417 P415 M414:P414 G405:I417">
    <cfRule type="expression" dxfId="8738" priority="18962">
      <formula>$H402="CÉLULA CONSTRUTIVA"</formula>
    </cfRule>
  </conditionalFormatting>
  <conditionalFormatting sqref="P413:P415">
    <cfRule type="containsText" dxfId="8737" priority="18910" operator="containsText" text="Lançado">
      <formula>NOT(ISERROR(SEARCH("Lançado",P413)))</formula>
    </cfRule>
    <cfRule type="containsText" dxfId="8736" priority="18914" operator="containsText" text="em andamento">
      <formula>NOT(ISERROR(SEARCH("em andamento",P413)))</formula>
    </cfRule>
    <cfRule type="containsText" dxfId="8735" priority="18909" operator="containsText" text="em andamento">
      <formula>NOT(ISERROR(SEARCH("em andamento",P413)))</formula>
    </cfRule>
    <cfRule type="containsText" dxfId="8734" priority="18908" operator="containsText" text="Finalizado">
      <formula>NOT(ISERROR(SEARCH("Finalizado",P413)))</formula>
    </cfRule>
    <cfRule type="containsText" dxfId="8733" priority="18911" operator="containsText" text="N/A">
      <formula>NOT(ISERROR(SEARCH("N/A",P413)))</formula>
    </cfRule>
    <cfRule type="containsText" dxfId="8732" priority="18905" operator="containsText" text="Lançado">
      <formula>NOT(ISERROR(SEARCH("Lançado",P413)))</formula>
    </cfRule>
    <cfRule type="containsText" dxfId="8731" priority="18907" operator="containsText" text="Pendente">
      <formula>NOT(ISERROR(SEARCH("Pendente",P413)))</formula>
    </cfRule>
    <cfRule type="containsText" dxfId="8730" priority="18903" operator="containsText" text="Finalizado">
      <formula>NOT(ISERROR(SEARCH("Finalizado",P413)))</formula>
    </cfRule>
    <cfRule type="containsText" dxfId="8729" priority="18906" operator="containsText" text="N/A">
      <formula>NOT(ISERROR(SEARCH("N/A",P413)))</formula>
    </cfRule>
    <cfRule type="containsText" dxfId="8728" priority="18904" operator="containsText" text="em andamento">
      <formula>NOT(ISERROR(SEARCH("em andamento",P413)))</formula>
    </cfRule>
    <cfRule type="containsText" dxfId="8727" priority="18902" operator="containsText" text="Pendente">
      <formula>NOT(ISERROR(SEARCH("Pendente",P413)))</formula>
    </cfRule>
    <cfRule type="containsText" dxfId="8726" priority="18912" operator="containsText" text="Pendente">
      <formula>NOT(ISERROR(SEARCH("Pendente",P413)))</formula>
    </cfRule>
    <cfRule type="containsText" dxfId="8725" priority="18913" operator="containsText" text="Finalizado">
      <formula>NOT(ISERROR(SEARCH("Finalizado",P413)))</formula>
    </cfRule>
  </conditionalFormatting>
  <conditionalFormatting sqref="P413:P417">
    <cfRule type="containsText" dxfId="8724" priority="18958" operator="containsText" text="N/A">
      <formula>NOT(ISERROR(SEARCH("N/A",P413)))</formula>
    </cfRule>
    <cfRule type="containsText" dxfId="8723" priority="18957" operator="containsText" text="Lançado">
      <formula>NOT(ISERROR(SEARCH("Lançado",P413)))</formula>
    </cfRule>
  </conditionalFormatting>
  <conditionalFormatting sqref="P416:P417">
    <cfRule type="expression" dxfId="8722" priority="18935">
      <formula>$H416="ETAPA"</formula>
    </cfRule>
    <cfRule type="expression" dxfId="8721" priority="18920">
      <formula>$H416="SUBETAPA"</formula>
    </cfRule>
    <cfRule type="containsText" dxfId="8720" priority="18928" operator="containsText" text="Lançado">
      <formula>NOT(ISERROR(SEARCH("Lançado",P416)))</formula>
    </cfRule>
    <cfRule type="containsText" dxfId="8719" priority="18929" operator="containsText" text="N/A">
      <formula>NOT(ISERROR(SEARCH("N/A",P416)))</formula>
    </cfRule>
    <cfRule type="containsText" dxfId="8718" priority="18930" operator="containsText" text="Pendente">
      <formula>NOT(ISERROR(SEARCH("Pendente",P416)))</formula>
    </cfRule>
    <cfRule type="containsText" dxfId="8717" priority="18931" operator="containsText" text="Finalizado">
      <formula>NOT(ISERROR(SEARCH("Finalizado",P416)))</formula>
    </cfRule>
    <cfRule type="containsText" dxfId="8716" priority="18927" operator="containsText" text="em andamento">
      <formula>NOT(ISERROR(SEARCH("em andamento",P416)))</formula>
    </cfRule>
    <cfRule type="containsText" dxfId="8715" priority="18932" operator="containsText" text="em andamento">
      <formula>NOT(ISERROR(SEARCH("em andamento",P416)))</formula>
    </cfRule>
    <cfRule type="containsText" dxfId="8714" priority="18925" operator="containsText" text="Pendente">
      <formula>NOT(ISERROR(SEARCH("Pendente",P416)))</formula>
    </cfRule>
    <cfRule type="containsText" dxfId="8713" priority="18924" operator="containsText" text="N/A">
      <formula>NOT(ISERROR(SEARCH("N/A",P416)))</formula>
    </cfRule>
    <cfRule type="containsText" dxfId="8712" priority="18936" operator="containsText" text="Pendente">
      <formula>NOT(ISERROR(SEARCH("Pendente",P416)))</formula>
    </cfRule>
    <cfRule type="containsText" dxfId="8711" priority="18937" operator="containsText" text="Finalizado">
      <formula>NOT(ISERROR(SEARCH("Finalizado",P416)))</formula>
    </cfRule>
    <cfRule type="containsText" dxfId="8710" priority="18923" operator="containsText" text="Lançado">
      <formula>NOT(ISERROR(SEARCH("Lançado",P416)))</formula>
    </cfRule>
    <cfRule type="expression" dxfId="8709" priority="18922">
      <formula>$H416="ETAPA"</formula>
    </cfRule>
    <cfRule type="expression" dxfId="8708" priority="18921">
      <formula>$H416="CÉLULA CONSTRUTIVA"</formula>
    </cfRule>
    <cfRule type="expression" dxfId="8707" priority="18933">
      <formula>$H416="SUBETAPA"</formula>
    </cfRule>
    <cfRule type="containsText" dxfId="8706" priority="18938" operator="containsText" text="em andamento">
      <formula>NOT(ISERROR(SEARCH("em andamento",P416)))</formula>
    </cfRule>
    <cfRule type="expression" dxfId="8705" priority="18934">
      <formula>$H416="CÉLULA CONSTRUTIVA"</formula>
    </cfRule>
    <cfRule type="containsText" dxfId="8704" priority="18926" operator="containsText" text="Finalizado">
      <formula>NOT(ISERROR(SEARCH("Finalizado",P416)))</formula>
    </cfRule>
  </conditionalFormatting>
  <conditionalFormatting sqref="P418:P419">
    <cfRule type="containsText" dxfId="8703" priority="18702" operator="containsText" text="em andamento">
      <formula>NOT(ISERROR(SEARCH("em andamento",P418)))</formula>
    </cfRule>
    <cfRule type="containsText" dxfId="8702" priority="18701" operator="containsText" text="Finalizado">
      <formula>NOT(ISERROR(SEARCH("Finalizado",P418)))</formula>
    </cfRule>
    <cfRule type="containsText" dxfId="8701" priority="18700" operator="containsText" text="Pendente">
      <formula>NOT(ISERROR(SEARCH("Pendente",P418)))</formula>
    </cfRule>
  </conditionalFormatting>
  <conditionalFormatting sqref="P418:P420">
    <cfRule type="expression" dxfId="8700" priority="18729">
      <formula>$H418="CÉLULA CONSTRUTIVA"</formula>
    </cfRule>
    <cfRule type="expression" dxfId="8699" priority="18730">
      <formula>$H418="ETAPA"</formula>
    </cfRule>
    <cfRule type="containsText" dxfId="8698" priority="18731" operator="containsText" text="Lançado">
      <formula>NOT(ISERROR(SEARCH("Lançado",P418)))</formula>
    </cfRule>
    <cfRule type="containsText" dxfId="8697" priority="18732" operator="containsText" text="N/A">
      <formula>NOT(ISERROR(SEARCH("N/A",P418)))</formula>
    </cfRule>
  </conditionalFormatting>
  <conditionalFormatting sqref="P420">
    <cfRule type="containsText" dxfId="8696" priority="18746" operator="containsText" text="em andamento">
      <formula>NOT(ISERROR(SEARCH("em andamento",P420)))</formula>
    </cfRule>
    <cfRule type="containsText" dxfId="8695" priority="18740" operator="containsText" text="Finalizado">
      <formula>NOT(ISERROR(SEARCH("Finalizado",P420)))</formula>
    </cfRule>
    <cfRule type="containsText" dxfId="8694" priority="18741" operator="containsText" text="em andamento">
      <formula>NOT(ISERROR(SEARCH("em andamento",P420)))</formula>
    </cfRule>
    <cfRule type="containsText" dxfId="8693" priority="18742" operator="containsText" text="Lançado">
      <formula>NOT(ISERROR(SEARCH("Lançado",P420)))</formula>
    </cfRule>
    <cfRule type="containsText" dxfId="8692" priority="18743" operator="containsText" text="N/A">
      <formula>NOT(ISERROR(SEARCH("N/A",P420)))</formula>
    </cfRule>
    <cfRule type="containsText" dxfId="8691" priority="18744" operator="containsText" text="Pendente">
      <formula>NOT(ISERROR(SEARCH("Pendente",P420)))</formula>
    </cfRule>
    <cfRule type="containsText" dxfId="8690" priority="18749" operator="containsText" text="Finalizado">
      <formula>NOT(ISERROR(SEARCH("Finalizado",P420)))</formula>
    </cfRule>
    <cfRule type="containsText" dxfId="8689" priority="18745" operator="containsText" text="Finalizado">
      <formula>NOT(ISERROR(SEARCH("Finalizado",P420)))</formula>
    </cfRule>
    <cfRule type="expression" dxfId="8688" priority="18747">
      <formula>$H420="SUBETAPA"</formula>
    </cfRule>
    <cfRule type="containsText" dxfId="8687" priority="18748" operator="containsText" text="Pendente">
      <formula>NOT(ISERROR(SEARCH("Pendente",P420)))</formula>
    </cfRule>
    <cfRule type="containsText" dxfId="8686" priority="18738" operator="containsText" text="N/A">
      <formula>NOT(ISERROR(SEARCH("N/A",P420)))</formula>
    </cfRule>
    <cfRule type="expression" dxfId="8685" priority="18734">
      <formula>$H420="SUBETAPA"</formula>
    </cfRule>
    <cfRule type="expression" dxfId="8684" priority="18735">
      <formula>$H420="CÉLULA CONSTRUTIVA"</formula>
    </cfRule>
    <cfRule type="expression" dxfId="8683" priority="18736">
      <formula>$H420="ETAPA"</formula>
    </cfRule>
    <cfRule type="containsText" dxfId="8682" priority="18737" operator="containsText" text="Lançado">
      <formula>NOT(ISERROR(SEARCH("Lançado",P420)))</formula>
    </cfRule>
    <cfRule type="containsText" dxfId="8681" priority="18750" operator="containsText" text="em andamento">
      <formula>NOT(ISERROR(SEARCH("em andamento",P420)))</formula>
    </cfRule>
    <cfRule type="containsText" dxfId="8680" priority="18739" operator="containsText" text="Pendente">
      <formula>NOT(ISERROR(SEARCH("Pendente",P420)))</formula>
    </cfRule>
  </conditionalFormatting>
  <conditionalFormatting sqref="P421">
    <cfRule type="containsText" dxfId="8679" priority="18617" operator="containsText" text="em andamento">
      <formula>NOT(ISERROR(SEARCH("em andamento",P421)))</formula>
    </cfRule>
    <cfRule type="containsText" dxfId="8678" priority="18616" operator="containsText" text="Finalizado">
      <formula>NOT(ISERROR(SEARCH("Finalizado",P421)))</formula>
    </cfRule>
    <cfRule type="containsText" dxfId="8677" priority="18615" operator="containsText" text="Pendente">
      <formula>NOT(ISERROR(SEARCH("Pendente",P421)))</formula>
    </cfRule>
    <cfRule type="containsText" dxfId="8676" priority="18614" operator="containsText" text="N/A">
      <formula>NOT(ISERROR(SEARCH("N/A",P421)))</formula>
    </cfRule>
    <cfRule type="containsText" dxfId="8675" priority="18613" operator="containsText" text="Lançado">
      <formula>NOT(ISERROR(SEARCH("Lançado",P421)))</formula>
    </cfRule>
    <cfRule type="expression" dxfId="8674" priority="18612">
      <formula>$H421="SUBETAPA"</formula>
    </cfRule>
    <cfRule type="containsText" dxfId="8673" priority="18625" operator="containsText" text="Finalizado">
      <formula>NOT(ISERROR(SEARCH("Finalizado",P421)))</formula>
    </cfRule>
    <cfRule type="containsText" dxfId="8672" priority="18620" operator="containsText" text="Pendente">
      <formula>NOT(ISERROR(SEARCH("Pendente",P421)))</formula>
    </cfRule>
    <cfRule type="containsText" dxfId="8671" priority="18627" operator="containsText" text="Lançado">
      <formula>NOT(ISERROR(SEARCH("Lançado",P421)))</formula>
    </cfRule>
    <cfRule type="containsText" dxfId="8670" priority="18618" operator="containsText" text="Lançado">
      <formula>NOT(ISERROR(SEARCH("Lançado",P421)))</formula>
    </cfRule>
    <cfRule type="containsText" dxfId="8669" priority="18626" operator="containsText" text="em andamento">
      <formula>NOT(ISERROR(SEARCH("em andamento",P421)))</formula>
    </cfRule>
    <cfRule type="containsText" dxfId="8668" priority="18624" operator="containsText" text="Pendente">
      <formula>NOT(ISERROR(SEARCH("Pendente",P421)))</formula>
    </cfRule>
    <cfRule type="expression" dxfId="8667" priority="18623">
      <formula>$H421="SUBETAPA"</formula>
    </cfRule>
    <cfRule type="containsText" dxfId="8666" priority="18622" operator="containsText" text="em andamento">
      <formula>NOT(ISERROR(SEARCH("em andamento",P421)))</formula>
    </cfRule>
    <cfRule type="containsText" dxfId="8665" priority="18628" operator="containsText" text="N/A">
      <formula>NOT(ISERROR(SEARCH("N/A",P421)))</formula>
    </cfRule>
    <cfRule type="containsText" dxfId="8664" priority="18621" operator="containsText" text="Finalizado">
      <formula>NOT(ISERROR(SEARCH("Finalizado",P421)))</formula>
    </cfRule>
    <cfRule type="containsText" dxfId="8663" priority="18619" operator="containsText" text="N/A">
      <formula>NOT(ISERROR(SEARCH("N/A",P421)))</formula>
    </cfRule>
  </conditionalFormatting>
  <conditionalFormatting sqref="P422">
    <cfRule type="containsText" dxfId="8662" priority="18712" operator="containsText" text="Pendente">
      <formula>NOT(ISERROR(SEARCH("Pendente",P422)))</formula>
    </cfRule>
    <cfRule type="containsText" dxfId="8661" priority="18713" operator="containsText" text="Finalizado">
      <formula>NOT(ISERROR(SEARCH("Finalizado",P422)))</formula>
    </cfRule>
    <cfRule type="containsText" dxfId="8660" priority="18714" operator="containsText" text="em andamento">
      <formula>NOT(ISERROR(SEARCH("em andamento",P422)))</formula>
    </cfRule>
    <cfRule type="containsText" dxfId="8659" priority="18710" operator="containsText" text="Lançado">
      <formula>NOT(ISERROR(SEARCH("Lançado",P422)))</formula>
    </cfRule>
    <cfRule type="containsText" dxfId="8658" priority="18711" operator="containsText" text="N/A">
      <formula>NOT(ISERROR(SEARCH("N/A",P422)))</formula>
    </cfRule>
  </conditionalFormatting>
  <conditionalFormatting sqref="P423 P425">
    <cfRule type="containsText" dxfId="8657" priority="18666" operator="containsText" text="Pendente">
      <formula>NOT(ISERROR(SEARCH("Pendente",P423)))</formula>
    </cfRule>
    <cfRule type="containsText" dxfId="8656" priority="18671" operator="containsText" text="Pendente">
      <formula>NOT(ISERROR(SEARCH("Pendente",P423)))</formula>
    </cfRule>
    <cfRule type="containsText" dxfId="8655" priority="18670" operator="containsText" text="N/A">
      <formula>NOT(ISERROR(SEARCH("N/A",P423)))</formula>
    </cfRule>
    <cfRule type="containsText" dxfId="8654" priority="18669" operator="containsText" text="Lançado">
      <formula>NOT(ISERROR(SEARCH("Lançado",P423)))</formula>
    </cfRule>
    <cfRule type="expression" dxfId="8653" priority="18662">
      <formula>$H423="CÉLULA CONSTRUTIVA"</formula>
    </cfRule>
    <cfRule type="expression" dxfId="8652" priority="18663">
      <formula>$H423="ETAPA"</formula>
    </cfRule>
    <cfRule type="containsText" dxfId="8651" priority="18664" operator="containsText" text="Lançado">
      <formula>NOT(ISERROR(SEARCH("Lançado",P423)))</formula>
    </cfRule>
    <cfRule type="containsText" dxfId="8650" priority="18665" operator="containsText" text="N/A">
      <formula>NOT(ISERROR(SEARCH("N/A",P423)))</formula>
    </cfRule>
    <cfRule type="containsText" dxfId="8649" priority="18667" operator="containsText" text="Finalizado">
      <formula>NOT(ISERROR(SEARCH("Finalizado",P423)))</formula>
    </cfRule>
    <cfRule type="containsText" dxfId="8648" priority="18678" operator="containsText" text="Pendente">
      <formula>NOT(ISERROR(SEARCH("Pendente",P423)))</formula>
    </cfRule>
    <cfRule type="containsText" dxfId="8647" priority="18680" operator="containsText" text="em andamento">
      <formula>NOT(ISERROR(SEARCH("em andamento",P423)))</formula>
    </cfRule>
    <cfRule type="containsText" dxfId="8646" priority="18679" operator="containsText" text="Finalizado">
      <formula>NOT(ISERROR(SEARCH("Finalizado",P423)))</formula>
    </cfRule>
    <cfRule type="containsText" dxfId="8645" priority="18668" operator="containsText" text="em andamento">
      <formula>NOT(ISERROR(SEARCH("em andamento",P423)))</formula>
    </cfRule>
    <cfRule type="containsText" dxfId="8644" priority="18677" operator="containsText" text="N/A">
      <formula>NOT(ISERROR(SEARCH("N/A",P423)))</formula>
    </cfRule>
    <cfRule type="containsText" dxfId="8643" priority="18676" operator="containsText" text="Lançado">
      <formula>NOT(ISERROR(SEARCH("Lançado",P423)))</formula>
    </cfRule>
    <cfRule type="expression" dxfId="8642" priority="18675">
      <formula>$H423="ETAPA"</formula>
    </cfRule>
    <cfRule type="expression" dxfId="8641" priority="18674">
      <formula>$H423="CÉLULA CONSTRUTIVA"</formula>
    </cfRule>
    <cfRule type="containsText" dxfId="8640" priority="18673" operator="containsText" text="em andamento">
      <formula>NOT(ISERROR(SEARCH("em andamento",P423)))</formula>
    </cfRule>
    <cfRule type="containsText" dxfId="8639" priority="18672" operator="containsText" text="Finalizado">
      <formula>NOT(ISERROR(SEARCH("Finalizado",P423)))</formula>
    </cfRule>
  </conditionalFormatting>
  <conditionalFormatting sqref="P423">
    <cfRule type="expression" dxfId="8638" priority="18751">
      <formula>$H423="SUBETAPA"</formula>
    </cfRule>
  </conditionalFormatting>
  <conditionalFormatting sqref="P424">
    <cfRule type="containsText" dxfId="8637" priority="18650" operator="containsText" text="Lançado">
      <formula>NOT(ISERROR(SEARCH("Lançado",P424)))</formula>
    </cfRule>
    <cfRule type="containsText" dxfId="8636" priority="18654" operator="containsText" text="em andamento">
      <formula>NOT(ISERROR(SEARCH("em andamento",P424)))</formula>
    </cfRule>
    <cfRule type="containsText" dxfId="8635" priority="18652" operator="containsText" text="Pendente">
      <formula>NOT(ISERROR(SEARCH("Pendente",P424)))</formula>
    </cfRule>
    <cfRule type="containsText" dxfId="8634" priority="18651" operator="containsText" text="N/A">
      <formula>NOT(ISERROR(SEARCH("N/A",P424)))</formula>
    </cfRule>
    <cfRule type="containsText" dxfId="8633" priority="18653" operator="containsText" text="Finalizado">
      <formula>NOT(ISERROR(SEARCH("Finalizado",P424)))</formula>
    </cfRule>
  </conditionalFormatting>
  <conditionalFormatting sqref="P426">
    <cfRule type="containsText" dxfId="8632" priority="18697" operator="containsText" text="Pendente">
      <formula>NOT(ISERROR(SEARCH("Pendente",P426)))</formula>
    </cfRule>
    <cfRule type="containsText" dxfId="8631" priority="18699" operator="containsText" text="em andamento">
      <formula>NOT(ISERROR(SEARCH("em andamento",P426)))</formula>
    </cfRule>
    <cfRule type="expression" dxfId="8630" priority="18692">
      <formula>$H426="ETAPA"</formula>
    </cfRule>
    <cfRule type="containsText" dxfId="8629" priority="18696" operator="containsText" text="N/A">
      <formula>NOT(ISERROR(SEARCH("N/A",P426)))</formula>
    </cfRule>
    <cfRule type="containsText" dxfId="8628" priority="18695" operator="containsText" text="Lançado">
      <formula>NOT(ISERROR(SEARCH("Lançado",P426)))</formula>
    </cfRule>
    <cfRule type="containsText" dxfId="8627" priority="18698" operator="containsText" text="Finalizado">
      <formula>NOT(ISERROR(SEARCH("Finalizado",P426)))</formula>
    </cfRule>
  </conditionalFormatting>
  <conditionalFormatting sqref="P426:P427 I418:I420 J422:K424 M427:O427 P421 M428:P430 G421:I430">
    <cfRule type="expression" dxfId="8626" priority="18754">
      <formula>$H418="CÉLULA CONSTRUTIVA"</formula>
    </cfRule>
  </conditionalFormatting>
  <conditionalFormatting sqref="P427:P430">
    <cfRule type="containsText" dxfId="8625" priority="18728" operator="containsText" text="em andamento">
      <formula>NOT(ISERROR(SEARCH("em andamento",P427)))</formula>
    </cfRule>
    <cfRule type="containsText" dxfId="8624" priority="18752" operator="containsText" text="Lançado">
      <formula>NOT(ISERROR(SEARCH("Lançado",P427)))</formula>
    </cfRule>
    <cfRule type="containsText" dxfId="8623" priority="18753" operator="containsText" text="N/A">
      <formula>NOT(ISERROR(SEARCH("N/A",P427)))</formula>
    </cfRule>
    <cfRule type="containsText" dxfId="8622" priority="18727" operator="containsText" text="Finalizado">
      <formula>NOT(ISERROR(SEARCH("Finalizado",P427)))</formula>
    </cfRule>
    <cfRule type="containsText" dxfId="8621" priority="18726" operator="containsText" text="Pendente">
      <formula>NOT(ISERROR(SEARCH("Pendente",P427)))</formula>
    </cfRule>
    <cfRule type="containsText" dxfId="8620" priority="18725" operator="containsText" text="N/A">
      <formula>NOT(ISERROR(SEARCH("N/A",P427)))</formula>
    </cfRule>
    <cfRule type="containsText" dxfId="8619" priority="18724" operator="containsText" text="Lançado">
      <formula>NOT(ISERROR(SEARCH("Lançado",P427)))</formula>
    </cfRule>
    <cfRule type="containsText" dxfId="8618" priority="18722" operator="containsText" text="Finalizado">
      <formula>NOT(ISERROR(SEARCH("Finalizado",P427)))</formula>
    </cfRule>
    <cfRule type="containsText" dxfId="8617" priority="18721" operator="containsText" text="Pendente">
      <formula>NOT(ISERROR(SEARCH("Pendente",P427)))</formula>
    </cfRule>
    <cfRule type="containsText" dxfId="8616" priority="18720" operator="containsText" text="N/A">
      <formula>NOT(ISERROR(SEARCH("N/A",P427)))</formula>
    </cfRule>
    <cfRule type="containsText" dxfId="8615" priority="18719" operator="containsText" text="Lançado">
      <formula>NOT(ISERROR(SEARCH("Lançado",P427)))</formula>
    </cfRule>
    <cfRule type="containsText" dxfId="8614" priority="18718" operator="containsText" text="em andamento">
      <formula>NOT(ISERROR(SEARCH("em andamento",P427)))</formula>
    </cfRule>
    <cfRule type="containsText" dxfId="8613" priority="18717" operator="containsText" text="Finalizado">
      <formula>NOT(ISERROR(SEARCH("Finalizado",P427)))</formula>
    </cfRule>
    <cfRule type="containsText" dxfId="8612" priority="18716" operator="containsText" text="Pendente">
      <formula>NOT(ISERROR(SEARCH("Pendente",P427)))</formula>
    </cfRule>
    <cfRule type="containsText" dxfId="8611" priority="18723" operator="containsText" text="em andamento">
      <formula>NOT(ISERROR(SEARCH("em andamento",P427)))</formula>
    </cfRule>
  </conditionalFormatting>
  <conditionalFormatting sqref="P431">
    <cfRule type="containsText" dxfId="8610" priority="25169" operator="containsText" text="Finalizado">
      <formula>NOT(ISERROR(SEARCH("Finalizado",P431)))</formula>
    </cfRule>
    <cfRule type="containsText" dxfId="8609" priority="25170" operator="containsText" text="em andamento">
      <formula>NOT(ISERROR(SEARCH("em andamento",P431)))</formula>
    </cfRule>
    <cfRule type="containsText" dxfId="8608" priority="25167" operator="containsText" text="N/A">
      <formula>NOT(ISERROR(SEARCH("N/A",P431)))</formula>
    </cfRule>
    <cfRule type="containsText" dxfId="8607" priority="25168" operator="containsText" text="Pendente">
      <formula>NOT(ISERROR(SEARCH("Pendente",P431)))</formula>
    </cfRule>
    <cfRule type="containsText" dxfId="8606" priority="25166" operator="containsText" text="Lançado">
      <formula>NOT(ISERROR(SEARCH("Lançado",P431)))</formula>
    </cfRule>
  </conditionalFormatting>
  <conditionalFormatting sqref="P432:P433">
    <cfRule type="containsText" dxfId="8605" priority="18578" operator="containsText" text="Finalizado">
      <formula>NOT(ISERROR(SEARCH("Finalizado",P432)))</formula>
    </cfRule>
    <cfRule type="containsText" dxfId="8604" priority="18579" operator="containsText" text="em andamento">
      <formula>NOT(ISERROR(SEARCH("em andamento",P432)))</formula>
    </cfRule>
    <cfRule type="containsText" dxfId="8603" priority="18575" operator="containsText" text="Lançado">
      <formula>NOT(ISERROR(SEARCH("Lançado",P432)))</formula>
    </cfRule>
    <cfRule type="containsText" dxfId="8602" priority="18576" operator="containsText" text="N/A">
      <formula>NOT(ISERROR(SEARCH("N/A",P432)))</formula>
    </cfRule>
    <cfRule type="containsText" dxfId="8601" priority="18577" operator="containsText" text="Pendente">
      <formula>NOT(ISERROR(SEARCH("Pendente",P432)))</formula>
    </cfRule>
  </conditionalFormatting>
  <conditionalFormatting sqref="P434">
    <cfRule type="containsText" dxfId="8600" priority="18373" operator="containsText" text="Finalizado">
      <formula>NOT(ISERROR(SEARCH("Finalizado",P434)))</formula>
    </cfRule>
    <cfRule type="containsText" dxfId="8599" priority="18374" operator="containsText" text="em andamento">
      <formula>NOT(ISERROR(SEARCH("em andamento",P434)))</formula>
    </cfRule>
    <cfRule type="expression" dxfId="8598" priority="18375">
      <formula>$H434="CÉLULA CONSTRUTIVA"</formula>
    </cfRule>
    <cfRule type="expression" dxfId="8597" priority="18376">
      <formula>$H434="ETAPA"</formula>
    </cfRule>
    <cfRule type="containsText" dxfId="8596" priority="18377" operator="containsText" text="Lançado">
      <formula>NOT(ISERROR(SEARCH("Lançado",P434)))</formula>
    </cfRule>
    <cfRule type="containsText" dxfId="8595" priority="18378" operator="containsText" text="N/A">
      <formula>NOT(ISERROR(SEARCH("N/A",P434)))</formula>
    </cfRule>
    <cfRule type="containsText" dxfId="8594" priority="18379" operator="containsText" text="Pendente">
      <formula>NOT(ISERROR(SEARCH("Pendente",P434)))</formula>
    </cfRule>
    <cfRule type="containsText" dxfId="8593" priority="18380" operator="containsText" text="Finalizado">
      <formula>NOT(ISERROR(SEARCH("Finalizado",P434)))</formula>
    </cfRule>
    <cfRule type="expression" dxfId="8592" priority="18382">
      <formula>$H434="SUBETAPA"</formula>
    </cfRule>
    <cfRule type="containsText" dxfId="8591" priority="18381" operator="containsText" text="em andamento">
      <formula>NOT(ISERROR(SEARCH("em andamento",P434)))</formula>
    </cfRule>
    <cfRule type="expression" dxfId="8590" priority="18362">
      <formula>$H434="SUBETAPA"</formula>
    </cfRule>
    <cfRule type="expression" dxfId="8589" priority="18363">
      <formula>$H434="CÉLULA CONSTRUTIVA"</formula>
    </cfRule>
    <cfRule type="expression" dxfId="8588" priority="18364">
      <formula>$H434="ETAPA"</formula>
    </cfRule>
    <cfRule type="containsText" dxfId="8587" priority="18365" operator="containsText" text="Lançado">
      <formula>NOT(ISERROR(SEARCH("Lançado",P434)))</formula>
    </cfRule>
    <cfRule type="containsText" dxfId="8586" priority="18366" operator="containsText" text="N/A">
      <formula>NOT(ISERROR(SEARCH("N/A",P434)))</formula>
    </cfRule>
    <cfRule type="containsText" dxfId="8585" priority="18367" operator="containsText" text="Pendente">
      <formula>NOT(ISERROR(SEARCH("Pendente",P434)))</formula>
    </cfRule>
    <cfRule type="containsText" dxfId="8584" priority="18368" operator="containsText" text="Finalizado">
      <formula>NOT(ISERROR(SEARCH("Finalizado",P434)))</formula>
    </cfRule>
    <cfRule type="containsText" dxfId="8583" priority="18369" operator="containsText" text="em andamento">
      <formula>NOT(ISERROR(SEARCH("em andamento",P434)))</formula>
    </cfRule>
    <cfRule type="containsText" dxfId="8582" priority="18370" operator="containsText" text="Lançado">
      <formula>NOT(ISERROR(SEARCH("Lançado",P434)))</formula>
    </cfRule>
    <cfRule type="containsText" dxfId="8581" priority="18371" operator="containsText" text="N/A">
      <formula>NOT(ISERROR(SEARCH("N/A",P434)))</formula>
    </cfRule>
    <cfRule type="containsText" dxfId="8580" priority="18372" operator="containsText" text="Pendente">
      <formula>NOT(ISERROR(SEARCH("Pendente",P434)))</formula>
    </cfRule>
  </conditionalFormatting>
  <conditionalFormatting sqref="P435">
    <cfRule type="containsText" dxfId="8579" priority="18596" operator="containsText" text="em andamento">
      <formula>NOT(ISERROR(SEARCH("em andamento",P435)))</formula>
    </cfRule>
    <cfRule type="containsText" dxfId="8578" priority="18595" operator="containsText" text="Finalizado">
      <formula>NOT(ISERROR(SEARCH("Finalizado",P435)))</formula>
    </cfRule>
    <cfRule type="containsText" dxfId="8577" priority="18594" operator="containsText" text="Pendente">
      <formula>NOT(ISERROR(SEARCH("Pendente",P435)))</formula>
    </cfRule>
    <cfRule type="containsText" dxfId="8576" priority="18593" operator="containsText" text="N/A">
      <formula>NOT(ISERROR(SEARCH("N/A",P435)))</formula>
    </cfRule>
    <cfRule type="containsText" dxfId="8575" priority="18592" operator="containsText" text="Lançado">
      <formula>NOT(ISERROR(SEARCH("Lançado",P435)))</formula>
    </cfRule>
    <cfRule type="containsText" dxfId="8574" priority="18589" operator="containsText" text="em andamento">
      <formula>NOT(ISERROR(SEARCH("em andamento",P435)))</formula>
    </cfRule>
    <cfRule type="containsText" dxfId="8573" priority="18588" operator="containsText" text="Finalizado">
      <formula>NOT(ISERROR(SEARCH("Finalizado",P435)))</formula>
    </cfRule>
    <cfRule type="containsText" dxfId="8572" priority="18587" operator="containsText" text="Pendente">
      <formula>NOT(ISERROR(SEARCH("Pendente",P435)))</formula>
    </cfRule>
    <cfRule type="containsText" dxfId="8571" priority="18586" operator="containsText" text="N/A">
      <formula>NOT(ISERROR(SEARCH("N/A",P435)))</formula>
    </cfRule>
    <cfRule type="containsText" dxfId="8570" priority="18585" operator="containsText" text="Lançado">
      <formula>NOT(ISERROR(SEARCH("Lançado",P435)))</formula>
    </cfRule>
    <cfRule type="expression" dxfId="8569" priority="18582">
      <formula>$H435="ETAPA"</formula>
    </cfRule>
    <cfRule type="expression" dxfId="8568" priority="18581">
      <formula>$H435="CÉLULA CONSTRUTIVA"</formula>
    </cfRule>
  </conditionalFormatting>
  <conditionalFormatting sqref="P436">
    <cfRule type="containsText" dxfId="8567" priority="18286" operator="containsText" text="Lançado">
      <formula>NOT(ISERROR(SEARCH("Lançado",P436)))</formula>
    </cfRule>
    <cfRule type="expression" dxfId="8566" priority="18298">
      <formula>$H436="SUBETAPA"</formula>
    </cfRule>
    <cfRule type="containsText" dxfId="8565" priority="18281" operator="containsText" text="Lançado">
      <formula>NOT(ISERROR(SEARCH("Lançado",P436)))</formula>
    </cfRule>
    <cfRule type="containsText" dxfId="8564" priority="18283" operator="containsText" text="Pendente">
      <formula>NOT(ISERROR(SEARCH("Pendente",P436)))</formula>
    </cfRule>
    <cfRule type="containsText" dxfId="8563" priority="18296" operator="containsText" text="Finalizado">
      <formula>NOT(ISERROR(SEARCH("Finalizado",P436)))</formula>
    </cfRule>
    <cfRule type="containsText" dxfId="8562" priority="18282" operator="containsText" text="N/A">
      <formula>NOT(ISERROR(SEARCH("N/A",P436)))</formula>
    </cfRule>
    <cfRule type="containsText" dxfId="8561" priority="18284" operator="containsText" text="Finalizado">
      <formula>NOT(ISERROR(SEARCH("Finalizado",P436)))</formula>
    </cfRule>
    <cfRule type="containsText" dxfId="8560" priority="18285" operator="containsText" text="em andamento">
      <formula>NOT(ISERROR(SEARCH("em andamento",P436)))</formula>
    </cfRule>
    <cfRule type="containsText" dxfId="8559" priority="18294" operator="containsText" text="N/A">
      <formula>NOT(ISERROR(SEARCH("N/A",P436)))</formula>
    </cfRule>
    <cfRule type="containsText" dxfId="8558" priority="18287" operator="containsText" text="N/A">
      <formula>NOT(ISERROR(SEARCH("N/A",P436)))</formula>
    </cfRule>
    <cfRule type="containsText" dxfId="8557" priority="18288" operator="containsText" text="Pendente">
      <formula>NOT(ISERROR(SEARCH("Pendente",P436)))</formula>
    </cfRule>
    <cfRule type="containsText" dxfId="8556" priority="18289" operator="containsText" text="Finalizado">
      <formula>NOT(ISERROR(SEARCH("Finalizado",P436)))</formula>
    </cfRule>
    <cfRule type="containsText" dxfId="8555" priority="18290" operator="containsText" text="em andamento">
      <formula>NOT(ISERROR(SEARCH("em andamento",P436)))</formula>
    </cfRule>
    <cfRule type="expression" dxfId="8554" priority="18291">
      <formula>$H436="CÉLULA CONSTRUTIVA"</formula>
    </cfRule>
    <cfRule type="expression" dxfId="8553" priority="18292">
      <formula>$H436="ETAPA"</formula>
    </cfRule>
    <cfRule type="containsText" dxfId="8552" priority="18293" operator="containsText" text="Lançado">
      <formula>NOT(ISERROR(SEARCH("Lançado",P436)))</formula>
    </cfRule>
    <cfRule type="containsText" dxfId="8551" priority="18295" operator="containsText" text="Pendente">
      <formula>NOT(ISERROR(SEARCH("Pendente",P436)))</formula>
    </cfRule>
    <cfRule type="expression" dxfId="8550" priority="18278">
      <formula>$H436="SUBETAPA"</formula>
    </cfRule>
    <cfRule type="expression" dxfId="8549" priority="18279">
      <formula>$H436="CÉLULA CONSTRUTIVA"</formula>
    </cfRule>
    <cfRule type="expression" dxfId="8548" priority="18280">
      <formula>$H436="ETAPA"</formula>
    </cfRule>
    <cfRule type="containsText" dxfId="8547" priority="18297" operator="containsText" text="em andamento">
      <formula>NOT(ISERROR(SEARCH("em andamento",P436)))</formula>
    </cfRule>
  </conditionalFormatting>
  <conditionalFormatting sqref="P437:P438">
    <cfRule type="containsText" dxfId="8546" priority="18535" operator="containsText" text="Pendente">
      <formula>NOT(ISERROR(SEARCH("Pendente",P437)))</formula>
    </cfRule>
    <cfRule type="containsText" dxfId="8545" priority="18534" operator="containsText" text="N/A">
      <formula>NOT(ISERROR(SEARCH("N/A",P437)))</formula>
    </cfRule>
    <cfRule type="containsText" dxfId="8544" priority="18533" operator="containsText" text="Lançado">
      <formula>NOT(ISERROR(SEARCH("Lançado",P437)))</formula>
    </cfRule>
    <cfRule type="containsText" dxfId="8543" priority="18536" operator="containsText" text="Finalizado">
      <formula>NOT(ISERROR(SEARCH("Finalizado",P437)))</formula>
    </cfRule>
    <cfRule type="containsText" dxfId="8542" priority="18537" operator="containsText" text="em andamento">
      <formula>NOT(ISERROR(SEARCH("em andamento",P437)))</formula>
    </cfRule>
  </conditionalFormatting>
  <conditionalFormatting sqref="P439">
    <cfRule type="containsText" dxfId="8541" priority="18260" operator="containsText" text="Lançado">
      <formula>NOT(ISERROR(SEARCH("Lançado",P439)))</formula>
    </cfRule>
    <cfRule type="containsText" dxfId="8540" priority="18268" operator="containsText" text="Finalizado">
      <formula>NOT(ISERROR(SEARCH("Finalizado",P439)))</formula>
    </cfRule>
    <cfRule type="expression" dxfId="8539" priority="18259">
      <formula>$H439="ETAPA"</formula>
    </cfRule>
    <cfRule type="expression" dxfId="8538" priority="18258">
      <formula>$H439="CÉLULA CONSTRUTIVA"</formula>
    </cfRule>
    <cfRule type="containsText" dxfId="8537" priority="18274" operator="containsText" text="Pendente">
      <formula>NOT(ISERROR(SEARCH("Pendente",P439)))</formula>
    </cfRule>
    <cfRule type="containsText" dxfId="8536" priority="18275" operator="containsText" text="Finalizado">
      <formula>NOT(ISERROR(SEARCH("Finalizado",P439)))</formula>
    </cfRule>
    <cfRule type="containsText" dxfId="8535" priority="18276" operator="containsText" text="em andamento">
      <formula>NOT(ISERROR(SEARCH("em andamento",P439)))</formula>
    </cfRule>
    <cfRule type="containsText" dxfId="8534" priority="18261" operator="containsText" text="N/A">
      <formula>NOT(ISERROR(SEARCH("N/A",P439)))</formula>
    </cfRule>
    <cfRule type="expression" dxfId="8533" priority="18277">
      <formula>$H439="SUBETAPA"</formula>
    </cfRule>
    <cfRule type="expression" dxfId="8532" priority="18257">
      <formula>$H439="SUBETAPA"</formula>
    </cfRule>
    <cfRule type="containsText" dxfId="8531" priority="18263" operator="containsText" text="Finalizado">
      <formula>NOT(ISERROR(SEARCH("Finalizado",P439)))</formula>
    </cfRule>
    <cfRule type="containsText" dxfId="8530" priority="18269" operator="containsText" text="em andamento">
      <formula>NOT(ISERROR(SEARCH("em andamento",P439)))</formula>
    </cfRule>
    <cfRule type="containsText" dxfId="8529" priority="18267" operator="containsText" text="Pendente">
      <formula>NOT(ISERROR(SEARCH("Pendente",P439)))</formula>
    </cfRule>
    <cfRule type="containsText" dxfId="8528" priority="18266" operator="containsText" text="N/A">
      <formula>NOT(ISERROR(SEARCH("N/A",P439)))</formula>
    </cfRule>
    <cfRule type="containsText" dxfId="8527" priority="18265" operator="containsText" text="Lançado">
      <formula>NOT(ISERROR(SEARCH("Lançado",P439)))</formula>
    </cfRule>
    <cfRule type="containsText" dxfId="8526" priority="18264" operator="containsText" text="em andamento">
      <formula>NOT(ISERROR(SEARCH("em andamento",P439)))</formula>
    </cfRule>
    <cfRule type="containsText" dxfId="8525" priority="18262" operator="containsText" text="Pendente">
      <formula>NOT(ISERROR(SEARCH("Pendente",P439)))</formula>
    </cfRule>
    <cfRule type="expression" dxfId="8524" priority="18270">
      <formula>$H439="CÉLULA CONSTRUTIVA"</formula>
    </cfRule>
    <cfRule type="expression" dxfId="8523" priority="18271">
      <formula>$H439="ETAPA"</formula>
    </cfRule>
    <cfRule type="containsText" dxfId="8522" priority="18272" operator="containsText" text="Lançado">
      <formula>NOT(ISERROR(SEARCH("Lançado",P439)))</formula>
    </cfRule>
    <cfRule type="containsText" dxfId="8521" priority="18273" operator="containsText" text="N/A">
      <formula>NOT(ISERROR(SEARCH("N/A",P439)))</formula>
    </cfRule>
  </conditionalFormatting>
  <conditionalFormatting sqref="P440">
    <cfRule type="containsText" dxfId="8520" priority="18544" operator="containsText" text="N/A">
      <formula>NOT(ISERROR(SEARCH("N/A",P440)))</formula>
    </cfRule>
    <cfRule type="expression" dxfId="8519" priority="18539">
      <formula>$H440="CÉLULA CONSTRUTIVA"</formula>
    </cfRule>
    <cfRule type="containsText" dxfId="8518" priority="18543" operator="containsText" text="Lançado">
      <formula>NOT(ISERROR(SEARCH("Lançado",P440)))</formula>
    </cfRule>
    <cfRule type="expression" dxfId="8517" priority="18540">
      <formula>$H440="ETAPA"</formula>
    </cfRule>
    <cfRule type="containsText" dxfId="8516" priority="18545" operator="containsText" text="Pendente">
      <formula>NOT(ISERROR(SEARCH("Pendente",P440)))</formula>
    </cfRule>
    <cfRule type="containsText" dxfId="8515" priority="18546" operator="containsText" text="Finalizado">
      <formula>NOT(ISERROR(SEARCH("Finalizado",P440)))</formula>
    </cfRule>
    <cfRule type="containsText" dxfId="8514" priority="18547" operator="containsText" text="em andamento">
      <formula>NOT(ISERROR(SEARCH("em andamento",P440)))</formula>
    </cfRule>
    <cfRule type="containsText" dxfId="8513" priority="18548" operator="containsText" text="Lançado">
      <formula>NOT(ISERROR(SEARCH("Lançado",P440)))</formula>
    </cfRule>
    <cfRule type="containsText" dxfId="8512" priority="18549" operator="containsText" text="N/A">
      <formula>NOT(ISERROR(SEARCH("N/A",P440)))</formula>
    </cfRule>
    <cfRule type="containsText" dxfId="8511" priority="18550" operator="containsText" text="Pendente">
      <formula>NOT(ISERROR(SEARCH("Pendente",P440)))</formula>
    </cfRule>
    <cfRule type="containsText" dxfId="8510" priority="18551" operator="containsText" text="Finalizado">
      <formula>NOT(ISERROR(SEARCH("Finalizado",P440)))</formula>
    </cfRule>
    <cfRule type="containsText" dxfId="8509" priority="18552" operator="containsText" text="em andamento">
      <formula>NOT(ISERROR(SEARCH("em andamento",P440)))</formula>
    </cfRule>
  </conditionalFormatting>
  <conditionalFormatting sqref="P441">
    <cfRule type="containsText" dxfId="8508" priority="18205" operator="containsText" text="Finalizado">
      <formula>NOT(ISERROR(SEARCH("Finalizado",P441)))</formula>
    </cfRule>
    <cfRule type="expression" dxfId="8507" priority="18194">
      <formula>$H441="SUBETAPA"</formula>
    </cfRule>
    <cfRule type="containsText" dxfId="8506" priority="18213" operator="containsText" text="em andamento">
      <formula>NOT(ISERROR(SEARCH("em andamento",P441)))</formula>
    </cfRule>
    <cfRule type="expression" dxfId="8505" priority="18214">
      <formula>$H441="SUBETAPA"</formula>
    </cfRule>
    <cfRule type="containsText" dxfId="8504" priority="18212" operator="containsText" text="Finalizado">
      <formula>NOT(ISERROR(SEARCH("Finalizado",P441)))</formula>
    </cfRule>
    <cfRule type="containsText" dxfId="8503" priority="18211" operator="containsText" text="Pendente">
      <formula>NOT(ISERROR(SEARCH("Pendente",P441)))</formula>
    </cfRule>
    <cfRule type="containsText" dxfId="8502" priority="18209" operator="containsText" text="Lançado">
      <formula>NOT(ISERROR(SEARCH("Lançado",P441)))</formula>
    </cfRule>
    <cfRule type="expression" dxfId="8501" priority="18208">
      <formula>$H441="ETAPA"</formula>
    </cfRule>
    <cfRule type="expression" dxfId="8500" priority="18207">
      <formula>$H441="CÉLULA CONSTRUTIVA"</formula>
    </cfRule>
    <cfRule type="containsText" dxfId="8499" priority="18206" operator="containsText" text="em andamento">
      <formula>NOT(ISERROR(SEARCH("em andamento",P441)))</formula>
    </cfRule>
    <cfRule type="containsText" dxfId="8498" priority="18210" operator="containsText" text="N/A">
      <formula>NOT(ISERROR(SEARCH("N/A",P441)))</formula>
    </cfRule>
    <cfRule type="containsText" dxfId="8497" priority="18199" operator="containsText" text="Pendente">
      <formula>NOT(ISERROR(SEARCH("Pendente",P441)))</formula>
    </cfRule>
    <cfRule type="containsText" dxfId="8496" priority="18200" operator="containsText" text="Finalizado">
      <formula>NOT(ISERROR(SEARCH("Finalizado",P441)))</formula>
    </cfRule>
    <cfRule type="containsText" dxfId="8495" priority="18201" operator="containsText" text="em andamento">
      <formula>NOT(ISERROR(SEARCH("em andamento",P441)))</formula>
    </cfRule>
    <cfRule type="containsText" dxfId="8494" priority="18198" operator="containsText" text="N/A">
      <formula>NOT(ISERROR(SEARCH("N/A",P441)))</formula>
    </cfRule>
    <cfRule type="containsText" dxfId="8493" priority="18197" operator="containsText" text="Lançado">
      <formula>NOT(ISERROR(SEARCH("Lançado",P441)))</formula>
    </cfRule>
    <cfRule type="expression" dxfId="8492" priority="18196">
      <formula>$H441="ETAPA"</formula>
    </cfRule>
    <cfRule type="expression" dxfId="8491" priority="18195">
      <formula>$H441="CÉLULA CONSTRUTIVA"</formula>
    </cfRule>
    <cfRule type="containsText" dxfId="8490" priority="18204" operator="containsText" text="Pendente">
      <formula>NOT(ISERROR(SEARCH("Pendente",P441)))</formula>
    </cfRule>
    <cfRule type="containsText" dxfId="8489" priority="18203" operator="containsText" text="N/A">
      <formula>NOT(ISERROR(SEARCH("N/A",P441)))</formula>
    </cfRule>
    <cfRule type="containsText" dxfId="8488" priority="18202" operator="containsText" text="Lançado">
      <formula>NOT(ISERROR(SEARCH("Lançado",P441)))</formula>
    </cfRule>
  </conditionalFormatting>
  <conditionalFormatting sqref="P442:P443">
    <cfRule type="containsText" dxfId="8487" priority="18495" operator="containsText" text="Lançado">
      <formula>NOT(ISERROR(SEARCH("Lançado",P442)))</formula>
    </cfRule>
    <cfRule type="containsText" dxfId="8486" priority="18499" operator="containsText" text="em andamento">
      <formula>NOT(ISERROR(SEARCH("em andamento",P442)))</formula>
    </cfRule>
    <cfRule type="containsText" dxfId="8485" priority="18498" operator="containsText" text="Finalizado">
      <formula>NOT(ISERROR(SEARCH("Finalizado",P442)))</formula>
    </cfRule>
    <cfRule type="containsText" dxfId="8484" priority="18497" operator="containsText" text="Pendente">
      <formula>NOT(ISERROR(SEARCH("Pendente",P442)))</formula>
    </cfRule>
    <cfRule type="containsText" dxfId="8483" priority="18496" operator="containsText" text="N/A">
      <formula>NOT(ISERROR(SEARCH("N/A",P442)))</formula>
    </cfRule>
  </conditionalFormatting>
  <conditionalFormatting sqref="P444">
    <cfRule type="containsText" dxfId="8482" priority="18055" operator="containsText" text="N/A">
      <formula>NOT(ISERROR(SEARCH("N/A",P444)))</formula>
    </cfRule>
    <cfRule type="containsText" dxfId="8481" priority="18054" operator="containsText" text="Lançado">
      <formula>NOT(ISERROR(SEARCH("Lançado",P444)))</formula>
    </cfRule>
    <cfRule type="expression" dxfId="8480" priority="18053">
      <formula>$H444="ETAPA"</formula>
    </cfRule>
    <cfRule type="expression" dxfId="8479" priority="18052">
      <formula>$H444="CÉLULA CONSTRUTIVA"</formula>
    </cfRule>
    <cfRule type="expression" dxfId="8478" priority="18051">
      <formula>$H444="SUBETAPA"</formula>
    </cfRule>
    <cfRule type="containsText" dxfId="8477" priority="18056" operator="containsText" text="Pendente">
      <formula>NOT(ISERROR(SEARCH("Pendente",P444)))</formula>
    </cfRule>
    <cfRule type="expression" dxfId="8476" priority="18071">
      <formula>$H444="SUBETAPA"</formula>
    </cfRule>
    <cfRule type="containsText" dxfId="8475" priority="18070" operator="containsText" text="em andamento">
      <formula>NOT(ISERROR(SEARCH("em andamento",P444)))</formula>
    </cfRule>
    <cfRule type="containsText" dxfId="8474" priority="18069" operator="containsText" text="Finalizado">
      <formula>NOT(ISERROR(SEARCH("Finalizado",P444)))</formula>
    </cfRule>
    <cfRule type="containsText" dxfId="8473" priority="18068" operator="containsText" text="Pendente">
      <formula>NOT(ISERROR(SEARCH("Pendente",P444)))</formula>
    </cfRule>
    <cfRule type="containsText" dxfId="8472" priority="18067" operator="containsText" text="N/A">
      <formula>NOT(ISERROR(SEARCH("N/A",P444)))</formula>
    </cfRule>
    <cfRule type="containsText" dxfId="8471" priority="18066" operator="containsText" text="Lançado">
      <formula>NOT(ISERROR(SEARCH("Lançado",P444)))</formula>
    </cfRule>
    <cfRule type="expression" dxfId="8470" priority="18065">
      <formula>$H444="ETAPA"</formula>
    </cfRule>
    <cfRule type="expression" dxfId="8469" priority="18064">
      <formula>$H444="CÉLULA CONSTRUTIVA"</formula>
    </cfRule>
    <cfRule type="containsText" dxfId="8468" priority="18063" operator="containsText" text="em andamento">
      <formula>NOT(ISERROR(SEARCH("em andamento",P444)))</formula>
    </cfRule>
    <cfRule type="containsText" dxfId="8467" priority="18062" operator="containsText" text="Finalizado">
      <formula>NOT(ISERROR(SEARCH("Finalizado",P444)))</formula>
    </cfRule>
    <cfRule type="containsText" dxfId="8466" priority="18061" operator="containsText" text="Pendente">
      <formula>NOT(ISERROR(SEARCH("Pendente",P444)))</formula>
    </cfRule>
    <cfRule type="containsText" dxfId="8465" priority="18060" operator="containsText" text="N/A">
      <formula>NOT(ISERROR(SEARCH("N/A",P444)))</formula>
    </cfRule>
    <cfRule type="containsText" dxfId="8464" priority="18059" operator="containsText" text="Lançado">
      <formula>NOT(ISERROR(SEARCH("Lançado",P444)))</formula>
    </cfRule>
    <cfRule type="containsText" dxfId="8463" priority="18058" operator="containsText" text="em andamento">
      <formula>NOT(ISERROR(SEARCH("em andamento",P444)))</formula>
    </cfRule>
    <cfRule type="containsText" dxfId="8462" priority="18057" operator="containsText" text="Finalizado">
      <formula>NOT(ISERROR(SEARCH("Finalizado",P444)))</formula>
    </cfRule>
  </conditionalFormatting>
  <conditionalFormatting sqref="P445">
    <cfRule type="containsText" dxfId="8461" priority="18090" operator="containsText" text="Lançado">
      <formula>NOT(ISERROR(SEARCH("Lançado",P445)))</formula>
    </cfRule>
    <cfRule type="expression" dxfId="8460" priority="18084">
      <formula>$H445="ETAPA"</formula>
    </cfRule>
    <cfRule type="containsText" dxfId="8459" priority="18087" operator="containsText" text="Pendente">
      <formula>NOT(ISERROR(SEARCH("Pendente",P445)))</formula>
    </cfRule>
    <cfRule type="containsText" dxfId="8458" priority="18088" operator="containsText" text="Finalizado">
      <formula>NOT(ISERROR(SEARCH("Finalizado",P445)))</formula>
    </cfRule>
    <cfRule type="expression" dxfId="8457" priority="18083">
      <formula>$H445="CÉLULA CONSTRUTIVA"</formula>
    </cfRule>
    <cfRule type="expression" dxfId="8456" priority="18082">
      <formula>$H445="ETAPA"</formula>
    </cfRule>
    <cfRule type="expression" dxfId="8455" priority="18081">
      <formula>$H445="CÉLULA CONSTRUTIVA"</formula>
    </cfRule>
    <cfRule type="expression" dxfId="8454" priority="18080">
      <formula>$H445="SUBETAPA"</formula>
    </cfRule>
    <cfRule type="containsText" dxfId="8453" priority="18086" operator="containsText" text="N/A">
      <formula>NOT(ISERROR(SEARCH("N/A",P445)))</formula>
    </cfRule>
    <cfRule type="containsText" dxfId="8452" priority="18089" operator="containsText" text="em andamento">
      <formula>NOT(ISERROR(SEARCH("em andamento",P445)))</formula>
    </cfRule>
    <cfRule type="containsText" dxfId="8451" priority="18085" operator="containsText" text="Lançado">
      <formula>NOT(ISERROR(SEARCH("Lançado",P445)))</formula>
    </cfRule>
    <cfRule type="containsText" dxfId="8450" priority="18091" operator="containsText" text="N/A">
      <formula>NOT(ISERROR(SEARCH("N/A",P445)))</formula>
    </cfRule>
    <cfRule type="containsText" dxfId="8449" priority="18094" operator="containsText" text="em andamento">
      <formula>NOT(ISERROR(SEARCH("em andamento",P445)))</formula>
    </cfRule>
    <cfRule type="containsText" dxfId="8448" priority="18093" operator="containsText" text="Finalizado">
      <formula>NOT(ISERROR(SEARCH("Finalizado",P445)))</formula>
    </cfRule>
    <cfRule type="containsText" dxfId="8447" priority="18092" operator="containsText" text="Pendente">
      <formula>NOT(ISERROR(SEARCH("Pendente",P445)))</formula>
    </cfRule>
  </conditionalFormatting>
  <conditionalFormatting sqref="P446">
    <cfRule type="expression" dxfId="8446" priority="17969">
      <formula>$H446="ETAPA"</formula>
    </cfRule>
    <cfRule type="containsText" dxfId="8445" priority="17970" operator="containsText" text="Lançado">
      <formula>NOT(ISERROR(SEARCH("Lançado",P446)))</formula>
    </cfRule>
    <cfRule type="containsText" dxfId="8444" priority="17971" operator="containsText" text="N/A">
      <formula>NOT(ISERROR(SEARCH("N/A",P446)))</formula>
    </cfRule>
    <cfRule type="containsText" dxfId="8443" priority="17972" operator="containsText" text="Pendente">
      <formula>NOT(ISERROR(SEARCH("Pendente",P446)))</formula>
    </cfRule>
    <cfRule type="expression" dxfId="8442" priority="17987">
      <formula>$H446="SUBETAPA"</formula>
    </cfRule>
    <cfRule type="containsText" dxfId="8441" priority="17973" operator="containsText" text="Finalizado">
      <formula>NOT(ISERROR(SEARCH("Finalizado",P446)))</formula>
    </cfRule>
    <cfRule type="containsText" dxfId="8440" priority="17976" operator="containsText" text="N/A">
      <formula>NOT(ISERROR(SEARCH("N/A",P446)))</formula>
    </cfRule>
    <cfRule type="containsText" dxfId="8439" priority="17977" operator="containsText" text="Pendente">
      <formula>NOT(ISERROR(SEARCH("Pendente",P446)))</formula>
    </cfRule>
    <cfRule type="containsText" dxfId="8438" priority="17978" operator="containsText" text="Finalizado">
      <formula>NOT(ISERROR(SEARCH("Finalizado",P446)))</formula>
    </cfRule>
    <cfRule type="containsText" dxfId="8437" priority="17974" operator="containsText" text="em andamento">
      <formula>NOT(ISERROR(SEARCH("em andamento",P446)))</formula>
    </cfRule>
    <cfRule type="containsText" dxfId="8436" priority="17979" operator="containsText" text="em andamento">
      <formula>NOT(ISERROR(SEARCH("em andamento",P446)))</formula>
    </cfRule>
    <cfRule type="expression" dxfId="8435" priority="17980">
      <formula>$H446="CÉLULA CONSTRUTIVA"</formula>
    </cfRule>
    <cfRule type="expression" dxfId="8434" priority="17981">
      <formula>$H446="ETAPA"</formula>
    </cfRule>
    <cfRule type="containsText" dxfId="8433" priority="17982" operator="containsText" text="Lançado">
      <formula>NOT(ISERROR(SEARCH("Lançado",P446)))</formula>
    </cfRule>
    <cfRule type="containsText" dxfId="8432" priority="17983" operator="containsText" text="N/A">
      <formula>NOT(ISERROR(SEARCH("N/A",P446)))</formula>
    </cfRule>
    <cfRule type="containsText" dxfId="8431" priority="17984" operator="containsText" text="Pendente">
      <formula>NOT(ISERROR(SEARCH("Pendente",P446)))</formula>
    </cfRule>
    <cfRule type="containsText" dxfId="8430" priority="17985" operator="containsText" text="Finalizado">
      <formula>NOT(ISERROR(SEARCH("Finalizado",P446)))</formula>
    </cfRule>
    <cfRule type="containsText" dxfId="8429" priority="17986" operator="containsText" text="em andamento">
      <formula>NOT(ISERROR(SEARCH("em andamento",P446)))</formula>
    </cfRule>
    <cfRule type="expression" dxfId="8428" priority="17967">
      <formula>$H446="SUBETAPA"</formula>
    </cfRule>
    <cfRule type="expression" dxfId="8427" priority="17968">
      <formula>$H446="CÉLULA CONSTRUTIVA"</formula>
    </cfRule>
    <cfRule type="containsText" dxfId="8426" priority="17975" operator="containsText" text="Lançado">
      <formula>NOT(ISERROR(SEARCH("Lançado",P446)))</formula>
    </cfRule>
  </conditionalFormatting>
  <conditionalFormatting sqref="P447:P448">
    <cfRule type="containsText" dxfId="8425" priority="18475" operator="containsText" text="Finalizado">
      <formula>NOT(ISERROR(SEARCH("Finalizado",P447)))</formula>
    </cfRule>
    <cfRule type="containsText" dxfId="8424" priority="18476" operator="containsText" text="em andamento">
      <formula>NOT(ISERROR(SEARCH("em andamento",P447)))</formula>
    </cfRule>
    <cfRule type="containsText" dxfId="8423" priority="18474" operator="containsText" text="Pendente">
      <formula>NOT(ISERROR(SEARCH("Pendente",P447)))</formula>
    </cfRule>
    <cfRule type="containsText" dxfId="8422" priority="18473" operator="containsText" text="N/A">
      <formula>NOT(ISERROR(SEARCH("N/A",P447)))</formula>
    </cfRule>
    <cfRule type="containsText" dxfId="8421" priority="18472" operator="containsText" text="Lançado">
      <formula>NOT(ISERROR(SEARCH("Lançado",P447)))</formula>
    </cfRule>
  </conditionalFormatting>
  <conditionalFormatting sqref="P449">
    <cfRule type="expression" dxfId="8420" priority="17936">
      <formula>$H449="CÉLULA CONSTRUTIVA"</formula>
    </cfRule>
    <cfRule type="expression" dxfId="8419" priority="17937">
      <formula>$H449="ETAPA"</formula>
    </cfRule>
    <cfRule type="containsText" dxfId="8418" priority="17938" operator="containsText" text="Lançado">
      <formula>NOT(ISERROR(SEARCH("Lançado",P449)))</formula>
    </cfRule>
    <cfRule type="containsText" dxfId="8417" priority="17939" operator="containsText" text="N/A">
      <formula>NOT(ISERROR(SEARCH("N/A",P449)))</formula>
    </cfRule>
    <cfRule type="containsText" dxfId="8416" priority="17940" operator="containsText" text="Pendente">
      <formula>NOT(ISERROR(SEARCH("Pendente",P449)))</formula>
    </cfRule>
    <cfRule type="containsText" dxfId="8415" priority="17941" operator="containsText" text="Finalizado">
      <formula>NOT(ISERROR(SEARCH("Finalizado",P449)))</formula>
    </cfRule>
    <cfRule type="containsText" dxfId="8414" priority="17942" operator="containsText" text="em andamento">
      <formula>NOT(ISERROR(SEARCH("em andamento",P449)))</formula>
    </cfRule>
    <cfRule type="containsText" dxfId="8413" priority="17929" operator="containsText" text="Finalizado">
      <formula>NOT(ISERROR(SEARCH("Finalizado",P449)))</formula>
    </cfRule>
    <cfRule type="containsText" dxfId="8412" priority="17932" operator="containsText" text="N/A">
      <formula>NOT(ISERROR(SEARCH("N/A",P449)))</formula>
    </cfRule>
    <cfRule type="containsText" dxfId="8411" priority="17927" operator="containsText" text="N/A">
      <formula>NOT(ISERROR(SEARCH("N/A",P449)))</formula>
    </cfRule>
    <cfRule type="containsText" dxfId="8410" priority="17930" operator="containsText" text="em andamento">
      <formula>NOT(ISERROR(SEARCH("em andamento",P449)))</formula>
    </cfRule>
    <cfRule type="expression" dxfId="8409" priority="17943">
      <formula>$H449="SUBETAPA"</formula>
    </cfRule>
    <cfRule type="containsText" dxfId="8408" priority="17931" operator="containsText" text="Lançado">
      <formula>NOT(ISERROR(SEARCH("Lançado",P449)))</formula>
    </cfRule>
    <cfRule type="containsText" dxfId="8407" priority="17933" operator="containsText" text="Pendente">
      <formula>NOT(ISERROR(SEARCH("Pendente",P449)))</formula>
    </cfRule>
    <cfRule type="containsText" dxfId="8406" priority="17934" operator="containsText" text="Finalizado">
      <formula>NOT(ISERROR(SEARCH("Finalizado",P449)))</formula>
    </cfRule>
    <cfRule type="expression" dxfId="8405" priority="17923">
      <formula>$H449="SUBETAPA"</formula>
    </cfRule>
    <cfRule type="expression" dxfId="8404" priority="17924">
      <formula>$H449="CÉLULA CONSTRUTIVA"</formula>
    </cfRule>
    <cfRule type="expression" dxfId="8403" priority="17925">
      <formula>$H449="ETAPA"</formula>
    </cfRule>
    <cfRule type="containsText" dxfId="8402" priority="17926" operator="containsText" text="Lançado">
      <formula>NOT(ISERROR(SEARCH("Lançado",P449)))</formula>
    </cfRule>
    <cfRule type="containsText" dxfId="8401" priority="17935" operator="containsText" text="em andamento">
      <formula>NOT(ISERROR(SEARCH("em andamento",P449)))</formula>
    </cfRule>
    <cfRule type="containsText" dxfId="8400" priority="17928" operator="containsText" text="Pendente">
      <formula>NOT(ISERROR(SEARCH("Pendente",P449)))</formula>
    </cfRule>
  </conditionalFormatting>
  <conditionalFormatting sqref="P450">
    <cfRule type="expression" dxfId="8399" priority="17954">
      <formula>$H450="ETAPA"</formula>
    </cfRule>
    <cfRule type="expression" dxfId="8398" priority="17952">
      <formula>$H450="SUBETAPA"</formula>
    </cfRule>
    <cfRule type="expression" dxfId="8397" priority="17953">
      <formula>$H450="CÉLULA CONSTRUTIVA"</formula>
    </cfRule>
    <cfRule type="containsText" dxfId="8396" priority="17962" operator="containsText" text="Lançado">
      <formula>NOT(ISERROR(SEARCH("Lançado",P450)))</formula>
    </cfRule>
    <cfRule type="containsText" dxfId="8395" priority="17961" operator="containsText" text="em andamento">
      <formula>NOT(ISERROR(SEARCH("em andamento",P450)))</formula>
    </cfRule>
    <cfRule type="containsText" dxfId="8394" priority="17960" operator="containsText" text="Finalizado">
      <formula>NOT(ISERROR(SEARCH("Finalizado",P450)))</formula>
    </cfRule>
    <cfRule type="containsText" dxfId="8393" priority="17958" operator="containsText" text="N/A">
      <formula>NOT(ISERROR(SEARCH("N/A",P450)))</formula>
    </cfRule>
    <cfRule type="containsText" dxfId="8392" priority="17957" operator="containsText" text="Lançado">
      <formula>NOT(ISERROR(SEARCH("Lançado",P450)))</formula>
    </cfRule>
    <cfRule type="expression" dxfId="8391" priority="17956">
      <formula>$H450="ETAPA"</formula>
    </cfRule>
    <cfRule type="expression" dxfId="8390" priority="17955">
      <formula>$H450="CÉLULA CONSTRUTIVA"</formula>
    </cfRule>
    <cfRule type="containsText" dxfId="8389" priority="17959" operator="containsText" text="Pendente">
      <formula>NOT(ISERROR(SEARCH("Pendente",P450)))</formula>
    </cfRule>
    <cfRule type="containsText" dxfId="8388" priority="17964" operator="containsText" text="Pendente">
      <formula>NOT(ISERROR(SEARCH("Pendente",P450)))</formula>
    </cfRule>
    <cfRule type="containsText" dxfId="8387" priority="17966" operator="containsText" text="em andamento">
      <formula>NOT(ISERROR(SEARCH("em andamento",P450)))</formula>
    </cfRule>
    <cfRule type="containsText" dxfId="8386" priority="17965" operator="containsText" text="Finalizado">
      <formula>NOT(ISERROR(SEARCH("Finalizado",P450)))</formula>
    </cfRule>
    <cfRule type="containsText" dxfId="8385" priority="17963" operator="containsText" text="N/A">
      <formula>NOT(ISERROR(SEARCH("N/A",P450)))</formula>
    </cfRule>
  </conditionalFormatting>
  <conditionalFormatting sqref="P451">
    <cfRule type="expression" dxfId="8384" priority="17859">
      <formula>$H451="SUBETAPA"</formula>
    </cfRule>
    <cfRule type="containsText" dxfId="8383" priority="17842" operator="containsText" text="Lançado">
      <formula>NOT(ISERROR(SEARCH("Lançado",P451)))</formula>
    </cfRule>
    <cfRule type="expression" dxfId="8382" priority="17840">
      <formula>$H451="CÉLULA CONSTRUTIVA"</formula>
    </cfRule>
    <cfRule type="expression" dxfId="8381" priority="17839">
      <formula>$H451="SUBETAPA"</formula>
    </cfRule>
    <cfRule type="expression" dxfId="8380" priority="17841">
      <formula>$H451="ETAPA"</formula>
    </cfRule>
    <cfRule type="containsText" dxfId="8379" priority="17843" operator="containsText" text="N/A">
      <formula>NOT(ISERROR(SEARCH("N/A",P451)))</formula>
    </cfRule>
    <cfRule type="containsText" dxfId="8378" priority="17844" operator="containsText" text="Pendente">
      <formula>NOT(ISERROR(SEARCH("Pendente",P451)))</formula>
    </cfRule>
    <cfRule type="containsText" dxfId="8377" priority="17845" operator="containsText" text="Finalizado">
      <formula>NOT(ISERROR(SEARCH("Finalizado",P451)))</formula>
    </cfRule>
    <cfRule type="containsText" dxfId="8376" priority="17846" operator="containsText" text="em andamento">
      <formula>NOT(ISERROR(SEARCH("em andamento",P451)))</formula>
    </cfRule>
    <cfRule type="containsText" dxfId="8375" priority="17847" operator="containsText" text="Lançado">
      <formula>NOT(ISERROR(SEARCH("Lançado",P451)))</formula>
    </cfRule>
    <cfRule type="containsText" dxfId="8374" priority="17848" operator="containsText" text="N/A">
      <formula>NOT(ISERROR(SEARCH("N/A",P451)))</formula>
    </cfRule>
    <cfRule type="containsText" dxfId="8373" priority="17849" operator="containsText" text="Pendente">
      <formula>NOT(ISERROR(SEARCH("Pendente",P451)))</formula>
    </cfRule>
    <cfRule type="containsText" dxfId="8372" priority="17850" operator="containsText" text="Finalizado">
      <formula>NOT(ISERROR(SEARCH("Finalizado",P451)))</formula>
    </cfRule>
    <cfRule type="containsText" dxfId="8371" priority="17851" operator="containsText" text="em andamento">
      <formula>NOT(ISERROR(SEARCH("em andamento",P451)))</formula>
    </cfRule>
    <cfRule type="expression" dxfId="8370" priority="17852">
      <formula>$H451="CÉLULA CONSTRUTIVA"</formula>
    </cfRule>
    <cfRule type="expression" dxfId="8369" priority="17853">
      <formula>$H451="ETAPA"</formula>
    </cfRule>
    <cfRule type="containsText" dxfId="8368" priority="17854" operator="containsText" text="Lançado">
      <formula>NOT(ISERROR(SEARCH("Lançado",P451)))</formula>
    </cfRule>
    <cfRule type="containsText" dxfId="8367" priority="17855" operator="containsText" text="N/A">
      <formula>NOT(ISERROR(SEARCH("N/A",P451)))</formula>
    </cfRule>
    <cfRule type="containsText" dxfId="8366" priority="17856" operator="containsText" text="Pendente">
      <formula>NOT(ISERROR(SEARCH("Pendente",P451)))</formula>
    </cfRule>
    <cfRule type="containsText" dxfId="8365" priority="17857" operator="containsText" text="Finalizado">
      <formula>NOT(ISERROR(SEARCH("Finalizado",P451)))</formula>
    </cfRule>
    <cfRule type="containsText" dxfId="8364" priority="17858" operator="containsText" text="em andamento">
      <formula>NOT(ISERROR(SEARCH("em andamento",P451)))</formula>
    </cfRule>
  </conditionalFormatting>
  <conditionalFormatting sqref="P452:P453">
    <cfRule type="containsText" dxfId="8363" priority="18452" operator="containsText" text="Finalizado">
      <formula>NOT(ISERROR(SEARCH("Finalizado",P452)))</formula>
    </cfRule>
    <cfRule type="containsText" dxfId="8362" priority="18453" operator="containsText" text="em andamento">
      <formula>NOT(ISERROR(SEARCH("em andamento",P452)))</formula>
    </cfRule>
    <cfRule type="containsText" dxfId="8361" priority="18449" operator="containsText" text="Lançado">
      <formula>NOT(ISERROR(SEARCH("Lançado",P452)))</formula>
    </cfRule>
    <cfRule type="containsText" dxfId="8360" priority="18450" operator="containsText" text="N/A">
      <formula>NOT(ISERROR(SEARCH("N/A",P452)))</formula>
    </cfRule>
    <cfRule type="containsText" dxfId="8359" priority="18451" operator="containsText" text="Pendente">
      <formula>NOT(ISERROR(SEARCH("Pendente",P452)))</formula>
    </cfRule>
  </conditionalFormatting>
  <conditionalFormatting sqref="P454">
    <cfRule type="containsText" dxfId="8358" priority="17810" operator="containsText" text="Lançado">
      <formula>NOT(ISERROR(SEARCH("Lançado",P454)))</formula>
    </cfRule>
    <cfRule type="containsText" dxfId="8357" priority="17811" operator="containsText" text="N/A">
      <formula>NOT(ISERROR(SEARCH("N/A",P454)))</formula>
    </cfRule>
    <cfRule type="containsText" dxfId="8356" priority="17805" operator="containsText" text="Pendente">
      <formula>NOT(ISERROR(SEARCH("Pendente",P454)))</formula>
    </cfRule>
    <cfRule type="containsText" dxfId="8355" priority="17806" operator="containsText" text="Finalizado">
      <formula>NOT(ISERROR(SEARCH("Finalizado",P454)))</formula>
    </cfRule>
    <cfRule type="containsText" dxfId="8354" priority="17807" operator="containsText" text="em andamento">
      <formula>NOT(ISERROR(SEARCH("em andamento",P454)))</formula>
    </cfRule>
    <cfRule type="expression" dxfId="8353" priority="17808">
      <formula>$H454="CÉLULA CONSTRUTIVA"</formula>
    </cfRule>
    <cfRule type="containsText" dxfId="8352" priority="17812" operator="containsText" text="Pendente">
      <formula>NOT(ISERROR(SEARCH("Pendente",P454)))</formula>
    </cfRule>
    <cfRule type="containsText" dxfId="8351" priority="17800" operator="containsText" text="Pendente">
      <formula>NOT(ISERROR(SEARCH("Pendente",P454)))</formula>
    </cfRule>
    <cfRule type="expression" dxfId="8350" priority="17809">
      <formula>$H454="ETAPA"</formula>
    </cfRule>
    <cfRule type="expression" dxfId="8349" priority="17815">
      <formula>$H454="SUBETAPA"</formula>
    </cfRule>
    <cfRule type="containsText" dxfId="8348" priority="17814" operator="containsText" text="em andamento">
      <formula>NOT(ISERROR(SEARCH("em andamento",P454)))</formula>
    </cfRule>
    <cfRule type="containsText" dxfId="8347" priority="17813" operator="containsText" text="Finalizado">
      <formula>NOT(ISERROR(SEARCH("Finalizado",P454)))</formula>
    </cfRule>
    <cfRule type="expression" dxfId="8346" priority="17795">
      <formula>$H454="SUBETAPA"</formula>
    </cfRule>
    <cfRule type="expression" dxfId="8345" priority="17796">
      <formula>$H454="CÉLULA CONSTRUTIVA"</formula>
    </cfRule>
    <cfRule type="expression" dxfId="8344" priority="17797">
      <formula>$H454="ETAPA"</formula>
    </cfRule>
    <cfRule type="containsText" dxfId="8343" priority="17798" operator="containsText" text="Lançado">
      <formula>NOT(ISERROR(SEARCH("Lançado",P454)))</formula>
    </cfRule>
    <cfRule type="containsText" dxfId="8342" priority="17799" operator="containsText" text="N/A">
      <formula>NOT(ISERROR(SEARCH("N/A",P454)))</formula>
    </cfRule>
    <cfRule type="containsText" dxfId="8341" priority="17801" operator="containsText" text="Finalizado">
      <formula>NOT(ISERROR(SEARCH("Finalizado",P454)))</formula>
    </cfRule>
    <cfRule type="containsText" dxfId="8340" priority="17802" operator="containsText" text="em andamento">
      <formula>NOT(ISERROR(SEARCH("em andamento",P454)))</formula>
    </cfRule>
    <cfRule type="containsText" dxfId="8339" priority="17803" operator="containsText" text="Lançado">
      <formula>NOT(ISERROR(SEARCH("Lançado",P454)))</formula>
    </cfRule>
    <cfRule type="containsText" dxfId="8338" priority="17804" operator="containsText" text="N/A">
      <formula>NOT(ISERROR(SEARCH("N/A",P454)))</formula>
    </cfRule>
  </conditionalFormatting>
  <conditionalFormatting sqref="P455">
    <cfRule type="containsText" dxfId="8337" priority="17829" operator="containsText" text="Lançado">
      <formula>NOT(ISERROR(SEARCH("Lançado",P455)))</formula>
    </cfRule>
    <cfRule type="expression" dxfId="8336" priority="17828">
      <formula>$H455="ETAPA"</formula>
    </cfRule>
    <cfRule type="expression" dxfId="8335" priority="17827">
      <formula>$H455="CÉLULA CONSTRUTIVA"</formula>
    </cfRule>
    <cfRule type="expression" dxfId="8334" priority="17826">
      <formula>$H455="ETAPA"</formula>
    </cfRule>
    <cfRule type="expression" dxfId="8333" priority="17825">
      <formula>$H455="CÉLULA CONSTRUTIVA"</formula>
    </cfRule>
    <cfRule type="expression" dxfId="8332" priority="17824">
      <formula>$H455="SUBETAPA"</formula>
    </cfRule>
    <cfRule type="containsText" dxfId="8331" priority="17838" operator="containsText" text="em andamento">
      <formula>NOT(ISERROR(SEARCH("em andamento",P455)))</formula>
    </cfRule>
    <cfRule type="containsText" dxfId="8330" priority="17837" operator="containsText" text="Finalizado">
      <formula>NOT(ISERROR(SEARCH("Finalizado",P455)))</formula>
    </cfRule>
    <cfRule type="containsText" dxfId="8329" priority="17830" operator="containsText" text="N/A">
      <formula>NOT(ISERROR(SEARCH("N/A",P455)))</formula>
    </cfRule>
    <cfRule type="containsText" dxfId="8328" priority="17834" operator="containsText" text="Lançado">
      <formula>NOT(ISERROR(SEARCH("Lançado",P455)))</formula>
    </cfRule>
    <cfRule type="containsText" dxfId="8327" priority="17833" operator="containsText" text="em andamento">
      <formula>NOT(ISERROR(SEARCH("em andamento",P455)))</formula>
    </cfRule>
    <cfRule type="containsText" dxfId="8326" priority="17832" operator="containsText" text="Finalizado">
      <formula>NOT(ISERROR(SEARCH("Finalizado",P455)))</formula>
    </cfRule>
    <cfRule type="containsText" dxfId="8325" priority="17831" operator="containsText" text="Pendente">
      <formula>NOT(ISERROR(SEARCH("Pendente",P455)))</formula>
    </cfRule>
    <cfRule type="containsText" dxfId="8324" priority="17836" operator="containsText" text="Pendente">
      <formula>NOT(ISERROR(SEARCH("Pendente",P455)))</formula>
    </cfRule>
    <cfRule type="containsText" dxfId="8323" priority="17835" operator="containsText" text="N/A">
      <formula>NOT(ISERROR(SEARCH("N/A",P455)))</formula>
    </cfRule>
  </conditionalFormatting>
  <conditionalFormatting sqref="P456 P461">
    <cfRule type="containsText" dxfId="8322" priority="17721" operator="containsText" text="Pendente">
      <formula>NOT(ISERROR(SEARCH("Pendente",P456)))</formula>
    </cfRule>
    <cfRule type="containsText" dxfId="8321" priority="17720" operator="containsText" text="N/A">
      <formula>NOT(ISERROR(SEARCH("N/A",P456)))</formula>
    </cfRule>
    <cfRule type="containsText" dxfId="8320" priority="17719" operator="containsText" text="Lançado">
      <formula>NOT(ISERROR(SEARCH("Lançado",P456)))</formula>
    </cfRule>
    <cfRule type="containsText" dxfId="8319" priority="17718" operator="containsText" text="em andamento">
      <formula>NOT(ISERROR(SEARCH("em andamento",P456)))</formula>
    </cfRule>
    <cfRule type="containsText" dxfId="8318" priority="17717" operator="containsText" text="Finalizado">
      <formula>NOT(ISERROR(SEARCH("Finalizado",P456)))</formula>
    </cfRule>
    <cfRule type="containsText" dxfId="8317" priority="17716" operator="containsText" text="Pendente">
      <formula>NOT(ISERROR(SEARCH("Pendente",P456)))</formula>
    </cfRule>
    <cfRule type="containsText" dxfId="8316" priority="17715" operator="containsText" text="N/A">
      <formula>NOT(ISERROR(SEARCH("N/A",P456)))</formula>
    </cfRule>
    <cfRule type="containsText" dxfId="8315" priority="17714" operator="containsText" text="Lançado">
      <formula>NOT(ISERROR(SEARCH("Lançado",P456)))</formula>
    </cfRule>
    <cfRule type="expression" dxfId="8314" priority="17713">
      <formula>$H456="ETAPA"</formula>
    </cfRule>
    <cfRule type="expression" dxfId="8313" priority="17712">
      <formula>$H456="CÉLULA CONSTRUTIVA"</formula>
    </cfRule>
    <cfRule type="expression" dxfId="8312" priority="17711">
      <formula>$H456="SUBETAPA"</formula>
    </cfRule>
    <cfRule type="expression" dxfId="8311" priority="17731">
      <formula>$H456="SUBETAPA"</formula>
    </cfRule>
    <cfRule type="containsText" dxfId="8310" priority="17730" operator="containsText" text="em andamento">
      <formula>NOT(ISERROR(SEARCH("em andamento",P456)))</formula>
    </cfRule>
    <cfRule type="containsText" dxfId="8309" priority="17729" operator="containsText" text="Finalizado">
      <formula>NOT(ISERROR(SEARCH("Finalizado",P456)))</formula>
    </cfRule>
    <cfRule type="containsText" dxfId="8308" priority="17728" operator="containsText" text="Pendente">
      <formula>NOT(ISERROR(SEARCH("Pendente",P456)))</formula>
    </cfRule>
    <cfRule type="containsText" dxfId="8307" priority="17727" operator="containsText" text="N/A">
      <formula>NOT(ISERROR(SEARCH("N/A",P456)))</formula>
    </cfRule>
    <cfRule type="containsText" dxfId="8306" priority="17726" operator="containsText" text="Lançado">
      <formula>NOT(ISERROR(SEARCH("Lançado",P456)))</formula>
    </cfRule>
    <cfRule type="expression" dxfId="8305" priority="17725">
      <formula>$H456="ETAPA"</formula>
    </cfRule>
    <cfRule type="expression" dxfId="8304" priority="17724">
      <formula>$H456="CÉLULA CONSTRUTIVA"</formula>
    </cfRule>
    <cfRule type="containsText" dxfId="8303" priority="17723" operator="containsText" text="em andamento">
      <formula>NOT(ISERROR(SEARCH("em andamento",P456)))</formula>
    </cfRule>
    <cfRule type="containsText" dxfId="8302" priority="17722" operator="containsText" text="Finalizado">
      <formula>NOT(ISERROR(SEARCH("Finalizado",P456)))</formula>
    </cfRule>
  </conditionalFormatting>
  <conditionalFormatting sqref="P457:P458">
    <cfRule type="containsText" dxfId="8301" priority="17515" operator="containsText" text="Finalizado">
      <formula>NOT(ISERROR(SEARCH("Finalizado",P457)))</formula>
    </cfRule>
    <cfRule type="containsText" dxfId="8300" priority="17516" operator="containsText" text="em andamento">
      <formula>NOT(ISERROR(SEARCH("em andamento",P457)))</formula>
    </cfRule>
    <cfRule type="containsText" dxfId="8299" priority="17513" operator="containsText" text="N/A">
      <formula>NOT(ISERROR(SEARCH("N/A",P457)))</formula>
    </cfRule>
    <cfRule type="containsText" dxfId="8298" priority="17514" operator="containsText" text="Pendente">
      <formula>NOT(ISERROR(SEARCH("Pendente",P457)))</formula>
    </cfRule>
    <cfRule type="containsText" dxfId="8297" priority="17512" operator="containsText" text="Lançado">
      <formula>NOT(ISERROR(SEARCH("Lançado",P457)))</formula>
    </cfRule>
  </conditionalFormatting>
  <conditionalFormatting sqref="P459">
    <cfRule type="containsText" dxfId="8296" priority="17458" operator="containsText" text="Pendente">
      <formula>NOT(ISERROR(SEARCH("Pendente",P459)))</formula>
    </cfRule>
    <cfRule type="containsText" dxfId="8295" priority="17462" operator="containsText" text="N/A">
      <formula>NOT(ISERROR(SEARCH("N/A",P459)))</formula>
    </cfRule>
    <cfRule type="containsText" dxfId="8294" priority="17463" operator="containsText" text="Pendente">
      <formula>NOT(ISERROR(SEARCH("Pendente",P459)))</formula>
    </cfRule>
    <cfRule type="containsText" dxfId="8293" priority="17464" operator="containsText" text="Finalizado">
      <formula>NOT(ISERROR(SEARCH("Finalizado",P459)))</formula>
    </cfRule>
    <cfRule type="containsText" dxfId="8292" priority="17465" operator="containsText" text="em andamento">
      <formula>NOT(ISERROR(SEARCH("em andamento",P459)))</formula>
    </cfRule>
    <cfRule type="expression" dxfId="8291" priority="17467">
      <formula>$H459="ETAPA"</formula>
    </cfRule>
    <cfRule type="containsText" dxfId="8290" priority="17468" operator="containsText" text="Lançado">
      <formula>NOT(ISERROR(SEARCH("Lançado",P459)))</formula>
    </cfRule>
    <cfRule type="containsText" dxfId="8289" priority="17469" operator="containsText" text="N/A">
      <formula>NOT(ISERROR(SEARCH("N/A",P459)))</formula>
    </cfRule>
    <cfRule type="containsText" dxfId="8288" priority="17470" operator="containsText" text="Pendente">
      <formula>NOT(ISERROR(SEARCH("Pendente",P459)))</formula>
    </cfRule>
    <cfRule type="expression" dxfId="8287" priority="17453">
      <formula>$H459="SUBETAPA"</formula>
    </cfRule>
    <cfRule type="containsText" dxfId="8286" priority="17471" operator="containsText" text="Finalizado">
      <formula>NOT(ISERROR(SEARCH("Finalizado",P459)))</formula>
    </cfRule>
    <cfRule type="containsText" dxfId="8285" priority="17457" operator="containsText" text="N/A">
      <formula>NOT(ISERROR(SEARCH("N/A",P459)))</formula>
    </cfRule>
    <cfRule type="containsText" dxfId="8284" priority="17456" operator="containsText" text="Lançado">
      <formula>NOT(ISERROR(SEARCH("Lançado",P459)))</formula>
    </cfRule>
    <cfRule type="expression" dxfId="8283" priority="17455">
      <formula>$H459="ETAPA"</formula>
    </cfRule>
    <cfRule type="expression" dxfId="8282" priority="17454">
      <formula>$H459="CÉLULA CONSTRUTIVA"</formula>
    </cfRule>
    <cfRule type="expression" dxfId="8281" priority="17466">
      <formula>$H459="CÉLULA CONSTRUTIVA"</formula>
    </cfRule>
    <cfRule type="expression" dxfId="8280" priority="17473">
      <formula>$H459="SUBETAPA"</formula>
    </cfRule>
    <cfRule type="containsText" dxfId="8279" priority="17472" operator="containsText" text="em andamento">
      <formula>NOT(ISERROR(SEARCH("em andamento",P459)))</formula>
    </cfRule>
    <cfRule type="containsText" dxfId="8278" priority="17461" operator="containsText" text="Lançado">
      <formula>NOT(ISERROR(SEARCH("Lançado",P459)))</formula>
    </cfRule>
    <cfRule type="containsText" dxfId="8277" priority="17460" operator="containsText" text="em andamento">
      <formula>NOT(ISERROR(SEARCH("em andamento",P459)))</formula>
    </cfRule>
    <cfRule type="containsText" dxfId="8276" priority="17459" operator="containsText" text="Finalizado">
      <formula>NOT(ISERROR(SEARCH("Finalizado",P459)))</formula>
    </cfRule>
  </conditionalFormatting>
  <conditionalFormatting sqref="P460">
    <cfRule type="containsText" dxfId="8275" priority="17491" operator="containsText" text="em andamento">
      <formula>NOT(ISERROR(SEARCH("em andamento",P460)))</formula>
    </cfRule>
    <cfRule type="containsText" dxfId="8274" priority="17487" operator="containsText" text="Lançado">
      <formula>NOT(ISERROR(SEARCH("Lançado",P460)))</formula>
    </cfRule>
    <cfRule type="expression" dxfId="8273" priority="17486">
      <formula>$H460="ETAPA"</formula>
    </cfRule>
    <cfRule type="expression" dxfId="8272" priority="17484">
      <formula>$H460="ETAPA"</formula>
    </cfRule>
    <cfRule type="containsText" dxfId="8271" priority="17492" operator="containsText" text="Lançado">
      <formula>NOT(ISERROR(SEARCH("Lançado",P460)))</formula>
    </cfRule>
    <cfRule type="expression" dxfId="8270" priority="17485">
      <formula>$H460="CÉLULA CONSTRUTIVA"</formula>
    </cfRule>
    <cfRule type="containsText" dxfId="8269" priority="17496" operator="containsText" text="em andamento">
      <formula>NOT(ISERROR(SEARCH("em andamento",P460)))</formula>
    </cfRule>
    <cfRule type="containsText" dxfId="8268" priority="17495" operator="containsText" text="Finalizado">
      <formula>NOT(ISERROR(SEARCH("Finalizado",P460)))</formula>
    </cfRule>
    <cfRule type="containsText" dxfId="8267" priority="17494" operator="containsText" text="Pendente">
      <formula>NOT(ISERROR(SEARCH("Pendente",P460)))</formula>
    </cfRule>
    <cfRule type="containsText" dxfId="8266" priority="17493" operator="containsText" text="N/A">
      <formula>NOT(ISERROR(SEARCH("N/A",P460)))</formula>
    </cfRule>
    <cfRule type="expression" dxfId="8265" priority="17483">
      <formula>$H460="CÉLULA CONSTRUTIVA"</formula>
    </cfRule>
    <cfRule type="containsText" dxfId="8264" priority="17490" operator="containsText" text="Finalizado">
      <formula>NOT(ISERROR(SEARCH("Finalizado",P460)))</formula>
    </cfRule>
    <cfRule type="containsText" dxfId="8263" priority="17489" operator="containsText" text="Pendente">
      <formula>NOT(ISERROR(SEARCH("Pendente",P460)))</formula>
    </cfRule>
    <cfRule type="containsText" dxfId="8262" priority="17488" operator="containsText" text="N/A">
      <formula>NOT(ISERROR(SEARCH("N/A",P460)))</formula>
    </cfRule>
    <cfRule type="expression" dxfId="8261" priority="17482">
      <formula>$H460="SUBETAPA"</formula>
    </cfRule>
  </conditionalFormatting>
  <conditionalFormatting sqref="P462:P463">
    <cfRule type="containsText" dxfId="8260" priority="18430" operator="containsText" text="em andamento">
      <formula>NOT(ISERROR(SEARCH("em andamento",P462)))</formula>
    </cfRule>
    <cfRule type="containsText" dxfId="8259" priority="18429" operator="containsText" text="Finalizado">
      <formula>NOT(ISERROR(SEARCH("Finalizado",P462)))</formula>
    </cfRule>
    <cfRule type="containsText" dxfId="8258" priority="18428" operator="containsText" text="Pendente">
      <formula>NOT(ISERROR(SEARCH("Pendente",P462)))</formula>
    </cfRule>
    <cfRule type="containsText" dxfId="8257" priority="18427" operator="containsText" text="N/A">
      <formula>NOT(ISERROR(SEARCH("N/A",P462)))</formula>
    </cfRule>
    <cfRule type="containsText" dxfId="8256" priority="18426" operator="containsText" text="Lançado">
      <formula>NOT(ISERROR(SEARCH("Lançado",P462)))</formula>
    </cfRule>
  </conditionalFormatting>
  <conditionalFormatting sqref="P464">
    <cfRule type="containsText" dxfId="8255" priority="17671" operator="containsText" text="N/A">
      <formula>NOT(ISERROR(SEARCH("N/A",P464)))</formula>
    </cfRule>
    <cfRule type="containsText" dxfId="8254" priority="17672" operator="containsText" text="Pendente">
      <formula>NOT(ISERROR(SEARCH("Pendente",P464)))</formula>
    </cfRule>
    <cfRule type="containsText" dxfId="8253" priority="17673" operator="containsText" text="Finalizado">
      <formula>NOT(ISERROR(SEARCH("Finalizado",P464)))</formula>
    </cfRule>
    <cfRule type="containsText" dxfId="8252" priority="17674" operator="containsText" text="em andamento">
      <formula>NOT(ISERROR(SEARCH("em andamento",P464)))</formula>
    </cfRule>
    <cfRule type="containsText" dxfId="8251" priority="17677" operator="containsText" text="Pendente">
      <formula>NOT(ISERROR(SEARCH("Pendente",P464)))</formula>
    </cfRule>
    <cfRule type="containsText" dxfId="8250" priority="17685" operator="containsText" text="Finalizado">
      <formula>NOT(ISERROR(SEARCH("Finalizado",P464)))</formula>
    </cfRule>
    <cfRule type="containsText" dxfId="8249" priority="17678" operator="containsText" text="Finalizado">
      <formula>NOT(ISERROR(SEARCH("Finalizado",P464)))</formula>
    </cfRule>
    <cfRule type="containsText" dxfId="8248" priority="17679" operator="containsText" text="em andamento">
      <formula>NOT(ISERROR(SEARCH("em andamento",P464)))</formula>
    </cfRule>
    <cfRule type="expression" dxfId="8247" priority="17687">
      <formula>$H464="SUBETAPA"</formula>
    </cfRule>
    <cfRule type="containsText" dxfId="8246" priority="17686" operator="containsText" text="em andamento">
      <formula>NOT(ISERROR(SEARCH("em andamento",P464)))</formula>
    </cfRule>
    <cfRule type="containsText" dxfId="8245" priority="17684" operator="containsText" text="Pendente">
      <formula>NOT(ISERROR(SEARCH("Pendente",P464)))</formula>
    </cfRule>
    <cfRule type="containsText" dxfId="8244" priority="17675" operator="containsText" text="Lançado">
      <formula>NOT(ISERROR(SEARCH("Lançado",P464)))</formula>
    </cfRule>
    <cfRule type="containsText" dxfId="8243" priority="17676" operator="containsText" text="N/A">
      <formula>NOT(ISERROR(SEARCH("N/A",P464)))</formula>
    </cfRule>
    <cfRule type="containsText" dxfId="8242" priority="17683" operator="containsText" text="N/A">
      <formula>NOT(ISERROR(SEARCH("N/A",P464)))</formula>
    </cfRule>
    <cfRule type="containsText" dxfId="8241" priority="17682" operator="containsText" text="Lançado">
      <formula>NOT(ISERROR(SEARCH("Lançado",P464)))</formula>
    </cfRule>
    <cfRule type="expression" dxfId="8240" priority="17681">
      <formula>$H464="ETAPA"</formula>
    </cfRule>
    <cfRule type="expression" dxfId="8239" priority="17680">
      <formula>$H464="CÉLULA CONSTRUTIVA"</formula>
    </cfRule>
    <cfRule type="expression" dxfId="8238" priority="17667">
      <formula>$H464="SUBETAPA"</formula>
    </cfRule>
    <cfRule type="expression" dxfId="8237" priority="17668">
      <formula>$H464="CÉLULA CONSTRUTIVA"</formula>
    </cfRule>
    <cfRule type="expression" dxfId="8236" priority="17669">
      <formula>$H464="ETAPA"</formula>
    </cfRule>
    <cfRule type="containsText" dxfId="8235" priority="17670" operator="containsText" text="Lançado">
      <formula>NOT(ISERROR(SEARCH("Lançado",P464)))</formula>
    </cfRule>
  </conditionalFormatting>
  <conditionalFormatting sqref="P465">
    <cfRule type="expression" dxfId="8234" priority="17697">
      <formula>$H465="CÉLULA CONSTRUTIVA"</formula>
    </cfRule>
    <cfRule type="expression" dxfId="8233" priority="17696">
      <formula>$H465="SUBETAPA"</formula>
    </cfRule>
    <cfRule type="containsText" dxfId="8232" priority="17709" operator="containsText" text="Finalizado">
      <formula>NOT(ISERROR(SEARCH("Finalizado",P465)))</formula>
    </cfRule>
    <cfRule type="expression" dxfId="8231" priority="17699">
      <formula>$H465="CÉLULA CONSTRUTIVA"</formula>
    </cfRule>
    <cfRule type="containsText" dxfId="8230" priority="17710" operator="containsText" text="em andamento">
      <formula>NOT(ISERROR(SEARCH("em andamento",P465)))</formula>
    </cfRule>
    <cfRule type="expression" dxfId="8229" priority="17698">
      <formula>$H465="ETAPA"</formula>
    </cfRule>
    <cfRule type="containsText" dxfId="8228" priority="17708" operator="containsText" text="Pendente">
      <formula>NOT(ISERROR(SEARCH("Pendente",P465)))</formula>
    </cfRule>
    <cfRule type="containsText" dxfId="8227" priority="17707" operator="containsText" text="N/A">
      <formula>NOT(ISERROR(SEARCH("N/A",P465)))</formula>
    </cfRule>
    <cfRule type="containsText" dxfId="8226" priority="17706" operator="containsText" text="Lançado">
      <formula>NOT(ISERROR(SEARCH("Lançado",P465)))</formula>
    </cfRule>
    <cfRule type="containsText" dxfId="8225" priority="17705" operator="containsText" text="em andamento">
      <formula>NOT(ISERROR(SEARCH("em andamento",P465)))</formula>
    </cfRule>
    <cfRule type="containsText" dxfId="8224" priority="17704" operator="containsText" text="Finalizado">
      <formula>NOT(ISERROR(SEARCH("Finalizado",P465)))</formula>
    </cfRule>
    <cfRule type="containsText" dxfId="8223" priority="17703" operator="containsText" text="Pendente">
      <formula>NOT(ISERROR(SEARCH("Pendente",P465)))</formula>
    </cfRule>
    <cfRule type="containsText" dxfId="8222" priority="17702" operator="containsText" text="N/A">
      <formula>NOT(ISERROR(SEARCH("N/A",P465)))</formula>
    </cfRule>
    <cfRule type="containsText" dxfId="8221" priority="17701" operator="containsText" text="Lançado">
      <formula>NOT(ISERROR(SEARCH("Lançado",P465)))</formula>
    </cfRule>
    <cfRule type="expression" dxfId="8220" priority="17700">
      <formula>$H465="ETAPA"</formula>
    </cfRule>
  </conditionalFormatting>
  <conditionalFormatting sqref="P466">
    <cfRule type="containsText" dxfId="8219" priority="17598" operator="containsText" text="Lançado">
      <formula>NOT(ISERROR(SEARCH("Lançado",P466)))</formula>
    </cfRule>
    <cfRule type="containsText" dxfId="8218" priority="17599" operator="containsText" text="N/A">
      <formula>NOT(ISERROR(SEARCH("N/A",P466)))</formula>
    </cfRule>
    <cfRule type="containsText" dxfId="8217" priority="17600" operator="containsText" text="Pendente">
      <formula>NOT(ISERROR(SEARCH("Pendente",P466)))</formula>
    </cfRule>
    <cfRule type="containsText" dxfId="8216" priority="17601" operator="containsText" text="Finalizado">
      <formula>NOT(ISERROR(SEARCH("Finalizado",P466)))</formula>
    </cfRule>
    <cfRule type="containsText" dxfId="8215" priority="17602" operator="containsText" text="em andamento">
      <formula>NOT(ISERROR(SEARCH("em andamento",P466)))</formula>
    </cfRule>
    <cfRule type="expression" dxfId="8214" priority="17603">
      <formula>$H466="SUBETAPA"</formula>
    </cfRule>
    <cfRule type="containsText" dxfId="8213" priority="17592" operator="containsText" text="N/A">
      <formula>NOT(ISERROR(SEARCH("N/A",P466)))</formula>
    </cfRule>
    <cfRule type="containsText" dxfId="8212" priority="17590" operator="containsText" text="em andamento">
      <formula>NOT(ISERROR(SEARCH("em andamento",P466)))</formula>
    </cfRule>
    <cfRule type="expression" dxfId="8211" priority="17583">
      <formula>$H466="SUBETAPA"</formula>
    </cfRule>
    <cfRule type="expression" dxfId="8210" priority="17584">
      <formula>$H466="CÉLULA CONSTRUTIVA"</formula>
    </cfRule>
    <cfRule type="expression" dxfId="8209" priority="17585">
      <formula>$H466="ETAPA"</formula>
    </cfRule>
    <cfRule type="containsText" dxfId="8208" priority="17586" operator="containsText" text="Lançado">
      <formula>NOT(ISERROR(SEARCH("Lançado",P466)))</formula>
    </cfRule>
    <cfRule type="containsText" dxfId="8207" priority="17587" operator="containsText" text="N/A">
      <formula>NOT(ISERROR(SEARCH("N/A",P466)))</formula>
    </cfRule>
    <cfRule type="containsText" dxfId="8206" priority="17588" operator="containsText" text="Pendente">
      <formula>NOT(ISERROR(SEARCH("Pendente",P466)))</formula>
    </cfRule>
    <cfRule type="containsText" dxfId="8205" priority="17589" operator="containsText" text="Finalizado">
      <formula>NOT(ISERROR(SEARCH("Finalizado",P466)))</formula>
    </cfRule>
    <cfRule type="containsText" dxfId="8204" priority="17591" operator="containsText" text="Lançado">
      <formula>NOT(ISERROR(SEARCH("Lançado",P466)))</formula>
    </cfRule>
    <cfRule type="containsText" dxfId="8203" priority="17593" operator="containsText" text="Pendente">
      <formula>NOT(ISERROR(SEARCH("Pendente",P466)))</formula>
    </cfRule>
    <cfRule type="containsText" dxfId="8202" priority="17594" operator="containsText" text="Finalizado">
      <formula>NOT(ISERROR(SEARCH("Finalizado",P466)))</formula>
    </cfRule>
    <cfRule type="containsText" dxfId="8201" priority="17595" operator="containsText" text="em andamento">
      <formula>NOT(ISERROR(SEARCH("em andamento",P466)))</formula>
    </cfRule>
    <cfRule type="expression" dxfId="8200" priority="17596">
      <formula>$H466="CÉLULA CONSTRUTIVA"</formula>
    </cfRule>
    <cfRule type="expression" dxfId="8199" priority="17597">
      <formula>$H466="ETAPA"</formula>
    </cfRule>
  </conditionalFormatting>
  <conditionalFormatting sqref="P467:P468">
    <cfRule type="containsText" dxfId="8198" priority="18402" operator="containsText" text="em andamento">
      <formula>NOT(ISERROR(SEARCH("em andamento",P467)))</formula>
    </cfRule>
    <cfRule type="containsText" dxfId="8197" priority="18401" operator="containsText" text="Finalizado">
      <formula>NOT(ISERROR(SEARCH("Finalizado",P467)))</formula>
    </cfRule>
    <cfRule type="containsText" dxfId="8196" priority="18400" operator="containsText" text="Pendente">
      <formula>NOT(ISERROR(SEARCH("Pendente",P467)))</formula>
    </cfRule>
    <cfRule type="containsText" dxfId="8195" priority="18399" operator="containsText" text="N/A">
      <formula>NOT(ISERROR(SEARCH("N/A",P467)))</formula>
    </cfRule>
    <cfRule type="containsText" dxfId="8194" priority="18398" operator="containsText" text="Lançado">
      <formula>NOT(ISERROR(SEARCH("Lançado",P467)))</formula>
    </cfRule>
  </conditionalFormatting>
  <conditionalFormatting sqref="P469">
    <cfRule type="containsText" dxfId="8193" priority="17578" operator="containsText" text="N/A">
      <formula>NOT(ISERROR(SEARCH("N/A",P469)))</formula>
    </cfRule>
    <cfRule type="containsText" dxfId="8192" priority="17579" operator="containsText" text="Pendente">
      <formula>NOT(ISERROR(SEARCH("Pendente",P469)))</formula>
    </cfRule>
    <cfRule type="containsText" dxfId="8191" priority="17580" operator="containsText" text="Finalizado">
      <formula>NOT(ISERROR(SEARCH("Finalizado",P469)))</formula>
    </cfRule>
    <cfRule type="containsText" dxfId="8190" priority="17573" operator="containsText" text="Finalizado">
      <formula>NOT(ISERROR(SEARCH("Finalizado",P469)))</formula>
    </cfRule>
    <cfRule type="containsText" dxfId="8189" priority="17581" operator="containsText" text="em andamento">
      <formula>NOT(ISERROR(SEARCH("em andamento",P469)))</formula>
    </cfRule>
    <cfRule type="expression" dxfId="8188" priority="17582">
      <formula>$H469="SUBETAPA"</formula>
    </cfRule>
    <cfRule type="containsText" dxfId="8187" priority="17574" operator="containsText" text="em andamento">
      <formula>NOT(ISERROR(SEARCH("em andamento",P469)))</formula>
    </cfRule>
    <cfRule type="expression" dxfId="8186" priority="17575">
      <formula>$H469="CÉLULA CONSTRUTIVA"</formula>
    </cfRule>
    <cfRule type="expression" dxfId="8185" priority="17576">
      <formula>$H469="ETAPA"</formula>
    </cfRule>
    <cfRule type="containsText" dxfId="8184" priority="17571" operator="containsText" text="N/A">
      <formula>NOT(ISERROR(SEARCH("N/A",P469)))</formula>
    </cfRule>
    <cfRule type="containsText" dxfId="8183" priority="17572" operator="containsText" text="Pendente">
      <formula>NOT(ISERROR(SEARCH("Pendente",P469)))</formula>
    </cfRule>
    <cfRule type="containsText" dxfId="8182" priority="17577" operator="containsText" text="Lançado">
      <formula>NOT(ISERROR(SEARCH("Lançado",P469)))</formula>
    </cfRule>
    <cfRule type="containsText" dxfId="8181" priority="17569" operator="containsText" text="em andamento">
      <formula>NOT(ISERROR(SEARCH("em andamento",P469)))</formula>
    </cfRule>
    <cfRule type="containsText" dxfId="8180" priority="17568" operator="containsText" text="Finalizado">
      <formula>NOT(ISERROR(SEARCH("Finalizado",P469)))</formula>
    </cfRule>
    <cfRule type="containsText" dxfId="8179" priority="17567" operator="containsText" text="Pendente">
      <formula>NOT(ISERROR(SEARCH("Pendente",P469)))</formula>
    </cfRule>
    <cfRule type="containsText" dxfId="8178" priority="17566" operator="containsText" text="N/A">
      <formula>NOT(ISERROR(SEARCH("N/A",P469)))</formula>
    </cfRule>
    <cfRule type="containsText" dxfId="8177" priority="17565" operator="containsText" text="Lançado">
      <formula>NOT(ISERROR(SEARCH("Lançado",P469)))</formula>
    </cfRule>
    <cfRule type="expression" dxfId="8176" priority="17564">
      <formula>$H469="ETAPA"</formula>
    </cfRule>
    <cfRule type="expression" dxfId="8175" priority="17563">
      <formula>$H469="CÉLULA CONSTRUTIVA"</formula>
    </cfRule>
    <cfRule type="expression" dxfId="8174" priority="17562">
      <formula>$H469="SUBETAPA"</formula>
    </cfRule>
    <cfRule type="containsText" dxfId="8173" priority="17570" operator="containsText" text="Lançado">
      <formula>NOT(ISERROR(SEARCH("Lançado",P469)))</formula>
    </cfRule>
  </conditionalFormatting>
  <conditionalFormatting sqref="P470 M716 O716:P716 M717:O717 M724:O724 O722:P723 M722:M723 G722:K724 M718:M720 O718:P720">
    <cfRule type="expression" dxfId="8172" priority="25483">
      <formula>$H470="ETAPA"</formula>
    </cfRule>
  </conditionalFormatting>
  <conditionalFormatting sqref="P470 O716:P716 M716 M717:O717 M724:O724 M722:M723 G722:K724 O722:P723 O718:P720 M718:M720">
    <cfRule type="expression" dxfId="8171" priority="25482">
      <formula>$H470="CÉLULA CONSTRUTIVA"</formula>
    </cfRule>
  </conditionalFormatting>
  <conditionalFormatting sqref="P470 P722">
    <cfRule type="containsText" dxfId="8170" priority="25487" operator="containsText" text="Finalizado">
      <formula>NOT(ISERROR(SEARCH("Finalizado",P470)))</formula>
    </cfRule>
    <cfRule type="containsText" dxfId="8169" priority="25488" operator="containsText" text="em andamento">
      <formula>NOT(ISERROR(SEARCH("em andamento",P470)))</formula>
    </cfRule>
    <cfRule type="containsText" dxfId="8168" priority="25484" operator="containsText" text="Lançado">
      <formula>NOT(ISERROR(SEARCH("Lançado",P470)))</formula>
    </cfRule>
    <cfRule type="expression" dxfId="8167" priority="25479">
      <formula>$H470="SUBETAPA"</formula>
    </cfRule>
    <cfRule type="expression" dxfId="8166" priority="25480">
      <formula>$H470="CÉLULA CONSTRUTIVA"</formula>
    </cfRule>
    <cfRule type="expression" dxfId="8165" priority="25481">
      <formula>$H470="ETAPA"</formula>
    </cfRule>
    <cfRule type="containsText" dxfId="8164" priority="25485" operator="containsText" text="N/A">
      <formula>NOT(ISERROR(SEARCH("N/A",P470)))</formula>
    </cfRule>
    <cfRule type="containsText" dxfId="8163" priority="25486" operator="containsText" text="Pendente">
      <formula>NOT(ISERROR(SEARCH("Pendente",P470)))</formula>
    </cfRule>
  </conditionalFormatting>
  <conditionalFormatting sqref="P470">
    <cfRule type="containsText" dxfId="8162" priority="25450" operator="containsText" text="em andamento">
      <formula>NOT(ISERROR(SEARCH("em andamento",P470)))</formula>
    </cfRule>
    <cfRule type="containsText" dxfId="8161" priority="25449" operator="containsText" text="Finalizado">
      <formula>NOT(ISERROR(SEARCH("Finalizado",P470)))</formula>
    </cfRule>
    <cfRule type="containsText" dxfId="8160" priority="25448" operator="containsText" text="Pendente">
      <formula>NOT(ISERROR(SEARCH("Pendente",P470)))</formula>
    </cfRule>
    <cfRule type="containsText" dxfId="8159" priority="25447" operator="containsText" text="N/A">
      <formula>NOT(ISERROR(SEARCH("N/A",P470)))</formula>
    </cfRule>
    <cfRule type="containsText" dxfId="8158" priority="25446" operator="containsText" text="Lançado">
      <formula>NOT(ISERROR(SEARCH("Lançado",P470)))</formula>
    </cfRule>
  </conditionalFormatting>
  <conditionalFormatting sqref="P471:P472 P474 P476 P478 P480 P488">
    <cfRule type="containsText" dxfId="8157" priority="17388" operator="containsText" text="Finalizado">
      <formula>NOT(ISERROR(SEARCH("Finalizado",P471)))</formula>
    </cfRule>
    <cfRule type="containsText" dxfId="8156" priority="17387" operator="containsText" text="Pendente">
      <formula>NOT(ISERROR(SEARCH("Pendente",P471)))</formula>
    </cfRule>
    <cfRule type="containsText" dxfId="8155" priority="17389" operator="containsText" text="em andamento">
      <formula>NOT(ISERROR(SEARCH("em andamento",P471)))</formula>
    </cfRule>
    <cfRule type="containsText" dxfId="8154" priority="17385" operator="containsText" text="Lançado">
      <formula>NOT(ISERROR(SEARCH("Lançado",P471)))</formula>
    </cfRule>
    <cfRule type="containsText" dxfId="8153" priority="17386" operator="containsText" text="N/A">
      <formula>NOT(ISERROR(SEARCH("N/A",P471)))</formula>
    </cfRule>
  </conditionalFormatting>
  <conditionalFormatting sqref="P472 P474 P476 P478 P480 P488">
    <cfRule type="containsText" dxfId="8152" priority="17380" operator="containsText" text="Finalizado">
      <formula>NOT(ISERROR(SEARCH("Finalizado",P472)))</formula>
    </cfRule>
    <cfRule type="containsText" dxfId="8151" priority="17379" operator="containsText" text="Pendente">
      <formula>NOT(ISERROR(SEARCH("Pendente",P472)))</formula>
    </cfRule>
    <cfRule type="containsText" dxfId="8150" priority="17381" operator="containsText" text="em andamento">
      <formula>NOT(ISERROR(SEARCH("em andamento",P472)))</formula>
    </cfRule>
  </conditionalFormatting>
  <conditionalFormatting sqref="P472 P474 P478 P480 P488">
    <cfRule type="expression" dxfId="8149" priority="17373">
      <formula>$H472="CÉLULA CONSTRUTIVA"</formula>
    </cfRule>
  </conditionalFormatting>
  <conditionalFormatting sqref="P472">
    <cfRule type="expression" dxfId="8148" priority="17372">
      <formula>$H472="SUBETAPA"</formula>
    </cfRule>
  </conditionalFormatting>
  <conditionalFormatting sqref="P473">
    <cfRule type="containsText" dxfId="8147" priority="17254" operator="containsText" text="em andamento">
      <formula>NOT(ISERROR(SEARCH("em andamento",P473)))</formula>
    </cfRule>
    <cfRule type="containsText" dxfId="8146" priority="17239" operator="containsText" text="Pendente">
      <formula>NOT(ISERROR(SEARCH("Pendente",P473)))</formula>
    </cfRule>
    <cfRule type="expression" dxfId="8145" priority="17234">
      <formula>$H473="SUBETAPA"</formula>
    </cfRule>
    <cfRule type="expression" dxfId="8144" priority="17235">
      <formula>$H473="CÉLULA CONSTRUTIVA"</formula>
    </cfRule>
    <cfRule type="containsText" dxfId="8143" priority="17243" operator="containsText" text="N/A">
      <formula>NOT(ISERROR(SEARCH("N/A",P473)))</formula>
    </cfRule>
    <cfRule type="containsText" dxfId="8142" priority="17242" operator="containsText" text="Lançado">
      <formula>NOT(ISERROR(SEARCH("Lançado",P473)))</formula>
    </cfRule>
    <cfRule type="containsText" dxfId="8141" priority="17241" operator="containsText" text="em andamento">
      <formula>NOT(ISERROR(SEARCH("em andamento",P473)))</formula>
    </cfRule>
    <cfRule type="expression" dxfId="8140" priority="17236">
      <formula>$H473="ETAPA"</formula>
    </cfRule>
    <cfRule type="containsText" dxfId="8139" priority="17237" operator="containsText" text="Lançado">
      <formula>NOT(ISERROR(SEARCH("Lançado",P473)))</formula>
    </cfRule>
    <cfRule type="containsText" dxfId="8138" priority="17240" operator="containsText" text="Finalizado">
      <formula>NOT(ISERROR(SEARCH("Finalizado",P473)))</formula>
    </cfRule>
    <cfRule type="containsText" dxfId="8137" priority="17238" operator="containsText" text="N/A">
      <formula>NOT(ISERROR(SEARCH("N/A",P473)))</formula>
    </cfRule>
    <cfRule type="containsText" dxfId="8136" priority="17244" operator="containsText" text="Pendente">
      <formula>NOT(ISERROR(SEARCH("Pendente",P473)))</formula>
    </cfRule>
    <cfRule type="containsText" dxfId="8135" priority="17245" operator="containsText" text="Finalizado">
      <formula>NOT(ISERROR(SEARCH("Finalizado",P473)))</formula>
    </cfRule>
    <cfRule type="containsText" dxfId="8134" priority="17246" operator="containsText" text="em andamento">
      <formula>NOT(ISERROR(SEARCH("em andamento",P473)))</formula>
    </cfRule>
    <cfRule type="expression" dxfId="8133" priority="17247">
      <formula>$H473="SUBETAPA"</formula>
    </cfRule>
    <cfRule type="expression" dxfId="8132" priority="17248">
      <formula>$H473="CÉLULA CONSTRUTIVA"</formula>
    </cfRule>
    <cfRule type="expression" dxfId="8131" priority="17249">
      <formula>$H473="ETAPA"</formula>
    </cfRule>
    <cfRule type="containsText" dxfId="8130" priority="17250" operator="containsText" text="Lançado">
      <formula>NOT(ISERROR(SEARCH("Lançado",P473)))</formula>
    </cfRule>
    <cfRule type="containsText" dxfId="8129" priority="17251" operator="containsText" text="N/A">
      <formula>NOT(ISERROR(SEARCH("N/A",P473)))</formula>
    </cfRule>
    <cfRule type="containsText" dxfId="8128" priority="17252" operator="containsText" text="Pendente">
      <formula>NOT(ISERROR(SEARCH("Pendente",P473)))</formula>
    </cfRule>
    <cfRule type="containsText" dxfId="8127" priority="17253" operator="containsText" text="Finalizado">
      <formula>NOT(ISERROR(SEARCH("Finalizado",P473)))</formula>
    </cfRule>
  </conditionalFormatting>
  <conditionalFormatting sqref="P474 P476 P478 P480 P488 P472">
    <cfRule type="containsText" dxfId="8126" priority="17378" operator="containsText" text="N/A">
      <formula>NOT(ISERROR(SEARCH("N/A",P472)))</formula>
    </cfRule>
    <cfRule type="containsText" dxfId="8125" priority="17377" operator="containsText" text="Lançado">
      <formula>NOT(ISERROR(SEARCH("Lançado",P472)))</formula>
    </cfRule>
  </conditionalFormatting>
  <conditionalFormatting sqref="P475">
    <cfRule type="expression" dxfId="8124" priority="17268">
      <formula>$H475="SUBETAPA"</formula>
    </cfRule>
    <cfRule type="expression" dxfId="8123" priority="17269">
      <formula>$H475="CÉLULA CONSTRUTIVA"</formula>
    </cfRule>
    <cfRule type="containsText" dxfId="8122" priority="17261" operator="containsText" text="Finalizado">
      <formula>NOT(ISERROR(SEARCH("Finalizado",P475)))</formula>
    </cfRule>
    <cfRule type="expression" dxfId="8121" priority="17270">
      <formula>$H475="ETAPA"</formula>
    </cfRule>
    <cfRule type="containsText" dxfId="8120" priority="17259" operator="containsText" text="N/A">
      <formula>NOT(ISERROR(SEARCH("N/A",P475)))</formula>
    </cfRule>
    <cfRule type="containsText" dxfId="8119" priority="17260" operator="containsText" text="Pendente">
      <formula>NOT(ISERROR(SEARCH("Pendente",P475)))</formula>
    </cfRule>
    <cfRule type="containsText" dxfId="8118" priority="17262" operator="containsText" text="em andamento">
      <formula>NOT(ISERROR(SEARCH("em andamento",P475)))</formula>
    </cfRule>
    <cfRule type="containsText" dxfId="8117" priority="17263" operator="containsText" text="Lançado">
      <formula>NOT(ISERROR(SEARCH("Lançado",P475)))</formula>
    </cfRule>
    <cfRule type="containsText" dxfId="8116" priority="17265" operator="containsText" text="Pendente">
      <formula>NOT(ISERROR(SEARCH("Pendente",P475)))</formula>
    </cfRule>
    <cfRule type="containsText" dxfId="8115" priority="17271" operator="containsText" text="Lançado">
      <formula>NOT(ISERROR(SEARCH("Lançado",P475)))</formula>
    </cfRule>
    <cfRule type="containsText" dxfId="8114" priority="17275" operator="containsText" text="em andamento">
      <formula>NOT(ISERROR(SEARCH("em andamento",P475)))</formula>
    </cfRule>
    <cfRule type="containsText" dxfId="8113" priority="17264" operator="containsText" text="N/A">
      <formula>NOT(ISERROR(SEARCH("N/A",P475)))</formula>
    </cfRule>
    <cfRule type="containsText" dxfId="8112" priority="17266" operator="containsText" text="Finalizado">
      <formula>NOT(ISERROR(SEARCH("Finalizado",P475)))</formula>
    </cfRule>
    <cfRule type="containsText" dxfId="8111" priority="17274" operator="containsText" text="Finalizado">
      <formula>NOT(ISERROR(SEARCH("Finalizado",P475)))</formula>
    </cfRule>
    <cfRule type="containsText" dxfId="8110" priority="17273" operator="containsText" text="Pendente">
      <formula>NOT(ISERROR(SEARCH("Pendente",P475)))</formula>
    </cfRule>
    <cfRule type="containsText" dxfId="8109" priority="17272" operator="containsText" text="N/A">
      <formula>NOT(ISERROR(SEARCH("N/A",P475)))</formula>
    </cfRule>
    <cfRule type="containsText" dxfId="8108" priority="17267" operator="containsText" text="em andamento">
      <formula>NOT(ISERROR(SEARCH("em andamento",P475)))</formula>
    </cfRule>
    <cfRule type="expression" dxfId="8107" priority="17255">
      <formula>$H475="SUBETAPA"</formula>
    </cfRule>
    <cfRule type="expression" dxfId="8106" priority="17256">
      <formula>$H475="CÉLULA CONSTRUTIVA"</formula>
    </cfRule>
    <cfRule type="expression" dxfId="8105" priority="17257">
      <formula>$H475="ETAPA"</formula>
    </cfRule>
    <cfRule type="containsText" dxfId="8104" priority="17258" operator="containsText" text="Lançado">
      <formula>NOT(ISERROR(SEARCH("Lançado",P475)))</formula>
    </cfRule>
  </conditionalFormatting>
  <conditionalFormatting sqref="P477">
    <cfRule type="containsText" dxfId="8103" priority="17285" operator="containsText" text="N/A">
      <formula>NOT(ISERROR(SEARCH("N/A",P477)))</formula>
    </cfRule>
    <cfRule type="containsText" dxfId="8102" priority="17286" operator="containsText" text="Pendente">
      <formula>NOT(ISERROR(SEARCH("Pendente",P477)))</formula>
    </cfRule>
    <cfRule type="containsText" dxfId="8101" priority="17287" operator="containsText" text="Finalizado">
      <formula>NOT(ISERROR(SEARCH("Finalizado",P477)))</formula>
    </cfRule>
    <cfRule type="containsText" dxfId="8100" priority="17288" operator="containsText" text="em andamento">
      <formula>NOT(ISERROR(SEARCH("em andamento",P477)))</formula>
    </cfRule>
    <cfRule type="containsText" dxfId="8099" priority="17295" operator="containsText" text="Finalizado">
      <formula>NOT(ISERROR(SEARCH("Finalizado",P477)))</formula>
    </cfRule>
    <cfRule type="containsText" dxfId="8098" priority="17280" operator="containsText" text="N/A">
      <formula>NOT(ISERROR(SEARCH("N/A",P477)))</formula>
    </cfRule>
    <cfRule type="containsText" dxfId="8097" priority="17279" operator="containsText" text="Lançado">
      <formula>NOT(ISERROR(SEARCH("Lançado",P477)))</formula>
    </cfRule>
    <cfRule type="expression" dxfId="8096" priority="17278">
      <formula>$H477="ETAPA"</formula>
    </cfRule>
    <cfRule type="expression" dxfId="8095" priority="17277">
      <formula>$H477="CÉLULA CONSTRUTIVA"</formula>
    </cfRule>
    <cfRule type="containsText" dxfId="8094" priority="17282" operator="containsText" text="Finalizado">
      <formula>NOT(ISERROR(SEARCH("Finalizado",P477)))</formula>
    </cfRule>
    <cfRule type="containsText" dxfId="8093" priority="17294" operator="containsText" text="Pendente">
      <formula>NOT(ISERROR(SEARCH("Pendente",P477)))</formula>
    </cfRule>
    <cfRule type="containsText" dxfId="8092" priority="17293" operator="containsText" text="N/A">
      <formula>NOT(ISERROR(SEARCH("N/A",P477)))</formula>
    </cfRule>
    <cfRule type="expression" dxfId="8091" priority="17289">
      <formula>$H477="SUBETAPA"</formula>
    </cfRule>
    <cfRule type="containsText" dxfId="8090" priority="17292" operator="containsText" text="Lançado">
      <formula>NOT(ISERROR(SEARCH("Lançado",P477)))</formula>
    </cfRule>
    <cfRule type="expression" dxfId="8089" priority="17291">
      <formula>$H477="ETAPA"</formula>
    </cfRule>
    <cfRule type="containsText" dxfId="8088" priority="17283" operator="containsText" text="em andamento">
      <formula>NOT(ISERROR(SEARCH("em andamento",P477)))</formula>
    </cfRule>
    <cfRule type="containsText" dxfId="8087" priority="17284" operator="containsText" text="Lançado">
      <formula>NOT(ISERROR(SEARCH("Lançado",P477)))</formula>
    </cfRule>
    <cfRule type="expression" dxfId="8086" priority="17290">
      <formula>$H477="CÉLULA CONSTRUTIVA"</formula>
    </cfRule>
    <cfRule type="expression" dxfId="8085" priority="17276">
      <formula>$H477="SUBETAPA"</formula>
    </cfRule>
    <cfRule type="containsText" dxfId="8084" priority="17296" operator="containsText" text="em andamento">
      <formula>NOT(ISERROR(SEARCH("em andamento",P477)))</formula>
    </cfRule>
    <cfRule type="containsText" dxfId="8083" priority="17281" operator="containsText" text="Pendente">
      <formula>NOT(ISERROR(SEARCH("Pendente",P477)))</formula>
    </cfRule>
  </conditionalFormatting>
  <conditionalFormatting sqref="P479">
    <cfRule type="containsText" dxfId="8082" priority="17301" operator="containsText" text="N/A">
      <formula>NOT(ISERROR(SEARCH("N/A",P479)))</formula>
    </cfRule>
    <cfRule type="containsText" dxfId="8081" priority="17300" operator="containsText" text="Lançado">
      <formula>NOT(ISERROR(SEARCH("Lançado",P479)))</formula>
    </cfRule>
    <cfRule type="expression" dxfId="8080" priority="17299">
      <formula>$H479="ETAPA"</formula>
    </cfRule>
    <cfRule type="expression" dxfId="8079" priority="17298">
      <formula>$H479="CÉLULA CONSTRUTIVA"</formula>
    </cfRule>
    <cfRule type="expression" dxfId="8078" priority="17297">
      <formula>$H479="SUBETAPA"</formula>
    </cfRule>
    <cfRule type="containsText" dxfId="8077" priority="17309" operator="containsText" text="em andamento">
      <formula>NOT(ISERROR(SEARCH("em andamento",P479)))</formula>
    </cfRule>
    <cfRule type="containsText" dxfId="8076" priority="17317" operator="containsText" text="em andamento">
      <formula>NOT(ISERROR(SEARCH("em andamento",P479)))</formula>
    </cfRule>
    <cfRule type="containsText" dxfId="8075" priority="17316" operator="containsText" text="Finalizado">
      <formula>NOT(ISERROR(SEARCH("Finalizado",P479)))</formula>
    </cfRule>
    <cfRule type="containsText" dxfId="8074" priority="17315" operator="containsText" text="Pendente">
      <formula>NOT(ISERROR(SEARCH("Pendente",P479)))</formula>
    </cfRule>
    <cfRule type="containsText" dxfId="8073" priority="17314" operator="containsText" text="N/A">
      <formula>NOT(ISERROR(SEARCH("N/A",P479)))</formula>
    </cfRule>
    <cfRule type="containsText" dxfId="8072" priority="17313" operator="containsText" text="Lançado">
      <formula>NOT(ISERROR(SEARCH("Lançado",P479)))</formula>
    </cfRule>
    <cfRule type="expression" dxfId="8071" priority="17312">
      <formula>$H479="ETAPA"</formula>
    </cfRule>
    <cfRule type="expression" dxfId="8070" priority="17311">
      <formula>$H479="CÉLULA CONSTRUTIVA"</formula>
    </cfRule>
    <cfRule type="expression" dxfId="8069" priority="17310">
      <formula>$H479="SUBETAPA"</formula>
    </cfRule>
    <cfRule type="containsText" dxfId="8068" priority="17308" operator="containsText" text="Finalizado">
      <formula>NOT(ISERROR(SEARCH("Finalizado",P479)))</formula>
    </cfRule>
    <cfRule type="containsText" dxfId="8067" priority="17307" operator="containsText" text="Pendente">
      <formula>NOT(ISERROR(SEARCH("Pendente",P479)))</formula>
    </cfRule>
    <cfRule type="containsText" dxfId="8066" priority="17306" operator="containsText" text="N/A">
      <formula>NOT(ISERROR(SEARCH("N/A",P479)))</formula>
    </cfRule>
    <cfRule type="containsText" dxfId="8065" priority="17305" operator="containsText" text="Lançado">
      <formula>NOT(ISERROR(SEARCH("Lançado",P479)))</formula>
    </cfRule>
    <cfRule type="containsText" dxfId="8064" priority="17304" operator="containsText" text="em andamento">
      <formula>NOT(ISERROR(SEARCH("em andamento",P479)))</formula>
    </cfRule>
    <cfRule type="containsText" dxfId="8063" priority="17303" operator="containsText" text="Finalizado">
      <formula>NOT(ISERROR(SEARCH("Finalizado",P479)))</formula>
    </cfRule>
    <cfRule type="containsText" dxfId="8062" priority="17302" operator="containsText" text="Pendente">
      <formula>NOT(ISERROR(SEARCH("Pendente",P479)))</formula>
    </cfRule>
  </conditionalFormatting>
  <conditionalFormatting sqref="P481 P483 P485 P487">
    <cfRule type="containsText" dxfId="8061" priority="17321" operator="containsText" text="Lançado">
      <formula>NOT(ISERROR(SEARCH("Lançado",P481)))</formula>
    </cfRule>
    <cfRule type="containsText" dxfId="8060" priority="17335" operator="containsText" text="N/A">
      <formula>NOT(ISERROR(SEARCH("N/A",P481)))</formula>
    </cfRule>
    <cfRule type="containsText" dxfId="8059" priority="17326" operator="containsText" text="Lançado">
      <formula>NOT(ISERROR(SEARCH("Lançado",P481)))</formula>
    </cfRule>
    <cfRule type="containsText" dxfId="8058" priority="17334" operator="containsText" text="Lançado">
      <formula>NOT(ISERROR(SEARCH("Lançado",P481)))</formula>
    </cfRule>
    <cfRule type="containsText" dxfId="8057" priority="17328" operator="containsText" text="Pendente">
      <formula>NOT(ISERROR(SEARCH("Pendente",P481)))</formula>
    </cfRule>
    <cfRule type="expression" dxfId="8056" priority="17318">
      <formula>$H481="SUBETAPA"</formula>
    </cfRule>
    <cfRule type="containsText" dxfId="8055" priority="17338" operator="containsText" text="em andamento">
      <formula>NOT(ISERROR(SEARCH("em andamento",P481)))</formula>
    </cfRule>
    <cfRule type="containsText" dxfId="8054" priority="17325" operator="containsText" text="em andamento">
      <formula>NOT(ISERROR(SEARCH("em andamento",P481)))</formula>
    </cfRule>
    <cfRule type="expression" dxfId="8053" priority="17320">
      <formula>$H481="ETAPA"</formula>
    </cfRule>
    <cfRule type="containsText" dxfId="8052" priority="17329" operator="containsText" text="Finalizado">
      <formula>NOT(ISERROR(SEARCH("Finalizado",P481)))</formula>
    </cfRule>
    <cfRule type="containsText" dxfId="8051" priority="17324" operator="containsText" text="Finalizado">
      <formula>NOT(ISERROR(SEARCH("Finalizado",P481)))</formula>
    </cfRule>
    <cfRule type="containsText" dxfId="8050" priority="17322" operator="containsText" text="N/A">
      <formula>NOT(ISERROR(SEARCH("N/A",P481)))</formula>
    </cfRule>
    <cfRule type="containsText" dxfId="8049" priority="17323" operator="containsText" text="Pendente">
      <formula>NOT(ISERROR(SEARCH("Pendente",P481)))</formula>
    </cfRule>
    <cfRule type="containsText" dxfId="8048" priority="17327" operator="containsText" text="N/A">
      <formula>NOT(ISERROR(SEARCH("N/A",P481)))</formula>
    </cfRule>
    <cfRule type="containsText" dxfId="8047" priority="17337" operator="containsText" text="Finalizado">
      <formula>NOT(ISERROR(SEARCH("Finalizado",P481)))</formula>
    </cfRule>
    <cfRule type="expression" dxfId="8046" priority="17319">
      <formula>$H481="CÉLULA CONSTRUTIVA"</formula>
    </cfRule>
    <cfRule type="expression" dxfId="8045" priority="17333">
      <formula>$H481="ETAPA"</formula>
    </cfRule>
    <cfRule type="containsText" dxfId="8044" priority="17330" operator="containsText" text="em andamento">
      <formula>NOT(ISERROR(SEARCH("em andamento",P481)))</formula>
    </cfRule>
    <cfRule type="expression" dxfId="8043" priority="17332">
      <formula>$H481="CÉLULA CONSTRUTIVA"</formula>
    </cfRule>
    <cfRule type="expression" dxfId="8042" priority="17331">
      <formula>$H481="SUBETAPA"</formula>
    </cfRule>
    <cfRule type="containsText" dxfId="8041" priority="17336" operator="containsText" text="Pendente">
      <formula>NOT(ISERROR(SEARCH("Pendente",P481)))</formula>
    </cfRule>
  </conditionalFormatting>
  <conditionalFormatting sqref="P482">
    <cfRule type="containsText" dxfId="8040" priority="17226" operator="containsText" text="Finalizado">
      <formula>NOT(ISERROR(SEARCH("Finalizado",P482)))</formula>
    </cfRule>
    <cfRule type="containsText" dxfId="8039" priority="17221" operator="containsText" text="Finalizado">
      <formula>NOT(ISERROR(SEARCH("Finalizado",P482)))</formula>
    </cfRule>
    <cfRule type="containsText" dxfId="8038" priority="17224" operator="containsText" text="N/A">
      <formula>NOT(ISERROR(SEARCH("N/A",P482)))</formula>
    </cfRule>
    <cfRule type="containsText" dxfId="8037" priority="17223" operator="containsText" text="Lançado">
      <formula>NOT(ISERROR(SEARCH("Lançado",P482)))</formula>
    </cfRule>
    <cfRule type="containsText" dxfId="8036" priority="17222" operator="containsText" text="em andamento">
      <formula>NOT(ISERROR(SEARCH("em andamento",P482)))</formula>
    </cfRule>
    <cfRule type="containsText" dxfId="8035" priority="17220" operator="containsText" text="Pendente">
      <formula>NOT(ISERROR(SEARCH("Pendente",P482)))</formula>
    </cfRule>
    <cfRule type="containsText" dxfId="8034" priority="17225" operator="containsText" text="Pendente">
      <formula>NOT(ISERROR(SEARCH("Pendente",P482)))</formula>
    </cfRule>
    <cfRule type="containsText" dxfId="8033" priority="17219" operator="containsText" text="N/A">
      <formula>NOT(ISERROR(SEARCH("N/A",P482)))</formula>
    </cfRule>
    <cfRule type="containsText" dxfId="8032" priority="17218" operator="containsText" text="Lançado">
      <formula>NOT(ISERROR(SEARCH("Lançado",P482)))</formula>
    </cfRule>
    <cfRule type="expression" dxfId="8031" priority="17216">
      <formula>$H482="CÉLULA CONSTRUTIVA"</formula>
    </cfRule>
    <cfRule type="expression" dxfId="8030" priority="17217">
      <formula>$H482="ETAPA"</formula>
    </cfRule>
    <cfRule type="containsText" dxfId="8029" priority="17227" operator="containsText" text="em andamento">
      <formula>NOT(ISERROR(SEARCH("em andamento",P482)))</formula>
    </cfRule>
  </conditionalFormatting>
  <conditionalFormatting sqref="P484">
    <cfRule type="expression" dxfId="8028" priority="17201">
      <formula>$H484="CÉLULA CONSTRUTIVA"</formula>
    </cfRule>
    <cfRule type="containsText" dxfId="8027" priority="17211" operator="containsText" text="Finalizado">
      <formula>NOT(ISERROR(SEARCH("Finalizado",P484)))</formula>
    </cfRule>
    <cfRule type="containsText" dxfId="8026" priority="17209" operator="containsText" text="N/A">
      <formula>NOT(ISERROR(SEARCH("N/A",P484)))</formula>
    </cfRule>
    <cfRule type="containsText" dxfId="8025" priority="17210" operator="containsText" text="Pendente">
      <formula>NOT(ISERROR(SEARCH("Pendente",P484)))</formula>
    </cfRule>
    <cfRule type="containsText" dxfId="8024" priority="17212" operator="containsText" text="em andamento">
      <formula>NOT(ISERROR(SEARCH("em andamento",P484)))</formula>
    </cfRule>
    <cfRule type="containsText" dxfId="8023" priority="17207" operator="containsText" text="em andamento">
      <formula>NOT(ISERROR(SEARCH("em andamento",P484)))</formula>
    </cfRule>
    <cfRule type="containsText" dxfId="8022" priority="17208" operator="containsText" text="Lançado">
      <formula>NOT(ISERROR(SEARCH("Lançado",P484)))</formula>
    </cfRule>
    <cfRule type="containsText" dxfId="8021" priority="17206" operator="containsText" text="Finalizado">
      <formula>NOT(ISERROR(SEARCH("Finalizado",P484)))</formula>
    </cfRule>
    <cfRule type="containsText" dxfId="8020" priority="17205" operator="containsText" text="Pendente">
      <formula>NOT(ISERROR(SEARCH("Pendente",P484)))</formula>
    </cfRule>
    <cfRule type="containsText" dxfId="8019" priority="17204" operator="containsText" text="N/A">
      <formula>NOT(ISERROR(SEARCH("N/A",P484)))</formula>
    </cfRule>
    <cfRule type="containsText" dxfId="8018" priority="17203" operator="containsText" text="Lançado">
      <formula>NOT(ISERROR(SEARCH("Lançado",P484)))</formula>
    </cfRule>
    <cfRule type="expression" dxfId="8017" priority="17202">
      <formula>$H484="ETAPA"</formula>
    </cfRule>
  </conditionalFormatting>
  <conditionalFormatting sqref="P486">
    <cfRule type="containsText" dxfId="8016" priority="17194" operator="containsText" text="N/A">
      <formula>NOT(ISERROR(SEARCH("N/A",P486)))</formula>
    </cfRule>
    <cfRule type="containsText" dxfId="8015" priority="17195" operator="containsText" text="Pendente">
      <formula>NOT(ISERROR(SEARCH("Pendente",P486)))</formula>
    </cfRule>
    <cfRule type="containsText" dxfId="8014" priority="17196" operator="containsText" text="Finalizado">
      <formula>NOT(ISERROR(SEARCH("Finalizado",P486)))</formula>
    </cfRule>
    <cfRule type="containsText" dxfId="8013" priority="17197" operator="containsText" text="em andamento">
      <formula>NOT(ISERROR(SEARCH("em andamento",P486)))</formula>
    </cfRule>
    <cfRule type="expression" dxfId="8012" priority="17186">
      <formula>$H486="CÉLULA CONSTRUTIVA"</formula>
    </cfRule>
    <cfRule type="containsText" dxfId="8011" priority="17189" operator="containsText" text="N/A">
      <formula>NOT(ISERROR(SEARCH("N/A",P486)))</formula>
    </cfRule>
    <cfRule type="expression" dxfId="8010" priority="17187">
      <formula>$H486="ETAPA"</formula>
    </cfRule>
    <cfRule type="containsText" dxfId="8009" priority="17190" operator="containsText" text="Pendente">
      <formula>NOT(ISERROR(SEARCH("Pendente",P486)))</formula>
    </cfRule>
    <cfRule type="containsText" dxfId="8008" priority="17191" operator="containsText" text="Finalizado">
      <formula>NOT(ISERROR(SEARCH("Finalizado",P486)))</formula>
    </cfRule>
    <cfRule type="containsText" dxfId="8007" priority="17192" operator="containsText" text="em andamento">
      <formula>NOT(ISERROR(SEARCH("em andamento",P486)))</formula>
    </cfRule>
    <cfRule type="containsText" dxfId="8006" priority="17188" operator="containsText" text="Lançado">
      <formula>NOT(ISERROR(SEARCH("Lançado",P486)))</formula>
    </cfRule>
    <cfRule type="containsText" dxfId="8005" priority="17193" operator="containsText" text="Lançado">
      <formula>NOT(ISERROR(SEARCH("Lançado",P486)))</formula>
    </cfRule>
  </conditionalFormatting>
  <conditionalFormatting sqref="P489 P506 P523 P542 P559 P576 P593 P608">
    <cfRule type="containsText" dxfId="8004" priority="17358" operator="containsText" text="Finalizado">
      <formula>NOT(ISERROR(SEARCH("Finalizado",P489)))</formula>
    </cfRule>
    <cfRule type="containsText" dxfId="8003" priority="17350" operator="containsText" text="Finalizado">
      <formula>NOT(ISERROR(SEARCH("Finalizado",P489)))</formula>
    </cfRule>
    <cfRule type="containsText" dxfId="8002" priority="17356" operator="containsText" text="N/A">
      <formula>NOT(ISERROR(SEARCH("N/A",P489)))</formula>
    </cfRule>
    <cfRule type="containsText" dxfId="8001" priority="17348" operator="containsText" text="N/A">
      <formula>NOT(ISERROR(SEARCH("N/A",P489)))</formula>
    </cfRule>
    <cfRule type="containsText" dxfId="8000" priority="17345" operator="containsText" text="Finalizado">
      <formula>NOT(ISERROR(SEARCH("Finalizado",P489)))</formula>
    </cfRule>
    <cfRule type="containsText" dxfId="7999" priority="17343" operator="containsText" text="N/A">
      <formula>NOT(ISERROR(SEARCH("N/A",P489)))</formula>
    </cfRule>
  </conditionalFormatting>
  <conditionalFormatting sqref="P489 P506 P523 P542 P559 P576 P608 P593">
    <cfRule type="containsText" dxfId="7998" priority="17357" operator="containsText" text="Pendente">
      <formula>NOT(ISERROR(SEARCH("Pendente",P489)))</formula>
    </cfRule>
    <cfRule type="containsText" dxfId="7997" priority="17355" operator="containsText" text="Lançado">
      <formula>NOT(ISERROR(SEARCH("Lançado",P489)))</formula>
    </cfRule>
    <cfRule type="expression" dxfId="7996" priority="17352">
      <formula>$H489="SUBETAPA"</formula>
    </cfRule>
    <cfRule type="expression" dxfId="7995" priority="17353">
      <formula>$H489="CÉLULA CONSTRUTIVA"</formula>
    </cfRule>
    <cfRule type="containsText" dxfId="7994" priority="17342" operator="containsText" text="Lançado">
      <formula>NOT(ISERROR(SEARCH("Lançado",P489)))</formula>
    </cfRule>
    <cfRule type="expression" dxfId="7993" priority="17354">
      <formula>$H489="ETAPA"</formula>
    </cfRule>
    <cfRule type="expression" dxfId="7992" priority="17339">
      <formula>$H489="SUBETAPA"</formula>
    </cfRule>
    <cfRule type="expression" dxfId="7991" priority="17341">
      <formula>$H489="ETAPA"</formula>
    </cfRule>
    <cfRule type="containsText" dxfId="7990" priority="17346" operator="containsText" text="em andamento">
      <formula>NOT(ISERROR(SEARCH("em andamento",P489)))</formula>
    </cfRule>
    <cfRule type="containsText" dxfId="7989" priority="17349" operator="containsText" text="Pendente">
      <formula>NOT(ISERROR(SEARCH("Pendente",P489)))</formula>
    </cfRule>
    <cfRule type="expression" dxfId="7988" priority="17340">
      <formula>$H489="CÉLULA CONSTRUTIVA"</formula>
    </cfRule>
    <cfRule type="containsText" dxfId="7987" priority="17344" operator="containsText" text="Pendente">
      <formula>NOT(ISERROR(SEARCH("Pendente",P489)))</formula>
    </cfRule>
    <cfRule type="containsText" dxfId="7986" priority="17359" operator="containsText" text="em andamento">
      <formula>NOT(ISERROR(SEARCH("em andamento",P489)))</formula>
    </cfRule>
    <cfRule type="containsText" dxfId="7985" priority="17347" operator="containsText" text="Lançado">
      <formula>NOT(ISERROR(SEARCH("Lançado",P489)))</formula>
    </cfRule>
    <cfRule type="containsText" dxfId="7984" priority="17351" operator="containsText" text="em andamento">
      <formula>NOT(ISERROR(SEARCH("em andamento",P489)))</formula>
    </cfRule>
  </conditionalFormatting>
  <conditionalFormatting sqref="P490:P491 P493 P495 P497 P505">
    <cfRule type="containsText" dxfId="7983" priority="17180" operator="containsText" text="Pendente">
      <formula>NOT(ISERROR(SEARCH("Pendente",P490)))</formula>
    </cfRule>
    <cfRule type="containsText" dxfId="7982" priority="17179" operator="containsText" text="N/A">
      <formula>NOT(ISERROR(SEARCH("N/A",P490)))</formula>
    </cfRule>
    <cfRule type="containsText" dxfId="7981" priority="17178" operator="containsText" text="Lançado">
      <formula>NOT(ISERROR(SEARCH("Lançado",P490)))</formula>
    </cfRule>
    <cfRule type="containsText" dxfId="7980" priority="17182" operator="containsText" text="em andamento">
      <formula>NOT(ISERROR(SEARCH("em andamento",P490)))</formula>
    </cfRule>
    <cfRule type="containsText" dxfId="7979" priority="17181" operator="containsText" text="Finalizado">
      <formula>NOT(ISERROR(SEARCH("Finalizado",P490)))</formula>
    </cfRule>
  </conditionalFormatting>
  <conditionalFormatting sqref="P491 P493 P495 P497 P505">
    <cfRule type="containsText" dxfId="7978" priority="17175" operator="containsText" text="em andamento">
      <formula>NOT(ISERROR(SEARCH("em andamento",P491)))</formula>
    </cfRule>
    <cfRule type="containsText" dxfId="7977" priority="17174" operator="containsText" text="Finalizado">
      <formula>NOT(ISERROR(SEARCH("Finalizado",P491)))</formula>
    </cfRule>
    <cfRule type="containsText" dxfId="7976" priority="17173" operator="containsText" text="Pendente">
      <formula>NOT(ISERROR(SEARCH("Pendente",P491)))</formula>
    </cfRule>
  </conditionalFormatting>
  <conditionalFormatting sqref="P491 P495 P497 P505 P493">
    <cfRule type="containsText" dxfId="7975" priority="17172" operator="containsText" text="N/A">
      <formula>NOT(ISERROR(SEARCH("N/A",P491)))</formula>
    </cfRule>
  </conditionalFormatting>
  <conditionalFormatting sqref="P491 P495 P497 P505">
    <cfRule type="expression" dxfId="7974" priority="17169">
      <formula>$H491="CÉLULA CONSTRUTIVA"</formula>
    </cfRule>
  </conditionalFormatting>
  <conditionalFormatting sqref="P491">
    <cfRule type="expression" dxfId="7973" priority="17168">
      <formula>$H491="SUBETAPA"</formula>
    </cfRule>
  </conditionalFormatting>
  <conditionalFormatting sqref="P492">
    <cfRule type="containsText" dxfId="7972" priority="17093" operator="containsText" text="Lançado">
      <formula>NOT(ISERROR(SEARCH("Lançado",P492)))</formula>
    </cfRule>
    <cfRule type="containsText" dxfId="7971" priority="17097" operator="containsText" text="em andamento">
      <formula>NOT(ISERROR(SEARCH("em andamento",P492)))</formula>
    </cfRule>
    <cfRule type="containsText" dxfId="7970" priority="17096" operator="containsText" text="Finalizado">
      <formula>NOT(ISERROR(SEARCH("Finalizado",P492)))</formula>
    </cfRule>
    <cfRule type="containsText" dxfId="7969" priority="17095" operator="containsText" text="Pendente">
      <formula>NOT(ISERROR(SEARCH("Pendente",P492)))</formula>
    </cfRule>
    <cfRule type="expression" dxfId="7968" priority="17091">
      <formula>$H492="CÉLULA CONSTRUTIVA"</formula>
    </cfRule>
    <cfRule type="expression" dxfId="7967" priority="17090">
      <formula>$H492="SUBETAPA"</formula>
    </cfRule>
    <cfRule type="expression" dxfId="7966" priority="17077">
      <formula>$H492="SUBETAPA"</formula>
    </cfRule>
    <cfRule type="expression" dxfId="7965" priority="17078">
      <formula>$H492="CÉLULA CONSTRUTIVA"</formula>
    </cfRule>
    <cfRule type="expression" dxfId="7964" priority="17079">
      <formula>$H492="ETAPA"</formula>
    </cfRule>
    <cfRule type="containsText" dxfId="7963" priority="17080" operator="containsText" text="Lançado">
      <formula>NOT(ISERROR(SEARCH("Lançado",P492)))</formula>
    </cfRule>
    <cfRule type="containsText" dxfId="7962" priority="17089" operator="containsText" text="em andamento">
      <formula>NOT(ISERROR(SEARCH("em andamento",P492)))</formula>
    </cfRule>
    <cfRule type="containsText" dxfId="7961" priority="17085" operator="containsText" text="Lançado">
      <formula>NOT(ISERROR(SEARCH("Lançado",P492)))</formula>
    </cfRule>
    <cfRule type="containsText" dxfId="7960" priority="17083" operator="containsText" text="Finalizado">
      <formula>NOT(ISERROR(SEARCH("Finalizado",P492)))</formula>
    </cfRule>
    <cfRule type="containsText" dxfId="7959" priority="17086" operator="containsText" text="N/A">
      <formula>NOT(ISERROR(SEARCH("N/A",P492)))</formula>
    </cfRule>
    <cfRule type="expression" dxfId="7958" priority="17092">
      <formula>$H492="ETAPA"</formula>
    </cfRule>
    <cfRule type="containsText" dxfId="7957" priority="17087" operator="containsText" text="Pendente">
      <formula>NOT(ISERROR(SEARCH("Pendente",P492)))</formula>
    </cfRule>
    <cfRule type="containsText" dxfId="7956" priority="17082" operator="containsText" text="Pendente">
      <formula>NOT(ISERROR(SEARCH("Pendente",P492)))</formula>
    </cfRule>
    <cfRule type="containsText" dxfId="7955" priority="17088" operator="containsText" text="Finalizado">
      <formula>NOT(ISERROR(SEARCH("Finalizado",P492)))</formula>
    </cfRule>
    <cfRule type="containsText" dxfId="7954" priority="17084" operator="containsText" text="em andamento">
      <formula>NOT(ISERROR(SEARCH("em andamento",P492)))</formula>
    </cfRule>
    <cfRule type="containsText" dxfId="7953" priority="17081" operator="containsText" text="N/A">
      <formula>NOT(ISERROR(SEARCH("N/A",P492)))</formula>
    </cfRule>
    <cfRule type="containsText" dxfId="7952" priority="17094" operator="containsText" text="N/A">
      <formula>NOT(ISERROR(SEARCH("N/A",P492)))</formula>
    </cfRule>
  </conditionalFormatting>
  <conditionalFormatting sqref="P493 P495 P497 P505 P491">
    <cfRule type="containsText" dxfId="7951" priority="17171" operator="containsText" text="Lançado">
      <formula>NOT(ISERROR(SEARCH("Lançado",P491)))</formula>
    </cfRule>
  </conditionalFormatting>
  <conditionalFormatting sqref="P494">
    <cfRule type="containsText" dxfId="7950" priority="17105" operator="containsText" text="em andamento">
      <formula>NOT(ISERROR(SEARCH("em andamento",P494)))</formula>
    </cfRule>
    <cfRule type="containsText" dxfId="7949" priority="17106" operator="containsText" text="Lançado">
      <formula>NOT(ISERROR(SEARCH("Lançado",P494)))</formula>
    </cfRule>
    <cfRule type="containsText" dxfId="7948" priority="17107" operator="containsText" text="N/A">
      <formula>NOT(ISERROR(SEARCH("N/A",P494)))</formula>
    </cfRule>
    <cfRule type="containsText" dxfId="7947" priority="17108" operator="containsText" text="Pendente">
      <formula>NOT(ISERROR(SEARCH("Pendente",P494)))</formula>
    </cfRule>
    <cfRule type="containsText" dxfId="7946" priority="17109" operator="containsText" text="Finalizado">
      <formula>NOT(ISERROR(SEARCH("Finalizado",P494)))</formula>
    </cfRule>
    <cfRule type="expression" dxfId="7945" priority="17112">
      <formula>$H494="CÉLULA CONSTRUTIVA"</formula>
    </cfRule>
    <cfRule type="expression" dxfId="7944" priority="17113">
      <formula>$H494="ETAPA"</formula>
    </cfRule>
    <cfRule type="containsText" dxfId="7943" priority="17114" operator="containsText" text="Lançado">
      <formula>NOT(ISERROR(SEARCH("Lançado",P494)))</formula>
    </cfRule>
    <cfRule type="containsText" dxfId="7942" priority="17115" operator="containsText" text="N/A">
      <formula>NOT(ISERROR(SEARCH("N/A",P494)))</formula>
    </cfRule>
    <cfRule type="containsText" dxfId="7941" priority="17116" operator="containsText" text="Pendente">
      <formula>NOT(ISERROR(SEARCH("Pendente",P494)))</formula>
    </cfRule>
    <cfRule type="containsText" dxfId="7940" priority="17117" operator="containsText" text="Finalizado">
      <formula>NOT(ISERROR(SEARCH("Finalizado",P494)))</formula>
    </cfRule>
    <cfRule type="containsText" dxfId="7939" priority="17118" operator="containsText" text="em andamento">
      <formula>NOT(ISERROR(SEARCH("em andamento",P494)))</formula>
    </cfRule>
    <cfRule type="expression" dxfId="7938" priority="17111">
      <formula>$H494="SUBETAPA"</formula>
    </cfRule>
    <cfRule type="containsText" dxfId="7937" priority="17110" operator="containsText" text="em andamento">
      <formula>NOT(ISERROR(SEARCH("em andamento",P494)))</formula>
    </cfRule>
    <cfRule type="expression" dxfId="7936" priority="17098">
      <formula>$H494="SUBETAPA"</formula>
    </cfRule>
    <cfRule type="expression" dxfId="7935" priority="17099">
      <formula>$H494="CÉLULA CONSTRUTIVA"</formula>
    </cfRule>
    <cfRule type="expression" dxfId="7934" priority="17100">
      <formula>$H494="ETAPA"</formula>
    </cfRule>
    <cfRule type="containsText" dxfId="7933" priority="17101" operator="containsText" text="Lançado">
      <formula>NOT(ISERROR(SEARCH("Lançado",P494)))</formula>
    </cfRule>
    <cfRule type="containsText" dxfId="7932" priority="17102" operator="containsText" text="N/A">
      <formula>NOT(ISERROR(SEARCH("N/A",P494)))</formula>
    </cfRule>
    <cfRule type="containsText" dxfId="7931" priority="17103" operator="containsText" text="Pendente">
      <formula>NOT(ISERROR(SEARCH("Pendente",P494)))</formula>
    </cfRule>
    <cfRule type="containsText" dxfId="7930" priority="17104" operator="containsText" text="Finalizado">
      <formula>NOT(ISERROR(SEARCH("Finalizado",P494)))</formula>
    </cfRule>
  </conditionalFormatting>
  <conditionalFormatting sqref="P496">
    <cfRule type="containsText" dxfId="7929" priority="17126" operator="containsText" text="em andamento">
      <formula>NOT(ISERROR(SEARCH("em andamento",P496)))</formula>
    </cfRule>
    <cfRule type="expression" dxfId="7928" priority="17132">
      <formula>$H496="SUBETAPA"</formula>
    </cfRule>
    <cfRule type="expression" dxfId="7927" priority="17133">
      <formula>$H496="CÉLULA CONSTRUTIVA"</formula>
    </cfRule>
    <cfRule type="containsText" dxfId="7926" priority="17139" operator="containsText" text="em andamento">
      <formula>NOT(ISERROR(SEARCH("em andamento",P496)))</formula>
    </cfRule>
    <cfRule type="containsText" dxfId="7925" priority="17138" operator="containsText" text="Finalizado">
      <formula>NOT(ISERROR(SEARCH("Finalizado",P496)))</formula>
    </cfRule>
    <cfRule type="containsText" dxfId="7924" priority="17131" operator="containsText" text="em andamento">
      <formula>NOT(ISERROR(SEARCH("em andamento",P496)))</formula>
    </cfRule>
    <cfRule type="containsText" dxfId="7923" priority="17137" operator="containsText" text="Pendente">
      <formula>NOT(ISERROR(SEARCH("Pendente",P496)))</formula>
    </cfRule>
    <cfRule type="containsText" dxfId="7922" priority="17136" operator="containsText" text="N/A">
      <formula>NOT(ISERROR(SEARCH("N/A",P496)))</formula>
    </cfRule>
    <cfRule type="containsText" dxfId="7921" priority="17135" operator="containsText" text="Lançado">
      <formula>NOT(ISERROR(SEARCH("Lançado",P496)))</formula>
    </cfRule>
    <cfRule type="expression" dxfId="7920" priority="17134">
      <formula>$H496="ETAPA"</formula>
    </cfRule>
    <cfRule type="containsText" dxfId="7919" priority="17130" operator="containsText" text="Finalizado">
      <formula>NOT(ISERROR(SEARCH("Finalizado",P496)))</formula>
    </cfRule>
    <cfRule type="containsText" dxfId="7918" priority="17129" operator="containsText" text="Pendente">
      <formula>NOT(ISERROR(SEARCH("Pendente",P496)))</formula>
    </cfRule>
    <cfRule type="containsText" dxfId="7917" priority="17128" operator="containsText" text="N/A">
      <formula>NOT(ISERROR(SEARCH("N/A",P496)))</formula>
    </cfRule>
    <cfRule type="containsText" dxfId="7916" priority="17127" operator="containsText" text="Lançado">
      <formula>NOT(ISERROR(SEARCH("Lançado",P496)))</formula>
    </cfRule>
    <cfRule type="containsText" dxfId="7915" priority="17125" operator="containsText" text="Finalizado">
      <formula>NOT(ISERROR(SEARCH("Finalizado",P496)))</formula>
    </cfRule>
    <cfRule type="containsText" dxfId="7914" priority="17124" operator="containsText" text="Pendente">
      <formula>NOT(ISERROR(SEARCH("Pendente",P496)))</formula>
    </cfRule>
    <cfRule type="containsText" dxfId="7913" priority="17123" operator="containsText" text="N/A">
      <formula>NOT(ISERROR(SEARCH("N/A",P496)))</formula>
    </cfRule>
    <cfRule type="containsText" dxfId="7912" priority="17122" operator="containsText" text="Lançado">
      <formula>NOT(ISERROR(SEARCH("Lançado",P496)))</formula>
    </cfRule>
    <cfRule type="expression" dxfId="7911" priority="17121">
      <formula>$H496="ETAPA"</formula>
    </cfRule>
    <cfRule type="expression" dxfId="7910" priority="17120">
      <formula>$H496="CÉLULA CONSTRUTIVA"</formula>
    </cfRule>
    <cfRule type="expression" dxfId="7909" priority="17119">
      <formula>$H496="SUBETAPA"</formula>
    </cfRule>
  </conditionalFormatting>
  <conditionalFormatting sqref="P498 P500 P502 P504">
    <cfRule type="containsText" dxfId="7908" priority="17146" operator="containsText" text="Finalizado">
      <formula>NOT(ISERROR(SEARCH("Finalizado",P498)))</formula>
    </cfRule>
    <cfRule type="containsText" dxfId="7907" priority="17159" operator="containsText" text="Finalizado">
      <formula>NOT(ISERROR(SEARCH("Finalizado",P498)))</formula>
    </cfRule>
    <cfRule type="containsText" dxfId="7906" priority="17160" operator="containsText" text="em andamento">
      <formula>NOT(ISERROR(SEARCH("em andamento",P498)))</formula>
    </cfRule>
    <cfRule type="containsText" dxfId="7905" priority="17148" operator="containsText" text="Lançado">
      <formula>NOT(ISERROR(SEARCH("Lançado",P498)))</formula>
    </cfRule>
    <cfRule type="containsText" dxfId="7904" priority="17147" operator="containsText" text="em andamento">
      <formula>NOT(ISERROR(SEARCH("em andamento",P498)))</formula>
    </cfRule>
    <cfRule type="containsText" dxfId="7903" priority="17158" operator="containsText" text="Pendente">
      <formula>NOT(ISERROR(SEARCH("Pendente",P498)))</formula>
    </cfRule>
    <cfRule type="containsText" dxfId="7902" priority="17145" operator="containsText" text="Pendente">
      <formula>NOT(ISERROR(SEARCH("Pendente",P498)))</formula>
    </cfRule>
    <cfRule type="containsText" dxfId="7901" priority="17144" operator="containsText" text="N/A">
      <formula>NOT(ISERROR(SEARCH("N/A",P498)))</formula>
    </cfRule>
    <cfRule type="containsText" dxfId="7900" priority="17143" operator="containsText" text="Lançado">
      <formula>NOT(ISERROR(SEARCH("Lançado",P498)))</formula>
    </cfRule>
    <cfRule type="expression" dxfId="7899" priority="17142">
      <formula>$H498="ETAPA"</formula>
    </cfRule>
    <cfRule type="expression" dxfId="7898" priority="17141">
      <formula>$H498="CÉLULA CONSTRUTIVA"</formula>
    </cfRule>
    <cfRule type="expression" dxfId="7897" priority="17140">
      <formula>$H498="SUBETAPA"</formula>
    </cfRule>
    <cfRule type="containsText" dxfId="7896" priority="17157" operator="containsText" text="N/A">
      <formula>NOT(ISERROR(SEARCH("N/A",P498)))</formula>
    </cfRule>
    <cfRule type="containsText" dxfId="7895" priority="17149" operator="containsText" text="N/A">
      <formula>NOT(ISERROR(SEARCH("N/A",P498)))</formula>
    </cfRule>
    <cfRule type="containsText" dxfId="7894" priority="17150" operator="containsText" text="Pendente">
      <formula>NOT(ISERROR(SEARCH("Pendente",P498)))</formula>
    </cfRule>
    <cfRule type="expression" dxfId="7893" priority="17155">
      <formula>$H498="ETAPA"</formula>
    </cfRule>
    <cfRule type="expression" dxfId="7892" priority="17154">
      <formula>$H498="CÉLULA CONSTRUTIVA"</formula>
    </cfRule>
    <cfRule type="containsText" dxfId="7891" priority="17151" operator="containsText" text="Finalizado">
      <formula>NOT(ISERROR(SEARCH("Finalizado",P498)))</formula>
    </cfRule>
    <cfRule type="expression" dxfId="7890" priority="17153">
      <formula>$H498="SUBETAPA"</formula>
    </cfRule>
    <cfRule type="containsText" dxfId="7889" priority="17156" operator="containsText" text="Lançado">
      <formula>NOT(ISERROR(SEARCH("Lançado",P498)))</formula>
    </cfRule>
    <cfRule type="containsText" dxfId="7888" priority="17152" operator="containsText" text="em andamento">
      <formula>NOT(ISERROR(SEARCH("em andamento",P498)))</formula>
    </cfRule>
  </conditionalFormatting>
  <conditionalFormatting sqref="P499">
    <cfRule type="containsText" dxfId="7887" priority="17066" operator="containsText" text="Lançado">
      <formula>NOT(ISERROR(SEARCH("Lançado",P499)))</formula>
    </cfRule>
    <cfRule type="containsText" dxfId="7886" priority="17065" operator="containsText" text="em andamento">
      <formula>NOT(ISERROR(SEARCH("em andamento",P499)))</formula>
    </cfRule>
    <cfRule type="containsText" dxfId="7885" priority="17064" operator="containsText" text="Finalizado">
      <formula>NOT(ISERROR(SEARCH("Finalizado",P499)))</formula>
    </cfRule>
    <cfRule type="expression" dxfId="7884" priority="17060">
      <formula>$H499="ETAPA"</formula>
    </cfRule>
    <cfRule type="containsText" dxfId="7883" priority="17063" operator="containsText" text="Pendente">
      <formula>NOT(ISERROR(SEARCH("Pendente",P499)))</formula>
    </cfRule>
    <cfRule type="containsText" dxfId="7882" priority="17062" operator="containsText" text="N/A">
      <formula>NOT(ISERROR(SEARCH("N/A",P499)))</formula>
    </cfRule>
    <cfRule type="containsText" dxfId="7881" priority="17061" operator="containsText" text="Lançado">
      <formula>NOT(ISERROR(SEARCH("Lançado",P499)))</formula>
    </cfRule>
    <cfRule type="expression" dxfId="7880" priority="17059">
      <formula>$H499="CÉLULA CONSTRUTIVA"</formula>
    </cfRule>
    <cfRule type="containsText" dxfId="7879" priority="17070" operator="containsText" text="em andamento">
      <formula>NOT(ISERROR(SEARCH("em andamento",P499)))</formula>
    </cfRule>
    <cfRule type="containsText" dxfId="7878" priority="17069" operator="containsText" text="Finalizado">
      <formula>NOT(ISERROR(SEARCH("Finalizado",P499)))</formula>
    </cfRule>
    <cfRule type="containsText" dxfId="7877" priority="17068" operator="containsText" text="Pendente">
      <formula>NOT(ISERROR(SEARCH("Pendente",P499)))</formula>
    </cfRule>
    <cfRule type="containsText" dxfId="7876" priority="17067" operator="containsText" text="N/A">
      <formula>NOT(ISERROR(SEARCH("N/A",P499)))</formula>
    </cfRule>
  </conditionalFormatting>
  <conditionalFormatting sqref="P501">
    <cfRule type="containsText" dxfId="7875" priority="17052" operator="containsText" text="N/A">
      <formula>NOT(ISERROR(SEARCH("N/A",P501)))</formula>
    </cfRule>
    <cfRule type="containsText" dxfId="7874" priority="17050" operator="containsText" text="em andamento">
      <formula>NOT(ISERROR(SEARCH("em andamento",P501)))</formula>
    </cfRule>
    <cfRule type="containsText" dxfId="7873" priority="17053" operator="containsText" text="Pendente">
      <formula>NOT(ISERROR(SEARCH("Pendente",P501)))</formula>
    </cfRule>
    <cfRule type="containsText" dxfId="7872" priority="17054" operator="containsText" text="Finalizado">
      <formula>NOT(ISERROR(SEARCH("Finalizado",P501)))</formula>
    </cfRule>
    <cfRule type="expression" dxfId="7871" priority="17044">
      <formula>$H501="CÉLULA CONSTRUTIVA"</formula>
    </cfRule>
    <cfRule type="containsText" dxfId="7870" priority="17047" operator="containsText" text="N/A">
      <formula>NOT(ISERROR(SEARCH("N/A",P501)))</formula>
    </cfRule>
    <cfRule type="containsText" dxfId="7869" priority="17055" operator="containsText" text="em andamento">
      <formula>NOT(ISERROR(SEARCH("em andamento",P501)))</formula>
    </cfRule>
    <cfRule type="containsText" dxfId="7868" priority="17049" operator="containsText" text="Finalizado">
      <formula>NOT(ISERROR(SEARCH("Finalizado",P501)))</formula>
    </cfRule>
    <cfRule type="containsText" dxfId="7867" priority="17048" operator="containsText" text="Pendente">
      <formula>NOT(ISERROR(SEARCH("Pendente",P501)))</formula>
    </cfRule>
    <cfRule type="containsText" dxfId="7866" priority="17051" operator="containsText" text="Lançado">
      <formula>NOT(ISERROR(SEARCH("Lançado",P501)))</formula>
    </cfRule>
    <cfRule type="containsText" dxfId="7865" priority="17046" operator="containsText" text="Lançado">
      <formula>NOT(ISERROR(SEARCH("Lançado",P501)))</formula>
    </cfRule>
    <cfRule type="expression" dxfId="7864" priority="17045">
      <formula>$H501="ETAPA"</formula>
    </cfRule>
  </conditionalFormatting>
  <conditionalFormatting sqref="P503">
    <cfRule type="containsText" dxfId="7863" priority="17039" operator="containsText" text="Finalizado">
      <formula>NOT(ISERROR(SEARCH("Finalizado",P503)))</formula>
    </cfRule>
    <cfRule type="containsText" dxfId="7862" priority="17040" operator="containsText" text="em andamento">
      <formula>NOT(ISERROR(SEARCH("em andamento",P503)))</formula>
    </cfRule>
    <cfRule type="containsText" dxfId="7861" priority="17035" operator="containsText" text="em andamento">
      <formula>NOT(ISERROR(SEARCH("em andamento",P503)))</formula>
    </cfRule>
    <cfRule type="containsText" dxfId="7860" priority="17036" operator="containsText" text="Lançado">
      <formula>NOT(ISERROR(SEARCH("Lançado",P503)))</formula>
    </cfRule>
    <cfRule type="containsText" dxfId="7859" priority="17037" operator="containsText" text="N/A">
      <formula>NOT(ISERROR(SEARCH("N/A",P503)))</formula>
    </cfRule>
    <cfRule type="containsText" dxfId="7858" priority="17038" operator="containsText" text="Pendente">
      <formula>NOT(ISERROR(SEARCH("Pendente",P503)))</formula>
    </cfRule>
    <cfRule type="expression" dxfId="7857" priority="17029">
      <formula>$H503="CÉLULA CONSTRUTIVA"</formula>
    </cfRule>
    <cfRule type="expression" dxfId="7856" priority="17030">
      <formula>$H503="ETAPA"</formula>
    </cfRule>
    <cfRule type="containsText" dxfId="7855" priority="17031" operator="containsText" text="Lançado">
      <formula>NOT(ISERROR(SEARCH("Lançado",P503)))</formula>
    </cfRule>
    <cfRule type="containsText" dxfId="7854" priority="17032" operator="containsText" text="N/A">
      <formula>NOT(ISERROR(SEARCH("N/A",P503)))</formula>
    </cfRule>
    <cfRule type="containsText" dxfId="7853" priority="17033" operator="containsText" text="Pendente">
      <formula>NOT(ISERROR(SEARCH("Pendente",P503)))</formula>
    </cfRule>
    <cfRule type="containsText" dxfId="7852" priority="17034" operator="containsText" text="Finalizado">
      <formula>NOT(ISERROR(SEARCH("Finalizado",P503)))</formula>
    </cfRule>
  </conditionalFormatting>
  <conditionalFormatting sqref="P507:P508 P510 P512 P514 P522">
    <cfRule type="containsText" dxfId="7851" priority="17023" operator="containsText" text="Pendente">
      <formula>NOT(ISERROR(SEARCH("Pendente",P507)))</formula>
    </cfRule>
    <cfRule type="containsText" dxfId="7850" priority="17022" operator="containsText" text="N/A">
      <formula>NOT(ISERROR(SEARCH("N/A",P507)))</formula>
    </cfRule>
    <cfRule type="containsText" dxfId="7849" priority="17021" operator="containsText" text="Lançado">
      <formula>NOT(ISERROR(SEARCH("Lançado",P507)))</formula>
    </cfRule>
    <cfRule type="containsText" dxfId="7848" priority="17024" operator="containsText" text="Finalizado">
      <formula>NOT(ISERROR(SEARCH("Finalizado",P507)))</formula>
    </cfRule>
    <cfRule type="containsText" dxfId="7847" priority="17025" operator="containsText" text="em andamento">
      <formula>NOT(ISERROR(SEARCH("em andamento",P507)))</formula>
    </cfRule>
  </conditionalFormatting>
  <conditionalFormatting sqref="P508 P510 P512 P514 P522">
    <cfRule type="containsText" dxfId="7846" priority="17016" operator="containsText" text="Pendente">
      <formula>NOT(ISERROR(SEARCH("Pendente",P508)))</formula>
    </cfRule>
    <cfRule type="containsText" dxfId="7845" priority="17017" operator="containsText" text="Finalizado">
      <formula>NOT(ISERROR(SEARCH("Finalizado",P508)))</formula>
    </cfRule>
    <cfRule type="containsText" dxfId="7844" priority="17018" operator="containsText" text="em andamento">
      <formula>NOT(ISERROR(SEARCH("em andamento",P508)))</formula>
    </cfRule>
  </conditionalFormatting>
  <conditionalFormatting sqref="P508 P512 P514 P522 P510">
    <cfRule type="containsText" dxfId="7843" priority="17015" operator="containsText" text="N/A">
      <formula>NOT(ISERROR(SEARCH("N/A",P508)))</formula>
    </cfRule>
  </conditionalFormatting>
  <conditionalFormatting sqref="P508 P512 P514 P522">
    <cfRule type="expression" dxfId="7842" priority="17012">
      <formula>$H508="CÉLULA CONSTRUTIVA"</formula>
    </cfRule>
  </conditionalFormatting>
  <conditionalFormatting sqref="P508">
    <cfRule type="expression" dxfId="7841" priority="17011">
      <formula>$H508="SUBETAPA"</formula>
    </cfRule>
  </conditionalFormatting>
  <conditionalFormatting sqref="P509">
    <cfRule type="expression" dxfId="7840" priority="16920">
      <formula>$H509="SUBETAPA"</formula>
    </cfRule>
    <cfRule type="containsText" dxfId="7839" priority="16928" operator="containsText" text="Lançado">
      <formula>NOT(ISERROR(SEARCH("Lançado",P509)))</formula>
    </cfRule>
    <cfRule type="containsText" dxfId="7838" priority="16940" operator="containsText" text="em andamento">
      <formula>NOT(ISERROR(SEARCH("em andamento",P509)))</formula>
    </cfRule>
    <cfRule type="expression" dxfId="7837" priority="16935">
      <formula>$H509="ETAPA"</formula>
    </cfRule>
    <cfRule type="containsText" dxfId="7836" priority="16939" operator="containsText" text="Finalizado">
      <formula>NOT(ISERROR(SEARCH("Finalizado",P509)))</formula>
    </cfRule>
    <cfRule type="containsText" dxfId="7835" priority="16938" operator="containsText" text="Pendente">
      <formula>NOT(ISERROR(SEARCH("Pendente",P509)))</formula>
    </cfRule>
    <cfRule type="containsText" dxfId="7834" priority="16936" operator="containsText" text="Lançado">
      <formula>NOT(ISERROR(SEARCH("Lançado",P509)))</formula>
    </cfRule>
    <cfRule type="expression" dxfId="7833" priority="16934">
      <formula>$H509="CÉLULA CONSTRUTIVA"</formula>
    </cfRule>
    <cfRule type="expression" dxfId="7832" priority="16933">
      <formula>$H509="SUBETAPA"</formula>
    </cfRule>
    <cfRule type="containsText" dxfId="7831" priority="16931" operator="containsText" text="Finalizado">
      <formula>NOT(ISERROR(SEARCH("Finalizado",P509)))</formula>
    </cfRule>
    <cfRule type="containsText" dxfId="7830" priority="16937" operator="containsText" text="N/A">
      <formula>NOT(ISERROR(SEARCH("N/A",P509)))</formula>
    </cfRule>
    <cfRule type="containsText" dxfId="7829" priority="16927" operator="containsText" text="em andamento">
      <formula>NOT(ISERROR(SEARCH("em andamento",P509)))</formula>
    </cfRule>
    <cfRule type="containsText" dxfId="7828" priority="16930" operator="containsText" text="Pendente">
      <formula>NOT(ISERROR(SEARCH("Pendente",P509)))</formula>
    </cfRule>
    <cfRule type="containsText" dxfId="7827" priority="16929" operator="containsText" text="N/A">
      <formula>NOT(ISERROR(SEARCH("N/A",P509)))</formula>
    </cfRule>
    <cfRule type="containsText" dxfId="7826" priority="16932" operator="containsText" text="em andamento">
      <formula>NOT(ISERROR(SEARCH("em andamento",P509)))</formula>
    </cfRule>
    <cfRule type="containsText" dxfId="7825" priority="16926" operator="containsText" text="Finalizado">
      <formula>NOT(ISERROR(SEARCH("Finalizado",P509)))</formula>
    </cfRule>
    <cfRule type="containsText" dxfId="7824" priority="16925" operator="containsText" text="Pendente">
      <formula>NOT(ISERROR(SEARCH("Pendente",P509)))</formula>
    </cfRule>
    <cfRule type="containsText" dxfId="7823" priority="16924" operator="containsText" text="N/A">
      <formula>NOT(ISERROR(SEARCH("N/A",P509)))</formula>
    </cfRule>
    <cfRule type="containsText" dxfId="7822" priority="16923" operator="containsText" text="Lançado">
      <formula>NOT(ISERROR(SEARCH("Lançado",P509)))</formula>
    </cfRule>
    <cfRule type="expression" dxfId="7821" priority="16922">
      <formula>$H509="ETAPA"</formula>
    </cfRule>
    <cfRule type="expression" dxfId="7820" priority="16921">
      <formula>$H509="CÉLULA CONSTRUTIVA"</formula>
    </cfRule>
  </conditionalFormatting>
  <conditionalFormatting sqref="P510 P512 P514 P522 P508">
    <cfRule type="containsText" dxfId="7819" priority="17014" operator="containsText" text="Lançado">
      <formula>NOT(ISERROR(SEARCH("Lançado",P508)))</formula>
    </cfRule>
  </conditionalFormatting>
  <conditionalFormatting sqref="P511">
    <cfRule type="expression" dxfId="7818" priority="16941">
      <formula>$H511="SUBETAPA"</formula>
    </cfRule>
    <cfRule type="containsText" dxfId="7817" priority="16950" operator="containsText" text="N/A">
      <formula>NOT(ISERROR(SEARCH("N/A",P511)))</formula>
    </cfRule>
    <cfRule type="containsText" dxfId="7816" priority="16953" operator="containsText" text="em andamento">
      <formula>NOT(ISERROR(SEARCH("em andamento",P511)))</formula>
    </cfRule>
    <cfRule type="containsText" dxfId="7815" priority="16952" operator="containsText" text="Finalizado">
      <formula>NOT(ISERROR(SEARCH("Finalizado",P511)))</formula>
    </cfRule>
    <cfRule type="containsText" dxfId="7814" priority="16948" operator="containsText" text="em andamento">
      <formula>NOT(ISERROR(SEARCH("em andamento",P511)))</formula>
    </cfRule>
    <cfRule type="containsText" dxfId="7813" priority="16951" operator="containsText" text="Pendente">
      <formula>NOT(ISERROR(SEARCH("Pendente",P511)))</formula>
    </cfRule>
    <cfRule type="containsText" dxfId="7812" priority="16949" operator="containsText" text="Lançado">
      <formula>NOT(ISERROR(SEARCH("Lançado",P511)))</formula>
    </cfRule>
    <cfRule type="containsText" dxfId="7811" priority="16947" operator="containsText" text="Finalizado">
      <formula>NOT(ISERROR(SEARCH("Finalizado",P511)))</formula>
    </cfRule>
    <cfRule type="containsText" dxfId="7810" priority="16961" operator="containsText" text="em andamento">
      <formula>NOT(ISERROR(SEARCH("em andamento",P511)))</formula>
    </cfRule>
    <cfRule type="containsText" dxfId="7809" priority="16945" operator="containsText" text="N/A">
      <formula>NOT(ISERROR(SEARCH("N/A",P511)))</formula>
    </cfRule>
    <cfRule type="containsText" dxfId="7808" priority="16960" operator="containsText" text="Finalizado">
      <formula>NOT(ISERROR(SEARCH("Finalizado",P511)))</formula>
    </cfRule>
    <cfRule type="containsText" dxfId="7807" priority="16959" operator="containsText" text="Pendente">
      <formula>NOT(ISERROR(SEARCH("Pendente",P511)))</formula>
    </cfRule>
    <cfRule type="containsText" dxfId="7806" priority="16958" operator="containsText" text="N/A">
      <formula>NOT(ISERROR(SEARCH("N/A",P511)))</formula>
    </cfRule>
    <cfRule type="containsText" dxfId="7805" priority="16944" operator="containsText" text="Lançado">
      <formula>NOT(ISERROR(SEARCH("Lançado",P511)))</formula>
    </cfRule>
    <cfRule type="expression" dxfId="7804" priority="16943">
      <formula>$H511="ETAPA"</formula>
    </cfRule>
    <cfRule type="expression" dxfId="7803" priority="16942">
      <formula>$H511="CÉLULA CONSTRUTIVA"</formula>
    </cfRule>
    <cfRule type="containsText" dxfId="7802" priority="16946" operator="containsText" text="Pendente">
      <formula>NOT(ISERROR(SEARCH("Pendente",P511)))</formula>
    </cfRule>
    <cfRule type="expression" dxfId="7801" priority="16956">
      <formula>$H511="ETAPA"</formula>
    </cfRule>
    <cfRule type="expression" dxfId="7800" priority="16955">
      <formula>$H511="CÉLULA CONSTRUTIVA"</formula>
    </cfRule>
    <cfRule type="expression" dxfId="7799" priority="16954">
      <formula>$H511="SUBETAPA"</formula>
    </cfRule>
    <cfRule type="containsText" dxfId="7798" priority="16957" operator="containsText" text="Lançado">
      <formula>NOT(ISERROR(SEARCH("Lançado",P511)))</formula>
    </cfRule>
  </conditionalFormatting>
  <conditionalFormatting sqref="P513">
    <cfRule type="containsText" dxfId="7797" priority="16973" operator="containsText" text="Finalizado">
      <formula>NOT(ISERROR(SEARCH("Finalizado",P513)))</formula>
    </cfRule>
    <cfRule type="containsText" dxfId="7796" priority="16972" operator="containsText" text="Pendente">
      <formula>NOT(ISERROR(SEARCH("Pendente",P513)))</formula>
    </cfRule>
    <cfRule type="containsText" dxfId="7795" priority="16971" operator="containsText" text="N/A">
      <formula>NOT(ISERROR(SEARCH("N/A",P513)))</formula>
    </cfRule>
    <cfRule type="expression" dxfId="7794" priority="16977">
      <formula>$H513="ETAPA"</formula>
    </cfRule>
    <cfRule type="containsText" dxfId="7793" priority="16978" operator="containsText" text="Lançado">
      <formula>NOT(ISERROR(SEARCH("Lançado",P513)))</formula>
    </cfRule>
    <cfRule type="containsText" dxfId="7792" priority="16966" operator="containsText" text="N/A">
      <formula>NOT(ISERROR(SEARCH("N/A",P513)))</formula>
    </cfRule>
    <cfRule type="containsText" dxfId="7791" priority="16970" operator="containsText" text="Lançado">
      <formula>NOT(ISERROR(SEARCH("Lançado",P513)))</formula>
    </cfRule>
    <cfRule type="containsText" dxfId="7790" priority="16969" operator="containsText" text="em andamento">
      <formula>NOT(ISERROR(SEARCH("em andamento",P513)))</formula>
    </cfRule>
    <cfRule type="containsText" dxfId="7789" priority="16968" operator="containsText" text="Finalizado">
      <formula>NOT(ISERROR(SEARCH("Finalizado",P513)))</formula>
    </cfRule>
    <cfRule type="containsText" dxfId="7788" priority="16967" operator="containsText" text="Pendente">
      <formula>NOT(ISERROR(SEARCH("Pendente",P513)))</formula>
    </cfRule>
    <cfRule type="expression" dxfId="7787" priority="16976">
      <formula>$H513="CÉLULA CONSTRUTIVA"</formula>
    </cfRule>
    <cfRule type="expression" dxfId="7786" priority="16964">
      <formula>$H513="ETAPA"</formula>
    </cfRule>
    <cfRule type="containsText" dxfId="7785" priority="16974" operator="containsText" text="em andamento">
      <formula>NOT(ISERROR(SEARCH("em andamento",P513)))</formula>
    </cfRule>
    <cfRule type="containsText" dxfId="7784" priority="16982" operator="containsText" text="em andamento">
      <formula>NOT(ISERROR(SEARCH("em andamento",P513)))</formula>
    </cfRule>
    <cfRule type="containsText" dxfId="7783" priority="16981" operator="containsText" text="Finalizado">
      <formula>NOT(ISERROR(SEARCH("Finalizado",P513)))</formula>
    </cfRule>
    <cfRule type="containsText" dxfId="7782" priority="16965" operator="containsText" text="Lançado">
      <formula>NOT(ISERROR(SEARCH("Lançado",P513)))</formula>
    </cfRule>
    <cfRule type="expression" dxfId="7781" priority="16962">
      <formula>$H513="SUBETAPA"</formula>
    </cfRule>
    <cfRule type="expression" dxfId="7780" priority="16963">
      <formula>$H513="CÉLULA CONSTRUTIVA"</formula>
    </cfRule>
    <cfRule type="containsText" dxfId="7779" priority="16980" operator="containsText" text="Pendente">
      <formula>NOT(ISERROR(SEARCH("Pendente",P513)))</formula>
    </cfRule>
    <cfRule type="containsText" dxfId="7778" priority="16979" operator="containsText" text="N/A">
      <formula>NOT(ISERROR(SEARCH("N/A",P513)))</formula>
    </cfRule>
    <cfRule type="expression" dxfId="7777" priority="16975">
      <formula>$H513="SUBETAPA"</formula>
    </cfRule>
  </conditionalFormatting>
  <conditionalFormatting sqref="P515 P517 P519 P521">
    <cfRule type="containsText" dxfId="7776" priority="17003" operator="containsText" text="em andamento">
      <formula>NOT(ISERROR(SEARCH("em andamento",P515)))</formula>
    </cfRule>
    <cfRule type="expression" dxfId="7775" priority="16998">
      <formula>$H515="ETAPA"</formula>
    </cfRule>
    <cfRule type="containsText" dxfId="7774" priority="17002" operator="containsText" text="Finalizado">
      <formula>NOT(ISERROR(SEARCH("Finalizado",P515)))</formula>
    </cfRule>
    <cfRule type="expression" dxfId="7773" priority="16983">
      <formula>$H515="SUBETAPA"</formula>
    </cfRule>
    <cfRule type="expression" dxfId="7772" priority="16984">
      <formula>$H515="CÉLULA CONSTRUTIVA"</formula>
    </cfRule>
    <cfRule type="expression" dxfId="7771" priority="16985">
      <formula>$H515="ETAPA"</formula>
    </cfRule>
    <cfRule type="containsText" dxfId="7770" priority="16986" operator="containsText" text="Lançado">
      <formula>NOT(ISERROR(SEARCH("Lançado",P515)))</formula>
    </cfRule>
    <cfRule type="containsText" dxfId="7769" priority="16987" operator="containsText" text="N/A">
      <formula>NOT(ISERROR(SEARCH("N/A",P515)))</formula>
    </cfRule>
    <cfRule type="containsText" dxfId="7768" priority="16988" operator="containsText" text="Pendente">
      <formula>NOT(ISERROR(SEARCH("Pendente",P515)))</formula>
    </cfRule>
    <cfRule type="containsText" dxfId="7767" priority="16989" operator="containsText" text="Finalizado">
      <formula>NOT(ISERROR(SEARCH("Finalizado",P515)))</formula>
    </cfRule>
    <cfRule type="containsText" dxfId="7766" priority="16990" operator="containsText" text="em andamento">
      <formula>NOT(ISERROR(SEARCH("em andamento",P515)))</formula>
    </cfRule>
    <cfRule type="containsText" dxfId="7765" priority="16991" operator="containsText" text="Lançado">
      <formula>NOT(ISERROR(SEARCH("Lançado",P515)))</formula>
    </cfRule>
    <cfRule type="containsText" dxfId="7764" priority="16993" operator="containsText" text="Pendente">
      <formula>NOT(ISERROR(SEARCH("Pendente",P515)))</formula>
    </cfRule>
    <cfRule type="containsText" dxfId="7763" priority="16994" operator="containsText" text="Finalizado">
      <formula>NOT(ISERROR(SEARCH("Finalizado",P515)))</formula>
    </cfRule>
    <cfRule type="containsText" dxfId="7762" priority="16995" operator="containsText" text="em andamento">
      <formula>NOT(ISERROR(SEARCH("em andamento",P515)))</formula>
    </cfRule>
    <cfRule type="expression" dxfId="7761" priority="16996">
      <formula>$H515="SUBETAPA"</formula>
    </cfRule>
    <cfRule type="expression" dxfId="7760" priority="16997">
      <formula>$H515="CÉLULA CONSTRUTIVA"</formula>
    </cfRule>
    <cfRule type="containsText" dxfId="7759" priority="16999" operator="containsText" text="Lançado">
      <formula>NOT(ISERROR(SEARCH("Lançado",P515)))</formula>
    </cfRule>
    <cfRule type="containsText" dxfId="7758" priority="17000" operator="containsText" text="N/A">
      <formula>NOT(ISERROR(SEARCH("N/A",P515)))</formula>
    </cfRule>
    <cfRule type="containsText" dxfId="7757" priority="17001" operator="containsText" text="Pendente">
      <formula>NOT(ISERROR(SEARCH("Pendente",P515)))</formula>
    </cfRule>
    <cfRule type="containsText" dxfId="7756" priority="16992" operator="containsText" text="N/A">
      <formula>NOT(ISERROR(SEARCH("N/A",P515)))</formula>
    </cfRule>
  </conditionalFormatting>
  <conditionalFormatting sqref="P516">
    <cfRule type="containsText" dxfId="7755" priority="16910" operator="containsText" text="N/A">
      <formula>NOT(ISERROR(SEARCH("N/A",P516)))</formula>
    </cfRule>
    <cfRule type="containsText" dxfId="7754" priority="16911" operator="containsText" text="Pendente">
      <formula>NOT(ISERROR(SEARCH("Pendente",P516)))</formula>
    </cfRule>
    <cfRule type="containsText" dxfId="7753" priority="16904" operator="containsText" text="Lançado">
      <formula>NOT(ISERROR(SEARCH("Lançado",P516)))</formula>
    </cfRule>
    <cfRule type="containsText" dxfId="7752" priority="16906" operator="containsText" text="Pendente">
      <formula>NOT(ISERROR(SEARCH("Pendente",P516)))</formula>
    </cfRule>
    <cfRule type="expression" dxfId="7751" priority="16902">
      <formula>$H516="CÉLULA CONSTRUTIVA"</formula>
    </cfRule>
    <cfRule type="containsText" dxfId="7750" priority="16907" operator="containsText" text="Finalizado">
      <formula>NOT(ISERROR(SEARCH("Finalizado",P516)))</formula>
    </cfRule>
    <cfRule type="containsText" dxfId="7749" priority="16908" operator="containsText" text="em andamento">
      <formula>NOT(ISERROR(SEARCH("em andamento",P516)))</formula>
    </cfRule>
    <cfRule type="containsText" dxfId="7748" priority="16913" operator="containsText" text="em andamento">
      <formula>NOT(ISERROR(SEARCH("em andamento",P516)))</formula>
    </cfRule>
    <cfRule type="expression" dxfId="7747" priority="16903">
      <formula>$H516="ETAPA"</formula>
    </cfRule>
    <cfRule type="containsText" dxfId="7746" priority="16905" operator="containsText" text="N/A">
      <formula>NOT(ISERROR(SEARCH("N/A",P516)))</formula>
    </cfRule>
    <cfRule type="containsText" dxfId="7745" priority="16909" operator="containsText" text="Lançado">
      <formula>NOT(ISERROR(SEARCH("Lançado",P516)))</formula>
    </cfRule>
    <cfRule type="containsText" dxfId="7744" priority="16912" operator="containsText" text="Finalizado">
      <formula>NOT(ISERROR(SEARCH("Finalizado",P516)))</formula>
    </cfRule>
  </conditionalFormatting>
  <conditionalFormatting sqref="P518">
    <cfRule type="containsText" dxfId="7743" priority="16897" operator="containsText" text="Finalizado">
      <formula>NOT(ISERROR(SEARCH("Finalizado",P518)))</formula>
    </cfRule>
    <cfRule type="containsText" dxfId="7742" priority="16895" operator="containsText" text="N/A">
      <formula>NOT(ISERROR(SEARCH("N/A",P518)))</formula>
    </cfRule>
    <cfRule type="containsText" dxfId="7741" priority="16896" operator="containsText" text="Pendente">
      <formula>NOT(ISERROR(SEARCH("Pendente",P518)))</formula>
    </cfRule>
    <cfRule type="expression" dxfId="7740" priority="16888">
      <formula>$H518="ETAPA"</formula>
    </cfRule>
    <cfRule type="containsText" dxfId="7739" priority="16889" operator="containsText" text="Lançado">
      <formula>NOT(ISERROR(SEARCH("Lançado",P518)))</formula>
    </cfRule>
    <cfRule type="containsText" dxfId="7738" priority="16890" operator="containsText" text="N/A">
      <formula>NOT(ISERROR(SEARCH("N/A",P518)))</formula>
    </cfRule>
    <cfRule type="containsText" dxfId="7737" priority="16891" operator="containsText" text="Pendente">
      <formula>NOT(ISERROR(SEARCH("Pendente",P518)))</formula>
    </cfRule>
    <cfRule type="containsText" dxfId="7736" priority="16898" operator="containsText" text="em andamento">
      <formula>NOT(ISERROR(SEARCH("em andamento",P518)))</formula>
    </cfRule>
    <cfRule type="expression" dxfId="7735" priority="16887">
      <formula>$H518="CÉLULA CONSTRUTIVA"</formula>
    </cfRule>
    <cfRule type="containsText" dxfId="7734" priority="16892" operator="containsText" text="Finalizado">
      <formula>NOT(ISERROR(SEARCH("Finalizado",P518)))</formula>
    </cfRule>
    <cfRule type="containsText" dxfId="7733" priority="16893" operator="containsText" text="em andamento">
      <formula>NOT(ISERROR(SEARCH("em andamento",P518)))</formula>
    </cfRule>
    <cfRule type="containsText" dxfId="7732" priority="16894" operator="containsText" text="Lançado">
      <formula>NOT(ISERROR(SEARCH("Lançado",P518)))</formula>
    </cfRule>
  </conditionalFormatting>
  <conditionalFormatting sqref="P520">
    <cfRule type="containsText" dxfId="7731" priority="16875" operator="containsText" text="N/A">
      <formula>NOT(ISERROR(SEARCH("N/A",P520)))</formula>
    </cfRule>
    <cfRule type="containsText" dxfId="7730" priority="16879" operator="containsText" text="Lançado">
      <formula>NOT(ISERROR(SEARCH("Lançado",P520)))</formula>
    </cfRule>
    <cfRule type="containsText" dxfId="7729" priority="16874" operator="containsText" text="Lançado">
      <formula>NOT(ISERROR(SEARCH("Lançado",P520)))</formula>
    </cfRule>
    <cfRule type="expression" dxfId="7728" priority="16873">
      <formula>$H520="ETAPA"</formula>
    </cfRule>
    <cfRule type="expression" dxfId="7727" priority="16872">
      <formula>$H520="CÉLULA CONSTRUTIVA"</formula>
    </cfRule>
    <cfRule type="containsText" dxfId="7726" priority="16876" operator="containsText" text="Pendente">
      <formula>NOT(ISERROR(SEARCH("Pendente",P520)))</formula>
    </cfRule>
    <cfRule type="containsText" dxfId="7725" priority="16883" operator="containsText" text="em andamento">
      <formula>NOT(ISERROR(SEARCH("em andamento",P520)))</formula>
    </cfRule>
    <cfRule type="containsText" dxfId="7724" priority="16882" operator="containsText" text="Finalizado">
      <formula>NOT(ISERROR(SEARCH("Finalizado",P520)))</formula>
    </cfRule>
    <cfRule type="containsText" dxfId="7723" priority="16878" operator="containsText" text="em andamento">
      <formula>NOT(ISERROR(SEARCH("em andamento",P520)))</formula>
    </cfRule>
    <cfRule type="containsText" dxfId="7722" priority="16877" operator="containsText" text="Finalizado">
      <formula>NOT(ISERROR(SEARCH("Finalizado",P520)))</formula>
    </cfRule>
    <cfRule type="containsText" dxfId="7721" priority="16881" operator="containsText" text="Pendente">
      <formula>NOT(ISERROR(SEARCH("Pendente",P520)))</formula>
    </cfRule>
    <cfRule type="containsText" dxfId="7720" priority="16880" operator="containsText" text="N/A">
      <formula>NOT(ISERROR(SEARCH("N/A",P520)))</formula>
    </cfRule>
  </conditionalFormatting>
  <conditionalFormatting sqref="P524:P525 P527 P529 P531 P533 P541">
    <cfRule type="containsText" dxfId="7719" priority="16868" operator="containsText" text="em andamento">
      <formula>NOT(ISERROR(SEARCH("em andamento",P524)))</formula>
    </cfRule>
    <cfRule type="containsText" dxfId="7718" priority="16867" operator="containsText" text="Finalizado">
      <formula>NOT(ISERROR(SEARCH("Finalizado",P524)))</formula>
    </cfRule>
    <cfRule type="containsText" dxfId="7717" priority="16866" operator="containsText" text="Pendente">
      <formula>NOT(ISERROR(SEARCH("Pendente",P524)))</formula>
    </cfRule>
    <cfRule type="containsText" dxfId="7716" priority="16865" operator="containsText" text="N/A">
      <formula>NOT(ISERROR(SEARCH("N/A",P524)))</formula>
    </cfRule>
    <cfRule type="containsText" dxfId="7715" priority="16864" operator="containsText" text="Lançado">
      <formula>NOT(ISERROR(SEARCH("Lançado",P524)))</formula>
    </cfRule>
  </conditionalFormatting>
  <conditionalFormatting sqref="P525 P529 P531 P533 P541">
    <cfRule type="containsText" dxfId="7714" priority="16860" operator="containsText" text="em andamento">
      <formula>NOT(ISERROR(SEARCH("em andamento",P525)))</formula>
    </cfRule>
    <cfRule type="containsText" dxfId="7713" priority="16859" operator="containsText" text="Finalizado">
      <formula>NOT(ISERROR(SEARCH("Finalizado",P525)))</formula>
    </cfRule>
    <cfRule type="containsText" dxfId="7712" priority="16858" operator="containsText" text="Pendente">
      <formula>NOT(ISERROR(SEARCH("Pendente",P525)))</formula>
    </cfRule>
  </conditionalFormatting>
  <conditionalFormatting sqref="P525 P531 P533 P541 P529">
    <cfRule type="containsText" dxfId="7711" priority="16857" operator="containsText" text="N/A">
      <formula>NOT(ISERROR(SEARCH("N/A",P525)))</formula>
    </cfRule>
  </conditionalFormatting>
  <conditionalFormatting sqref="P525 P531 P533 P541">
    <cfRule type="expression" dxfId="7710" priority="16854">
      <formula>$H525="CÉLULA CONSTRUTIVA"</formula>
    </cfRule>
  </conditionalFormatting>
  <conditionalFormatting sqref="P525">
    <cfRule type="expression" dxfId="7709" priority="16853">
      <formula>$H525="SUBETAPA"</formula>
    </cfRule>
  </conditionalFormatting>
  <conditionalFormatting sqref="P526">
    <cfRule type="containsText" dxfId="7708" priority="16746" operator="containsText" text="Pendente">
      <formula>NOT(ISERROR(SEARCH("Pendente",P526)))</formula>
    </cfRule>
    <cfRule type="containsText" dxfId="7707" priority="16758" operator="containsText" text="N/A">
      <formula>NOT(ISERROR(SEARCH("N/A",P526)))</formula>
    </cfRule>
    <cfRule type="containsText" dxfId="7706" priority="16748" operator="containsText" text="em andamento">
      <formula>NOT(ISERROR(SEARCH("em andamento",P526)))</formula>
    </cfRule>
    <cfRule type="containsText" dxfId="7705" priority="16749" operator="containsText" text="Lançado">
      <formula>NOT(ISERROR(SEARCH("Lançado",P526)))</formula>
    </cfRule>
    <cfRule type="containsText" dxfId="7704" priority="16750" operator="containsText" text="N/A">
      <formula>NOT(ISERROR(SEARCH("N/A",P526)))</formula>
    </cfRule>
    <cfRule type="containsText" dxfId="7703" priority="16747" operator="containsText" text="Finalizado">
      <formula>NOT(ISERROR(SEARCH("Finalizado",P526)))</formula>
    </cfRule>
    <cfRule type="containsText" dxfId="7702" priority="16751" operator="containsText" text="Pendente">
      <formula>NOT(ISERROR(SEARCH("Pendente",P526)))</formula>
    </cfRule>
    <cfRule type="containsText" dxfId="7701" priority="16752" operator="containsText" text="Finalizado">
      <formula>NOT(ISERROR(SEARCH("Finalizado",P526)))</formula>
    </cfRule>
    <cfRule type="containsText" dxfId="7700" priority="16753" operator="containsText" text="em andamento">
      <formula>NOT(ISERROR(SEARCH("em andamento",P526)))</formula>
    </cfRule>
    <cfRule type="containsText" dxfId="7699" priority="16757" operator="containsText" text="Lançado">
      <formula>NOT(ISERROR(SEARCH("Lançado",P526)))</formula>
    </cfRule>
    <cfRule type="expression" dxfId="7698" priority="16754">
      <formula>$H526="SUBETAPA"</formula>
    </cfRule>
    <cfRule type="containsText" dxfId="7697" priority="16759" operator="containsText" text="Pendente">
      <formula>NOT(ISERROR(SEARCH("Pendente",P526)))</formula>
    </cfRule>
    <cfRule type="containsText" dxfId="7696" priority="16761" operator="containsText" text="em andamento">
      <formula>NOT(ISERROR(SEARCH("em andamento",P526)))</formula>
    </cfRule>
    <cfRule type="expression" dxfId="7695" priority="16755">
      <formula>$H526="CÉLULA CONSTRUTIVA"</formula>
    </cfRule>
    <cfRule type="expression" dxfId="7694" priority="16756">
      <formula>$H526="ETAPA"</formula>
    </cfRule>
    <cfRule type="expression" dxfId="7693" priority="16741">
      <formula>$H526="SUBETAPA"</formula>
    </cfRule>
    <cfRule type="expression" dxfId="7692" priority="16742">
      <formula>$H526="CÉLULA CONSTRUTIVA"</formula>
    </cfRule>
    <cfRule type="expression" dxfId="7691" priority="16743">
      <formula>$H526="ETAPA"</formula>
    </cfRule>
    <cfRule type="containsText" dxfId="7690" priority="16744" operator="containsText" text="Lançado">
      <formula>NOT(ISERROR(SEARCH("Lançado",P526)))</formula>
    </cfRule>
    <cfRule type="containsText" dxfId="7689" priority="16745" operator="containsText" text="N/A">
      <formula>NOT(ISERROR(SEARCH("N/A",P526)))</formula>
    </cfRule>
    <cfRule type="containsText" dxfId="7688" priority="16760" operator="containsText" text="Finalizado">
      <formula>NOT(ISERROR(SEARCH("Finalizado",P526)))</formula>
    </cfRule>
  </conditionalFormatting>
  <conditionalFormatting sqref="P528">
    <cfRule type="containsText" dxfId="7687" priority="16767" operator="containsText" text="Pendente">
      <formula>NOT(ISERROR(SEARCH("Pendente",P528)))</formula>
    </cfRule>
    <cfRule type="containsText" dxfId="7686" priority="16768" operator="containsText" text="Finalizado">
      <formula>NOT(ISERROR(SEARCH("Finalizado",P528)))</formula>
    </cfRule>
    <cfRule type="containsText" dxfId="7685" priority="16769" operator="containsText" text="em andamento">
      <formula>NOT(ISERROR(SEARCH("em andamento",P528)))</formula>
    </cfRule>
    <cfRule type="containsText" dxfId="7684" priority="16779" operator="containsText" text="N/A">
      <formula>NOT(ISERROR(SEARCH("N/A",P528)))</formula>
    </cfRule>
    <cfRule type="expression" dxfId="7683" priority="16762">
      <formula>$H528="SUBETAPA"</formula>
    </cfRule>
    <cfRule type="containsText" dxfId="7682" priority="16771" operator="containsText" text="N/A">
      <formula>NOT(ISERROR(SEARCH("N/A",P528)))</formula>
    </cfRule>
    <cfRule type="containsText" dxfId="7681" priority="16772" operator="containsText" text="Pendente">
      <formula>NOT(ISERROR(SEARCH("Pendente",P528)))</formula>
    </cfRule>
    <cfRule type="containsText" dxfId="7680" priority="16780" operator="containsText" text="Pendente">
      <formula>NOT(ISERROR(SEARCH("Pendente",P528)))</formula>
    </cfRule>
    <cfRule type="containsText" dxfId="7679" priority="16766" operator="containsText" text="N/A">
      <formula>NOT(ISERROR(SEARCH("N/A",P528)))</formula>
    </cfRule>
    <cfRule type="containsText" dxfId="7678" priority="16781" operator="containsText" text="Finalizado">
      <formula>NOT(ISERROR(SEARCH("Finalizado",P528)))</formula>
    </cfRule>
    <cfRule type="containsText" dxfId="7677" priority="16782" operator="containsText" text="em andamento">
      <formula>NOT(ISERROR(SEARCH("em andamento",P528)))</formula>
    </cfRule>
    <cfRule type="containsText" dxfId="7676" priority="16774" operator="containsText" text="em andamento">
      <formula>NOT(ISERROR(SEARCH("em andamento",P528)))</formula>
    </cfRule>
    <cfRule type="containsText" dxfId="7675" priority="16778" operator="containsText" text="Lançado">
      <formula>NOT(ISERROR(SEARCH("Lançado",P528)))</formula>
    </cfRule>
    <cfRule type="expression" dxfId="7674" priority="16777">
      <formula>$H528="ETAPA"</formula>
    </cfRule>
    <cfRule type="expression" dxfId="7673" priority="16776">
      <formula>$H528="CÉLULA CONSTRUTIVA"</formula>
    </cfRule>
    <cfRule type="expression" dxfId="7672" priority="16775">
      <formula>$H528="SUBETAPA"</formula>
    </cfRule>
    <cfRule type="containsText" dxfId="7671" priority="16770" operator="containsText" text="Lançado">
      <formula>NOT(ISERROR(SEARCH("Lançado",P528)))</formula>
    </cfRule>
    <cfRule type="expression" dxfId="7670" priority="16763">
      <formula>$H528="CÉLULA CONSTRUTIVA"</formula>
    </cfRule>
    <cfRule type="containsText" dxfId="7669" priority="16773" operator="containsText" text="Finalizado">
      <formula>NOT(ISERROR(SEARCH("Finalizado",P528)))</formula>
    </cfRule>
    <cfRule type="expression" dxfId="7668" priority="16764">
      <formula>$H528="ETAPA"</formula>
    </cfRule>
    <cfRule type="containsText" dxfId="7667" priority="16765" operator="containsText" text="Lançado">
      <formula>NOT(ISERROR(SEARCH("Lançado",P528)))</formula>
    </cfRule>
  </conditionalFormatting>
  <conditionalFormatting sqref="P529 P531 P533 P541 P525">
    <cfRule type="containsText" dxfId="7666" priority="16856" operator="containsText" text="Lançado">
      <formula>NOT(ISERROR(SEARCH("Lançado",P525)))</formula>
    </cfRule>
  </conditionalFormatting>
  <conditionalFormatting sqref="P530">
    <cfRule type="expression" dxfId="7665" priority="16785">
      <formula>$H530="ETAPA"</formula>
    </cfRule>
    <cfRule type="expression" dxfId="7664" priority="16783">
      <formula>$H530="SUBETAPA"</formula>
    </cfRule>
    <cfRule type="expression" dxfId="7663" priority="16796">
      <formula>$H530="SUBETAPA"</formula>
    </cfRule>
    <cfRule type="expression" dxfId="7662" priority="16797">
      <formula>$H530="CÉLULA CONSTRUTIVA"</formula>
    </cfRule>
    <cfRule type="expression" dxfId="7661" priority="16798">
      <formula>$H530="ETAPA"</formula>
    </cfRule>
    <cfRule type="containsText" dxfId="7660" priority="16799" operator="containsText" text="Lançado">
      <formula>NOT(ISERROR(SEARCH("Lançado",P530)))</formula>
    </cfRule>
    <cfRule type="containsText" dxfId="7659" priority="16800" operator="containsText" text="N/A">
      <formula>NOT(ISERROR(SEARCH("N/A",P530)))</formula>
    </cfRule>
    <cfRule type="containsText" dxfId="7658" priority="16801" operator="containsText" text="Pendente">
      <formula>NOT(ISERROR(SEARCH("Pendente",P530)))</formula>
    </cfRule>
    <cfRule type="containsText" dxfId="7657" priority="16802" operator="containsText" text="Finalizado">
      <formula>NOT(ISERROR(SEARCH("Finalizado",P530)))</formula>
    </cfRule>
    <cfRule type="containsText" dxfId="7656" priority="16803" operator="containsText" text="em andamento">
      <formula>NOT(ISERROR(SEARCH("em andamento",P530)))</formula>
    </cfRule>
    <cfRule type="containsText" dxfId="7655" priority="16794" operator="containsText" text="Finalizado">
      <formula>NOT(ISERROR(SEARCH("Finalizado",P530)))</formula>
    </cfRule>
    <cfRule type="expression" dxfId="7654" priority="16784">
      <formula>$H530="CÉLULA CONSTRUTIVA"</formula>
    </cfRule>
    <cfRule type="containsText" dxfId="7653" priority="16793" operator="containsText" text="Pendente">
      <formula>NOT(ISERROR(SEARCH("Pendente",P530)))</formula>
    </cfRule>
    <cfRule type="containsText" dxfId="7652" priority="16792" operator="containsText" text="N/A">
      <formula>NOT(ISERROR(SEARCH("N/A",P530)))</formula>
    </cfRule>
    <cfRule type="containsText" dxfId="7651" priority="16791" operator="containsText" text="Lançado">
      <formula>NOT(ISERROR(SEARCH("Lançado",P530)))</formula>
    </cfRule>
    <cfRule type="containsText" dxfId="7650" priority="16790" operator="containsText" text="em andamento">
      <formula>NOT(ISERROR(SEARCH("em andamento",P530)))</formula>
    </cfRule>
    <cfRule type="containsText" dxfId="7649" priority="16789" operator="containsText" text="Finalizado">
      <formula>NOT(ISERROR(SEARCH("Finalizado",P530)))</formula>
    </cfRule>
    <cfRule type="containsText" dxfId="7648" priority="16788" operator="containsText" text="Pendente">
      <formula>NOT(ISERROR(SEARCH("Pendente",P530)))</formula>
    </cfRule>
    <cfRule type="containsText" dxfId="7647" priority="16786" operator="containsText" text="Lançado">
      <formula>NOT(ISERROR(SEARCH("Lançado",P530)))</formula>
    </cfRule>
    <cfRule type="containsText" dxfId="7646" priority="16787" operator="containsText" text="N/A">
      <formula>NOT(ISERROR(SEARCH("N/A",P530)))</formula>
    </cfRule>
    <cfRule type="containsText" dxfId="7645" priority="16795" operator="containsText" text="em andamento">
      <formula>NOT(ISERROR(SEARCH("em andamento",P530)))</formula>
    </cfRule>
  </conditionalFormatting>
  <conditionalFormatting sqref="P532">
    <cfRule type="containsText" dxfId="7644" priority="16814" operator="containsText" text="Pendente">
      <formula>NOT(ISERROR(SEARCH("Pendente",P532)))</formula>
    </cfRule>
    <cfRule type="expression" dxfId="7643" priority="16819">
      <formula>$H532="ETAPA"</formula>
    </cfRule>
    <cfRule type="containsText" dxfId="7642" priority="16822" operator="containsText" text="Pendente">
      <formula>NOT(ISERROR(SEARCH("Pendente",P532)))</formula>
    </cfRule>
    <cfRule type="expression" dxfId="7641" priority="16818">
      <formula>$H532="CÉLULA CONSTRUTIVA"</formula>
    </cfRule>
    <cfRule type="containsText" dxfId="7640" priority="16813" operator="containsText" text="N/A">
      <formula>NOT(ISERROR(SEARCH("N/A",P532)))</formula>
    </cfRule>
    <cfRule type="containsText" dxfId="7639" priority="16824" operator="containsText" text="em andamento">
      <formula>NOT(ISERROR(SEARCH("em andamento",P532)))</formula>
    </cfRule>
    <cfRule type="expression" dxfId="7638" priority="16817">
      <formula>$H532="SUBETAPA"</formula>
    </cfRule>
    <cfRule type="containsText" dxfId="7637" priority="16816" operator="containsText" text="em andamento">
      <formula>NOT(ISERROR(SEARCH("em andamento",P532)))</formula>
    </cfRule>
    <cfRule type="containsText" dxfId="7636" priority="16812" operator="containsText" text="Lançado">
      <formula>NOT(ISERROR(SEARCH("Lançado",P532)))</formula>
    </cfRule>
    <cfRule type="expression" dxfId="7635" priority="16806">
      <formula>$H532="ETAPA"</formula>
    </cfRule>
    <cfRule type="containsText" dxfId="7634" priority="16823" operator="containsText" text="Finalizado">
      <formula>NOT(ISERROR(SEARCH("Finalizado",P532)))</formula>
    </cfRule>
    <cfRule type="containsText" dxfId="7633" priority="16808" operator="containsText" text="N/A">
      <formula>NOT(ISERROR(SEARCH("N/A",P532)))</formula>
    </cfRule>
    <cfRule type="containsText" dxfId="7632" priority="16807" operator="containsText" text="Lançado">
      <formula>NOT(ISERROR(SEARCH("Lançado",P532)))</formula>
    </cfRule>
    <cfRule type="expression" dxfId="7631" priority="16804">
      <formula>$H532="SUBETAPA"</formula>
    </cfRule>
    <cfRule type="expression" dxfId="7630" priority="16805">
      <formula>$H532="CÉLULA CONSTRUTIVA"</formula>
    </cfRule>
    <cfRule type="containsText" dxfId="7629" priority="16815" operator="containsText" text="Finalizado">
      <formula>NOT(ISERROR(SEARCH("Finalizado",P532)))</formula>
    </cfRule>
    <cfRule type="containsText" dxfId="7628" priority="16821" operator="containsText" text="N/A">
      <formula>NOT(ISERROR(SEARCH("N/A",P532)))</formula>
    </cfRule>
    <cfRule type="containsText" dxfId="7627" priority="16811" operator="containsText" text="em andamento">
      <formula>NOT(ISERROR(SEARCH("em andamento",P532)))</formula>
    </cfRule>
    <cfRule type="containsText" dxfId="7626" priority="16810" operator="containsText" text="Finalizado">
      <formula>NOT(ISERROR(SEARCH("Finalizado",P532)))</formula>
    </cfRule>
    <cfRule type="containsText" dxfId="7625" priority="16809" operator="containsText" text="Pendente">
      <formula>NOT(ISERROR(SEARCH("Pendente",P532)))</formula>
    </cfRule>
    <cfRule type="containsText" dxfId="7624" priority="16820" operator="containsText" text="Lançado">
      <formula>NOT(ISERROR(SEARCH("Lançado",P532)))</formula>
    </cfRule>
  </conditionalFormatting>
  <conditionalFormatting sqref="P534 P536 P538 P540">
    <cfRule type="containsText" dxfId="7623" priority="16845" operator="containsText" text="em andamento">
      <formula>NOT(ISERROR(SEARCH("em andamento",P534)))</formula>
    </cfRule>
    <cfRule type="containsText" dxfId="7622" priority="16829" operator="containsText" text="N/A">
      <formula>NOT(ISERROR(SEARCH("N/A",P534)))</formula>
    </cfRule>
    <cfRule type="containsText" dxfId="7621" priority="16830" operator="containsText" text="Pendente">
      <formula>NOT(ISERROR(SEARCH("Pendente",P534)))</formula>
    </cfRule>
    <cfRule type="containsText" dxfId="7620" priority="16831" operator="containsText" text="Finalizado">
      <formula>NOT(ISERROR(SEARCH("Finalizado",P534)))</formula>
    </cfRule>
    <cfRule type="containsText" dxfId="7619" priority="16832" operator="containsText" text="em andamento">
      <formula>NOT(ISERROR(SEARCH("em andamento",P534)))</formula>
    </cfRule>
    <cfRule type="expression" dxfId="7618" priority="16839">
      <formula>$H534="CÉLULA CONSTRUTIVA"</formula>
    </cfRule>
    <cfRule type="containsText" dxfId="7617" priority="16833" operator="containsText" text="Lançado">
      <formula>NOT(ISERROR(SEARCH("Lançado",P534)))</formula>
    </cfRule>
    <cfRule type="containsText" dxfId="7616" priority="16834" operator="containsText" text="N/A">
      <formula>NOT(ISERROR(SEARCH("N/A",P534)))</formula>
    </cfRule>
    <cfRule type="containsText" dxfId="7615" priority="16835" operator="containsText" text="Pendente">
      <formula>NOT(ISERROR(SEARCH("Pendente",P534)))</formula>
    </cfRule>
    <cfRule type="containsText" dxfId="7614" priority="16828" operator="containsText" text="Lançado">
      <formula>NOT(ISERROR(SEARCH("Lançado",P534)))</formula>
    </cfRule>
    <cfRule type="expression" dxfId="7613" priority="16826">
      <formula>$H534="CÉLULA CONSTRUTIVA"</formula>
    </cfRule>
    <cfRule type="expression" dxfId="7612" priority="16825">
      <formula>$H534="SUBETAPA"</formula>
    </cfRule>
    <cfRule type="expression" dxfId="7611" priority="16827">
      <formula>$H534="ETAPA"</formula>
    </cfRule>
    <cfRule type="containsText" dxfId="7610" priority="16836" operator="containsText" text="Finalizado">
      <formula>NOT(ISERROR(SEARCH("Finalizado",P534)))</formula>
    </cfRule>
    <cfRule type="containsText" dxfId="7609" priority="16837" operator="containsText" text="em andamento">
      <formula>NOT(ISERROR(SEARCH("em andamento",P534)))</formula>
    </cfRule>
    <cfRule type="expression" dxfId="7608" priority="16838">
      <formula>$H534="SUBETAPA"</formula>
    </cfRule>
    <cfRule type="expression" dxfId="7607" priority="16840">
      <formula>$H534="ETAPA"</formula>
    </cfRule>
    <cfRule type="containsText" dxfId="7606" priority="16841" operator="containsText" text="Lançado">
      <formula>NOT(ISERROR(SEARCH("Lançado",P534)))</formula>
    </cfRule>
    <cfRule type="containsText" dxfId="7605" priority="16842" operator="containsText" text="N/A">
      <formula>NOT(ISERROR(SEARCH("N/A",P534)))</formula>
    </cfRule>
    <cfRule type="containsText" dxfId="7604" priority="16843" operator="containsText" text="Pendente">
      <formula>NOT(ISERROR(SEARCH("Pendente",P534)))</formula>
    </cfRule>
    <cfRule type="containsText" dxfId="7603" priority="16844" operator="containsText" text="Finalizado">
      <formula>NOT(ISERROR(SEARCH("Finalizado",P534)))</formula>
    </cfRule>
  </conditionalFormatting>
  <conditionalFormatting sqref="P535">
    <cfRule type="containsText" dxfId="7602" priority="16731" operator="containsText" text="N/A">
      <formula>NOT(ISERROR(SEARCH("N/A",P535)))</formula>
    </cfRule>
    <cfRule type="containsText" dxfId="7601" priority="16728" operator="containsText" text="Finalizado">
      <formula>NOT(ISERROR(SEARCH("Finalizado",P535)))</formula>
    </cfRule>
    <cfRule type="containsText" dxfId="7600" priority="16730" operator="containsText" text="Lançado">
      <formula>NOT(ISERROR(SEARCH("Lançado",P535)))</formula>
    </cfRule>
    <cfRule type="containsText" dxfId="7599" priority="16734" operator="containsText" text="em andamento">
      <formula>NOT(ISERROR(SEARCH("em andamento",P535)))</formula>
    </cfRule>
    <cfRule type="containsText" dxfId="7598" priority="16733" operator="containsText" text="Finalizado">
      <formula>NOT(ISERROR(SEARCH("Finalizado",P535)))</formula>
    </cfRule>
    <cfRule type="expression" dxfId="7597" priority="16724">
      <formula>$H535="ETAPA"</formula>
    </cfRule>
    <cfRule type="expression" dxfId="7596" priority="16723">
      <formula>$H535="CÉLULA CONSTRUTIVA"</formula>
    </cfRule>
    <cfRule type="containsText" dxfId="7595" priority="16732" operator="containsText" text="Pendente">
      <formula>NOT(ISERROR(SEARCH("Pendente",P535)))</formula>
    </cfRule>
    <cfRule type="containsText" dxfId="7594" priority="16727" operator="containsText" text="Pendente">
      <formula>NOT(ISERROR(SEARCH("Pendente",P535)))</formula>
    </cfRule>
    <cfRule type="containsText" dxfId="7593" priority="16726" operator="containsText" text="N/A">
      <formula>NOT(ISERROR(SEARCH("N/A",P535)))</formula>
    </cfRule>
    <cfRule type="containsText" dxfId="7592" priority="16725" operator="containsText" text="Lançado">
      <formula>NOT(ISERROR(SEARCH("Lançado",P535)))</formula>
    </cfRule>
    <cfRule type="containsText" dxfId="7591" priority="16729" operator="containsText" text="em andamento">
      <formula>NOT(ISERROR(SEARCH("em andamento",P535)))</formula>
    </cfRule>
  </conditionalFormatting>
  <conditionalFormatting sqref="P537">
    <cfRule type="containsText" dxfId="7590" priority="16717" operator="containsText" text="Pendente">
      <formula>NOT(ISERROR(SEARCH("Pendente",P537)))</formula>
    </cfRule>
    <cfRule type="containsText" dxfId="7589" priority="16719" operator="containsText" text="em andamento">
      <formula>NOT(ISERROR(SEARCH("em andamento",P537)))</formula>
    </cfRule>
    <cfRule type="expression" dxfId="7588" priority="16708">
      <formula>$H537="CÉLULA CONSTRUTIVA"</formula>
    </cfRule>
    <cfRule type="expression" dxfId="7587" priority="16709">
      <formula>$H537="ETAPA"</formula>
    </cfRule>
    <cfRule type="containsText" dxfId="7586" priority="16710" operator="containsText" text="Lançado">
      <formula>NOT(ISERROR(SEARCH("Lançado",P537)))</formula>
    </cfRule>
    <cfRule type="containsText" dxfId="7585" priority="16711" operator="containsText" text="N/A">
      <formula>NOT(ISERROR(SEARCH("N/A",P537)))</formula>
    </cfRule>
    <cfRule type="containsText" dxfId="7584" priority="16712" operator="containsText" text="Pendente">
      <formula>NOT(ISERROR(SEARCH("Pendente",P537)))</formula>
    </cfRule>
    <cfRule type="containsText" dxfId="7583" priority="16713" operator="containsText" text="Finalizado">
      <formula>NOT(ISERROR(SEARCH("Finalizado",P537)))</formula>
    </cfRule>
    <cfRule type="containsText" dxfId="7582" priority="16714" operator="containsText" text="em andamento">
      <formula>NOT(ISERROR(SEARCH("em andamento",P537)))</formula>
    </cfRule>
    <cfRule type="containsText" dxfId="7581" priority="16715" operator="containsText" text="Lançado">
      <formula>NOT(ISERROR(SEARCH("Lançado",P537)))</formula>
    </cfRule>
    <cfRule type="containsText" dxfId="7580" priority="16716" operator="containsText" text="N/A">
      <formula>NOT(ISERROR(SEARCH("N/A",P537)))</formula>
    </cfRule>
    <cfRule type="containsText" dxfId="7579" priority="16718" operator="containsText" text="Finalizado">
      <formula>NOT(ISERROR(SEARCH("Finalizado",P537)))</formula>
    </cfRule>
  </conditionalFormatting>
  <conditionalFormatting sqref="P539">
    <cfRule type="containsText" dxfId="7578" priority="16698" operator="containsText" text="Finalizado">
      <formula>NOT(ISERROR(SEARCH("Finalizado",P539)))</formula>
    </cfRule>
    <cfRule type="containsText" dxfId="7577" priority="16700" operator="containsText" text="Lançado">
      <formula>NOT(ISERROR(SEARCH("Lançado",P539)))</formula>
    </cfRule>
    <cfRule type="containsText" dxfId="7576" priority="16703" operator="containsText" text="Finalizado">
      <formula>NOT(ISERROR(SEARCH("Finalizado",P539)))</formula>
    </cfRule>
    <cfRule type="containsText" dxfId="7575" priority="16699" operator="containsText" text="em andamento">
      <formula>NOT(ISERROR(SEARCH("em andamento",P539)))</formula>
    </cfRule>
    <cfRule type="containsText" dxfId="7574" priority="16704" operator="containsText" text="em andamento">
      <formula>NOT(ISERROR(SEARCH("em andamento",P539)))</formula>
    </cfRule>
    <cfRule type="containsText" dxfId="7573" priority="16702" operator="containsText" text="Pendente">
      <formula>NOT(ISERROR(SEARCH("Pendente",P539)))</formula>
    </cfRule>
    <cfRule type="containsText" dxfId="7572" priority="16701" operator="containsText" text="N/A">
      <formula>NOT(ISERROR(SEARCH("N/A",P539)))</formula>
    </cfRule>
    <cfRule type="containsText" dxfId="7571" priority="16697" operator="containsText" text="Pendente">
      <formula>NOT(ISERROR(SEARCH("Pendente",P539)))</formula>
    </cfRule>
    <cfRule type="containsText" dxfId="7570" priority="16696" operator="containsText" text="N/A">
      <formula>NOT(ISERROR(SEARCH("N/A",P539)))</formula>
    </cfRule>
    <cfRule type="containsText" dxfId="7569" priority="16695" operator="containsText" text="Lançado">
      <formula>NOT(ISERROR(SEARCH("Lançado",P539)))</formula>
    </cfRule>
    <cfRule type="expression" dxfId="7568" priority="16694">
      <formula>$H539="ETAPA"</formula>
    </cfRule>
    <cfRule type="expression" dxfId="7567" priority="16693">
      <formula>$H539="CÉLULA CONSTRUTIVA"</formula>
    </cfRule>
  </conditionalFormatting>
  <conditionalFormatting sqref="P543:P544 P546 P548 P550 P558">
    <cfRule type="containsText" dxfId="7566" priority="16687" operator="containsText" text="Pendente">
      <formula>NOT(ISERROR(SEARCH("Pendente",P543)))</formula>
    </cfRule>
    <cfRule type="containsText" dxfId="7565" priority="16686" operator="containsText" text="N/A">
      <formula>NOT(ISERROR(SEARCH("N/A",P543)))</formula>
    </cfRule>
    <cfRule type="containsText" dxfId="7564" priority="16685" operator="containsText" text="Lançado">
      <formula>NOT(ISERROR(SEARCH("Lançado",P543)))</formula>
    </cfRule>
    <cfRule type="containsText" dxfId="7563" priority="16689" operator="containsText" text="em andamento">
      <formula>NOT(ISERROR(SEARCH("em andamento",P543)))</formula>
    </cfRule>
    <cfRule type="containsText" dxfId="7562" priority="16688" operator="containsText" text="Finalizado">
      <formula>NOT(ISERROR(SEARCH("Finalizado",P543)))</formula>
    </cfRule>
  </conditionalFormatting>
  <conditionalFormatting sqref="P544 P546 P548 P550 P558">
    <cfRule type="containsText" dxfId="7561" priority="16679" operator="containsText" text="Pendente">
      <formula>NOT(ISERROR(SEARCH("Pendente",P544)))</formula>
    </cfRule>
    <cfRule type="containsText" dxfId="7560" priority="16680" operator="containsText" text="Finalizado">
      <formula>NOT(ISERROR(SEARCH("Finalizado",P544)))</formula>
    </cfRule>
    <cfRule type="containsText" dxfId="7559" priority="16681" operator="containsText" text="em andamento">
      <formula>NOT(ISERROR(SEARCH("em andamento",P544)))</formula>
    </cfRule>
  </conditionalFormatting>
  <conditionalFormatting sqref="P544 P548 P550 P558 P546">
    <cfRule type="containsText" dxfId="7558" priority="16678" operator="containsText" text="N/A">
      <formula>NOT(ISERROR(SEARCH("N/A",P544)))</formula>
    </cfRule>
  </conditionalFormatting>
  <conditionalFormatting sqref="P544 P548 P550 P558">
    <cfRule type="expression" dxfId="7557" priority="16675">
      <formula>$H544="CÉLULA CONSTRUTIVA"</formula>
    </cfRule>
  </conditionalFormatting>
  <conditionalFormatting sqref="P544">
    <cfRule type="expression" dxfId="7556" priority="16674">
      <formula>$H544="SUBETAPA"</formula>
    </cfRule>
  </conditionalFormatting>
  <conditionalFormatting sqref="P545">
    <cfRule type="containsText" dxfId="7555" priority="16566" operator="containsText" text="N/A">
      <formula>NOT(ISERROR(SEARCH("N/A",P545)))</formula>
    </cfRule>
    <cfRule type="containsText" dxfId="7554" priority="16568" operator="containsText" text="Finalizado">
      <formula>NOT(ISERROR(SEARCH("Finalizado",P545)))</formula>
    </cfRule>
    <cfRule type="containsText" dxfId="7553" priority="16569" operator="containsText" text="em andamento">
      <formula>NOT(ISERROR(SEARCH("em andamento",P545)))</formula>
    </cfRule>
    <cfRule type="containsText" dxfId="7552" priority="16578" operator="containsText" text="Lançado">
      <formula>NOT(ISERROR(SEARCH("Lançado",P545)))</formula>
    </cfRule>
    <cfRule type="containsText" dxfId="7551" priority="16570" operator="containsText" text="Lançado">
      <formula>NOT(ISERROR(SEARCH("Lançado",P545)))</formula>
    </cfRule>
    <cfRule type="containsText" dxfId="7550" priority="16571" operator="containsText" text="N/A">
      <formula>NOT(ISERROR(SEARCH("N/A",P545)))</formula>
    </cfRule>
    <cfRule type="containsText" dxfId="7549" priority="16572" operator="containsText" text="Pendente">
      <formula>NOT(ISERROR(SEARCH("Pendente",P545)))</formula>
    </cfRule>
    <cfRule type="containsText" dxfId="7548" priority="16573" operator="containsText" text="Finalizado">
      <formula>NOT(ISERROR(SEARCH("Finalizado",P545)))</formula>
    </cfRule>
    <cfRule type="containsText" dxfId="7547" priority="16574" operator="containsText" text="em andamento">
      <formula>NOT(ISERROR(SEARCH("em andamento",P545)))</formula>
    </cfRule>
    <cfRule type="expression" dxfId="7546" priority="16575">
      <formula>$H545="SUBETAPA"</formula>
    </cfRule>
    <cfRule type="expression" dxfId="7545" priority="16576">
      <formula>$H545="CÉLULA CONSTRUTIVA"</formula>
    </cfRule>
    <cfRule type="containsText" dxfId="7544" priority="16579" operator="containsText" text="N/A">
      <formula>NOT(ISERROR(SEARCH("N/A",P545)))</formula>
    </cfRule>
    <cfRule type="containsText" dxfId="7543" priority="16580" operator="containsText" text="Pendente">
      <formula>NOT(ISERROR(SEARCH("Pendente",P545)))</formula>
    </cfRule>
    <cfRule type="containsText" dxfId="7542" priority="16581" operator="containsText" text="Finalizado">
      <formula>NOT(ISERROR(SEARCH("Finalizado",P545)))</formula>
    </cfRule>
    <cfRule type="expression" dxfId="7541" priority="16562">
      <formula>$H545="SUBETAPA"</formula>
    </cfRule>
    <cfRule type="expression" dxfId="7540" priority="16563">
      <formula>$H545="CÉLULA CONSTRUTIVA"</formula>
    </cfRule>
    <cfRule type="containsText" dxfId="7539" priority="16582" operator="containsText" text="em andamento">
      <formula>NOT(ISERROR(SEARCH("em andamento",P545)))</formula>
    </cfRule>
    <cfRule type="expression" dxfId="7538" priority="16577">
      <formula>$H545="ETAPA"</formula>
    </cfRule>
    <cfRule type="containsText" dxfId="7537" priority="16567" operator="containsText" text="Pendente">
      <formula>NOT(ISERROR(SEARCH("Pendente",P545)))</formula>
    </cfRule>
    <cfRule type="expression" dxfId="7536" priority="16564">
      <formula>$H545="ETAPA"</formula>
    </cfRule>
    <cfRule type="containsText" dxfId="7535" priority="16565" operator="containsText" text="Lançado">
      <formula>NOT(ISERROR(SEARCH("Lançado",P545)))</formula>
    </cfRule>
  </conditionalFormatting>
  <conditionalFormatting sqref="P546 P548 P550 P558 P544">
    <cfRule type="containsText" dxfId="7534" priority="16677" operator="containsText" text="Lançado">
      <formula>NOT(ISERROR(SEARCH("Lançado",P544)))</formula>
    </cfRule>
  </conditionalFormatting>
  <conditionalFormatting sqref="P547">
    <cfRule type="expression" dxfId="7533" priority="16617">
      <formula>$H547="SUBETAPA"</formula>
    </cfRule>
    <cfRule type="expression" dxfId="7532" priority="16618">
      <formula>$H547="CÉLULA CONSTRUTIVA"</formula>
    </cfRule>
    <cfRule type="expression" dxfId="7531" priority="16619">
      <formula>$H547="ETAPA"</formula>
    </cfRule>
    <cfRule type="containsText" dxfId="7530" priority="16620" operator="containsText" text="Lançado">
      <formula>NOT(ISERROR(SEARCH("Lançado",P547)))</formula>
    </cfRule>
    <cfRule type="containsText" dxfId="7529" priority="16621" operator="containsText" text="N/A">
      <formula>NOT(ISERROR(SEARCH("N/A",P547)))</formula>
    </cfRule>
    <cfRule type="containsText" dxfId="7528" priority="16622" operator="containsText" text="Pendente">
      <formula>NOT(ISERROR(SEARCH("Pendente",P547)))</formula>
    </cfRule>
    <cfRule type="containsText" dxfId="7527" priority="16623" operator="containsText" text="Finalizado">
      <formula>NOT(ISERROR(SEARCH("Finalizado",P547)))</formula>
    </cfRule>
    <cfRule type="containsText" dxfId="7526" priority="16624" operator="containsText" text="em andamento">
      <formula>NOT(ISERROR(SEARCH("em andamento",P547)))</formula>
    </cfRule>
    <cfRule type="containsText" dxfId="7525" priority="16608" operator="containsText" text="N/A">
      <formula>NOT(ISERROR(SEARCH("N/A",P547)))</formula>
    </cfRule>
    <cfRule type="expression" dxfId="7524" priority="16604">
      <formula>$H547="SUBETAPA"</formula>
    </cfRule>
    <cfRule type="expression" dxfId="7523" priority="16605">
      <formula>$H547="CÉLULA CONSTRUTIVA"</formula>
    </cfRule>
    <cfRule type="expression" dxfId="7522" priority="16606">
      <formula>$H547="ETAPA"</formula>
    </cfRule>
    <cfRule type="containsText" dxfId="7521" priority="16607" operator="containsText" text="Lançado">
      <formula>NOT(ISERROR(SEARCH("Lançado",P547)))</formula>
    </cfRule>
    <cfRule type="containsText" dxfId="7520" priority="16609" operator="containsText" text="Pendente">
      <formula>NOT(ISERROR(SEARCH("Pendente",P547)))</formula>
    </cfRule>
    <cfRule type="containsText" dxfId="7519" priority="16610" operator="containsText" text="Finalizado">
      <formula>NOT(ISERROR(SEARCH("Finalizado",P547)))</formula>
    </cfRule>
    <cfRule type="containsText" dxfId="7518" priority="16611" operator="containsText" text="em andamento">
      <formula>NOT(ISERROR(SEARCH("em andamento",P547)))</formula>
    </cfRule>
    <cfRule type="containsText" dxfId="7517" priority="16612" operator="containsText" text="Lançado">
      <formula>NOT(ISERROR(SEARCH("Lançado",P547)))</formula>
    </cfRule>
    <cfRule type="containsText" dxfId="7516" priority="16613" operator="containsText" text="N/A">
      <formula>NOT(ISERROR(SEARCH("N/A",P547)))</formula>
    </cfRule>
    <cfRule type="containsText" dxfId="7515" priority="16614" operator="containsText" text="Pendente">
      <formula>NOT(ISERROR(SEARCH("Pendente",P547)))</formula>
    </cfRule>
    <cfRule type="containsText" dxfId="7514" priority="16615" operator="containsText" text="Finalizado">
      <formula>NOT(ISERROR(SEARCH("Finalizado",P547)))</formula>
    </cfRule>
    <cfRule type="containsText" dxfId="7513" priority="16616" operator="containsText" text="em andamento">
      <formula>NOT(ISERROR(SEARCH("em andamento",P547)))</formula>
    </cfRule>
  </conditionalFormatting>
  <conditionalFormatting sqref="P549">
    <cfRule type="expression" dxfId="7512" priority="16639">
      <formula>$H549="CÉLULA CONSTRUTIVA"</formula>
    </cfRule>
    <cfRule type="containsText" dxfId="7511" priority="16630" operator="containsText" text="Pendente">
      <formula>NOT(ISERROR(SEARCH("Pendente",P549)))</formula>
    </cfRule>
    <cfRule type="containsText" dxfId="7510" priority="16632" operator="containsText" text="em andamento">
      <formula>NOT(ISERROR(SEARCH("em andamento",P549)))</formula>
    </cfRule>
    <cfRule type="expression" dxfId="7509" priority="16625">
      <formula>$H549="SUBETAPA"</formula>
    </cfRule>
    <cfRule type="containsText" dxfId="7508" priority="16641" operator="containsText" text="Lançado">
      <formula>NOT(ISERROR(SEARCH("Lançado",P549)))</formula>
    </cfRule>
    <cfRule type="expression" dxfId="7507" priority="16640">
      <formula>$H549="ETAPA"</formula>
    </cfRule>
    <cfRule type="expression" dxfId="7506" priority="16626">
      <formula>$H549="CÉLULA CONSTRUTIVA"</formula>
    </cfRule>
    <cfRule type="expression" dxfId="7505" priority="16638">
      <formula>$H549="SUBETAPA"</formula>
    </cfRule>
    <cfRule type="containsText" dxfId="7504" priority="16637" operator="containsText" text="em andamento">
      <formula>NOT(ISERROR(SEARCH("em andamento",P549)))</formula>
    </cfRule>
    <cfRule type="containsText" dxfId="7503" priority="16636" operator="containsText" text="Finalizado">
      <formula>NOT(ISERROR(SEARCH("Finalizado",P549)))</formula>
    </cfRule>
    <cfRule type="containsText" dxfId="7502" priority="16629" operator="containsText" text="N/A">
      <formula>NOT(ISERROR(SEARCH("N/A",P549)))</formula>
    </cfRule>
    <cfRule type="expression" dxfId="7501" priority="16627">
      <formula>$H549="ETAPA"</formula>
    </cfRule>
    <cfRule type="containsText" dxfId="7500" priority="16628" operator="containsText" text="Lançado">
      <formula>NOT(ISERROR(SEARCH("Lançado",P549)))</formula>
    </cfRule>
    <cfRule type="containsText" dxfId="7499" priority="16635" operator="containsText" text="Pendente">
      <formula>NOT(ISERROR(SEARCH("Pendente",P549)))</formula>
    </cfRule>
    <cfRule type="containsText" dxfId="7498" priority="16634" operator="containsText" text="N/A">
      <formula>NOT(ISERROR(SEARCH("N/A",P549)))</formula>
    </cfRule>
    <cfRule type="containsText" dxfId="7497" priority="16633" operator="containsText" text="Lançado">
      <formula>NOT(ISERROR(SEARCH("Lançado",P549)))</formula>
    </cfRule>
    <cfRule type="containsText" dxfId="7496" priority="16631" operator="containsText" text="Finalizado">
      <formula>NOT(ISERROR(SEARCH("Finalizado",P549)))</formula>
    </cfRule>
    <cfRule type="containsText" dxfId="7495" priority="16645" operator="containsText" text="em andamento">
      <formula>NOT(ISERROR(SEARCH("em andamento",P549)))</formula>
    </cfRule>
    <cfRule type="containsText" dxfId="7494" priority="16642" operator="containsText" text="N/A">
      <formula>NOT(ISERROR(SEARCH("N/A",P549)))</formula>
    </cfRule>
    <cfRule type="containsText" dxfId="7493" priority="16643" operator="containsText" text="Pendente">
      <formula>NOT(ISERROR(SEARCH("Pendente",P549)))</formula>
    </cfRule>
    <cfRule type="containsText" dxfId="7492" priority="16644" operator="containsText" text="Finalizado">
      <formula>NOT(ISERROR(SEARCH("Finalizado",P549)))</formula>
    </cfRule>
  </conditionalFormatting>
  <conditionalFormatting sqref="P551 P553 P555 P557">
    <cfRule type="containsText" dxfId="7491" priority="16652" operator="containsText" text="Finalizado">
      <formula>NOT(ISERROR(SEARCH("Finalizado",P551)))</formula>
    </cfRule>
    <cfRule type="expression" dxfId="7490" priority="16646">
      <formula>$H551="SUBETAPA"</formula>
    </cfRule>
    <cfRule type="expression" dxfId="7489" priority="16647">
      <formula>$H551="CÉLULA CONSTRUTIVA"</formula>
    </cfRule>
    <cfRule type="expression" dxfId="7488" priority="16648">
      <formula>$H551="ETAPA"</formula>
    </cfRule>
    <cfRule type="containsText" dxfId="7487" priority="16650" operator="containsText" text="N/A">
      <formula>NOT(ISERROR(SEARCH("N/A",P551)))</formula>
    </cfRule>
    <cfRule type="containsText" dxfId="7486" priority="16649" operator="containsText" text="Lançado">
      <formula>NOT(ISERROR(SEARCH("Lançado",P551)))</formula>
    </cfRule>
    <cfRule type="containsText" dxfId="7485" priority="16651" operator="containsText" text="Pendente">
      <formula>NOT(ISERROR(SEARCH("Pendente",P551)))</formula>
    </cfRule>
    <cfRule type="containsText" dxfId="7484" priority="16653" operator="containsText" text="em andamento">
      <formula>NOT(ISERROR(SEARCH("em andamento",P551)))</formula>
    </cfRule>
    <cfRule type="containsText" dxfId="7483" priority="16654" operator="containsText" text="Lançado">
      <formula>NOT(ISERROR(SEARCH("Lançado",P551)))</formula>
    </cfRule>
    <cfRule type="containsText" dxfId="7482" priority="16655" operator="containsText" text="N/A">
      <formula>NOT(ISERROR(SEARCH("N/A",P551)))</formula>
    </cfRule>
    <cfRule type="containsText" dxfId="7481" priority="16656" operator="containsText" text="Pendente">
      <formula>NOT(ISERROR(SEARCH("Pendente",P551)))</formula>
    </cfRule>
    <cfRule type="containsText" dxfId="7480" priority="16657" operator="containsText" text="Finalizado">
      <formula>NOT(ISERROR(SEARCH("Finalizado",P551)))</formula>
    </cfRule>
    <cfRule type="containsText" dxfId="7479" priority="16658" operator="containsText" text="em andamento">
      <formula>NOT(ISERROR(SEARCH("em andamento",P551)))</formula>
    </cfRule>
    <cfRule type="expression" dxfId="7478" priority="16659">
      <formula>$H551="SUBETAPA"</formula>
    </cfRule>
    <cfRule type="expression" dxfId="7477" priority="16660">
      <formula>$H551="CÉLULA CONSTRUTIVA"</formula>
    </cfRule>
    <cfRule type="containsText" dxfId="7476" priority="16662" operator="containsText" text="Lançado">
      <formula>NOT(ISERROR(SEARCH("Lançado",P551)))</formula>
    </cfRule>
    <cfRule type="expression" dxfId="7475" priority="16661">
      <formula>$H551="ETAPA"</formula>
    </cfRule>
    <cfRule type="containsText" dxfId="7474" priority="16663" operator="containsText" text="N/A">
      <formula>NOT(ISERROR(SEARCH("N/A",P551)))</formula>
    </cfRule>
    <cfRule type="containsText" dxfId="7473" priority="16664" operator="containsText" text="Pendente">
      <formula>NOT(ISERROR(SEARCH("Pendente",P551)))</formula>
    </cfRule>
    <cfRule type="containsText" dxfId="7472" priority="16665" operator="containsText" text="Finalizado">
      <formula>NOT(ISERROR(SEARCH("Finalizado",P551)))</formula>
    </cfRule>
    <cfRule type="containsText" dxfId="7471" priority="16666" operator="containsText" text="em andamento">
      <formula>NOT(ISERROR(SEARCH("em andamento",P551)))</formula>
    </cfRule>
  </conditionalFormatting>
  <conditionalFormatting sqref="P552">
    <cfRule type="containsText" dxfId="7470" priority="16550" operator="containsText" text="em andamento">
      <formula>NOT(ISERROR(SEARCH("em andamento",P552)))</formula>
    </cfRule>
    <cfRule type="containsText" dxfId="7469" priority="16547" operator="containsText" text="N/A">
      <formula>NOT(ISERROR(SEARCH("N/A",P552)))</formula>
    </cfRule>
    <cfRule type="containsText" dxfId="7468" priority="16546" operator="containsText" text="Lançado">
      <formula>NOT(ISERROR(SEARCH("Lançado",P552)))</formula>
    </cfRule>
    <cfRule type="expression" dxfId="7467" priority="16545">
      <formula>$H552="ETAPA"</formula>
    </cfRule>
    <cfRule type="expression" dxfId="7466" priority="16544">
      <formula>$H552="CÉLULA CONSTRUTIVA"</formula>
    </cfRule>
    <cfRule type="containsText" dxfId="7465" priority="16549" operator="containsText" text="Finalizado">
      <formula>NOT(ISERROR(SEARCH("Finalizado",P552)))</formula>
    </cfRule>
    <cfRule type="containsText" dxfId="7464" priority="16553" operator="containsText" text="Pendente">
      <formula>NOT(ISERROR(SEARCH("Pendente",P552)))</formula>
    </cfRule>
    <cfRule type="containsText" dxfId="7463" priority="16554" operator="containsText" text="Finalizado">
      <formula>NOT(ISERROR(SEARCH("Finalizado",P552)))</formula>
    </cfRule>
    <cfRule type="containsText" dxfId="7462" priority="16555" operator="containsText" text="em andamento">
      <formula>NOT(ISERROR(SEARCH("em andamento",P552)))</formula>
    </cfRule>
    <cfRule type="containsText" dxfId="7461" priority="16548" operator="containsText" text="Pendente">
      <formula>NOT(ISERROR(SEARCH("Pendente",P552)))</formula>
    </cfRule>
    <cfRule type="containsText" dxfId="7460" priority="16552" operator="containsText" text="N/A">
      <formula>NOT(ISERROR(SEARCH("N/A",P552)))</formula>
    </cfRule>
    <cfRule type="containsText" dxfId="7459" priority="16551" operator="containsText" text="Lançado">
      <formula>NOT(ISERROR(SEARCH("Lançado",P552)))</formula>
    </cfRule>
  </conditionalFormatting>
  <conditionalFormatting sqref="P554">
    <cfRule type="containsText" dxfId="7458" priority="16539" operator="containsText" text="Finalizado">
      <formula>NOT(ISERROR(SEARCH("Finalizado",P554)))</formula>
    </cfRule>
    <cfRule type="expression" dxfId="7457" priority="16529">
      <formula>$H554="CÉLULA CONSTRUTIVA"</formula>
    </cfRule>
    <cfRule type="expression" dxfId="7456" priority="16530">
      <formula>$H554="ETAPA"</formula>
    </cfRule>
    <cfRule type="containsText" dxfId="7455" priority="16531" operator="containsText" text="Lançado">
      <formula>NOT(ISERROR(SEARCH("Lançado",P554)))</formula>
    </cfRule>
    <cfRule type="containsText" dxfId="7454" priority="16533" operator="containsText" text="Pendente">
      <formula>NOT(ISERROR(SEARCH("Pendente",P554)))</formula>
    </cfRule>
    <cfRule type="containsText" dxfId="7453" priority="16534" operator="containsText" text="Finalizado">
      <formula>NOT(ISERROR(SEARCH("Finalizado",P554)))</formula>
    </cfRule>
    <cfRule type="containsText" dxfId="7452" priority="16535" operator="containsText" text="em andamento">
      <formula>NOT(ISERROR(SEARCH("em andamento",P554)))</formula>
    </cfRule>
    <cfRule type="containsText" dxfId="7451" priority="16536" operator="containsText" text="Lançado">
      <formula>NOT(ISERROR(SEARCH("Lançado",P554)))</formula>
    </cfRule>
    <cfRule type="containsText" dxfId="7450" priority="16538" operator="containsText" text="Pendente">
      <formula>NOT(ISERROR(SEARCH("Pendente",P554)))</formula>
    </cfRule>
    <cfRule type="containsText" dxfId="7449" priority="16537" operator="containsText" text="N/A">
      <formula>NOT(ISERROR(SEARCH("N/A",P554)))</formula>
    </cfRule>
    <cfRule type="containsText" dxfId="7448" priority="16540" operator="containsText" text="em andamento">
      <formula>NOT(ISERROR(SEARCH("em andamento",P554)))</formula>
    </cfRule>
    <cfRule type="containsText" dxfId="7447" priority="16532" operator="containsText" text="N/A">
      <formula>NOT(ISERROR(SEARCH("N/A",P554)))</formula>
    </cfRule>
  </conditionalFormatting>
  <conditionalFormatting sqref="P556">
    <cfRule type="containsText" dxfId="7446" priority="16525" operator="containsText" text="em andamento">
      <formula>NOT(ISERROR(SEARCH("em andamento",P556)))</formula>
    </cfRule>
    <cfRule type="containsText" dxfId="7445" priority="16519" operator="containsText" text="Finalizado">
      <formula>NOT(ISERROR(SEARCH("Finalizado",P556)))</formula>
    </cfRule>
    <cfRule type="containsText" dxfId="7444" priority="16522" operator="containsText" text="N/A">
      <formula>NOT(ISERROR(SEARCH("N/A",P556)))</formula>
    </cfRule>
    <cfRule type="containsText" dxfId="7443" priority="16520" operator="containsText" text="em andamento">
      <formula>NOT(ISERROR(SEARCH("em andamento",P556)))</formula>
    </cfRule>
    <cfRule type="containsText" dxfId="7442" priority="16524" operator="containsText" text="Finalizado">
      <formula>NOT(ISERROR(SEARCH("Finalizado",P556)))</formula>
    </cfRule>
    <cfRule type="expression" dxfId="7441" priority="16514">
      <formula>$H556="CÉLULA CONSTRUTIVA"</formula>
    </cfRule>
    <cfRule type="expression" dxfId="7440" priority="16515">
      <formula>$H556="ETAPA"</formula>
    </cfRule>
    <cfRule type="containsText" dxfId="7439" priority="16516" operator="containsText" text="Lançado">
      <formula>NOT(ISERROR(SEARCH("Lançado",P556)))</formula>
    </cfRule>
    <cfRule type="containsText" dxfId="7438" priority="16517" operator="containsText" text="N/A">
      <formula>NOT(ISERROR(SEARCH("N/A",P556)))</formula>
    </cfRule>
    <cfRule type="containsText" dxfId="7437" priority="16523" operator="containsText" text="Pendente">
      <formula>NOT(ISERROR(SEARCH("Pendente",P556)))</formula>
    </cfRule>
    <cfRule type="containsText" dxfId="7436" priority="16521" operator="containsText" text="Lançado">
      <formula>NOT(ISERROR(SEARCH("Lançado",P556)))</formula>
    </cfRule>
    <cfRule type="containsText" dxfId="7435" priority="16518" operator="containsText" text="Pendente">
      <formula>NOT(ISERROR(SEARCH("Pendente",P556)))</formula>
    </cfRule>
  </conditionalFormatting>
  <conditionalFormatting sqref="P560:P561 P563 P565 P567 P575">
    <cfRule type="containsText" dxfId="7434" priority="16507" operator="containsText" text="N/A">
      <formula>NOT(ISERROR(SEARCH("N/A",P560)))</formula>
    </cfRule>
    <cfRule type="containsText" dxfId="7433" priority="16509" operator="containsText" text="Finalizado">
      <formula>NOT(ISERROR(SEARCH("Finalizado",P560)))</formula>
    </cfRule>
    <cfRule type="containsText" dxfId="7432" priority="16506" operator="containsText" text="Lançado">
      <formula>NOT(ISERROR(SEARCH("Lançado",P560)))</formula>
    </cfRule>
    <cfRule type="containsText" dxfId="7431" priority="16508" operator="containsText" text="Pendente">
      <formula>NOT(ISERROR(SEARCH("Pendente",P560)))</formula>
    </cfRule>
    <cfRule type="containsText" dxfId="7430" priority="16510" operator="containsText" text="em andamento">
      <formula>NOT(ISERROR(SEARCH("em andamento",P560)))</formula>
    </cfRule>
  </conditionalFormatting>
  <conditionalFormatting sqref="P561 P563 P565 P567 P575">
    <cfRule type="containsText" dxfId="7429" priority="16502" operator="containsText" text="em andamento">
      <formula>NOT(ISERROR(SEARCH("em andamento",P561)))</formula>
    </cfRule>
    <cfRule type="containsText" dxfId="7428" priority="16500" operator="containsText" text="Pendente">
      <formula>NOT(ISERROR(SEARCH("Pendente",P561)))</formula>
    </cfRule>
    <cfRule type="containsText" dxfId="7427" priority="16501" operator="containsText" text="Finalizado">
      <formula>NOT(ISERROR(SEARCH("Finalizado",P561)))</formula>
    </cfRule>
  </conditionalFormatting>
  <conditionalFormatting sqref="P561 P565 P567 P575 P563">
    <cfRule type="containsText" dxfId="7426" priority="16499" operator="containsText" text="N/A">
      <formula>NOT(ISERROR(SEARCH("N/A",P561)))</formula>
    </cfRule>
  </conditionalFormatting>
  <conditionalFormatting sqref="P561 P565 P567 P575">
    <cfRule type="expression" dxfId="7425" priority="16496">
      <formula>$H561="CÉLULA CONSTRUTIVA"</formula>
    </cfRule>
  </conditionalFormatting>
  <conditionalFormatting sqref="P561">
    <cfRule type="expression" dxfId="7424" priority="16495">
      <formula>$H561="SUBETAPA"</formula>
    </cfRule>
  </conditionalFormatting>
  <conditionalFormatting sqref="P562">
    <cfRule type="containsText" dxfId="7423" priority="16389" operator="containsText" text="Finalizado">
      <formula>NOT(ISERROR(SEARCH("Finalizado",P562)))</formula>
    </cfRule>
    <cfRule type="containsText" dxfId="7422" priority="16399" operator="containsText" text="Lançado">
      <formula>NOT(ISERROR(SEARCH("Lançado",P562)))</formula>
    </cfRule>
    <cfRule type="expression" dxfId="7421" priority="16396">
      <formula>$H562="SUBETAPA"</formula>
    </cfRule>
    <cfRule type="containsText" dxfId="7420" priority="16400" operator="containsText" text="N/A">
      <formula>NOT(ISERROR(SEARCH("N/A",P562)))</formula>
    </cfRule>
    <cfRule type="containsText" dxfId="7419" priority="16390" operator="containsText" text="em andamento">
      <formula>NOT(ISERROR(SEARCH("em andamento",P562)))</formula>
    </cfRule>
    <cfRule type="containsText" dxfId="7418" priority="16401" operator="containsText" text="Pendente">
      <formula>NOT(ISERROR(SEARCH("Pendente",P562)))</formula>
    </cfRule>
    <cfRule type="containsText" dxfId="7417" priority="16388" operator="containsText" text="Pendente">
      <formula>NOT(ISERROR(SEARCH("Pendente",P562)))</formula>
    </cfRule>
    <cfRule type="containsText" dxfId="7416" priority="16387" operator="containsText" text="N/A">
      <formula>NOT(ISERROR(SEARCH("N/A",P562)))</formula>
    </cfRule>
    <cfRule type="containsText" dxfId="7415" priority="16386" operator="containsText" text="Lançado">
      <formula>NOT(ISERROR(SEARCH("Lançado",P562)))</formula>
    </cfRule>
    <cfRule type="expression" dxfId="7414" priority="16385">
      <formula>$H562="ETAPA"</formula>
    </cfRule>
    <cfRule type="expression" dxfId="7413" priority="16383">
      <formula>$H562="SUBETAPA"</formula>
    </cfRule>
    <cfRule type="containsText" dxfId="7412" priority="16402" operator="containsText" text="Finalizado">
      <formula>NOT(ISERROR(SEARCH("Finalizado",P562)))</formula>
    </cfRule>
    <cfRule type="containsText" dxfId="7411" priority="16395" operator="containsText" text="em andamento">
      <formula>NOT(ISERROR(SEARCH("em andamento",P562)))</formula>
    </cfRule>
    <cfRule type="containsText" dxfId="7410" priority="16393" operator="containsText" text="Pendente">
      <formula>NOT(ISERROR(SEARCH("Pendente",P562)))</formula>
    </cfRule>
    <cfRule type="containsText" dxfId="7409" priority="16392" operator="containsText" text="N/A">
      <formula>NOT(ISERROR(SEARCH("N/A",P562)))</formula>
    </cfRule>
    <cfRule type="containsText" dxfId="7408" priority="16403" operator="containsText" text="em andamento">
      <formula>NOT(ISERROR(SEARCH("em andamento",P562)))</formula>
    </cfRule>
    <cfRule type="containsText" dxfId="7407" priority="16391" operator="containsText" text="Lançado">
      <formula>NOT(ISERROR(SEARCH("Lançado",P562)))</formula>
    </cfRule>
    <cfRule type="expression" dxfId="7406" priority="16397">
      <formula>$H562="CÉLULA CONSTRUTIVA"</formula>
    </cfRule>
    <cfRule type="containsText" dxfId="7405" priority="16394" operator="containsText" text="Finalizado">
      <formula>NOT(ISERROR(SEARCH("Finalizado",P562)))</formula>
    </cfRule>
    <cfRule type="expression" dxfId="7404" priority="16384">
      <formula>$H562="CÉLULA CONSTRUTIVA"</formula>
    </cfRule>
    <cfRule type="expression" dxfId="7403" priority="16398">
      <formula>$H562="ETAPA"</formula>
    </cfRule>
  </conditionalFormatting>
  <conditionalFormatting sqref="P563 P565 P567 P575 P561">
    <cfRule type="containsText" dxfId="7402" priority="16498" operator="containsText" text="Lançado">
      <formula>NOT(ISERROR(SEARCH("Lançado",P561)))</formula>
    </cfRule>
  </conditionalFormatting>
  <conditionalFormatting sqref="P564">
    <cfRule type="expression" dxfId="7401" priority="16425">
      <formula>$H564="SUBETAPA"</formula>
    </cfRule>
    <cfRule type="expression" dxfId="7400" priority="16426">
      <formula>$H564="CÉLULA CONSTRUTIVA"</formula>
    </cfRule>
    <cfRule type="expression" dxfId="7399" priority="16427">
      <formula>$H564="ETAPA"</formula>
    </cfRule>
    <cfRule type="containsText" dxfId="7398" priority="16428" operator="containsText" text="Lançado">
      <formula>NOT(ISERROR(SEARCH("Lançado",P564)))</formula>
    </cfRule>
    <cfRule type="containsText" dxfId="7397" priority="16429" operator="containsText" text="N/A">
      <formula>NOT(ISERROR(SEARCH("N/A",P564)))</formula>
    </cfRule>
    <cfRule type="containsText" dxfId="7396" priority="16430" operator="containsText" text="Pendente">
      <formula>NOT(ISERROR(SEARCH("Pendente",P564)))</formula>
    </cfRule>
    <cfRule type="expression" dxfId="7395" priority="16440">
      <formula>$H564="ETAPA"</formula>
    </cfRule>
    <cfRule type="containsText" dxfId="7394" priority="16441" operator="containsText" text="Lançado">
      <formula>NOT(ISERROR(SEARCH("Lançado",P564)))</formula>
    </cfRule>
    <cfRule type="containsText" dxfId="7393" priority="16442" operator="containsText" text="N/A">
      <formula>NOT(ISERROR(SEARCH("N/A",P564)))</formula>
    </cfRule>
    <cfRule type="expression" dxfId="7392" priority="16439">
      <formula>$H564="CÉLULA CONSTRUTIVA"</formula>
    </cfRule>
    <cfRule type="containsText" dxfId="7391" priority="16445" operator="containsText" text="em andamento">
      <formula>NOT(ISERROR(SEARCH("em andamento",P564)))</formula>
    </cfRule>
    <cfRule type="containsText" dxfId="7390" priority="16432" operator="containsText" text="em andamento">
      <formula>NOT(ISERROR(SEARCH("em andamento",P564)))</formula>
    </cfRule>
    <cfRule type="containsText" dxfId="7389" priority="16431" operator="containsText" text="Finalizado">
      <formula>NOT(ISERROR(SEARCH("Finalizado",P564)))</formula>
    </cfRule>
    <cfRule type="expression" dxfId="7388" priority="16438">
      <formula>$H564="SUBETAPA"</formula>
    </cfRule>
    <cfRule type="containsText" dxfId="7387" priority="16444" operator="containsText" text="Finalizado">
      <formula>NOT(ISERROR(SEARCH("Finalizado",P564)))</formula>
    </cfRule>
    <cfRule type="containsText" dxfId="7386" priority="16437" operator="containsText" text="em andamento">
      <formula>NOT(ISERROR(SEARCH("em andamento",P564)))</formula>
    </cfRule>
    <cfRule type="containsText" dxfId="7385" priority="16436" operator="containsText" text="Finalizado">
      <formula>NOT(ISERROR(SEARCH("Finalizado",P564)))</formula>
    </cfRule>
    <cfRule type="containsText" dxfId="7384" priority="16433" operator="containsText" text="Lançado">
      <formula>NOT(ISERROR(SEARCH("Lançado",P564)))</formula>
    </cfRule>
    <cfRule type="containsText" dxfId="7383" priority="16435" operator="containsText" text="Pendente">
      <formula>NOT(ISERROR(SEARCH("Pendente",P564)))</formula>
    </cfRule>
    <cfRule type="containsText" dxfId="7382" priority="16434" operator="containsText" text="N/A">
      <formula>NOT(ISERROR(SEARCH("N/A",P564)))</formula>
    </cfRule>
    <cfRule type="containsText" dxfId="7381" priority="16443" operator="containsText" text="Pendente">
      <formula>NOT(ISERROR(SEARCH("Pendente",P564)))</formula>
    </cfRule>
  </conditionalFormatting>
  <conditionalFormatting sqref="P566">
    <cfRule type="expression" dxfId="7380" priority="16447">
      <formula>$H566="CÉLULA CONSTRUTIVA"</formula>
    </cfRule>
    <cfRule type="expression" dxfId="7379" priority="16446">
      <formula>$H566="SUBETAPA"</formula>
    </cfRule>
    <cfRule type="expression" dxfId="7378" priority="16461">
      <formula>$H566="ETAPA"</formula>
    </cfRule>
    <cfRule type="containsText" dxfId="7377" priority="16452" operator="containsText" text="Finalizado">
      <formula>NOT(ISERROR(SEARCH("Finalizado",P566)))</formula>
    </cfRule>
    <cfRule type="expression" dxfId="7376" priority="16460">
      <formula>$H566="CÉLULA CONSTRUTIVA"</formula>
    </cfRule>
    <cfRule type="expression" dxfId="7375" priority="16459">
      <formula>$H566="SUBETAPA"</formula>
    </cfRule>
    <cfRule type="containsText" dxfId="7374" priority="16458" operator="containsText" text="em andamento">
      <formula>NOT(ISERROR(SEARCH("em andamento",P566)))</formula>
    </cfRule>
    <cfRule type="containsText" dxfId="7373" priority="16457" operator="containsText" text="Finalizado">
      <formula>NOT(ISERROR(SEARCH("Finalizado",P566)))</formula>
    </cfRule>
    <cfRule type="containsText" dxfId="7372" priority="16456" operator="containsText" text="Pendente">
      <formula>NOT(ISERROR(SEARCH("Pendente",P566)))</formula>
    </cfRule>
    <cfRule type="containsText" dxfId="7371" priority="16462" operator="containsText" text="Lançado">
      <formula>NOT(ISERROR(SEARCH("Lançado",P566)))</formula>
    </cfRule>
    <cfRule type="containsText" dxfId="7370" priority="16463" operator="containsText" text="N/A">
      <formula>NOT(ISERROR(SEARCH("N/A",P566)))</formula>
    </cfRule>
    <cfRule type="containsText" dxfId="7369" priority="16464" operator="containsText" text="Pendente">
      <formula>NOT(ISERROR(SEARCH("Pendente",P566)))</formula>
    </cfRule>
    <cfRule type="containsText" dxfId="7368" priority="16465" operator="containsText" text="Finalizado">
      <formula>NOT(ISERROR(SEARCH("Finalizado",P566)))</formula>
    </cfRule>
    <cfRule type="containsText" dxfId="7367" priority="16455" operator="containsText" text="N/A">
      <formula>NOT(ISERROR(SEARCH("N/A",P566)))</formula>
    </cfRule>
    <cfRule type="containsText" dxfId="7366" priority="16466" operator="containsText" text="em andamento">
      <formula>NOT(ISERROR(SEARCH("em andamento",P566)))</formula>
    </cfRule>
    <cfRule type="containsText" dxfId="7365" priority="16454" operator="containsText" text="Lançado">
      <formula>NOT(ISERROR(SEARCH("Lançado",P566)))</formula>
    </cfRule>
    <cfRule type="containsText" dxfId="7364" priority="16453" operator="containsText" text="em andamento">
      <formula>NOT(ISERROR(SEARCH("em andamento",P566)))</formula>
    </cfRule>
    <cfRule type="expression" dxfId="7363" priority="16448">
      <formula>$H566="ETAPA"</formula>
    </cfRule>
    <cfRule type="containsText" dxfId="7362" priority="16451" operator="containsText" text="Pendente">
      <formula>NOT(ISERROR(SEARCH("Pendente",P566)))</formula>
    </cfRule>
    <cfRule type="containsText" dxfId="7361" priority="16450" operator="containsText" text="N/A">
      <formula>NOT(ISERROR(SEARCH("N/A",P566)))</formula>
    </cfRule>
    <cfRule type="containsText" dxfId="7360" priority="16449" operator="containsText" text="Lançado">
      <formula>NOT(ISERROR(SEARCH("Lançado",P566)))</formula>
    </cfRule>
  </conditionalFormatting>
  <conditionalFormatting sqref="P568 P570 P572 P574">
    <cfRule type="expression" dxfId="7359" priority="16468">
      <formula>$H568="CÉLULA CONSTRUTIVA"</formula>
    </cfRule>
    <cfRule type="containsText" dxfId="7358" priority="16472" operator="containsText" text="Pendente">
      <formula>NOT(ISERROR(SEARCH("Pendente",P568)))</formula>
    </cfRule>
    <cfRule type="containsText" dxfId="7357" priority="16476" operator="containsText" text="N/A">
      <formula>NOT(ISERROR(SEARCH("N/A",P568)))</formula>
    </cfRule>
    <cfRule type="expression" dxfId="7356" priority="16467">
      <formula>$H568="SUBETAPA"</formula>
    </cfRule>
    <cfRule type="containsText" dxfId="7355" priority="16479" operator="containsText" text="em andamento">
      <formula>NOT(ISERROR(SEARCH("em andamento",P568)))</formula>
    </cfRule>
    <cfRule type="expression" dxfId="7354" priority="16482">
      <formula>$H568="ETAPA"</formula>
    </cfRule>
    <cfRule type="expression" dxfId="7353" priority="16480">
      <formula>$H568="SUBETAPA"</formula>
    </cfRule>
    <cfRule type="expression" dxfId="7352" priority="16481">
      <formula>$H568="CÉLULA CONSTRUTIVA"</formula>
    </cfRule>
    <cfRule type="containsText" dxfId="7351" priority="16477" operator="containsText" text="Pendente">
      <formula>NOT(ISERROR(SEARCH("Pendente",P568)))</formula>
    </cfRule>
    <cfRule type="containsText" dxfId="7350" priority="16473" operator="containsText" text="Finalizado">
      <formula>NOT(ISERROR(SEARCH("Finalizado",P568)))</formula>
    </cfRule>
    <cfRule type="containsText" dxfId="7349" priority="16487" operator="containsText" text="em andamento">
      <formula>NOT(ISERROR(SEARCH("em andamento",P568)))</formula>
    </cfRule>
    <cfRule type="containsText" dxfId="7348" priority="16486" operator="containsText" text="Finalizado">
      <formula>NOT(ISERROR(SEARCH("Finalizado",P568)))</formula>
    </cfRule>
    <cfRule type="containsText" dxfId="7347" priority="16485" operator="containsText" text="Pendente">
      <formula>NOT(ISERROR(SEARCH("Pendente",P568)))</formula>
    </cfRule>
    <cfRule type="containsText" dxfId="7346" priority="16474" operator="containsText" text="em andamento">
      <formula>NOT(ISERROR(SEARCH("em andamento",P568)))</formula>
    </cfRule>
    <cfRule type="containsText" dxfId="7345" priority="16484" operator="containsText" text="N/A">
      <formula>NOT(ISERROR(SEARCH("N/A",P568)))</formula>
    </cfRule>
    <cfRule type="containsText" dxfId="7344" priority="16483" operator="containsText" text="Lançado">
      <formula>NOT(ISERROR(SEARCH("Lançado",P568)))</formula>
    </cfRule>
    <cfRule type="containsText" dxfId="7343" priority="16471" operator="containsText" text="N/A">
      <formula>NOT(ISERROR(SEARCH("N/A",P568)))</formula>
    </cfRule>
    <cfRule type="containsText" dxfId="7342" priority="16478" operator="containsText" text="Finalizado">
      <formula>NOT(ISERROR(SEARCH("Finalizado",P568)))</formula>
    </cfRule>
    <cfRule type="containsText" dxfId="7341" priority="16475" operator="containsText" text="Lançado">
      <formula>NOT(ISERROR(SEARCH("Lançado",P568)))</formula>
    </cfRule>
    <cfRule type="containsText" dxfId="7340" priority="16470" operator="containsText" text="Lançado">
      <formula>NOT(ISERROR(SEARCH("Lançado",P568)))</formula>
    </cfRule>
    <cfRule type="expression" dxfId="7339" priority="16469">
      <formula>$H568="ETAPA"</formula>
    </cfRule>
  </conditionalFormatting>
  <conditionalFormatting sqref="P569">
    <cfRule type="containsText" dxfId="7338" priority="16373" operator="containsText" text="N/A">
      <formula>NOT(ISERROR(SEARCH("N/A",P569)))</formula>
    </cfRule>
    <cfRule type="containsText" dxfId="7337" priority="16375" operator="containsText" text="Finalizado">
      <formula>NOT(ISERROR(SEARCH("Finalizado",P569)))</formula>
    </cfRule>
    <cfRule type="containsText" dxfId="7336" priority="16374" operator="containsText" text="Pendente">
      <formula>NOT(ISERROR(SEARCH("Pendente",P569)))</formula>
    </cfRule>
    <cfRule type="containsText" dxfId="7335" priority="16376" operator="containsText" text="em andamento">
      <formula>NOT(ISERROR(SEARCH("em andamento",P569)))</formula>
    </cfRule>
    <cfRule type="containsText" dxfId="7334" priority="16368" operator="containsText" text="N/A">
      <formula>NOT(ISERROR(SEARCH("N/A",P569)))</formula>
    </cfRule>
    <cfRule type="expression" dxfId="7333" priority="16365">
      <formula>$H569="CÉLULA CONSTRUTIVA"</formula>
    </cfRule>
    <cfRule type="expression" dxfId="7332" priority="16366">
      <formula>$H569="ETAPA"</formula>
    </cfRule>
    <cfRule type="containsText" dxfId="7331" priority="16367" operator="containsText" text="Lançado">
      <formula>NOT(ISERROR(SEARCH("Lançado",P569)))</formula>
    </cfRule>
    <cfRule type="containsText" dxfId="7330" priority="16369" operator="containsText" text="Pendente">
      <formula>NOT(ISERROR(SEARCH("Pendente",P569)))</formula>
    </cfRule>
    <cfRule type="containsText" dxfId="7329" priority="16370" operator="containsText" text="Finalizado">
      <formula>NOT(ISERROR(SEARCH("Finalizado",P569)))</formula>
    </cfRule>
    <cfRule type="containsText" dxfId="7328" priority="16371" operator="containsText" text="em andamento">
      <formula>NOT(ISERROR(SEARCH("em andamento",P569)))</formula>
    </cfRule>
    <cfRule type="containsText" dxfId="7327" priority="16372" operator="containsText" text="Lançado">
      <formula>NOT(ISERROR(SEARCH("Lançado",P569)))</formula>
    </cfRule>
  </conditionalFormatting>
  <conditionalFormatting sqref="P571">
    <cfRule type="containsText" dxfId="7326" priority="16357" operator="containsText" text="Lançado">
      <formula>NOT(ISERROR(SEARCH("Lançado",P571)))</formula>
    </cfRule>
    <cfRule type="expression" dxfId="7325" priority="16351">
      <formula>$H571="ETAPA"</formula>
    </cfRule>
    <cfRule type="expression" dxfId="7324" priority="16350">
      <formula>$H571="CÉLULA CONSTRUTIVA"</formula>
    </cfRule>
    <cfRule type="containsText" dxfId="7323" priority="16353" operator="containsText" text="N/A">
      <formula>NOT(ISERROR(SEARCH("N/A",P571)))</formula>
    </cfRule>
    <cfRule type="containsText" dxfId="7322" priority="16352" operator="containsText" text="Lançado">
      <formula>NOT(ISERROR(SEARCH("Lançado",P571)))</formula>
    </cfRule>
    <cfRule type="containsText" dxfId="7321" priority="16354" operator="containsText" text="Pendente">
      <formula>NOT(ISERROR(SEARCH("Pendente",P571)))</formula>
    </cfRule>
    <cfRule type="containsText" dxfId="7320" priority="16358" operator="containsText" text="N/A">
      <formula>NOT(ISERROR(SEARCH("N/A",P571)))</formula>
    </cfRule>
    <cfRule type="containsText" dxfId="7319" priority="16356" operator="containsText" text="em andamento">
      <formula>NOT(ISERROR(SEARCH("em andamento",P571)))</formula>
    </cfRule>
    <cfRule type="containsText" dxfId="7318" priority="16359" operator="containsText" text="Pendente">
      <formula>NOT(ISERROR(SEARCH("Pendente",P571)))</formula>
    </cfRule>
    <cfRule type="containsText" dxfId="7317" priority="16360" operator="containsText" text="Finalizado">
      <formula>NOT(ISERROR(SEARCH("Finalizado",P571)))</formula>
    </cfRule>
    <cfRule type="containsText" dxfId="7316" priority="16361" operator="containsText" text="em andamento">
      <formula>NOT(ISERROR(SEARCH("em andamento",P571)))</formula>
    </cfRule>
    <cfRule type="containsText" dxfId="7315" priority="16355" operator="containsText" text="Finalizado">
      <formula>NOT(ISERROR(SEARCH("Finalizado",P571)))</formula>
    </cfRule>
  </conditionalFormatting>
  <conditionalFormatting sqref="P573">
    <cfRule type="containsText" dxfId="7314" priority="16339" operator="containsText" text="Pendente">
      <formula>NOT(ISERROR(SEARCH("Pendente",P573)))</formula>
    </cfRule>
    <cfRule type="containsText" dxfId="7313" priority="16338" operator="containsText" text="N/A">
      <formula>NOT(ISERROR(SEARCH("N/A",P573)))</formula>
    </cfRule>
    <cfRule type="containsText" dxfId="7312" priority="16337" operator="containsText" text="Lançado">
      <formula>NOT(ISERROR(SEARCH("Lançado",P573)))</formula>
    </cfRule>
    <cfRule type="containsText" dxfId="7311" priority="16346" operator="containsText" text="em andamento">
      <formula>NOT(ISERROR(SEARCH("em andamento",P573)))</formula>
    </cfRule>
    <cfRule type="containsText" dxfId="7310" priority="16345" operator="containsText" text="Finalizado">
      <formula>NOT(ISERROR(SEARCH("Finalizado",P573)))</formula>
    </cfRule>
    <cfRule type="expression" dxfId="7309" priority="16335">
      <formula>$H573="CÉLULA CONSTRUTIVA"</formula>
    </cfRule>
    <cfRule type="containsText" dxfId="7308" priority="16344" operator="containsText" text="Pendente">
      <formula>NOT(ISERROR(SEARCH("Pendente",P573)))</formula>
    </cfRule>
    <cfRule type="containsText" dxfId="7307" priority="16340" operator="containsText" text="Finalizado">
      <formula>NOT(ISERROR(SEARCH("Finalizado",P573)))</formula>
    </cfRule>
    <cfRule type="containsText" dxfId="7306" priority="16342" operator="containsText" text="Lançado">
      <formula>NOT(ISERROR(SEARCH("Lançado",P573)))</formula>
    </cfRule>
    <cfRule type="containsText" dxfId="7305" priority="16343" operator="containsText" text="N/A">
      <formula>NOT(ISERROR(SEARCH("N/A",P573)))</formula>
    </cfRule>
    <cfRule type="containsText" dxfId="7304" priority="16341" operator="containsText" text="em andamento">
      <formula>NOT(ISERROR(SEARCH("em andamento",P573)))</formula>
    </cfRule>
    <cfRule type="expression" dxfId="7303" priority="16336">
      <formula>$H573="ETAPA"</formula>
    </cfRule>
  </conditionalFormatting>
  <conditionalFormatting sqref="P577:P578 P580 P582 P584 P592">
    <cfRule type="containsText" dxfId="7302" priority="16195" operator="containsText" text="Pendente">
      <formula>NOT(ISERROR(SEARCH("Pendente",P577)))</formula>
    </cfRule>
    <cfRule type="containsText" dxfId="7301" priority="16194" operator="containsText" text="N/A">
      <formula>NOT(ISERROR(SEARCH("N/A",P577)))</formula>
    </cfRule>
    <cfRule type="containsText" dxfId="7300" priority="16193" operator="containsText" text="Lançado">
      <formula>NOT(ISERROR(SEARCH("Lançado",P577)))</formula>
    </cfRule>
    <cfRule type="containsText" dxfId="7299" priority="16196" operator="containsText" text="Finalizado">
      <formula>NOT(ISERROR(SEARCH("Finalizado",P577)))</formula>
    </cfRule>
    <cfRule type="containsText" dxfId="7298" priority="16197" operator="containsText" text="em andamento">
      <formula>NOT(ISERROR(SEARCH("em andamento",P577)))</formula>
    </cfRule>
  </conditionalFormatting>
  <conditionalFormatting sqref="P578 P580 P582 P584 P592">
    <cfRule type="containsText" dxfId="7297" priority="16189" operator="containsText" text="em andamento">
      <formula>NOT(ISERROR(SEARCH("em andamento",P578)))</formula>
    </cfRule>
    <cfRule type="containsText" dxfId="7296" priority="16188" operator="containsText" text="Finalizado">
      <formula>NOT(ISERROR(SEARCH("Finalizado",P578)))</formula>
    </cfRule>
    <cfRule type="containsText" dxfId="7295" priority="16187" operator="containsText" text="Pendente">
      <formula>NOT(ISERROR(SEARCH("Pendente",P578)))</formula>
    </cfRule>
  </conditionalFormatting>
  <conditionalFormatting sqref="P578 P582 P584 P592 P580">
    <cfRule type="containsText" dxfId="7294" priority="16186" operator="containsText" text="N/A">
      <formula>NOT(ISERROR(SEARCH("N/A",P578)))</formula>
    </cfRule>
  </conditionalFormatting>
  <conditionalFormatting sqref="P578 P582 P584 P592">
    <cfRule type="expression" dxfId="7293" priority="16183">
      <formula>$H578="CÉLULA CONSTRUTIVA"</formula>
    </cfRule>
  </conditionalFormatting>
  <conditionalFormatting sqref="P578">
    <cfRule type="expression" dxfId="7292" priority="16182">
      <formula>$H578="SUBETAPA"</formula>
    </cfRule>
  </conditionalFormatting>
  <conditionalFormatting sqref="P579">
    <cfRule type="containsText" dxfId="7291" priority="16082" operator="containsText" text="em andamento">
      <formula>NOT(ISERROR(SEARCH("em andamento",P579)))</formula>
    </cfRule>
    <cfRule type="expression" dxfId="7290" priority="16083">
      <formula>$H579="SUBETAPA"</formula>
    </cfRule>
    <cfRule type="expression" dxfId="7289" priority="16084">
      <formula>$H579="CÉLULA CONSTRUTIVA"</formula>
    </cfRule>
    <cfRule type="expression" dxfId="7288" priority="16085">
      <formula>$H579="ETAPA"</formula>
    </cfRule>
    <cfRule type="containsText" dxfId="7287" priority="16086" operator="containsText" text="Lançado">
      <formula>NOT(ISERROR(SEARCH("Lançado",P579)))</formula>
    </cfRule>
    <cfRule type="containsText" dxfId="7286" priority="16087" operator="containsText" text="N/A">
      <formula>NOT(ISERROR(SEARCH("N/A",P579)))</formula>
    </cfRule>
    <cfRule type="containsText" dxfId="7285" priority="16088" operator="containsText" text="Pendente">
      <formula>NOT(ISERROR(SEARCH("Pendente",P579)))</formula>
    </cfRule>
    <cfRule type="containsText" dxfId="7284" priority="16089" operator="containsText" text="Finalizado">
      <formula>NOT(ISERROR(SEARCH("Finalizado",P579)))</formula>
    </cfRule>
    <cfRule type="containsText" dxfId="7283" priority="16090" operator="containsText" text="em andamento">
      <formula>NOT(ISERROR(SEARCH("em andamento",P579)))</formula>
    </cfRule>
    <cfRule type="expression" dxfId="7282" priority="16071">
      <formula>$H579="CÉLULA CONSTRUTIVA"</formula>
    </cfRule>
    <cfRule type="expression" dxfId="7281" priority="16072">
      <formula>$H579="ETAPA"</formula>
    </cfRule>
    <cfRule type="containsText" dxfId="7280" priority="16073" operator="containsText" text="Lançado">
      <formula>NOT(ISERROR(SEARCH("Lançado",P579)))</formula>
    </cfRule>
    <cfRule type="containsText" dxfId="7279" priority="16074" operator="containsText" text="N/A">
      <formula>NOT(ISERROR(SEARCH("N/A",P579)))</formula>
    </cfRule>
    <cfRule type="containsText" dxfId="7278" priority="16075" operator="containsText" text="Pendente">
      <formula>NOT(ISERROR(SEARCH("Pendente",P579)))</formula>
    </cfRule>
    <cfRule type="containsText" dxfId="7277" priority="16076" operator="containsText" text="Finalizado">
      <formula>NOT(ISERROR(SEARCH("Finalizado",P579)))</formula>
    </cfRule>
    <cfRule type="containsText" dxfId="7276" priority="16077" operator="containsText" text="em andamento">
      <formula>NOT(ISERROR(SEARCH("em andamento",P579)))</formula>
    </cfRule>
    <cfRule type="containsText" dxfId="7275" priority="16078" operator="containsText" text="Lançado">
      <formula>NOT(ISERROR(SEARCH("Lançado",P579)))</formula>
    </cfRule>
    <cfRule type="containsText" dxfId="7274" priority="16079" operator="containsText" text="N/A">
      <formula>NOT(ISERROR(SEARCH("N/A",P579)))</formula>
    </cfRule>
    <cfRule type="containsText" dxfId="7273" priority="16080" operator="containsText" text="Pendente">
      <formula>NOT(ISERROR(SEARCH("Pendente",P579)))</formula>
    </cfRule>
    <cfRule type="containsText" dxfId="7272" priority="16081" operator="containsText" text="Finalizado">
      <formula>NOT(ISERROR(SEARCH("Finalizado",P579)))</formula>
    </cfRule>
    <cfRule type="expression" dxfId="7271" priority="16070">
      <formula>$H579="SUBETAPA"</formula>
    </cfRule>
  </conditionalFormatting>
  <conditionalFormatting sqref="P580 P582 P584 P592 P578">
    <cfRule type="containsText" dxfId="7270" priority="16185" operator="containsText" text="Lançado">
      <formula>NOT(ISERROR(SEARCH("Lançado",P578)))</formula>
    </cfRule>
  </conditionalFormatting>
  <conditionalFormatting sqref="P581">
    <cfRule type="containsText" dxfId="7269" priority="16124" operator="containsText" text="em andamento">
      <formula>NOT(ISERROR(SEARCH("em andamento",P581)))</formula>
    </cfRule>
    <cfRule type="containsText" dxfId="7268" priority="16130" operator="containsText" text="Pendente">
      <formula>NOT(ISERROR(SEARCH("Pendente",P581)))</formula>
    </cfRule>
    <cfRule type="expression" dxfId="7267" priority="16113">
      <formula>$H581="CÉLULA CONSTRUTIVA"</formula>
    </cfRule>
    <cfRule type="expression" dxfId="7266" priority="16114">
      <formula>$H581="ETAPA"</formula>
    </cfRule>
    <cfRule type="containsText" dxfId="7265" priority="16115" operator="containsText" text="Lançado">
      <formula>NOT(ISERROR(SEARCH("Lançado",P581)))</formula>
    </cfRule>
    <cfRule type="containsText" dxfId="7264" priority="16129" operator="containsText" text="N/A">
      <formula>NOT(ISERROR(SEARCH("N/A",P581)))</formula>
    </cfRule>
    <cfRule type="containsText" dxfId="7263" priority="16116" operator="containsText" text="N/A">
      <formula>NOT(ISERROR(SEARCH("N/A",P581)))</formula>
    </cfRule>
    <cfRule type="containsText" dxfId="7262" priority="16117" operator="containsText" text="Pendente">
      <formula>NOT(ISERROR(SEARCH("Pendente",P581)))</formula>
    </cfRule>
    <cfRule type="containsText" dxfId="7261" priority="16118" operator="containsText" text="Finalizado">
      <formula>NOT(ISERROR(SEARCH("Finalizado",P581)))</formula>
    </cfRule>
    <cfRule type="containsText" dxfId="7260" priority="16128" operator="containsText" text="Lançado">
      <formula>NOT(ISERROR(SEARCH("Lançado",P581)))</formula>
    </cfRule>
    <cfRule type="expression" dxfId="7259" priority="16112">
      <formula>$H581="SUBETAPA"</formula>
    </cfRule>
    <cfRule type="containsText" dxfId="7258" priority="16121" operator="containsText" text="N/A">
      <formula>NOT(ISERROR(SEARCH("N/A",P581)))</formula>
    </cfRule>
    <cfRule type="containsText" dxfId="7257" priority="16119" operator="containsText" text="em andamento">
      <formula>NOT(ISERROR(SEARCH("em andamento",P581)))</formula>
    </cfRule>
    <cfRule type="containsText" dxfId="7256" priority="16120" operator="containsText" text="Lançado">
      <formula>NOT(ISERROR(SEARCH("Lançado",P581)))</formula>
    </cfRule>
    <cfRule type="expression" dxfId="7255" priority="16125">
      <formula>$H581="SUBETAPA"</formula>
    </cfRule>
    <cfRule type="expression" dxfId="7254" priority="16126">
      <formula>$H581="CÉLULA CONSTRUTIVA"</formula>
    </cfRule>
    <cfRule type="expression" dxfId="7253" priority="16127">
      <formula>$H581="ETAPA"</formula>
    </cfRule>
    <cfRule type="containsText" dxfId="7252" priority="16123" operator="containsText" text="Finalizado">
      <formula>NOT(ISERROR(SEARCH("Finalizado",P581)))</formula>
    </cfRule>
    <cfRule type="containsText" dxfId="7251" priority="16132" operator="containsText" text="em andamento">
      <formula>NOT(ISERROR(SEARCH("em andamento",P581)))</formula>
    </cfRule>
    <cfRule type="containsText" dxfId="7250" priority="16131" operator="containsText" text="Finalizado">
      <formula>NOT(ISERROR(SEARCH("Finalizado",P581)))</formula>
    </cfRule>
    <cfRule type="containsText" dxfId="7249" priority="16122" operator="containsText" text="Pendente">
      <formula>NOT(ISERROR(SEARCH("Pendente",P581)))</formula>
    </cfRule>
  </conditionalFormatting>
  <conditionalFormatting sqref="P583">
    <cfRule type="expression" dxfId="7248" priority="16148">
      <formula>$H583="ETAPA"</formula>
    </cfRule>
    <cfRule type="containsText" dxfId="7247" priority="16149" operator="containsText" text="Lançado">
      <formula>NOT(ISERROR(SEARCH("Lançado",P583)))</formula>
    </cfRule>
    <cfRule type="containsText" dxfId="7246" priority="16150" operator="containsText" text="N/A">
      <formula>NOT(ISERROR(SEARCH("N/A",P583)))</formula>
    </cfRule>
    <cfRule type="containsText" dxfId="7245" priority="16151" operator="containsText" text="Pendente">
      <formula>NOT(ISERROR(SEARCH("Pendente",P583)))</formula>
    </cfRule>
    <cfRule type="containsText" dxfId="7244" priority="16152" operator="containsText" text="Finalizado">
      <formula>NOT(ISERROR(SEARCH("Finalizado",P583)))</formula>
    </cfRule>
    <cfRule type="containsText" dxfId="7243" priority="16153" operator="containsText" text="em andamento">
      <formula>NOT(ISERROR(SEARCH("em andamento",P583)))</formula>
    </cfRule>
    <cfRule type="expression" dxfId="7242" priority="16147">
      <formula>$H583="CÉLULA CONSTRUTIVA"</formula>
    </cfRule>
    <cfRule type="expression" dxfId="7241" priority="16135">
      <formula>$H583="ETAPA"</formula>
    </cfRule>
    <cfRule type="expression" dxfId="7240" priority="16133">
      <formula>$H583="SUBETAPA"</formula>
    </cfRule>
    <cfRule type="expression" dxfId="7239" priority="16146">
      <formula>$H583="SUBETAPA"</formula>
    </cfRule>
    <cfRule type="expression" dxfId="7238" priority="16134">
      <formula>$H583="CÉLULA CONSTRUTIVA"</formula>
    </cfRule>
    <cfRule type="containsText" dxfId="7237" priority="16145" operator="containsText" text="em andamento">
      <formula>NOT(ISERROR(SEARCH("em andamento",P583)))</formula>
    </cfRule>
    <cfRule type="containsText" dxfId="7236" priority="16136" operator="containsText" text="Lançado">
      <formula>NOT(ISERROR(SEARCH("Lançado",P583)))</formula>
    </cfRule>
    <cfRule type="containsText" dxfId="7235" priority="16137" operator="containsText" text="N/A">
      <formula>NOT(ISERROR(SEARCH("N/A",P583)))</formula>
    </cfRule>
    <cfRule type="containsText" dxfId="7234" priority="16138" operator="containsText" text="Pendente">
      <formula>NOT(ISERROR(SEARCH("Pendente",P583)))</formula>
    </cfRule>
    <cfRule type="containsText" dxfId="7233" priority="16139" operator="containsText" text="Finalizado">
      <formula>NOT(ISERROR(SEARCH("Finalizado",P583)))</formula>
    </cfRule>
    <cfRule type="containsText" dxfId="7232" priority="16140" operator="containsText" text="em andamento">
      <formula>NOT(ISERROR(SEARCH("em andamento",P583)))</formula>
    </cfRule>
    <cfRule type="containsText" dxfId="7231" priority="16141" operator="containsText" text="Lançado">
      <formula>NOT(ISERROR(SEARCH("Lançado",P583)))</formula>
    </cfRule>
    <cfRule type="containsText" dxfId="7230" priority="16142" operator="containsText" text="N/A">
      <formula>NOT(ISERROR(SEARCH("N/A",P583)))</formula>
    </cfRule>
    <cfRule type="containsText" dxfId="7229" priority="16143" operator="containsText" text="Pendente">
      <formula>NOT(ISERROR(SEARCH("Pendente",P583)))</formula>
    </cfRule>
    <cfRule type="containsText" dxfId="7228" priority="16144" operator="containsText" text="Finalizado">
      <formula>NOT(ISERROR(SEARCH("Finalizado",P583)))</formula>
    </cfRule>
  </conditionalFormatting>
  <conditionalFormatting sqref="P585 P587 P589 P591">
    <cfRule type="containsText" dxfId="7227" priority="16159" operator="containsText" text="Pendente">
      <formula>NOT(ISERROR(SEARCH("Pendente",P585)))</formula>
    </cfRule>
    <cfRule type="containsText" dxfId="7226" priority="16160" operator="containsText" text="Finalizado">
      <formula>NOT(ISERROR(SEARCH("Finalizado",P585)))</formula>
    </cfRule>
    <cfRule type="containsText" dxfId="7225" priority="16161" operator="containsText" text="em andamento">
      <formula>NOT(ISERROR(SEARCH("em andamento",P585)))</formula>
    </cfRule>
    <cfRule type="containsText" dxfId="7224" priority="16163" operator="containsText" text="N/A">
      <formula>NOT(ISERROR(SEARCH("N/A",P585)))</formula>
    </cfRule>
    <cfRule type="containsText" dxfId="7223" priority="16164" operator="containsText" text="Pendente">
      <formula>NOT(ISERROR(SEARCH("Pendente",P585)))</formula>
    </cfRule>
    <cfRule type="containsText" dxfId="7222" priority="16165" operator="containsText" text="Finalizado">
      <formula>NOT(ISERROR(SEARCH("Finalizado",P585)))</formula>
    </cfRule>
    <cfRule type="containsText" dxfId="7221" priority="16162" operator="containsText" text="Lançado">
      <formula>NOT(ISERROR(SEARCH("Lançado",P585)))</formula>
    </cfRule>
    <cfRule type="expression" dxfId="7220" priority="16155">
      <formula>$H585="CÉLULA CONSTRUTIVA"</formula>
    </cfRule>
    <cfRule type="expression" dxfId="7219" priority="16154">
      <formula>$H585="SUBETAPA"</formula>
    </cfRule>
    <cfRule type="containsText" dxfId="7218" priority="16173" operator="containsText" text="Finalizado">
      <formula>NOT(ISERROR(SEARCH("Finalizado",P585)))</formula>
    </cfRule>
    <cfRule type="containsText" dxfId="7217" priority="16172" operator="containsText" text="Pendente">
      <formula>NOT(ISERROR(SEARCH("Pendente",P585)))</formula>
    </cfRule>
    <cfRule type="containsText" dxfId="7216" priority="16174" operator="containsText" text="em andamento">
      <formula>NOT(ISERROR(SEARCH("em andamento",P585)))</formula>
    </cfRule>
    <cfRule type="expression" dxfId="7215" priority="16156">
      <formula>$H585="ETAPA"</formula>
    </cfRule>
    <cfRule type="containsText" dxfId="7214" priority="16157" operator="containsText" text="Lançado">
      <formula>NOT(ISERROR(SEARCH("Lançado",P585)))</formula>
    </cfRule>
    <cfRule type="containsText" dxfId="7213" priority="16170" operator="containsText" text="Lançado">
      <formula>NOT(ISERROR(SEARCH("Lançado",P585)))</formula>
    </cfRule>
    <cfRule type="expression" dxfId="7212" priority="16169">
      <formula>$H585="ETAPA"</formula>
    </cfRule>
    <cfRule type="containsText" dxfId="7211" priority="16158" operator="containsText" text="N/A">
      <formula>NOT(ISERROR(SEARCH("N/A",P585)))</formula>
    </cfRule>
    <cfRule type="expression" dxfId="7210" priority="16168">
      <formula>$H585="CÉLULA CONSTRUTIVA"</formula>
    </cfRule>
    <cfRule type="expression" dxfId="7209" priority="16167">
      <formula>$H585="SUBETAPA"</formula>
    </cfRule>
    <cfRule type="containsText" dxfId="7208" priority="16166" operator="containsText" text="em andamento">
      <formula>NOT(ISERROR(SEARCH("em andamento",P585)))</formula>
    </cfRule>
    <cfRule type="containsText" dxfId="7207" priority="16171" operator="containsText" text="N/A">
      <formula>NOT(ISERROR(SEARCH("N/A",P585)))</formula>
    </cfRule>
  </conditionalFormatting>
  <conditionalFormatting sqref="P586">
    <cfRule type="containsText" dxfId="7206" priority="16062" operator="containsText" text="Finalizado">
      <formula>NOT(ISERROR(SEARCH("Finalizado",P586)))</formula>
    </cfRule>
    <cfRule type="containsText" dxfId="7205" priority="16054" operator="containsText" text="Lançado">
      <formula>NOT(ISERROR(SEARCH("Lançado",P586)))</formula>
    </cfRule>
    <cfRule type="expression" dxfId="7204" priority="16053">
      <formula>$H586="ETAPA"</formula>
    </cfRule>
    <cfRule type="expression" dxfId="7203" priority="16052">
      <formula>$H586="CÉLULA CONSTRUTIVA"</formula>
    </cfRule>
    <cfRule type="containsText" dxfId="7202" priority="16061" operator="containsText" text="Pendente">
      <formula>NOT(ISERROR(SEARCH("Pendente",P586)))</formula>
    </cfRule>
    <cfRule type="containsText" dxfId="7201" priority="16059" operator="containsText" text="Lançado">
      <formula>NOT(ISERROR(SEARCH("Lançado",P586)))</formula>
    </cfRule>
    <cfRule type="containsText" dxfId="7200" priority="16058" operator="containsText" text="em andamento">
      <formula>NOT(ISERROR(SEARCH("em andamento",P586)))</formula>
    </cfRule>
    <cfRule type="containsText" dxfId="7199" priority="16060" operator="containsText" text="N/A">
      <formula>NOT(ISERROR(SEARCH("N/A",P586)))</formula>
    </cfRule>
    <cfRule type="containsText" dxfId="7198" priority="16057" operator="containsText" text="Finalizado">
      <formula>NOT(ISERROR(SEARCH("Finalizado",P586)))</formula>
    </cfRule>
    <cfRule type="containsText" dxfId="7197" priority="16056" operator="containsText" text="Pendente">
      <formula>NOT(ISERROR(SEARCH("Pendente",P586)))</formula>
    </cfRule>
    <cfRule type="containsText" dxfId="7196" priority="16055" operator="containsText" text="N/A">
      <formula>NOT(ISERROR(SEARCH("N/A",P586)))</formula>
    </cfRule>
    <cfRule type="containsText" dxfId="7195" priority="16063" operator="containsText" text="em andamento">
      <formula>NOT(ISERROR(SEARCH("em andamento",P586)))</formula>
    </cfRule>
  </conditionalFormatting>
  <conditionalFormatting sqref="P588">
    <cfRule type="expression" dxfId="7194" priority="16038">
      <formula>$H588="ETAPA"</formula>
    </cfRule>
    <cfRule type="containsText" dxfId="7193" priority="16040" operator="containsText" text="N/A">
      <formula>NOT(ISERROR(SEARCH("N/A",P588)))</formula>
    </cfRule>
    <cfRule type="containsText" dxfId="7192" priority="16044" operator="containsText" text="Lançado">
      <formula>NOT(ISERROR(SEARCH("Lançado",P588)))</formula>
    </cfRule>
    <cfRule type="containsText" dxfId="7191" priority="16042" operator="containsText" text="Finalizado">
      <formula>NOT(ISERROR(SEARCH("Finalizado",P588)))</formula>
    </cfRule>
    <cfRule type="expression" dxfId="7190" priority="16037">
      <formula>$H588="CÉLULA CONSTRUTIVA"</formula>
    </cfRule>
    <cfRule type="containsText" dxfId="7189" priority="16043" operator="containsText" text="em andamento">
      <formula>NOT(ISERROR(SEARCH("em andamento",P588)))</formula>
    </cfRule>
    <cfRule type="containsText" dxfId="7188" priority="16039" operator="containsText" text="Lançado">
      <formula>NOT(ISERROR(SEARCH("Lançado",P588)))</formula>
    </cfRule>
    <cfRule type="containsText" dxfId="7187" priority="16048" operator="containsText" text="em andamento">
      <formula>NOT(ISERROR(SEARCH("em andamento",P588)))</formula>
    </cfRule>
    <cfRule type="containsText" dxfId="7186" priority="16047" operator="containsText" text="Finalizado">
      <formula>NOT(ISERROR(SEARCH("Finalizado",P588)))</formula>
    </cfRule>
    <cfRule type="containsText" dxfId="7185" priority="16046" operator="containsText" text="Pendente">
      <formula>NOT(ISERROR(SEARCH("Pendente",P588)))</formula>
    </cfRule>
    <cfRule type="containsText" dxfId="7184" priority="16045" operator="containsText" text="N/A">
      <formula>NOT(ISERROR(SEARCH("N/A",P588)))</formula>
    </cfRule>
    <cfRule type="containsText" dxfId="7183" priority="16041" operator="containsText" text="Pendente">
      <formula>NOT(ISERROR(SEARCH("Pendente",P588)))</formula>
    </cfRule>
  </conditionalFormatting>
  <conditionalFormatting sqref="P590">
    <cfRule type="containsText" dxfId="7182" priority="16025" operator="containsText" text="N/A">
      <formula>NOT(ISERROR(SEARCH("N/A",P590)))</formula>
    </cfRule>
    <cfRule type="containsText" dxfId="7181" priority="16026" operator="containsText" text="Pendente">
      <formula>NOT(ISERROR(SEARCH("Pendente",P590)))</formula>
    </cfRule>
    <cfRule type="containsText" dxfId="7180" priority="16027" operator="containsText" text="Finalizado">
      <formula>NOT(ISERROR(SEARCH("Finalizado",P590)))</formula>
    </cfRule>
    <cfRule type="containsText" dxfId="7179" priority="16028" operator="containsText" text="em andamento">
      <formula>NOT(ISERROR(SEARCH("em andamento",P590)))</formula>
    </cfRule>
    <cfRule type="containsText" dxfId="7178" priority="16029" operator="containsText" text="Lançado">
      <formula>NOT(ISERROR(SEARCH("Lançado",P590)))</formula>
    </cfRule>
    <cfRule type="containsText" dxfId="7177" priority="16030" operator="containsText" text="N/A">
      <formula>NOT(ISERROR(SEARCH("N/A",P590)))</formula>
    </cfRule>
    <cfRule type="containsText" dxfId="7176" priority="16031" operator="containsText" text="Pendente">
      <formula>NOT(ISERROR(SEARCH("Pendente",P590)))</formula>
    </cfRule>
    <cfRule type="containsText" dxfId="7175" priority="16032" operator="containsText" text="Finalizado">
      <formula>NOT(ISERROR(SEARCH("Finalizado",P590)))</formula>
    </cfRule>
    <cfRule type="containsText" dxfId="7174" priority="16033" operator="containsText" text="em andamento">
      <formula>NOT(ISERROR(SEARCH("em andamento",P590)))</formula>
    </cfRule>
    <cfRule type="expression" dxfId="7173" priority="16022">
      <formula>$H590="CÉLULA CONSTRUTIVA"</formula>
    </cfRule>
    <cfRule type="expression" dxfId="7172" priority="16023">
      <formula>$H590="ETAPA"</formula>
    </cfRule>
    <cfRule type="containsText" dxfId="7171" priority="16024" operator="containsText" text="Lançado">
      <formula>NOT(ISERROR(SEARCH("Lançado",P590)))</formula>
    </cfRule>
  </conditionalFormatting>
  <conditionalFormatting sqref="P594:P595 P597 P599 P607">
    <cfRule type="containsText" dxfId="7170" priority="16331" operator="containsText" text="em andamento">
      <formula>NOT(ISERROR(SEARCH("em andamento",P594)))</formula>
    </cfRule>
    <cfRule type="containsText" dxfId="7169" priority="16330" operator="containsText" text="Finalizado">
      <formula>NOT(ISERROR(SEARCH("Finalizado",P594)))</formula>
    </cfRule>
    <cfRule type="containsText" dxfId="7168" priority="16329" operator="containsText" text="Pendente">
      <formula>NOT(ISERROR(SEARCH("Pendente",P594)))</formula>
    </cfRule>
    <cfRule type="containsText" dxfId="7167" priority="16328" operator="containsText" text="N/A">
      <formula>NOT(ISERROR(SEARCH("N/A",P594)))</formula>
    </cfRule>
    <cfRule type="containsText" dxfId="7166" priority="16327" operator="containsText" text="Lançado">
      <formula>NOT(ISERROR(SEARCH("Lançado",P594)))</formula>
    </cfRule>
  </conditionalFormatting>
  <conditionalFormatting sqref="P595 P597 P599 P607">
    <cfRule type="containsText" dxfId="7165" priority="16324" operator="containsText" text="em andamento">
      <formula>NOT(ISERROR(SEARCH("em andamento",P595)))</formula>
    </cfRule>
    <cfRule type="expression" dxfId="7164" priority="16318">
      <formula>$H595="CÉLULA CONSTRUTIVA"</formula>
    </cfRule>
    <cfRule type="containsText" dxfId="7163" priority="16323" operator="containsText" text="Finalizado">
      <formula>NOT(ISERROR(SEARCH("Finalizado",P595)))</formula>
    </cfRule>
    <cfRule type="containsText" dxfId="7162" priority="16321" operator="containsText" text="N/A">
      <formula>NOT(ISERROR(SEARCH("N/A",P595)))</formula>
    </cfRule>
    <cfRule type="containsText" dxfId="7161" priority="16322" operator="containsText" text="Pendente">
      <formula>NOT(ISERROR(SEARCH("Pendente",P595)))</formula>
    </cfRule>
  </conditionalFormatting>
  <conditionalFormatting sqref="P595">
    <cfRule type="expression" dxfId="7160" priority="16317">
      <formula>$H595="SUBETAPA"</formula>
    </cfRule>
  </conditionalFormatting>
  <conditionalFormatting sqref="P596">
    <cfRule type="expression" dxfId="7159" priority="16249">
      <formula>$H596="SUBETAPA"</formula>
    </cfRule>
    <cfRule type="expression" dxfId="7158" priority="16250">
      <formula>$H596="CÉLULA CONSTRUTIVA"</formula>
    </cfRule>
    <cfRule type="containsText" dxfId="7157" priority="16252" operator="containsText" text="Lançado">
      <formula>NOT(ISERROR(SEARCH("Lançado",P596)))</formula>
    </cfRule>
    <cfRule type="containsText" dxfId="7156" priority="16253" operator="containsText" text="N/A">
      <formula>NOT(ISERROR(SEARCH("N/A",P596)))</formula>
    </cfRule>
    <cfRule type="containsText" dxfId="7155" priority="16254" operator="containsText" text="Pendente">
      <formula>NOT(ISERROR(SEARCH("Pendente",P596)))</formula>
    </cfRule>
    <cfRule type="containsText" dxfId="7154" priority="16255" operator="containsText" text="Finalizado">
      <formula>NOT(ISERROR(SEARCH("Finalizado",P596)))</formula>
    </cfRule>
    <cfRule type="containsText" dxfId="7153" priority="16256" operator="containsText" text="em andamento">
      <formula>NOT(ISERROR(SEARCH("em andamento",P596)))</formula>
    </cfRule>
    <cfRule type="containsText" dxfId="7152" priority="16257" operator="containsText" text="Lançado">
      <formula>NOT(ISERROR(SEARCH("Lançado",P596)))</formula>
    </cfRule>
    <cfRule type="containsText" dxfId="7151" priority="16258" operator="containsText" text="N/A">
      <formula>NOT(ISERROR(SEARCH("N/A",P596)))</formula>
    </cfRule>
    <cfRule type="containsText" dxfId="7150" priority="16259" operator="containsText" text="Pendente">
      <formula>NOT(ISERROR(SEARCH("Pendente",P596)))</formula>
    </cfRule>
    <cfRule type="containsText" dxfId="7149" priority="16260" operator="containsText" text="Finalizado">
      <formula>NOT(ISERROR(SEARCH("Finalizado",P596)))</formula>
    </cfRule>
    <cfRule type="containsText" dxfId="7148" priority="16261" operator="containsText" text="em andamento">
      <formula>NOT(ISERROR(SEARCH("em andamento",P596)))</formula>
    </cfRule>
    <cfRule type="expression" dxfId="7147" priority="16262">
      <formula>$H596="SUBETAPA"</formula>
    </cfRule>
    <cfRule type="expression" dxfId="7146" priority="16263">
      <formula>$H596="CÉLULA CONSTRUTIVA"</formula>
    </cfRule>
    <cfRule type="containsText" dxfId="7145" priority="16265" operator="containsText" text="Lançado">
      <formula>NOT(ISERROR(SEARCH("Lançado",P596)))</formula>
    </cfRule>
    <cfRule type="containsText" dxfId="7144" priority="16266" operator="containsText" text="N/A">
      <formula>NOT(ISERROR(SEARCH("N/A",P596)))</formula>
    </cfRule>
    <cfRule type="containsText" dxfId="7143" priority="16267" operator="containsText" text="Pendente">
      <formula>NOT(ISERROR(SEARCH("Pendente",P596)))</formula>
    </cfRule>
    <cfRule type="containsText" dxfId="7142" priority="16268" operator="containsText" text="Finalizado">
      <formula>NOT(ISERROR(SEARCH("Finalizado",P596)))</formula>
    </cfRule>
    <cfRule type="containsText" dxfId="7141" priority="16269" operator="containsText" text="em andamento">
      <formula>NOT(ISERROR(SEARCH("em andamento",P596)))</formula>
    </cfRule>
    <cfRule type="expression" dxfId="7140" priority="16264">
      <formula>$H596="ETAPA"</formula>
    </cfRule>
    <cfRule type="expression" dxfId="7139" priority="16251">
      <formula>$H596="ETAPA"</formula>
    </cfRule>
  </conditionalFormatting>
  <conditionalFormatting sqref="P597 P599 P607 P595">
    <cfRule type="containsText" dxfId="7138" priority="16320" operator="containsText" text="Lançado">
      <formula>NOT(ISERROR(SEARCH("Lançado",P595)))</formula>
    </cfRule>
  </conditionalFormatting>
  <conditionalFormatting sqref="P598">
    <cfRule type="expression" dxfId="7137" priority="16270">
      <formula>$H598="SUBETAPA"</formula>
    </cfRule>
    <cfRule type="expression" dxfId="7136" priority="16271">
      <formula>$H598="CÉLULA CONSTRUTIVA"</formula>
    </cfRule>
    <cfRule type="expression" dxfId="7135" priority="16272">
      <formula>$H598="ETAPA"</formula>
    </cfRule>
    <cfRule type="containsText" dxfId="7134" priority="16273" operator="containsText" text="Lançado">
      <formula>NOT(ISERROR(SEARCH("Lançado",P598)))</formula>
    </cfRule>
    <cfRule type="containsText" dxfId="7133" priority="16274" operator="containsText" text="N/A">
      <formula>NOT(ISERROR(SEARCH("N/A",P598)))</formula>
    </cfRule>
    <cfRule type="containsText" dxfId="7132" priority="16275" operator="containsText" text="Pendente">
      <formula>NOT(ISERROR(SEARCH("Pendente",P598)))</formula>
    </cfRule>
    <cfRule type="containsText" dxfId="7131" priority="16276" operator="containsText" text="Finalizado">
      <formula>NOT(ISERROR(SEARCH("Finalizado",P598)))</formula>
    </cfRule>
    <cfRule type="containsText" dxfId="7130" priority="16277" operator="containsText" text="em andamento">
      <formula>NOT(ISERROR(SEARCH("em andamento",P598)))</formula>
    </cfRule>
    <cfRule type="containsText" dxfId="7129" priority="16278" operator="containsText" text="Lançado">
      <formula>NOT(ISERROR(SEARCH("Lançado",P598)))</formula>
    </cfRule>
    <cfRule type="containsText" dxfId="7128" priority="16289" operator="containsText" text="Finalizado">
      <formula>NOT(ISERROR(SEARCH("Finalizado",P598)))</formula>
    </cfRule>
    <cfRule type="containsText" dxfId="7127" priority="16286" operator="containsText" text="Lançado">
      <formula>NOT(ISERROR(SEARCH("Lançado",P598)))</formula>
    </cfRule>
    <cfRule type="containsText" dxfId="7126" priority="16288" operator="containsText" text="Pendente">
      <formula>NOT(ISERROR(SEARCH("Pendente",P598)))</formula>
    </cfRule>
    <cfRule type="containsText" dxfId="7125" priority="16287" operator="containsText" text="N/A">
      <formula>NOT(ISERROR(SEARCH("N/A",P598)))</formula>
    </cfRule>
    <cfRule type="containsText" dxfId="7124" priority="16290" operator="containsText" text="em andamento">
      <formula>NOT(ISERROR(SEARCH("em andamento",P598)))</formula>
    </cfRule>
    <cfRule type="containsText" dxfId="7123" priority="16279" operator="containsText" text="N/A">
      <formula>NOT(ISERROR(SEARCH("N/A",P598)))</formula>
    </cfRule>
    <cfRule type="containsText" dxfId="7122" priority="16280" operator="containsText" text="Pendente">
      <formula>NOT(ISERROR(SEARCH("Pendente",P598)))</formula>
    </cfRule>
    <cfRule type="containsText" dxfId="7121" priority="16281" operator="containsText" text="Finalizado">
      <formula>NOT(ISERROR(SEARCH("Finalizado",P598)))</formula>
    </cfRule>
    <cfRule type="containsText" dxfId="7120" priority="16282" operator="containsText" text="em andamento">
      <formula>NOT(ISERROR(SEARCH("em andamento",P598)))</formula>
    </cfRule>
    <cfRule type="expression" dxfId="7119" priority="16283">
      <formula>$H598="SUBETAPA"</formula>
    </cfRule>
    <cfRule type="expression" dxfId="7118" priority="16284">
      <formula>$H598="CÉLULA CONSTRUTIVA"</formula>
    </cfRule>
    <cfRule type="expression" dxfId="7117" priority="16285">
      <formula>$H598="ETAPA"</formula>
    </cfRule>
  </conditionalFormatting>
  <conditionalFormatting sqref="P600 P602 P604 P606">
    <cfRule type="containsText" dxfId="7116" priority="16301" operator="containsText" text="Pendente">
      <formula>NOT(ISERROR(SEARCH("Pendente",P600)))</formula>
    </cfRule>
    <cfRule type="containsText" dxfId="7115" priority="16311" operator="containsText" text="em andamento">
      <formula>NOT(ISERROR(SEARCH("em andamento",P600)))</formula>
    </cfRule>
    <cfRule type="containsText" dxfId="7114" priority="16310" operator="containsText" text="Finalizado">
      <formula>NOT(ISERROR(SEARCH("Finalizado",P600)))</formula>
    </cfRule>
    <cfRule type="containsText" dxfId="7113" priority="16308" operator="containsText" text="N/A">
      <formula>NOT(ISERROR(SEARCH("N/A",P600)))</formula>
    </cfRule>
    <cfRule type="containsText" dxfId="7112" priority="16307" operator="containsText" text="Lançado">
      <formula>NOT(ISERROR(SEARCH("Lançado",P600)))</formula>
    </cfRule>
    <cfRule type="expression" dxfId="7111" priority="16306">
      <formula>$H600="ETAPA"</formula>
    </cfRule>
    <cfRule type="containsText" dxfId="7110" priority="16309" operator="containsText" text="Pendente">
      <formula>NOT(ISERROR(SEARCH("Pendente",P600)))</formula>
    </cfRule>
    <cfRule type="expression" dxfId="7109" priority="16305">
      <formula>$H600="CÉLULA CONSTRUTIVA"</formula>
    </cfRule>
    <cfRule type="expression" dxfId="7108" priority="16304">
      <formula>$H600="SUBETAPA"</formula>
    </cfRule>
    <cfRule type="containsText" dxfId="7107" priority="16303" operator="containsText" text="em andamento">
      <formula>NOT(ISERROR(SEARCH("em andamento",P600)))</formula>
    </cfRule>
    <cfRule type="containsText" dxfId="7106" priority="16302" operator="containsText" text="Finalizado">
      <formula>NOT(ISERROR(SEARCH("Finalizado",P600)))</formula>
    </cfRule>
    <cfRule type="containsText" dxfId="7105" priority="16300" operator="containsText" text="N/A">
      <formula>NOT(ISERROR(SEARCH("N/A",P600)))</formula>
    </cfRule>
    <cfRule type="expression" dxfId="7104" priority="16291">
      <formula>$H600="SUBETAPA"</formula>
    </cfRule>
    <cfRule type="expression" dxfId="7103" priority="16292">
      <formula>$H600="CÉLULA CONSTRUTIVA"</formula>
    </cfRule>
    <cfRule type="expression" dxfId="7102" priority="16293">
      <formula>$H600="ETAPA"</formula>
    </cfRule>
    <cfRule type="containsText" dxfId="7101" priority="16294" operator="containsText" text="Lançado">
      <formula>NOT(ISERROR(SEARCH("Lançado",P600)))</formula>
    </cfRule>
    <cfRule type="containsText" dxfId="7100" priority="16295" operator="containsText" text="N/A">
      <formula>NOT(ISERROR(SEARCH("N/A",P600)))</formula>
    </cfRule>
    <cfRule type="containsText" dxfId="7099" priority="16296" operator="containsText" text="Pendente">
      <formula>NOT(ISERROR(SEARCH("Pendente",P600)))</formula>
    </cfRule>
    <cfRule type="containsText" dxfId="7098" priority="16297" operator="containsText" text="Finalizado">
      <formula>NOT(ISERROR(SEARCH("Finalizado",P600)))</formula>
    </cfRule>
    <cfRule type="containsText" dxfId="7097" priority="16298" operator="containsText" text="em andamento">
      <formula>NOT(ISERROR(SEARCH("em andamento",P600)))</formula>
    </cfRule>
    <cfRule type="containsText" dxfId="7096" priority="16299" operator="containsText" text="Lançado">
      <formula>NOT(ISERROR(SEARCH("Lançado",P600)))</formula>
    </cfRule>
  </conditionalFormatting>
  <conditionalFormatting sqref="P601">
    <cfRule type="containsText" dxfId="7095" priority="16238" operator="containsText" text="Lançado">
      <formula>NOT(ISERROR(SEARCH("Lançado",P601)))</formula>
    </cfRule>
    <cfRule type="containsText" dxfId="7094" priority="16239" operator="containsText" text="N/A">
      <formula>NOT(ISERROR(SEARCH("N/A",P601)))</formula>
    </cfRule>
    <cfRule type="containsText" dxfId="7093" priority="16241" operator="containsText" text="Finalizado">
      <formula>NOT(ISERROR(SEARCH("Finalizado",P601)))</formula>
    </cfRule>
    <cfRule type="containsText" dxfId="7092" priority="16242" operator="containsText" text="em andamento">
      <formula>NOT(ISERROR(SEARCH("em andamento",P601)))</formula>
    </cfRule>
    <cfRule type="expression" dxfId="7091" priority="16231">
      <formula>$H601="CÉLULA CONSTRUTIVA"</formula>
    </cfRule>
    <cfRule type="expression" dxfId="7090" priority="16232">
      <formula>$H601="ETAPA"</formula>
    </cfRule>
    <cfRule type="containsText" dxfId="7089" priority="16233" operator="containsText" text="Lançado">
      <formula>NOT(ISERROR(SEARCH("Lançado",P601)))</formula>
    </cfRule>
    <cfRule type="containsText" dxfId="7088" priority="16234" operator="containsText" text="N/A">
      <formula>NOT(ISERROR(SEARCH("N/A",P601)))</formula>
    </cfRule>
    <cfRule type="containsText" dxfId="7087" priority="16235" operator="containsText" text="Pendente">
      <formula>NOT(ISERROR(SEARCH("Pendente",P601)))</formula>
    </cfRule>
    <cfRule type="containsText" dxfId="7086" priority="16240" operator="containsText" text="Pendente">
      <formula>NOT(ISERROR(SEARCH("Pendente",P601)))</formula>
    </cfRule>
    <cfRule type="containsText" dxfId="7085" priority="16236" operator="containsText" text="Finalizado">
      <formula>NOT(ISERROR(SEARCH("Finalizado",P601)))</formula>
    </cfRule>
    <cfRule type="containsText" dxfId="7084" priority="16237" operator="containsText" text="em andamento">
      <formula>NOT(ISERROR(SEARCH("em andamento",P601)))</formula>
    </cfRule>
  </conditionalFormatting>
  <conditionalFormatting sqref="P603">
    <cfRule type="containsText" dxfId="7083" priority="16220" operator="containsText" text="Pendente">
      <formula>NOT(ISERROR(SEARCH("Pendente",P603)))</formula>
    </cfRule>
    <cfRule type="containsText" dxfId="7082" priority="16219" operator="containsText" text="N/A">
      <formula>NOT(ISERROR(SEARCH("N/A",P603)))</formula>
    </cfRule>
    <cfRule type="containsText" dxfId="7081" priority="16218" operator="containsText" text="Lançado">
      <formula>NOT(ISERROR(SEARCH("Lançado",P603)))</formula>
    </cfRule>
    <cfRule type="expression" dxfId="7080" priority="16217">
      <formula>$H603="ETAPA"</formula>
    </cfRule>
    <cfRule type="containsText" dxfId="7079" priority="16224" operator="containsText" text="N/A">
      <formula>NOT(ISERROR(SEARCH("N/A",P603)))</formula>
    </cfRule>
    <cfRule type="containsText" dxfId="7078" priority="16227" operator="containsText" text="em andamento">
      <formula>NOT(ISERROR(SEARCH("em andamento",P603)))</formula>
    </cfRule>
    <cfRule type="containsText" dxfId="7077" priority="16226" operator="containsText" text="Finalizado">
      <formula>NOT(ISERROR(SEARCH("Finalizado",P603)))</formula>
    </cfRule>
    <cfRule type="expression" dxfId="7076" priority="16216">
      <formula>$H603="CÉLULA CONSTRUTIVA"</formula>
    </cfRule>
    <cfRule type="containsText" dxfId="7075" priority="16225" operator="containsText" text="Pendente">
      <formula>NOT(ISERROR(SEARCH("Pendente",P603)))</formula>
    </cfRule>
    <cfRule type="containsText" dxfId="7074" priority="16223" operator="containsText" text="Lançado">
      <formula>NOT(ISERROR(SEARCH("Lançado",P603)))</formula>
    </cfRule>
    <cfRule type="containsText" dxfId="7073" priority="16222" operator="containsText" text="em andamento">
      <formula>NOT(ISERROR(SEARCH("em andamento",P603)))</formula>
    </cfRule>
    <cfRule type="containsText" dxfId="7072" priority="16221" operator="containsText" text="Finalizado">
      <formula>NOT(ISERROR(SEARCH("Finalizado",P603)))</formula>
    </cfRule>
  </conditionalFormatting>
  <conditionalFormatting sqref="P605">
    <cfRule type="containsText" dxfId="7071" priority="16212" operator="containsText" text="em andamento">
      <formula>NOT(ISERROR(SEARCH("em andamento",P605)))</formula>
    </cfRule>
    <cfRule type="containsText" dxfId="7070" priority="16211" operator="containsText" text="Finalizado">
      <formula>NOT(ISERROR(SEARCH("Finalizado",P605)))</formula>
    </cfRule>
    <cfRule type="containsText" dxfId="7069" priority="16210" operator="containsText" text="Pendente">
      <formula>NOT(ISERROR(SEARCH("Pendente",P605)))</formula>
    </cfRule>
    <cfRule type="containsText" dxfId="7068" priority="16209" operator="containsText" text="N/A">
      <formula>NOT(ISERROR(SEARCH("N/A",P605)))</formula>
    </cfRule>
    <cfRule type="containsText" dxfId="7067" priority="16208" operator="containsText" text="Lançado">
      <formula>NOT(ISERROR(SEARCH("Lançado",P605)))</formula>
    </cfRule>
    <cfRule type="containsText" dxfId="7066" priority="16207" operator="containsText" text="em andamento">
      <formula>NOT(ISERROR(SEARCH("em andamento",P605)))</formula>
    </cfRule>
    <cfRule type="expression" dxfId="7065" priority="16201">
      <formula>$H605="CÉLULA CONSTRUTIVA"</formula>
    </cfRule>
    <cfRule type="containsText" dxfId="7064" priority="16204" operator="containsText" text="N/A">
      <formula>NOT(ISERROR(SEARCH("N/A",P605)))</formula>
    </cfRule>
    <cfRule type="containsText" dxfId="7063" priority="16205" operator="containsText" text="Pendente">
      <formula>NOT(ISERROR(SEARCH("Pendente",P605)))</formula>
    </cfRule>
    <cfRule type="containsText" dxfId="7062" priority="16206" operator="containsText" text="Finalizado">
      <formula>NOT(ISERROR(SEARCH("Finalizado",P605)))</formula>
    </cfRule>
    <cfRule type="containsText" dxfId="7061" priority="16203" operator="containsText" text="Lançado">
      <formula>NOT(ISERROR(SEARCH("Lançado",P605)))</formula>
    </cfRule>
    <cfRule type="expression" dxfId="7060" priority="16202">
      <formula>$H605="ETAPA"</formula>
    </cfRule>
  </conditionalFormatting>
  <conditionalFormatting sqref="P609 M609">
    <cfRule type="expression" dxfId="7059" priority="25236">
      <formula>$H609="CÉLULA CONSTRUTIVA"</formula>
    </cfRule>
  </conditionalFormatting>
  <conditionalFormatting sqref="P609">
    <cfRule type="containsText" dxfId="7058" priority="25239" operator="containsText" text="N/A">
      <formula>NOT(ISERROR(SEARCH("N/A",P609)))</formula>
    </cfRule>
    <cfRule type="expression" dxfId="7057" priority="25235">
      <formula>$H609="ETAPA"</formula>
    </cfRule>
    <cfRule type="expression" dxfId="7056" priority="25234">
      <formula>$H609="CÉLULA CONSTRUTIVA"</formula>
    </cfRule>
    <cfRule type="containsText" dxfId="7055" priority="25233" operator="containsText" text="em andamento">
      <formula>NOT(ISERROR(SEARCH("em andamento",P609)))</formula>
    </cfRule>
    <cfRule type="containsText" dxfId="7054" priority="25232" operator="containsText" text="Finalizado">
      <formula>NOT(ISERROR(SEARCH("Finalizado",P609)))</formula>
    </cfRule>
    <cfRule type="containsText" dxfId="7053" priority="25231" operator="containsText" text="Pendente">
      <formula>NOT(ISERROR(SEARCH("Pendente",P609)))</formula>
    </cfRule>
    <cfRule type="containsText" dxfId="7052" priority="25230" operator="containsText" text="N/A">
      <formula>NOT(ISERROR(SEARCH("N/A",P609)))</formula>
    </cfRule>
    <cfRule type="containsText" dxfId="7051" priority="25229" operator="containsText" text="Lançado">
      <formula>NOT(ISERROR(SEARCH("Lançado",P609)))</formula>
    </cfRule>
    <cfRule type="expression" dxfId="7050" priority="25224">
      <formula>$H609="SUBETAPA"</formula>
    </cfRule>
    <cfRule type="expression" dxfId="7049" priority="25225">
      <formula>$H609="CÉLULA CONSTRUTIVA"</formula>
    </cfRule>
    <cfRule type="expression" dxfId="7048" priority="25226">
      <formula>$H609="ETAPA"</formula>
    </cfRule>
    <cfRule type="expression" dxfId="7047" priority="25227">
      <formula>$H609="CÉLULA CONSTRUTIVA"</formula>
    </cfRule>
    <cfRule type="expression" dxfId="7046" priority="25228">
      <formula>$H609="ETAPA"</formula>
    </cfRule>
    <cfRule type="containsText" dxfId="7045" priority="25240" operator="containsText" text="Pendente">
      <formula>NOT(ISERROR(SEARCH("Pendente",P609)))</formula>
    </cfRule>
    <cfRule type="containsText" dxfId="7044" priority="25241" operator="containsText" text="Finalizado">
      <formula>NOT(ISERROR(SEARCH("Finalizado",P609)))</formula>
    </cfRule>
    <cfRule type="containsText" dxfId="7043" priority="25238" operator="containsText" text="Lançado">
      <formula>NOT(ISERROR(SEARCH("Lançado",P609)))</formula>
    </cfRule>
    <cfRule type="expression" dxfId="7042" priority="25237">
      <formula>$H609="ETAPA"</formula>
    </cfRule>
    <cfRule type="containsText" dxfId="7041" priority="25242" operator="containsText" text="em andamento">
      <formula>NOT(ISERROR(SEARCH("em andamento",P609)))</formula>
    </cfRule>
  </conditionalFormatting>
  <conditionalFormatting sqref="P610 G618:L618 G620:L620">
    <cfRule type="expression" dxfId="7040" priority="16008">
      <formula>$H610="SUBETAPA"</formula>
    </cfRule>
  </conditionalFormatting>
  <conditionalFormatting sqref="P610">
    <cfRule type="containsText" dxfId="7039" priority="16017" operator="containsText" text="Finalizado">
      <formula>NOT(ISERROR(SEARCH("Finalizado",P610)))</formula>
    </cfRule>
    <cfRule type="containsText" dxfId="7038" priority="16015" operator="containsText" text="N/A">
      <formula>NOT(ISERROR(SEARCH("N/A",P610)))</formula>
    </cfRule>
    <cfRule type="containsText" dxfId="7037" priority="16014" operator="containsText" text="Lançado">
      <formula>NOT(ISERROR(SEARCH("Lançado",P610)))</formula>
    </cfRule>
    <cfRule type="containsText" dxfId="7036" priority="16016" operator="containsText" text="Pendente">
      <formula>NOT(ISERROR(SEARCH("Pendente",P610)))</formula>
    </cfRule>
    <cfRule type="containsText" dxfId="7035" priority="16018" operator="containsText" text="em andamento">
      <formula>NOT(ISERROR(SEARCH("em andamento",P610)))</formula>
    </cfRule>
  </conditionalFormatting>
  <conditionalFormatting sqref="P611">
    <cfRule type="containsText" dxfId="7034" priority="15889" operator="containsText" text="em andamento">
      <formula>NOT(ISERROR(SEARCH("em andamento",P611)))</formula>
    </cfRule>
    <cfRule type="containsText" dxfId="7033" priority="15886" operator="containsText" text="N/A">
      <formula>NOT(ISERROR(SEARCH("N/A",P611)))</formula>
    </cfRule>
    <cfRule type="containsText" dxfId="7032" priority="15885" operator="containsText" text="Lançado">
      <formula>NOT(ISERROR(SEARCH("Lançado",P611)))</formula>
    </cfRule>
    <cfRule type="containsText" dxfId="7031" priority="15888" operator="containsText" text="Finalizado">
      <formula>NOT(ISERROR(SEARCH("Finalizado",P611)))</formula>
    </cfRule>
    <cfRule type="containsText" dxfId="7030" priority="15887" operator="containsText" text="Pendente">
      <formula>NOT(ISERROR(SEARCH("Pendente",P611)))</formula>
    </cfRule>
  </conditionalFormatting>
  <conditionalFormatting sqref="P612">
    <cfRule type="containsText" dxfId="7029" priority="15901" operator="containsText" text="Finalizado">
      <formula>NOT(ISERROR(SEARCH("Finalizado",P612)))</formula>
    </cfRule>
    <cfRule type="containsText" dxfId="7028" priority="15900" operator="containsText" text="Pendente">
      <formula>NOT(ISERROR(SEARCH("Pendente",P612)))</formula>
    </cfRule>
    <cfRule type="containsText" dxfId="7027" priority="15899" operator="containsText" text="N/A">
      <formula>NOT(ISERROR(SEARCH("N/A",P612)))</formula>
    </cfRule>
    <cfRule type="containsText" dxfId="7026" priority="15898" operator="containsText" text="Lançado">
      <formula>NOT(ISERROR(SEARCH("Lançado",P612)))</formula>
    </cfRule>
    <cfRule type="containsText" dxfId="7025" priority="15897" operator="containsText" text="em andamento">
      <formula>NOT(ISERROR(SEARCH("em andamento",P612)))</formula>
    </cfRule>
    <cfRule type="containsText" dxfId="7024" priority="15896" operator="containsText" text="Finalizado">
      <formula>NOT(ISERROR(SEARCH("Finalizado",P612)))</formula>
    </cfRule>
    <cfRule type="expression" dxfId="7023" priority="15892">
      <formula>$H612="ETAPA"</formula>
    </cfRule>
    <cfRule type="containsText" dxfId="7022" priority="15894" operator="containsText" text="N/A">
      <formula>NOT(ISERROR(SEARCH("N/A",P612)))</formula>
    </cfRule>
    <cfRule type="containsText" dxfId="7021" priority="15893" operator="containsText" text="Lançado">
      <formula>NOT(ISERROR(SEARCH("Lançado",P612)))</formula>
    </cfRule>
    <cfRule type="expression" dxfId="7020" priority="15905">
      <formula>$H612="ETAPA"</formula>
    </cfRule>
    <cfRule type="expression" dxfId="7019" priority="15891">
      <formula>$H612="CÉLULA CONSTRUTIVA"</formula>
    </cfRule>
    <cfRule type="expression" dxfId="7018" priority="15904">
      <formula>$H612="CÉLULA CONSTRUTIVA"</formula>
    </cfRule>
    <cfRule type="expression" dxfId="7017" priority="15890">
      <formula>$H612="SUBETAPA"</formula>
    </cfRule>
    <cfRule type="containsText" dxfId="7016" priority="15895" operator="containsText" text="Pendente">
      <formula>NOT(ISERROR(SEARCH("Pendente",P612)))</formula>
    </cfRule>
    <cfRule type="expression" dxfId="7015" priority="15903">
      <formula>$H612="SUBETAPA"</formula>
    </cfRule>
    <cfRule type="containsText" dxfId="7014" priority="15910" operator="containsText" text="em andamento">
      <formula>NOT(ISERROR(SEARCH("em andamento",P612)))</formula>
    </cfRule>
    <cfRule type="containsText" dxfId="7013" priority="15902" operator="containsText" text="em andamento">
      <formula>NOT(ISERROR(SEARCH("em andamento",P612)))</formula>
    </cfRule>
    <cfRule type="containsText" dxfId="7012" priority="15909" operator="containsText" text="Finalizado">
      <formula>NOT(ISERROR(SEARCH("Finalizado",P612)))</formula>
    </cfRule>
    <cfRule type="containsText" dxfId="7011" priority="15908" operator="containsText" text="Pendente">
      <formula>NOT(ISERROR(SEARCH("Pendente",P612)))</formula>
    </cfRule>
    <cfRule type="containsText" dxfId="7010" priority="15907" operator="containsText" text="N/A">
      <formula>NOT(ISERROR(SEARCH("N/A",P612)))</formula>
    </cfRule>
    <cfRule type="containsText" dxfId="7009" priority="15906" operator="containsText" text="Lançado">
      <formula>NOT(ISERROR(SEARCH("Lançado",P612)))</formula>
    </cfRule>
  </conditionalFormatting>
  <conditionalFormatting sqref="P613">
    <cfRule type="containsText" dxfId="7008" priority="14853" operator="containsText" text="N/A">
      <formula>NOT(ISERROR(SEARCH("N/A",P613)))</formula>
    </cfRule>
    <cfRule type="containsText" dxfId="7007" priority="14852" operator="containsText" text="Lançado">
      <formula>NOT(ISERROR(SEARCH("Lançado",P613)))</formula>
    </cfRule>
    <cfRule type="containsText" dxfId="7006" priority="14856" operator="containsText" text="em andamento">
      <formula>NOT(ISERROR(SEARCH("em andamento",P613)))</formula>
    </cfRule>
    <cfRule type="containsText" dxfId="7005" priority="14854" operator="containsText" text="Pendente">
      <formula>NOT(ISERROR(SEARCH("Pendente",P613)))</formula>
    </cfRule>
    <cfRule type="containsText" dxfId="7004" priority="14855" operator="containsText" text="Finalizado">
      <formula>NOT(ISERROR(SEARCH("Finalizado",P613)))</formula>
    </cfRule>
  </conditionalFormatting>
  <conditionalFormatting sqref="P614">
    <cfRule type="expression" dxfId="7003" priority="14821">
      <formula>$H614="ETAPA"</formula>
    </cfRule>
    <cfRule type="containsText" dxfId="7002" priority="14836" operator="containsText" text="N/A">
      <formula>NOT(ISERROR(SEARCH("N/A",P614)))</formula>
    </cfRule>
    <cfRule type="containsText" dxfId="7001" priority="14838" operator="containsText" text="Finalizado">
      <formula>NOT(ISERROR(SEARCH("Finalizado",P614)))</formula>
    </cfRule>
    <cfRule type="containsText" dxfId="7000" priority="14837" operator="containsText" text="Pendente">
      <formula>NOT(ISERROR(SEARCH("Pendente",P614)))</formula>
    </cfRule>
    <cfRule type="expression" dxfId="6999" priority="14834">
      <formula>$H614="ETAPA"</formula>
    </cfRule>
    <cfRule type="expression" dxfId="6998" priority="14833">
      <formula>$H614="CÉLULA CONSTRUTIVA"</formula>
    </cfRule>
    <cfRule type="containsText" dxfId="6997" priority="14829" operator="containsText" text="Pendente">
      <formula>NOT(ISERROR(SEARCH("Pendente",P614)))</formula>
    </cfRule>
    <cfRule type="containsText" dxfId="6996" priority="14830" operator="containsText" text="Finalizado">
      <formula>NOT(ISERROR(SEARCH("Finalizado",P614)))</formula>
    </cfRule>
    <cfRule type="containsText" dxfId="6995" priority="14827" operator="containsText" text="Lançado">
      <formula>NOT(ISERROR(SEARCH("Lançado",P614)))</formula>
    </cfRule>
    <cfRule type="containsText" dxfId="6994" priority="14828" operator="containsText" text="N/A">
      <formula>NOT(ISERROR(SEARCH("N/A",P614)))</formula>
    </cfRule>
    <cfRule type="containsText" dxfId="6993" priority="14839" operator="containsText" text="em andamento">
      <formula>NOT(ISERROR(SEARCH("em andamento",P614)))</formula>
    </cfRule>
    <cfRule type="containsText" dxfId="6992" priority="14831" operator="containsText" text="em andamento">
      <formula>NOT(ISERROR(SEARCH("em andamento",P614)))</formula>
    </cfRule>
    <cfRule type="expression" dxfId="6991" priority="14819">
      <formula>$H614="SUBETAPA"</formula>
    </cfRule>
    <cfRule type="expression" dxfId="6990" priority="14820">
      <formula>$H614="CÉLULA CONSTRUTIVA"</formula>
    </cfRule>
    <cfRule type="expression" dxfId="6989" priority="14832">
      <formula>$H614="SUBETAPA"</formula>
    </cfRule>
    <cfRule type="containsText" dxfId="6988" priority="14835" operator="containsText" text="Lançado">
      <formula>NOT(ISERROR(SEARCH("Lançado",P614)))</formula>
    </cfRule>
    <cfRule type="containsText" dxfId="6987" priority="14822" operator="containsText" text="Lançado">
      <formula>NOT(ISERROR(SEARCH("Lançado",P614)))</formula>
    </cfRule>
    <cfRule type="containsText" dxfId="6986" priority="14823" operator="containsText" text="N/A">
      <formula>NOT(ISERROR(SEARCH("N/A",P614)))</formula>
    </cfRule>
    <cfRule type="containsText" dxfId="6985" priority="14824" operator="containsText" text="Pendente">
      <formula>NOT(ISERROR(SEARCH("Pendente",P614)))</formula>
    </cfRule>
    <cfRule type="containsText" dxfId="6984" priority="14825" operator="containsText" text="Finalizado">
      <formula>NOT(ISERROR(SEARCH("Finalizado",P614)))</formula>
    </cfRule>
    <cfRule type="containsText" dxfId="6983" priority="14826" operator="containsText" text="em andamento">
      <formula>NOT(ISERROR(SEARCH("em andamento",P614)))</formula>
    </cfRule>
  </conditionalFormatting>
  <conditionalFormatting sqref="P615">
    <cfRule type="containsText" dxfId="6982" priority="16001" operator="containsText" text="Finalizado">
      <formula>NOT(ISERROR(SEARCH("Finalizado",P615)))</formula>
    </cfRule>
    <cfRule type="containsText" dxfId="6981" priority="16002" operator="containsText" text="em andamento">
      <formula>NOT(ISERROR(SEARCH("em andamento",P615)))</formula>
    </cfRule>
    <cfRule type="containsText" dxfId="6980" priority="16000" operator="containsText" text="Pendente">
      <formula>NOT(ISERROR(SEARCH("Pendente",P615)))</formula>
    </cfRule>
    <cfRule type="containsText" dxfId="6979" priority="15998" operator="containsText" text="Lançado">
      <formula>NOT(ISERROR(SEARCH("Lançado",P615)))</formula>
    </cfRule>
    <cfRule type="containsText" dxfId="6978" priority="15999" operator="containsText" text="N/A">
      <formula>NOT(ISERROR(SEARCH("N/A",P615)))</formula>
    </cfRule>
  </conditionalFormatting>
  <conditionalFormatting sqref="P616">
    <cfRule type="expression" dxfId="6977" priority="15950">
      <formula>$H616="CÉLULA CONSTRUTIVA"</formula>
    </cfRule>
    <cfRule type="expression" dxfId="6976" priority="15964">
      <formula>$H616="ETAPA"</formula>
    </cfRule>
    <cfRule type="containsText" dxfId="6975" priority="15965" operator="containsText" text="Lançado">
      <formula>NOT(ISERROR(SEARCH("Lançado",P616)))</formula>
    </cfRule>
    <cfRule type="containsText" dxfId="6974" priority="15966" operator="containsText" text="N/A">
      <formula>NOT(ISERROR(SEARCH("N/A",P616)))</formula>
    </cfRule>
    <cfRule type="containsText" dxfId="6973" priority="15967" operator="containsText" text="Pendente">
      <formula>NOT(ISERROR(SEARCH("Pendente",P616)))</formula>
    </cfRule>
    <cfRule type="containsText" dxfId="6972" priority="15968" operator="containsText" text="Finalizado">
      <formula>NOT(ISERROR(SEARCH("Finalizado",P616)))</formula>
    </cfRule>
    <cfRule type="containsText" dxfId="6971" priority="15969" operator="containsText" text="em andamento">
      <formula>NOT(ISERROR(SEARCH("em andamento",P616)))</formula>
    </cfRule>
    <cfRule type="containsText" dxfId="6970" priority="15955" operator="containsText" text="Finalizado">
      <formula>NOT(ISERROR(SEARCH("Finalizado",P616)))</formula>
    </cfRule>
    <cfRule type="expression" dxfId="6969" priority="15951">
      <formula>$H616="ETAPA"</formula>
    </cfRule>
    <cfRule type="containsText" dxfId="6968" priority="15952" operator="containsText" text="Lançado">
      <formula>NOT(ISERROR(SEARCH("Lançado",P616)))</formula>
    </cfRule>
    <cfRule type="expression" dxfId="6967" priority="15963">
      <formula>$H616="CÉLULA CONSTRUTIVA"</formula>
    </cfRule>
    <cfRule type="containsText" dxfId="6966" priority="15956" operator="containsText" text="em andamento">
      <formula>NOT(ISERROR(SEARCH("em andamento",P616)))</formula>
    </cfRule>
    <cfRule type="expression" dxfId="6965" priority="15949">
      <formula>$H616="SUBETAPA"</formula>
    </cfRule>
    <cfRule type="containsText" dxfId="6964" priority="15957" operator="containsText" text="Lançado">
      <formula>NOT(ISERROR(SEARCH("Lançado",P616)))</formula>
    </cfRule>
    <cfRule type="containsText" dxfId="6963" priority="15958" operator="containsText" text="N/A">
      <formula>NOT(ISERROR(SEARCH("N/A",P616)))</formula>
    </cfRule>
    <cfRule type="containsText" dxfId="6962" priority="15959" operator="containsText" text="Pendente">
      <formula>NOT(ISERROR(SEARCH("Pendente",P616)))</formula>
    </cfRule>
    <cfRule type="containsText" dxfId="6961" priority="15960" operator="containsText" text="Finalizado">
      <formula>NOT(ISERROR(SEARCH("Finalizado",P616)))</formula>
    </cfRule>
    <cfRule type="containsText" dxfId="6960" priority="15961" operator="containsText" text="em andamento">
      <formula>NOT(ISERROR(SEARCH("em andamento",P616)))</formula>
    </cfRule>
    <cfRule type="expression" dxfId="6959" priority="15962">
      <formula>$H616="SUBETAPA"</formula>
    </cfRule>
    <cfRule type="containsText" dxfId="6958" priority="15954" operator="containsText" text="Pendente">
      <formula>NOT(ISERROR(SEARCH("Pendente",P616)))</formula>
    </cfRule>
    <cfRule type="containsText" dxfId="6957" priority="15953" operator="containsText" text="N/A">
      <formula>NOT(ISERROR(SEARCH("N/A",P616)))</formula>
    </cfRule>
  </conditionalFormatting>
  <conditionalFormatting sqref="P617">
    <cfRule type="containsText" dxfId="6956" priority="15872" operator="containsText" text="em andamento">
      <formula>NOT(ISERROR(SEARCH("em andamento",P617)))</formula>
    </cfRule>
    <cfRule type="containsText" dxfId="6955" priority="15870" operator="containsText" text="Pendente">
      <formula>NOT(ISERROR(SEARCH("Pendente",P617)))</formula>
    </cfRule>
    <cfRule type="containsText" dxfId="6954" priority="15871" operator="containsText" text="Finalizado">
      <formula>NOT(ISERROR(SEARCH("Finalizado",P617)))</formula>
    </cfRule>
    <cfRule type="containsText" dxfId="6953" priority="15868" operator="containsText" text="Lançado">
      <formula>NOT(ISERROR(SEARCH("Lançado",P617)))</formula>
    </cfRule>
    <cfRule type="containsText" dxfId="6952" priority="15869" operator="containsText" text="N/A">
      <formula>NOT(ISERROR(SEARCH("N/A",P617)))</formula>
    </cfRule>
  </conditionalFormatting>
  <conditionalFormatting sqref="P618 P620">
    <cfRule type="containsText" dxfId="6951" priority="15924" operator="containsText" text="Pendente">
      <formula>NOT(ISERROR(SEARCH("Pendente",P618)))</formula>
    </cfRule>
    <cfRule type="containsText" dxfId="6950" priority="15923" operator="containsText" text="N/A">
      <formula>NOT(ISERROR(SEARCH("N/A",P618)))</formula>
    </cfRule>
    <cfRule type="containsText" dxfId="6949" priority="15922" operator="containsText" text="Lançado">
      <formula>NOT(ISERROR(SEARCH("Lançado",P618)))</formula>
    </cfRule>
    <cfRule type="containsText" dxfId="6948" priority="15921" operator="containsText" text="em andamento">
      <formula>NOT(ISERROR(SEARCH("em andamento",P618)))</formula>
    </cfRule>
    <cfRule type="containsText" dxfId="6947" priority="15920" operator="containsText" text="Finalizado">
      <formula>NOT(ISERROR(SEARCH("Finalizado",P618)))</formula>
    </cfRule>
    <cfRule type="containsText" dxfId="6946" priority="15919" operator="containsText" text="Pendente">
      <formula>NOT(ISERROR(SEARCH("Pendente",P618)))</formula>
    </cfRule>
    <cfRule type="containsText" dxfId="6945" priority="15918" operator="containsText" text="N/A">
      <formula>NOT(ISERROR(SEARCH("N/A",P618)))</formula>
    </cfRule>
    <cfRule type="containsText" dxfId="6944" priority="15917" operator="containsText" text="Lançado">
      <formula>NOT(ISERROR(SEARCH("Lançado",P618)))</formula>
    </cfRule>
    <cfRule type="expression" dxfId="6943" priority="15916">
      <formula>$H618="ETAPA"</formula>
    </cfRule>
    <cfRule type="expression" dxfId="6942" priority="15915">
      <formula>$H618="CÉLULA CONSTRUTIVA"</formula>
    </cfRule>
    <cfRule type="expression" dxfId="6941" priority="15914">
      <formula>$H618="SUBETAPA"</formula>
    </cfRule>
    <cfRule type="containsText" dxfId="6940" priority="15931" operator="containsText" text="N/A">
      <formula>NOT(ISERROR(SEARCH("N/A",P618)))</formula>
    </cfRule>
    <cfRule type="containsText" dxfId="6939" priority="15930" operator="containsText" text="Lançado">
      <formula>NOT(ISERROR(SEARCH("Lançado",P618)))</formula>
    </cfRule>
    <cfRule type="expression" dxfId="6938" priority="15929">
      <formula>$H618="ETAPA"</formula>
    </cfRule>
    <cfRule type="expression" dxfId="6937" priority="15928">
      <formula>$H618="CÉLULA CONSTRUTIVA"</formula>
    </cfRule>
    <cfRule type="containsText" dxfId="6936" priority="15934" operator="containsText" text="em andamento">
      <formula>NOT(ISERROR(SEARCH("em andamento",P618)))</formula>
    </cfRule>
    <cfRule type="containsText" dxfId="6935" priority="15933" operator="containsText" text="Finalizado">
      <formula>NOT(ISERROR(SEARCH("Finalizado",P618)))</formula>
    </cfRule>
    <cfRule type="containsText" dxfId="6934" priority="15932" operator="containsText" text="Pendente">
      <formula>NOT(ISERROR(SEARCH("Pendente",P618)))</formula>
    </cfRule>
    <cfRule type="expression" dxfId="6933" priority="15927">
      <formula>$H618="SUBETAPA"</formula>
    </cfRule>
    <cfRule type="containsText" dxfId="6932" priority="15926" operator="containsText" text="em andamento">
      <formula>NOT(ISERROR(SEARCH("em andamento",P618)))</formula>
    </cfRule>
    <cfRule type="containsText" dxfId="6931" priority="15925" operator="containsText" text="Finalizado">
      <formula>NOT(ISERROR(SEARCH("Finalizado",P618)))</formula>
    </cfRule>
  </conditionalFormatting>
  <conditionalFormatting sqref="P619">
    <cfRule type="containsText" dxfId="6930" priority="15851" operator="containsText" text="Finalizado">
      <formula>NOT(ISERROR(SEARCH("Finalizado",P619)))</formula>
    </cfRule>
    <cfRule type="containsText" dxfId="6929" priority="15849" operator="containsText" text="N/A">
      <formula>NOT(ISERROR(SEARCH("N/A",P619)))</formula>
    </cfRule>
    <cfRule type="containsText" dxfId="6928" priority="15848" operator="containsText" text="Lançado">
      <formula>NOT(ISERROR(SEARCH("Lançado",P619)))</formula>
    </cfRule>
    <cfRule type="containsText" dxfId="6927" priority="15852" operator="containsText" text="em andamento">
      <formula>NOT(ISERROR(SEARCH("em andamento",P619)))</formula>
    </cfRule>
    <cfRule type="containsText" dxfId="6926" priority="15850" operator="containsText" text="Pendente">
      <formula>NOT(ISERROR(SEARCH("Pendente",P619)))</formula>
    </cfRule>
  </conditionalFormatting>
  <conditionalFormatting sqref="P621">
    <cfRule type="containsText" dxfId="6925" priority="15945" operator="containsText" text="N/A">
      <formula>NOT(ISERROR(SEARCH("N/A",P621)))</formula>
    </cfRule>
    <cfRule type="containsText" dxfId="6924" priority="15946" operator="containsText" text="Pendente">
      <formula>NOT(ISERROR(SEARCH("Pendente",P621)))</formula>
    </cfRule>
    <cfRule type="containsText" dxfId="6923" priority="15947" operator="containsText" text="Finalizado">
      <formula>NOT(ISERROR(SEARCH("Finalizado",P621)))</formula>
    </cfRule>
    <cfRule type="containsText" dxfId="6922" priority="15948" operator="containsText" text="em andamento">
      <formula>NOT(ISERROR(SEARCH("em andamento",P621)))</formula>
    </cfRule>
    <cfRule type="containsText" dxfId="6921" priority="15944" operator="containsText" text="Lançado">
      <formula>NOT(ISERROR(SEARCH("Lançado",P621)))</formula>
    </cfRule>
  </conditionalFormatting>
  <conditionalFormatting sqref="P622:P623 P636:P637 P650:P651 P664:P665 P678:P679 P692:P693 P706:P707">
    <cfRule type="containsText" dxfId="6920" priority="15982" operator="containsText" text="em andamento">
      <formula>NOT(ISERROR(SEARCH("em andamento",P622)))</formula>
    </cfRule>
    <cfRule type="containsText" dxfId="6919" priority="15981" operator="containsText" text="Finalizado">
      <formula>NOT(ISERROR(SEARCH("Finalizado",P622)))</formula>
    </cfRule>
    <cfRule type="containsText" dxfId="6918" priority="15980" operator="containsText" text="Pendente">
      <formula>NOT(ISERROR(SEARCH("Pendente",P622)))</formula>
    </cfRule>
    <cfRule type="containsText" dxfId="6917" priority="15978" operator="containsText" text="Lançado">
      <formula>NOT(ISERROR(SEARCH("Lançado",P622)))</formula>
    </cfRule>
    <cfRule type="containsText" dxfId="6916" priority="15973" operator="containsText" text="Lançado">
      <formula>NOT(ISERROR(SEARCH("Lançado",P622)))</formula>
    </cfRule>
    <cfRule type="containsText" dxfId="6915" priority="15975" operator="containsText" text="Pendente">
      <formula>NOT(ISERROR(SEARCH("Pendente",P622)))</formula>
    </cfRule>
    <cfRule type="containsText" dxfId="6914" priority="15976" operator="containsText" text="Finalizado">
      <formula>NOT(ISERROR(SEARCH("Finalizado",P622)))</formula>
    </cfRule>
    <cfRule type="containsText" dxfId="6913" priority="15971" operator="containsText" text="Finalizado">
      <formula>NOT(ISERROR(SEARCH("Finalizado",P622)))</formula>
    </cfRule>
    <cfRule type="containsText" dxfId="6912" priority="15970" operator="containsText" text="Pendente">
      <formula>NOT(ISERROR(SEARCH("Pendente",P622)))</formula>
    </cfRule>
    <cfRule type="containsText" dxfId="6911" priority="15977" operator="containsText" text="em andamento">
      <formula>NOT(ISERROR(SEARCH("em andamento",P622)))</formula>
    </cfRule>
    <cfRule type="containsText" dxfId="6910" priority="15972" operator="containsText" text="em andamento">
      <formula>NOT(ISERROR(SEARCH("em andamento",P622)))</formula>
    </cfRule>
  </conditionalFormatting>
  <conditionalFormatting sqref="P622:P623 P636:P637 P650:P651 P664:P665 P678:P679 P692:P693 P954 P1049 P706:P707">
    <cfRule type="containsText" dxfId="6909" priority="15979" operator="containsText" text="N/A">
      <formula>NOT(ISERROR(SEARCH("N/A",P622)))</formula>
    </cfRule>
    <cfRule type="containsText" dxfId="6908" priority="15974" operator="containsText" text="N/A">
      <formula>NOT(ISERROR(SEARCH("N/A",P622)))</formula>
    </cfRule>
  </conditionalFormatting>
  <conditionalFormatting sqref="P622:P623 P636:P637 P650:P651 P664:P665 P678:P679 P692:P693">
    <cfRule type="expression" dxfId="6907" priority="15991">
      <formula>$H622="SUBETAPA"</formula>
    </cfRule>
  </conditionalFormatting>
  <conditionalFormatting sqref="P622:P624 P635:P637 P649:P651">
    <cfRule type="containsText" dxfId="6906" priority="16005" operator="containsText" text="N/A">
      <formula>NOT(ISERROR(SEARCH("N/A",P622)))</formula>
    </cfRule>
    <cfRule type="containsText" dxfId="6905" priority="16004" operator="containsText" text="Lançado">
      <formula>NOT(ISERROR(SEARCH("Lançado",P622)))</formula>
    </cfRule>
  </conditionalFormatting>
  <conditionalFormatting sqref="P624 G632:L632 G634:L634">
    <cfRule type="expression" dxfId="6904" priority="15830">
      <formula>$H624="SUBETAPA"</formula>
    </cfRule>
  </conditionalFormatting>
  <conditionalFormatting sqref="P624">
    <cfRule type="containsText" dxfId="6903" priority="15833" operator="containsText" text="Pendente">
      <formula>NOT(ISERROR(SEARCH("Pendente",P624)))</formula>
    </cfRule>
    <cfRule type="containsText" dxfId="6902" priority="15834" operator="containsText" text="Finalizado">
      <formula>NOT(ISERROR(SEARCH("Finalizado",P624)))</formula>
    </cfRule>
    <cfRule type="containsText" dxfId="6901" priority="15835" operator="containsText" text="em andamento">
      <formula>NOT(ISERROR(SEARCH("em andamento",P624)))</formula>
    </cfRule>
  </conditionalFormatting>
  <conditionalFormatting sqref="P625">
    <cfRule type="containsText" dxfId="6900" priority="15728" operator="containsText" text="em andamento">
      <formula>NOT(ISERROR(SEARCH("em andamento",P625)))</formula>
    </cfRule>
    <cfRule type="containsText" dxfId="6899" priority="15727" operator="containsText" text="Finalizado">
      <formula>NOT(ISERROR(SEARCH("Finalizado",P625)))</formula>
    </cfRule>
    <cfRule type="containsText" dxfId="6898" priority="15726" operator="containsText" text="Pendente">
      <formula>NOT(ISERROR(SEARCH("Pendente",P625)))</formula>
    </cfRule>
    <cfRule type="containsText" dxfId="6897" priority="15725" operator="containsText" text="N/A">
      <formula>NOT(ISERROR(SEARCH("N/A",P625)))</formula>
    </cfRule>
    <cfRule type="containsText" dxfId="6896" priority="15724" operator="containsText" text="Lançado">
      <formula>NOT(ISERROR(SEARCH("Lançado",P625)))</formula>
    </cfRule>
  </conditionalFormatting>
  <conditionalFormatting sqref="P626 P628">
    <cfRule type="containsText" dxfId="6895" priority="15749" operator="containsText" text="em andamento">
      <formula>NOT(ISERROR(SEARCH("em andamento",P626)))</formula>
    </cfRule>
    <cfRule type="containsText" dxfId="6894" priority="15735" operator="containsText" text="Finalizado">
      <formula>NOT(ISERROR(SEARCH("Finalizado",P626)))</formula>
    </cfRule>
    <cfRule type="expression" dxfId="6893" priority="15729">
      <formula>$H626="SUBETAPA"</formula>
    </cfRule>
    <cfRule type="expression" dxfId="6892" priority="15730">
      <formula>$H626="CÉLULA CONSTRUTIVA"</formula>
    </cfRule>
    <cfRule type="expression" dxfId="6891" priority="15731">
      <formula>$H626="ETAPA"</formula>
    </cfRule>
    <cfRule type="containsText" dxfId="6890" priority="15732" operator="containsText" text="Lançado">
      <formula>NOT(ISERROR(SEARCH("Lançado",P626)))</formula>
    </cfRule>
    <cfRule type="containsText" dxfId="6889" priority="15733" operator="containsText" text="N/A">
      <formula>NOT(ISERROR(SEARCH("N/A",P626)))</formula>
    </cfRule>
    <cfRule type="containsText" dxfId="6888" priority="15734" operator="containsText" text="Pendente">
      <formula>NOT(ISERROR(SEARCH("Pendente",P626)))</formula>
    </cfRule>
    <cfRule type="containsText" dxfId="6887" priority="15736" operator="containsText" text="em andamento">
      <formula>NOT(ISERROR(SEARCH("em andamento",P626)))</formula>
    </cfRule>
    <cfRule type="containsText" dxfId="6886" priority="15737" operator="containsText" text="Lançado">
      <formula>NOT(ISERROR(SEARCH("Lançado",P626)))</formula>
    </cfRule>
    <cfRule type="containsText" dxfId="6885" priority="15738" operator="containsText" text="N/A">
      <formula>NOT(ISERROR(SEARCH("N/A",P626)))</formula>
    </cfRule>
    <cfRule type="containsText" dxfId="6884" priority="15739" operator="containsText" text="Pendente">
      <formula>NOT(ISERROR(SEARCH("Pendente",P626)))</formula>
    </cfRule>
    <cfRule type="containsText" dxfId="6883" priority="15740" operator="containsText" text="Finalizado">
      <formula>NOT(ISERROR(SEARCH("Finalizado",P626)))</formula>
    </cfRule>
    <cfRule type="containsText" dxfId="6882" priority="15741" operator="containsText" text="em andamento">
      <formula>NOT(ISERROR(SEARCH("em andamento",P626)))</formula>
    </cfRule>
    <cfRule type="expression" dxfId="6881" priority="15742">
      <formula>$H626="SUBETAPA"</formula>
    </cfRule>
    <cfRule type="expression" dxfId="6880" priority="15743">
      <formula>$H626="CÉLULA CONSTRUTIVA"</formula>
    </cfRule>
    <cfRule type="expression" dxfId="6879" priority="15744">
      <formula>$H626="ETAPA"</formula>
    </cfRule>
    <cfRule type="containsText" dxfId="6878" priority="15745" operator="containsText" text="Lançado">
      <formula>NOT(ISERROR(SEARCH("Lançado",P626)))</formula>
    </cfRule>
    <cfRule type="containsText" dxfId="6877" priority="15746" operator="containsText" text="N/A">
      <formula>NOT(ISERROR(SEARCH("N/A",P626)))</formula>
    </cfRule>
    <cfRule type="containsText" dxfId="6876" priority="15747" operator="containsText" text="Pendente">
      <formula>NOT(ISERROR(SEARCH("Pendente",P626)))</formula>
    </cfRule>
    <cfRule type="containsText" dxfId="6875" priority="15748" operator="containsText" text="Finalizado">
      <formula>NOT(ISERROR(SEARCH("Finalizado",P626)))</formula>
    </cfRule>
  </conditionalFormatting>
  <conditionalFormatting sqref="P627">
    <cfRule type="containsText" dxfId="6874" priority="14808" operator="containsText" text="Lançado">
      <formula>NOT(ISERROR(SEARCH("Lançado",P627)))</formula>
    </cfRule>
    <cfRule type="containsText" dxfId="6873" priority="14809" operator="containsText" text="N/A">
      <formula>NOT(ISERROR(SEARCH("N/A",P627)))</formula>
    </cfRule>
    <cfRule type="containsText" dxfId="6872" priority="14810" operator="containsText" text="Pendente">
      <formula>NOT(ISERROR(SEARCH("Pendente",P627)))</formula>
    </cfRule>
    <cfRule type="containsText" dxfId="6871" priority="14812" operator="containsText" text="em andamento">
      <formula>NOT(ISERROR(SEARCH("em andamento",P627)))</formula>
    </cfRule>
    <cfRule type="containsText" dxfId="6870" priority="14811" operator="containsText" text="Finalizado">
      <formula>NOT(ISERROR(SEARCH("Finalizado",P627)))</formula>
    </cfRule>
  </conditionalFormatting>
  <conditionalFormatting sqref="P629">
    <cfRule type="containsText" dxfId="6869" priority="15826" operator="containsText" text="em andamento">
      <formula>NOT(ISERROR(SEARCH("em andamento",P629)))</formula>
    </cfRule>
    <cfRule type="containsText" dxfId="6868" priority="15823" operator="containsText" text="N/A">
      <formula>NOT(ISERROR(SEARCH("N/A",P629)))</formula>
    </cfRule>
    <cfRule type="containsText" dxfId="6867" priority="15825" operator="containsText" text="Finalizado">
      <formula>NOT(ISERROR(SEARCH("Finalizado",P629)))</formula>
    </cfRule>
    <cfRule type="containsText" dxfId="6866" priority="15824" operator="containsText" text="Pendente">
      <formula>NOT(ISERROR(SEARCH("Pendente",P629)))</formula>
    </cfRule>
    <cfRule type="containsText" dxfId="6865" priority="15822" operator="containsText" text="Lançado">
      <formula>NOT(ISERROR(SEARCH("Lançado",P629)))</formula>
    </cfRule>
  </conditionalFormatting>
  <conditionalFormatting sqref="P630">
    <cfRule type="expression" dxfId="6864" priority="15799">
      <formula>$H630="SUBETAPA"</formula>
    </cfRule>
    <cfRule type="containsText" dxfId="6863" priority="15798" operator="containsText" text="em andamento">
      <formula>NOT(ISERROR(SEARCH("em andamento",P630)))</formula>
    </cfRule>
    <cfRule type="containsText" dxfId="6862" priority="15804" operator="containsText" text="Pendente">
      <formula>NOT(ISERROR(SEARCH("Pendente",P630)))</formula>
    </cfRule>
    <cfRule type="expression" dxfId="6861" priority="15788">
      <formula>$H630="ETAPA"</formula>
    </cfRule>
    <cfRule type="containsText" dxfId="6860" priority="15805" operator="containsText" text="Finalizado">
      <formula>NOT(ISERROR(SEARCH("Finalizado",P630)))</formula>
    </cfRule>
    <cfRule type="containsText" dxfId="6859" priority="15796" operator="containsText" text="Pendente">
      <formula>NOT(ISERROR(SEARCH("Pendente",P630)))</formula>
    </cfRule>
    <cfRule type="containsText" dxfId="6858" priority="15803" operator="containsText" text="N/A">
      <formula>NOT(ISERROR(SEARCH("N/A",P630)))</formula>
    </cfRule>
    <cfRule type="containsText" dxfId="6857" priority="15806" operator="containsText" text="em andamento">
      <formula>NOT(ISERROR(SEARCH("em andamento",P630)))</formula>
    </cfRule>
    <cfRule type="containsText" dxfId="6856" priority="15795" operator="containsText" text="N/A">
      <formula>NOT(ISERROR(SEARCH("N/A",P630)))</formula>
    </cfRule>
    <cfRule type="containsText" dxfId="6855" priority="15794" operator="containsText" text="Lançado">
      <formula>NOT(ISERROR(SEARCH("Lançado",P630)))</formula>
    </cfRule>
    <cfRule type="containsText" dxfId="6854" priority="15793" operator="containsText" text="em andamento">
      <formula>NOT(ISERROR(SEARCH("em andamento",P630)))</formula>
    </cfRule>
    <cfRule type="containsText" dxfId="6853" priority="15792" operator="containsText" text="Finalizado">
      <formula>NOT(ISERROR(SEARCH("Finalizado",P630)))</formula>
    </cfRule>
    <cfRule type="containsText" dxfId="6852" priority="15791" operator="containsText" text="Pendente">
      <formula>NOT(ISERROR(SEARCH("Pendente",P630)))</formula>
    </cfRule>
    <cfRule type="containsText" dxfId="6851" priority="15790" operator="containsText" text="N/A">
      <formula>NOT(ISERROR(SEARCH("N/A",P630)))</formula>
    </cfRule>
    <cfRule type="containsText" dxfId="6850" priority="15789" operator="containsText" text="Lançado">
      <formula>NOT(ISERROR(SEARCH("Lançado",P630)))</formula>
    </cfRule>
    <cfRule type="expression" dxfId="6849" priority="15800">
      <formula>$H630="CÉLULA CONSTRUTIVA"</formula>
    </cfRule>
    <cfRule type="expression" dxfId="6848" priority="15801">
      <formula>$H630="ETAPA"</formula>
    </cfRule>
    <cfRule type="containsText" dxfId="6847" priority="15802" operator="containsText" text="Lançado">
      <formula>NOT(ISERROR(SEARCH("Lançado",P630)))</formula>
    </cfRule>
    <cfRule type="containsText" dxfId="6846" priority="15797" operator="containsText" text="Finalizado">
      <formula>NOT(ISERROR(SEARCH("Finalizado",P630)))</formula>
    </cfRule>
    <cfRule type="expression" dxfId="6845" priority="15787">
      <formula>$H630="CÉLULA CONSTRUTIVA"</formula>
    </cfRule>
    <cfRule type="expression" dxfId="6844" priority="15786">
      <formula>$H630="SUBETAPA"</formula>
    </cfRule>
  </conditionalFormatting>
  <conditionalFormatting sqref="P631">
    <cfRule type="containsText" dxfId="6843" priority="15711" operator="containsText" text="em andamento">
      <formula>NOT(ISERROR(SEARCH("em andamento",P631)))</formula>
    </cfRule>
    <cfRule type="containsText" dxfId="6842" priority="15708" operator="containsText" text="N/A">
      <formula>NOT(ISERROR(SEARCH("N/A",P631)))</formula>
    </cfRule>
    <cfRule type="containsText" dxfId="6841" priority="15707" operator="containsText" text="Lançado">
      <formula>NOT(ISERROR(SEARCH("Lançado",P631)))</formula>
    </cfRule>
    <cfRule type="containsText" dxfId="6840" priority="15710" operator="containsText" text="Finalizado">
      <formula>NOT(ISERROR(SEARCH("Finalizado",P631)))</formula>
    </cfRule>
    <cfRule type="containsText" dxfId="6839" priority="15709" operator="containsText" text="Pendente">
      <formula>NOT(ISERROR(SEARCH("Pendente",P631)))</formula>
    </cfRule>
  </conditionalFormatting>
  <conditionalFormatting sqref="P632 P634">
    <cfRule type="expression" dxfId="6838" priority="15753">
      <formula>$H632="SUBETAPA"</formula>
    </cfRule>
    <cfRule type="expression" dxfId="6837" priority="15754">
      <formula>$H632="CÉLULA CONSTRUTIVA"</formula>
    </cfRule>
    <cfRule type="expression" dxfId="6836" priority="15755">
      <formula>$H632="ETAPA"</formula>
    </cfRule>
    <cfRule type="containsText" dxfId="6835" priority="15756" operator="containsText" text="Lançado">
      <formula>NOT(ISERROR(SEARCH("Lançado",P632)))</formula>
    </cfRule>
    <cfRule type="containsText" dxfId="6834" priority="15757" operator="containsText" text="N/A">
      <formula>NOT(ISERROR(SEARCH("N/A",P632)))</formula>
    </cfRule>
    <cfRule type="containsText" dxfId="6833" priority="15758" operator="containsText" text="Pendente">
      <formula>NOT(ISERROR(SEARCH("Pendente",P632)))</formula>
    </cfRule>
    <cfRule type="containsText" dxfId="6832" priority="15761" operator="containsText" text="Lançado">
      <formula>NOT(ISERROR(SEARCH("Lançado",P632)))</formula>
    </cfRule>
    <cfRule type="containsText" dxfId="6831" priority="15762" operator="containsText" text="N/A">
      <formula>NOT(ISERROR(SEARCH("N/A",P632)))</formula>
    </cfRule>
    <cfRule type="containsText" dxfId="6830" priority="15763" operator="containsText" text="Pendente">
      <formula>NOT(ISERROR(SEARCH("Pendente",P632)))</formula>
    </cfRule>
    <cfRule type="containsText" dxfId="6829" priority="15764" operator="containsText" text="Finalizado">
      <formula>NOT(ISERROR(SEARCH("Finalizado",P632)))</formula>
    </cfRule>
    <cfRule type="containsText" dxfId="6828" priority="15765" operator="containsText" text="em andamento">
      <formula>NOT(ISERROR(SEARCH("em andamento",P632)))</formula>
    </cfRule>
    <cfRule type="expression" dxfId="6827" priority="15767">
      <formula>$H632="CÉLULA CONSTRUTIVA"</formula>
    </cfRule>
    <cfRule type="expression" dxfId="6826" priority="15768">
      <formula>$H632="ETAPA"</formula>
    </cfRule>
    <cfRule type="containsText" dxfId="6825" priority="15769" operator="containsText" text="Lançado">
      <formula>NOT(ISERROR(SEARCH("Lançado",P632)))</formula>
    </cfRule>
    <cfRule type="expression" dxfId="6824" priority="15766">
      <formula>$H632="SUBETAPA"</formula>
    </cfRule>
    <cfRule type="containsText" dxfId="6823" priority="15773" operator="containsText" text="em andamento">
      <formula>NOT(ISERROR(SEARCH("em andamento",P632)))</formula>
    </cfRule>
    <cfRule type="containsText" dxfId="6822" priority="15770" operator="containsText" text="N/A">
      <formula>NOT(ISERROR(SEARCH("N/A",P632)))</formula>
    </cfRule>
    <cfRule type="containsText" dxfId="6821" priority="15772" operator="containsText" text="Finalizado">
      <formula>NOT(ISERROR(SEARCH("Finalizado",P632)))</formula>
    </cfRule>
    <cfRule type="containsText" dxfId="6820" priority="15759" operator="containsText" text="Finalizado">
      <formula>NOT(ISERROR(SEARCH("Finalizado",P632)))</formula>
    </cfRule>
    <cfRule type="containsText" dxfId="6819" priority="15771" operator="containsText" text="Pendente">
      <formula>NOT(ISERROR(SEARCH("Pendente",P632)))</formula>
    </cfRule>
    <cfRule type="containsText" dxfId="6818" priority="15760" operator="containsText" text="em andamento">
      <formula>NOT(ISERROR(SEARCH("em andamento",P632)))</formula>
    </cfRule>
  </conditionalFormatting>
  <conditionalFormatting sqref="P633">
    <cfRule type="containsText" dxfId="6817" priority="15691" operator="containsText" text="em andamento">
      <formula>NOT(ISERROR(SEARCH("em andamento",P633)))</formula>
    </cfRule>
    <cfRule type="containsText" dxfId="6816" priority="15688" operator="containsText" text="N/A">
      <formula>NOT(ISERROR(SEARCH("N/A",P633)))</formula>
    </cfRule>
    <cfRule type="containsText" dxfId="6815" priority="15687" operator="containsText" text="Lançado">
      <formula>NOT(ISERROR(SEARCH("Lançado",P633)))</formula>
    </cfRule>
    <cfRule type="containsText" dxfId="6814" priority="15689" operator="containsText" text="Pendente">
      <formula>NOT(ISERROR(SEARCH("Pendente",P633)))</formula>
    </cfRule>
    <cfRule type="containsText" dxfId="6813" priority="15690" operator="containsText" text="Finalizado">
      <formula>NOT(ISERROR(SEARCH("Finalizado",P633)))</formula>
    </cfRule>
  </conditionalFormatting>
  <conditionalFormatting sqref="P635">
    <cfRule type="containsText" dxfId="6812" priority="15785" operator="containsText" text="em andamento">
      <formula>NOT(ISERROR(SEARCH("em andamento",P635)))</formula>
    </cfRule>
    <cfRule type="containsText" dxfId="6811" priority="15783" operator="containsText" text="Pendente">
      <formula>NOT(ISERROR(SEARCH("Pendente",P635)))</formula>
    </cfRule>
    <cfRule type="containsText" dxfId="6810" priority="15784" operator="containsText" text="Finalizado">
      <formula>NOT(ISERROR(SEARCH("Finalizado",P635)))</formula>
    </cfRule>
  </conditionalFormatting>
  <conditionalFormatting sqref="P638 G646:L646 G648:L648">
    <cfRule type="expression" dxfId="6809" priority="15504">
      <formula>$H638="SUBETAPA"</formula>
    </cfRule>
  </conditionalFormatting>
  <conditionalFormatting sqref="P638">
    <cfRule type="containsText" dxfId="6808" priority="15511" operator="containsText" text="em andamento">
      <formula>NOT(ISERROR(SEARCH("em andamento",P638)))</formula>
    </cfRule>
    <cfRule type="containsText" dxfId="6807" priority="15507" operator="containsText" text="Lançado">
      <formula>NOT(ISERROR(SEARCH("Lançado",P638)))</formula>
    </cfRule>
    <cfRule type="containsText" dxfId="6806" priority="15510" operator="containsText" text="Finalizado">
      <formula>NOT(ISERROR(SEARCH("Finalizado",P638)))</formula>
    </cfRule>
    <cfRule type="containsText" dxfId="6805" priority="15509" operator="containsText" text="Pendente">
      <formula>NOT(ISERROR(SEARCH("Pendente",P638)))</formula>
    </cfRule>
    <cfRule type="containsText" dxfId="6804" priority="15508" operator="containsText" text="N/A">
      <formula>NOT(ISERROR(SEARCH("N/A",P638)))</formula>
    </cfRule>
  </conditionalFormatting>
  <conditionalFormatting sqref="P639">
    <cfRule type="containsText" dxfId="6803" priority="15402" operator="containsText" text="em andamento">
      <formula>NOT(ISERROR(SEARCH("em andamento",P639)))</formula>
    </cfRule>
    <cfRule type="containsText" dxfId="6802" priority="15400" operator="containsText" text="Pendente">
      <formula>NOT(ISERROR(SEARCH("Pendente",P639)))</formula>
    </cfRule>
    <cfRule type="containsText" dxfId="6801" priority="15399" operator="containsText" text="N/A">
      <formula>NOT(ISERROR(SEARCH("N/A",P639)))</formula>
    </cfRule>
    <cfRule type="containsText" dxfId="6800" priority="15398" operator="containsText" text="Lançado">
      <formula>NOT(ISERROR(SEARCH("Lançado",P639)))</formula>
    </cfRule>
    <cfRule type="containsText" dxfId="6799" priority="15401" operator="containsText" text="Finalizado">
      <formula>NOT(ISERROR(SEARCH("Finalizado",P639)))</formula>
    </cfRule>
  </conditionalFormatting>
  <conditionalFormatting sqref="P640">
    <cfRule type="containsText" dxfId="6798" priority="15421" operator="containsText" text="Pendente">
      <formula>NOT(ISERROR(SEARCH("Pendente",P640)))</formula>
    </cfRule>
    <cfRule type="containsText" dxfId="6797" priority="15422" operator="containsText" text="Finalizado">
      <formula>NOT(ISERROR(SEARCH("Finalizado",P640)))</formula>
    </cfRule>
    <cfRule type="containsText" dxfId="6796" priority="15423" operator="containsText" text="em andamento">
      <formula>NOT(ISERROR(SEARCH("em andamento",P640)))</formula>
    </cfRule>
    <cfRule type="expression" dxfId="6795" priority="15418">
      <formula>$H640="ETAPA"</formula>
    </cfRule>
    <cfRule type="expression" dxfId="6794" priority="15417">
      <formula>$H640="CÉLULA CONSTRUTIVA"</formula>
    </cfRule>
    <cfRule type="expression" dxfId="6793" priority="15416">
      <formula>$H640="SUBETAPA"</formula>
    </cfRule>
    <cfRule type="containsText" dxfId="6792" priority="15414" operator="containsText" text="Finalizado">
      <formula>NOT(ISERROR(SEARCH("Finalizado",P640)))</formula>
    </cfRule>
    <cfRule type="containsText" dxfId="6791" priority="15413" operator="containsText" text="Pendente">
      <formula>NOT(ISERROR(SEARCH("Pendente",P640)))</formula>
    </cfRule>
    <cfRule type="containsText" dxfId="6790" priority="15415" operator="containsText" text="em andamento">
      <formula>NOT(ISERROR(SEARCH("em andamento",P640)))</formula>
    </cfRule>
    <cfRule type="containsText" dxfId="6789" priority="15412" operator="containsText" text="N/A">
      <formula>NOT(ISERROR(SEARCH("N/A",P640)))</formula>
    </cfRule>
    <cfRule type="containsText" dxfId="6788" priority="15411" operator="containsText" text="Lançado">
      <formula>NOT(ISERROR(SEARCH("Lançado",P640)))</formula>
    </cfRule>
    <cfRule type="containsText" dxfId="6787" priority="15410" operator="containsText" text="em andamento">
      <formula>NOT(ISERROR(SEARCH("em andamento",P640)))</formula>
    </cfRule>
    <cfRule type="containsText" dxfId="6786" priority="15409" operator="containsText" text="Finalizado">
      <formula>NOT(ISERROR(SEARCH("Finalizado",P640)))</formula>
    </cfRule>
    <cfRule type="containsText" dxfId="6785" priority="15408" operator="containsText" text="Pendente">
      <formula>NOT(ISERROR(SEARCH("Pendente",P640)))</formula>
    </cfRule>
    <cfRule type="containsText" dxfId="6784" priority="15407" operator="containsText" text="N/A">
      <formula>NOT(ISERROR(SEARCH("N/A",P640)))</formula>
    </cfRule>
    <cfRule type="containsText" dxfId="6783" priority="15406" operator="containsText" text="Lançado">
      <formula>NOT(ISERROR(SEARCH("Lançado",P640)))</formula>
    </cfRule>
    <cfRule type="expression" dxfId="6782" priority="15405">
      <formula>$H640="ETAPA"</formula>
    </cfRule>
    <cfRule type="expression" dxfId="6781" priority="15404">
      <formula>$H640="CÉLULA CONSTRUTIVA"</formula>
    </cfRule>
    <cfRule type="expression" dxfId="6780" priority="15403">
      <formula>$H640="SUBETAPA"</formula>
    </cfRule>
    <cfRule type="containsText" dxfId="6779" priority="15420" operator="containsText" text="N/A">
      <formula>NOT(ISERROR(SEARCH("N/A",P640)))</formula>
    </cfRule>
    <cfRule type="containsText" dxfId="6778" priority="15419" operator="containsText" text="Lançado">
      <formula>NOT(ISERROR(SEARCH("Lançado",P640)))</formula>
    </cfRule>
  </conditionalFormatting>
  <conditionalFormatting sqref="P641">
    <cfRule type="containsText" dxfId="6777" priority="14732" operator="containsText" text="Lançado">
      <formula>NOT(ISERROR(SEARCH("Lançado",P641)))</formula>
    </cfRule>
    <cfRule type="containsText" dxfId="6776" priority="14736" operator="containsText" text="em andamento">
      <formula>NOT(ISERROR(SEARCH("em andamento",P641)))</formula>
    </cfRule>
    <cfRule type="containsText" dxfId="6775" priority="14735" operator="containsText" text="Finalizado">
      <formula>NOT(ISERROR(SEARCH("Finalizado",P641)))</formula>
    </cfRule>
    <cfRule type="containsText" dxfId="6774" priority="14734" operator="containsText" text="Pendente">
      <formula>NOT(ISERROR(SEARCH("Pendente",P641)))</formula>
    </cfRule>
    <cfRule type="containsText" dxfId="6773" priority="14733" operator="containsText" text="N/A">
      <formula>NOT(ISERROR(SEARCH("N/A",P641)))</formula>
    </cfRule>
  </conditionalFormatting>
  <conditionalFormatting sqref="P642">
    <cfRule type="expression" dxfId="6772" priority="14741">
      <formula>$H642="CÉLULA CONSTRUTIVA"</formula>
    </cfRule>
    <cfRule type="containsText" dxfId="6771" priority="14760" operator="containsText" text="em andamento">
      <formula>NOT(ISERROR(SEARCH("em andamento",P642)))</formula>
    </cfRule>
    <cfRule type="containsText" dxfId="6770" priority="14751" operator="containsText" text="Finalizado">
      <formula>NOT(ISERROR(SEARCH("Finalizado",P642)))</formula>
    </cfRule>
    <cfRule type="containsText" dxfId="6769" priority="14749" operator="containsText" text="N/A">
      <formula>NOT(ISERROR(SEARCH("N/A",P642)))</formula>
    </cfRule>
    <cfRule type="containsText" dxfId="6768" priority="14748" operator="containsText" text="Lançado">
      <formula>NOT(ISERROR(SEARCH("Lançado",P642)))</formula>
    </cfRule>
    <cfRule type="containsText" dxfId="6767" priority="14747" operator="containsText" text="em andamento">
      <formula>NOT(ISERROR(SEARCH("em andamento",P642)))</formula>
    </cfRule>
    <cfRule type="containsText" dxfId="6766" priority="14746" operator="containsText" text="Finalizado">
      <formula>NOT(ISERROR(SEARCH("Finalizado",P642)))</formula>
    </cfRule>
    <cfRule type="containsText" dxfId="6765" priority="14745" operator="containsText" text="Pendente">
      <formula>NOT(ISERROR(SEARCH("Pendente",P642)))</formula>
    </cfRule>
    <cfRule type="containsText" dxfId="6764" priority="14744" operator="containsText" text="N/A">
      <formula>NOT(ISERROR(SEARCH("N/A",P642)))</formula>
    </cfRule>
    <cfRule type="containsText" dxfId="6763" priority="14743" operator="containsText" text="Lançado">
      <formula>NOT(ISERROR(SEARCH("Lançado",P642)))</formula>
    </cfRule>
    <cfRule type="expression" dxfId="6762" priority="14742">
      <formula>$H642="ETAPA"</formula>
    </cfRule>
    <cfRule type="expression" dxfId="6761" priority="14740">
      <formula>$H642="SUBETAPA"</formula>
    </cfRule>
    <cfRule type="containsText" dxfId="6760" priority="14752" operator="containsText" text="em andamento">
      <formula>NOT(ISERROR(SEARCH("em andamento",P642)))</formula>
    </cfRule>
    <cfRule type="expression" dxfId="6759" priority="14754">
      <formula>$H642="CÉLULA CONSTRUTIVA"</formula>
    </cfRule>
    <cfRule type="expression" dxfId="6758" priority="14755">
      <formula>$H642="ETAPA"</formula>
    </cfRule>
    <cfRule type="containsText" dxfId="6757" priority="14756" operator="containsText" text="Lançado">
      <formula>NOT(ISERROR(SEARCH("Lançado",P642)))</formula>
    </cfRule>
    <cfRule type="containsText" dxfId="6756" priority="14759" operator="containsText" text="Finalizado">
      <formula>NOT(ISERROR(SEARCH("Finalizado",P642)))</formula>
    </cfRule>
    <cfRule type="containsText" dxfId="6755" priority="14758" operator="containsText" text="Pendente">
      <formula>NOT(ISERROR(SEARCH("Pendente",P642)))</formula>
    </cfRule>
    <cfRule type="containsText" dxfId="6754" priority="14757" operator="containsText" text="N/A">
      <formula>NOT(ISERROR(SEARCH("N/A",P642)))</formula>
    </cfRule>
    <cfRule type="expression" dxfId="6753" priority="14753">
      <formula>$H642="SUBETAPA"</formula>
    </cfRule>
    <cfRule type="containsText" dxfId="6752" priority="14750" operator="containsText" text="Pendente">
      <formula>NOT(ISERROR(SEARCH("Pendente",P642)))</formula>
    </cfRule>
  </conditionalFormatting>
  <conditionalFormatting sqref="P643">
    <cfRule type="containsText" dxfId="6751" priority="15497" operator="containsText" text="N/A">
      <formula>NOT(ISERROR(SEARCH("N/A",P643)))</formula>
    </cfRule>
    <cfRule type="containsText" dxfId="6750" priority="15498" operator="containsText" text="Pendente">
      <formula>NOT(ISERROR(SEARCH("Pendente",P643)))</formula>
    </cfRule>
    <cfRule type="containsText" dxfId="6749" priority="15499" operator="containsText" text="Finalizado">
      <formula>NOT(ISERROR(SEARCH("Finalizado",P643)))</formula>
    </cfRule>
    <cfRule type="containsText" dxfId="6748" priority="15496" operator="containsText" text="Lançado">
      <formula>NOT(ISERROR(SEARCH("Lançado",P643)))</formula>
    </cfRule>
    <cfRule type="containsText" dxfId="6747" priority="15500" operator="containsText" text="em andamento">
      <formula>NOT(ISERROR(SEARCH("em andamento",P643)))</formula>
    </cfRule>
  </conditionalFormatting>
  <conditionalFormatting sqref="P644">
    <cfRule type="containsText" dxfId="6746" priority="15465" operator="containsText" text="Pendente">
      <formula>NOT(ISERROR(SEARCH("Pendente",P644)))</formula>
    </cfRule>
    <cfRule type="containsText" dxfId="6745" priority="15466" operator="containsText" text="Finalizado">
      <formula>NOT(ISERROR(SEARCH("Finalizado",P644)))</formula>
    </cfRule>
    <cfRule type="containsText" dxfId="6744" priority="15467" operator="containsText" text="em andamento">
      <formula>NOT(ISERROR(SEARCH("em andamento",P644)))</formula>
    </cfRule>
    <cfRule type="containsText" dxfId="6743" priority="15468" operator="containsText" text="Lançado">
      <formula>NOT(ISERROR(SEARCH("Lançado",P644)))</formula>
    </cfRule>
    <cfRule type="containsText" dxfId="6742" priority="15469" operator="containsText" text="N/A">
      <formula>NOT(ISERROR(SEARCH("N/A",P644)))</formula>
    </cfRule>
    <cfRule type="containsText" dxfId="6741" priority="15471" operator="containsText" text="Finalizado">
      <formula>NOT(ISERROR(SEARCH("Finalizado",P644)))</formula>
    </cfRule>
    <cfRule type="expression" dxfId="6740" priority="15473">
      <formula>$H644="SUBETAPA"</formula>
    </cfRule>
    <cfRule type="expression" dxfId="6739" priority="15474">
      <formula>$H644="CÉLULA CONSTRUTIVA"</formula>
    </cfRule>
    <cfRule type="expression" dxfId="6738" priority="15475">
      <formula>$H644="ETAPA"</formula>
    </cfRule>
    <cfRule type="containsText" dxfId="6737" priority="15476" operator="containsText" text="Lançado">
      <formula>NOT(ISERROR(SEARCH("Lançado",P644)))</formula>
    </cfRule>
    <cfRule type="containsText" dxfId="6736" priority="15477" operator="containsText" text="N/A">
      <formula>NOT(ISERROR(SEARCH("N/A",P644)))</formula>
    </cfRule>
    <cfRule type="containsText" dxfId="6735" priority="15478" operator="containsText" text="Pendente">
      <formula>NOT(ISERROR(SEARCH("Pendente",P644)))</formula>
    </cfRule>
    <cfRule type="containsText" dxfId="6734" priority="15479" operator="containsText" text="Finalizado">
      <formula>NOT(ISERROR(SEARCH("Finalizado",P644)))</formula>
    </cfRule>
    <cfRule type="containsText" dxfId="6733" priority="15464" operator="containsText" text="N/A">
      <formula>NOT(ISERROR(SEARCH("N/A",P644)))</formula>
    </cfRule>
    <cfRule type="containsText" dxfId="6732" priority="15472" operator="containsText" text="em andamento">
      <formula>NOT(ISERROR(SEARCH("em andamento",P644)))</formula>
    </cfRule>
    <cfRule type="containsText" dxfId="6731" priority="15480" operator="containsText" text="em andamento">
      <formula>NOT(ISERROR(SEARCH("em andamento",P644)))</formula>
    </cfRule>
    <cfRule type="containsText" dxfId="6730" priority="15470" operator="containsText" text="Pendente">
      <formula>NOT(ISERROR(SEARCH("Pendente",P644)))</formula>
    </cfRule>
    <cfRule type="containsText" dxfId="6729" priority="15463" operator="containsText" text="Lançado">
      <formula>NOT(ISERROR(SEARCH("Lançado",P644)))</formula>
    </cfRule>
    <cfRule type="expression" dxfId="6728" priority="15462">
      <formula>$H644="ETAPA"</formula>
    </cfRule>
    <cfRule type="expression" dxfId="6727" priority="15461">
      <formula>$H644="CÉLULA CONSTRUTIVA"</formula>
    </cfRule>
    <cfRule type="expression" dxfId="6726" priority="15460">
      <formula>$H644="SUBETAPA"</formula>
    </cfRule>
  </conditionalFormatting>
  <conditionalFormatting sqref="P645">
    <cfRule type="containsText" dxfId="6725" priority="15382" operator="containsText" text="N/A">
      <formula>NOT(ISERROR(SEARCH("N/A",P645)))</formula>
    </cfRule>
    <cfRule type="containsText" dxfId="6724" priority="15384" operator="containsText" text="Finalizado">
      <formula>NOT(ISERROR(SEARCH("Finalizado",P645)))</formula>
    </cfRule>
    <cfRule type="containsText" dxfId="6723" priority="15385" operator="containsText" text="em andamento">
      <formula>NOT(ISERROR(SEARCH("em andamento",P645)))</formula>
    </cfRule>
    <cfRule type="containsText" dxfId="6722" priority="15383" operator="containsText" text="Pendente">
      <formula>NOT(ISERROR(SEARCH("Pendente",P645)))</formula>
    </cfRule>
    <cfRule type="containsText" dxfId="6721" priority="15381" operator="containsText" text="Lançado">
      <formula>NOT(ISERROR(SEARCH("Lançado",P645)))</formula>
    </cfRule>
  </conditionalFormatting>
  <conditionalFormatting sqref="P646">
    <cfRule type="containsText" dxfId="6720" priority="14571" operator="containsText" text="Lançado">
      <formula>NOT(ISERROR(SEARCH("Lançado",P646)))</formula>
    </cfRule>
    <cfRule type="containsText" dxfId="6719" priority="14586" operator="containsText" text="Pendente">
      <formula>NOT(ISERROR(SEARCH("Pendente",P646)))</formula>
    </cfRule>
    <cfRule type="containsText" dxfId="6718" priority="14587" operator="containsText" text="Finalizado">
      <formula>NOT(ISERROR(SEARCH("Finalizado",P646)))</formula>
    </cfRule>
    <cfRule type="containsText" dxfId="6717" priority="14588" operator="containsText" text="em andamento">
      <formula>NOT(ISERROR(SEARCH("em andamento",P646)))</formula>
    </cfRule>
    <cfRule type="containsText" dxfId="6716" priority="14585" operator="containsText" text="N/A">
      <formula>NOT(ISERROR(SEARCH("N/A",P646)))</formula>
    </cfRule>
    <cfRule type="containsText" dxfId="6715" priority="14584" operator="containsText" text="Lançado">
      <formula>NOT(ISERROR(SEARCH("Lançado",P646)))</formula>
    </cfRule>
    <cfRule type="expression" dxfId="6714" priority="14569">
      <formula>$H646="CÉLULA CONSTRUTIVA"</formula>
    </cfRule>
    <cfRule type="containsText" dxfId="6713" priority="14572" operator="containsText" text="N/A">
      <formula>NOT(ISERROR(SEARCH("N/A",P646)))</formula>
    </cfRule>
    <cfRule type="containsText" dxfId="6712" priority="14573" operator="containsText" text="Pendente">
      <formula>NOT(ISERROR(SEARCH("Pendente",P646)))</formula>
    </cfRule>
    <cfRule type="containsText" dxfId="6711" priority="14574" operator="containsText" text="Finalizado">
      <formula>NOT(ISERROR(SEARCH("Finalizado",P646)))</formula>
    </cfRule>
    <cfRule type="containsText" dxfId="6710" priority="14575" operator="containsText" text="em andamento">
      <formula>NOT(ISERROR(SEARCH("em andamento",P646)))</formula>
    </cfRule>
    <cfRule type="containsText" dxfId="6709" priority="14576" operator="containsText" text="Lançado">
      <formula>NOT(ISERROR(SEARCH("Lançado",P646)))</formula>
    </cfRule>
    <cfRule type="expression" dxfId="6708" priority="14568">
      <formula>$H646="SUBETAPA"</formula>
    </cfRule>
    <cfRule type="containsText" dxfId="6707" priority="14577" operator="containsText" text="N/A">
      <formula>NOT(ISERROR(SEARCH("N/A",P646)))</formula>
    </cfRule>
    <cfRule type="containsText" dxfId="6706" priority="14578" operator="containsText" text="Pendente">
      <formula>NOT(ISERROR(SEARCH("Pendente",P646)))</formula>
    </cfRule>
    <cfRule type="expression" dxfId="6705" priority="14570">
      <formula>$H646="ETAPA"</formula>
    </cfRule>
    <cfRule type="containsText" dxfId="6704" priority="14580" operator="containsText" text="em andamento">
      <formula>NOT(ISERROR(SEARCH("em andamento",P646)))</formula>
    </cfRule>
    <cfRule type="expression" dxfId="6703" priority="14581">
      <formula>$H646="SUBETAPA"</formula>
    </cfRule>
    <cfRule type="expression" dxfId="6702" priority="14582">
      <formula>$H646="CÉLULA CONSTRUTIVA"</formula>
    </cfRule>
    <cfRule type="expression" dxfId="6701" priority="14583">
      <formula>$H646="ETAPA"</formula>
    </cfRule>
    <cfRule type="containsText" dxfId="6700" priority="14579" operator="containsText" text="Finalizado">
      <formula>NOT(ISERROR(SEARCH("Finalizado",P646)))</formula>
    </cfRule>
  </conditionalFormatting>
  <conditionalFormatting sqref="P647">
    <cfRule type="containsText" dxfId="6699" priority="15361" operator="containsText" text="Lançado">
      <formula>NOT(ISERROR(SEARCH("Lançado",P647)))</formula>
    </cfRule>
    <cfRule type="containsText" dxfId="6698" priority="15362" operator="containsText" text="N/A">
      <formula>NOT(ISERROR(SEARCH("N/A",P647)))</formula>
    </cfRule>
    <cfRule type="containsText" dxfId="6697" priority="15363" operator="containsText" text="Pendente">
      <formula>NOT(ISERROR(SEARCH("Pendente",P647)))</formula>
    </cfRule>
    <cfRule type="containsText" dxfId="6696" priority="15364" operator="containsText" text="Finalizado">
      <formula>NOT(ISERROR(SEARCH("Finalizado",P647)))</formula>
    </cfRule>
    <cfRule type="containsText" dxfId="6695" priority="15365" operator="containsText" text="em andamento">
      <formula>NOT(ISERROR(SEARCH("em andamento",P647)))</formula>
    </cfRule>
  </conditionalFormatting>
  <conditionalFormatting sqref="P648">
    <cfRule type="containsText" dxfId="6694" priority="15444" operator="containsText" text="N/A">
      <formula>NOT(ISERROR(SEARCH("N/A",P648)))</formula>
    </cfRule>
    <cfRule type="containsText" dxfId="6693" priority="15446" operator="containsText" text="Finalizado">
      <formula>NOT(ISERROR(SEARCH("Finalizado",P648)))</formula>
    </cfRule>
    <cfRule type="containsText" dxfId="6692" priority="15447" operator="containsText" text="em andamento">
      <formula>NOT(ISERROR(SEARCH("em andamento",P648)))</formula>
    </cfRule>
    <cfRule type="containsText" dxfId="6691" priority="15445" operator="containsText" text="Pendente">
      <formula>NOT(ISERROR(SEARCH("Pendente",P648)))</formula>
    </cfRule>
    <cfRule type="expression" dxfId="6690" priority="15427">
      <formula>$H648="SUBETAPA"</formula>
    </cfRule>
    <cfRule type="expression" dxfId="6689" priority="15428">
      <formula>$H648="CÉLULA CONSTRUTIVA"</formula>
    </cfRule>
    <cfRule type="expression" dxfId="6688" priority="15429">
      <formula>$H648="ETAPA"</formula>
    </cfRule>
    <cfRule type="containsText" dxfId="6687" priority="15430" operator="containsText" text="Lançado">
      <formula>NOT(ISERROR(SEARCH("Lançado",P648)))</formula>
    </cfRule>
    <cfRule type="containsText" dxfId="6686" priority="15431" operator="containsText" text="N/A">
      <formula>NOT(ISERROR(SEARCH("N/A",P648)))</formula>
    </cfRule>
    <cfRule type="containsText" dxfId="6685" priority="15432" operator="containsText" text="Pendente">
      <formula>NOT(ISERROR(SEARCH("Pendente",P648)))</formula>
    </cfRule>
    <cfRule type="containsText" dxfId="6684" priority="15433" operator="containsText" text="Finalizado">
      <formula>NOT(ISERROR(SEARCH("Finalizado",P648)))</formula>
    </cfRule>
    <cfRule type="containsText" dxfId="6683" priority="15434" operator="containsText" text="em andamento">
      <formula>NOT(ISERROR(SEARCH("em andamento",P648)))</formula>
    </cfRule>
    <cfRule type="containsText" dxfId="6682" priority="15435" operator="containsText" text="Lançado">
      <formula>NOT(ISERROR(SEARCH("Lançado",P648)))</formula>
    </cfRule>
    <cfRule type="containsText" dxfId="6681" priority="15436" operator="containsText" text="N/A">
      <formula>NOT(ISERROR(SEARCH("N/A",P648)))</formula>
    </cfRule>
    <cfRule type="containsText" dxfId="6680" priority="15437" operator="containsText" text="Pendente">
      <formula>NOT(ISERROR(SEARCH("Pendente",P648)))</formula>
    </cfRule>
    <cfRule type="containsText" dxfId="6679" priority="15438" operator="containsText" text="Finalizado">
      <formula>NOT(ISERROR(SEARCH("Finalizado",P648)))</formula>
    </cfRule>
    <cfRule type="containsText" dxfId="6678" priority="15439" operator="containsText" text="em andamento">
      <formula>NOT(ISERROR(SEARCH("em andamento",P648)))</formula>
    </cfRule>
    <cfRule type="expression" dxfId="6677" priority="15440">
      <formula>$H648="SUBETAPA"</formula>
    </cfRule>
    <cfRule type="expression" dxfId="6676" priority="15441">
      <formula>$H648="CÉLULA CONSTRUTIVA"</formula>
    </cfRule>
    <cfRule type="expression" dxfId="6675" priority="15442">
      <formula>$H648="ETAPA"</formula>
    </cfRule>
    <cfRule type="containsText" dxfId="6674" priority="15443" operator="containsText" text="Lançado">
      <formula>NOT(ISERROR(SEARCH("Lançado",P648)))</formula>
    </cfRule>
  </conditionalFormatting>
  <conditionalFormatting sqref="P649">
    <cfRule type="containsText" dxfId="6673" priority="15457" operator="containsText" text="Pendente">
      <formula>NOT(ISERROR(SEARCH("Pendente",P649)))</formula>
    </cfRule>
    <cfRule type="containsText" dxfId="6672" priority="15459" operator="containsText" text="em andamento">
      <formula>NOT(ISERROR(SEARCH("em andamento",P649)))</formula>
    </cfRule>
    <cfRule type="containsText" dxfId="6671" priority="15458" operator="containsText" text="Finalizado">
      <formula>NOT(ISERROR(SEARCH("Finalizado",P649)))</formula>
    </cfRule>
  </conditionalFormatting>
  <conditionalFormatting sqref="P652 G660:L660 G662:L662">
    <cfRule type="expression" dxfId="6670" priority="15341">
      <formula>$H652="SUBETAPA"</formula>
    </cfRule>
  </conditionalFormatting>
  <conditionalFormatting sqref="P652">
    <cfRule type="containsText" dxfId="6669" priority="15346" operator="containsText" text="Pendente">
      <formula>NOT(ISERROR(SEARCH("Pendente",P652)))</formula>
    </cfRule>
    <cfRule type="containsText" dxfId="6668" priority="15347" operator="containsText" text="Finalizado">
      <formula>NOT(ISERROR(SEARCH("Finalizado",P652)))</formula>
    </cfRule>
    <cfRule type="containsText" dxfId="6667" priority="15348" operator="containsText" text="em andamento">
      <formula>NOT(ISERROR(SEARCH("em andamento",P652)))</formula>
    </cfRule>
    <cfRule type="containsText" dxfId="6666" priority="15345" operator="containsText" text="N/A">
      <formula>NOT(ISERROR(SEARCH("N/A",P652)))</formula>
    </cfRule>
    <cfRule type="containsText" dxfId="6665" priority="15344" operator="containsText" text="Lançado">
      <formula>NOT(ISERROR(SEARCH("Lançado",P652)))</formula>
    </cfRule>
  </conditionalFormatting>
  <conditionalFormatting sqref="P653">
    <cfRule type="containsText" dxfId="6664" priority="15238" operator="containsText" text="em andamento">
      <formula>NOT(ISERROR(SEARCH("em andamento",P653)))</formula>
    </cfRule>
    <cfRule type="containsText" dxfId="6663" priority="15237" operator="containsText" text="Finalizado">
      <formula>NOT(ISERROR(SEARCH("Finalizado",P653)))</formula>
    </cfRule>
    <cfRule type="containsText" dxfId="6662" priority="15236" operator="containsText" text="Pendente">
      <formula>NOT(ISERROR(SEARCH("Pendente",P653)))</formula>
    </cfRule>
    <cfRule type="containsText" dxfId="6661" priority="15235" operator="containsText" text="N/A">
      <formula>NOT(ISERROR(SEARCH("N/A",P653)))</formula>
    </cfRule>
    <cfRule type="containsText" dxfId="6660" priority="15234" operator="containsText" text="Lançado">
      <formula>NOT(ISERROR(SEARCH("Lançado",P653)))</formula>
    </cfRule>
  </conditionalFormatting>
  <conditionalFormatting sqref="P654">
    <cfRule type="expression" dxfId="6659" priority="15241">
      <formula>$H654="ETAPA"</formula>
    </cfRule>
    <cfRule type="expression" dxfId="6658" priority="15254">
      <formula>$H654="ETAPA"</formula>
    </cfRule>
    <cfRule type="expression" dxfId="6657" priority="15253">
      <formula>$H654="CÉLULA CONSTRUTIVA"</formula>
    </cfRule>
    <cfRule type="expression" dxfId="6656" priority="15252">
      <formula>$H654="SUBETAPA"</formula>
    </cfRule>
    <cfRule type="containsText" dxfId="6655" priority="15251" operator="containsText" text="em andamento">
      <formula>NOT(ISERROR(SEARCH("em andamento",P654)))</formula>
    </cfRule>
    <cfRule type="containsText" dxfId="6654" priority="15250" operator="containsText" text="Finalizado">
      <formula>NOT(ISERROR(SEARCH("Finalizado",P654)))</formula>
    </cfRule>
    <cfRule type="containsText" dxfId="6653" priority="15244" operator="containsText" text="Pendente">
      <formula>NOT(ISERROR(SEARCH("Pendente",P654)))</formula>
    </cfRule>
    <cfRule type="containsText" dxfId="6652" priority="15249" operator="containsText" text="Pendente">
      <formula>NOT(ISERROR(SEARCH("Pendente",P654)))</formula>
    </cfRule>
    <cfRule type="containsText" dxfId="6651" priority="15248" operator="containsText" text="N/A">
      <formula>NOT(ISERROR(SEARCH("N/A",P654)))</formula>
    </cfRule>
    <cfRule type="containsText" dxfId="6650" priority="15247" operator="containsText" text="Lançado">
      <formula>NOT(ISERROR(SEARCH("Lançado",P654)))</formula>
    </cfRule>
    <cfRule type="containsText" dxfId="6649" priority="15246" operator="containsText" text="em andamento">
      <formula>NOT(ISERROR(SEARCH("em andamento",P654)))</formula>
    </cfRule>
    <cfRule type="containsText" dxfId="6648" priority="15245" operator="containsText" text="Finalizado">
      <formula>NOT(ISERROR(SEARCH("Finalizado",P654)))</formula>
    </cfRule>
    <cfRule type="expression" dxfId="6647" priority="15240">
      <formula>$H654="CÉLULA CONSTRUTIVA"</formula>
    </cfRule>
    <cfRule type="expression" dxfId="6646" priority="15239">
      <formula>$H654="SUBETAPA"</formula>
    </cfRule>
    <cfRule type="containsText" dxfId="6645" priority="15242" operator="containsText" text="Lançado">
      <formula>NOT(ISERROR(SEARCH("Lançado",P654)))</formula>
    </cfRule>
    <cfRule type="containsText" dxfId="6644" priority="15243" operator="containsText" text="N/A">
      <formula>NOT(ISERROR(SEARCH("N/A",P654)))</formula>
    </cfRule>
    <cfRule type="containsText" dxfId="6643" priority="15256" operator="containsText" text="N/A">
      <formula>NOT(ISERROR(SEARCH("N/A",P654)))</formula>
    </cfRule>
    <cfRule type="containsText" dxfId="6642" priority="15257" operator="containsText" text="Pendente">
      <formula>NOT(ISERROR(SEARCH("Pendente",P654)))</formula>
    </cfRule>
    <cfRule type="containsText" dxfId="6641" priority="15258" operator="containsText" text="Finalizado">
      <formula>NOT(ISERROR(SEARCH("Finalizado",P654)))</formula>
    </cfRule>
    <cfRule type="containsText" dxfId="6640" priority="15259" operator="containsText" text="em andamento">
      <formula>NOT(ISERROR(SEARCH("em andamento",P654)))</formula>
    </cfRule>
    <cfRule type="containsText" dxfId="6639" priority="15255" operator="containsText" text="Lançado">
      <formula>NOT(ISERROR(SEARCH("Lançado",P654)))</formula>
    </cfRule>
  </conditionalFormatting>
  <conditionalFormatting sqref="P655">
    <cfRule type="containsText" dxfId="6638" priority="14698" operator="containsText" text="em andamento">
      <formula>NOT(ISERROR(SEARCH("em andamento",P655)))</formula>
    </cfRule>
    <cfRule type="containsText" dxfId="6637" priority="14694" operator="containsText" text="Lançado">
      <formula>NOT(ISERROR(SEARCH("Lançado",P655)))</formula>
    </cfRule>
    <cfRule type="containsText" dxfId="6636" priority="14695" operator="containsText" text="N/A">
      <formula>NOT(ISERROR(SEARCH("N/A",P655)))</formula>
    </cfRule>
    <cfRule type="containsText" dxfId="6635" priority="14696" operator="containsText" text="Pendente">
      <formula>NOT(ISERROR(SEARCH("Pendente",P655)))</formula>
    </cfRule>
    <cfRule type="containsText" dxfId="6634" priority="14697" operator="containsText" text="Finalizado">
      <formula>NOT(ISERROR(SEARCH("Finalizado",P655)))</formula>
    </cfRule>
  </conditionalFormatting>
  <conditionalFormatting sqref="P656">
    <cfRule type="expression" dxfId="6633" priority="14716">
      <formula>$H656="CÉLULA CONSTRUTIVA"</formula>
    </cfRule>
    <cfRule type="containsText" dxfId="6632" priority="14714" operator="containsText" text="em andamento">
      <formula>NOT(ISERROR(SEARCH("em andamento",P656)))</formula>
    </cfRule>
    <cfRule type="containsText" dxfId="6631" priority="14713" operator="containsText" text="Finalizado">
      <formula>NOT(ISERROR(SEARCH("Finalizado",P656)))</formula>
    </cfRule>
    <cfRule type="containsText" dxfId="6630" priority="14712" operator="containsText" text="Pendente">
      <formula>NOT(ISERROR(SEARCH("Pendente",P656)))</formula>
    </cfRule>
    <cfRule type="containsText" dxfId="6629" priority="14711" operator="containsText" text="N/A">
      <formula>NOT(ISERROR(SEARCH("N/A",P656)))</formula>
    </cfRule>
    <cfRule type="containsText" dxfId="6628" priority="14710" operator="containsText" text="Lançado">
      <formula>NOT(ISERROR(SEARCH("Lançado",P656)))</formula>
    </cfRule>
    <cfRule type="containsText" dxfId="6627" priority="14709" operator="containsText" text="em andamento">
      <formula>NOT(ISERROR(SEARCH("em andamento",P656)))</formula>
    </cfRule>
    <cfRule type="containsText" dxfId="6626" priority="14708" operator="containsText" text="Finalizado">
      <formula>NOT(ISERROR(SEARCH("Finalizado",P656)))</formula>
    </cfRule>
    <cfRule type="containsText" dxfId="6625" priority="14721" operator="containsText" text="Finalizado">
      <formula>NOT(ISERROR(SEARCH("Finalizado",P656)))</formula>
    </cfRule>
    <cfRule type="containsText" dxfId="6624" priority="14722" operator="containsText" text="em andamento">
      <formula>NOT(ISERROR(SEARCH("em andamento",P656)))</formula>
    </cfRule>
    <cfRule type="containsText" dxfId="6623" priority="14720" operator="containsText" text="Pendente">
      <formula>NOT(ISERROR(SEARCH("Pendente",P656)))</formula>
    </cfRule>
    <cfRule type="containsText" dxfId="6622" priority="14719" operator="containsText" text="N/A">
      <formula>NOT(ISERROR(SEARCH("N/A",P656)))</formula>
    </cfRule>
    <cfRule type="expression" dxfId="6621" priority="14717">
      <formula>$H656="ETAPA"</formula>
    </cfRule>
    <cfRule type="expression" dxfId="6620" priority="14715">
      <formula>$H656="SUBETAPA"</formula>
    </cfRule>
    <cfRule type="expression" dxfId="6619" priority="14702">
      <formula>$H656="SUBETAPA"</formula>
    </cfRule>
    <cfRule type="expression" dxfId="6618" priority="14703">
      <formula>$H656="CÉLULA CONSTRUTIVA"</formula>
    </cfRule>
    <cfRule type="expression" dxfId="6617" priority="14704">
      <formula>$H656="ETAPA"</formula>
    </cfRule>
    <cfRule type="containsText" dxfId="6616" priority="14705" operator="containsText" text="Lançado">
      <formula>NOT(ISERROR(SEARCH("Lançado",P656)))</formula>
    </cfRule>
    <cfRule type="containsText" dxfId="6615" priority="14706" operator="containsText" text="N/A">
      <formula>NOT(ISERROR(SEARCH("N/A",P656)))</formula>
    </cfRule>
    <cfRule type="containsText" dxfId="6614" priority="14707" operator="containsText" text="Pendente">
      <formula>NOT(ISERROR(SEARCH("Pendente",P656)))</formula>
    </cfRule>
    <cfRule type="containsText" dxfId="6613" priority="14718" operator="containsText" text="Lançado">
      <formula>NOT(ISERROR(SEARCH("Lançado",P656)))</formula>
    </cfRule>
  </conditionalFormatting>
  <conditionalFormatting sqref="P657">
    <cfRule type="containsText" dxfId="6612" priority="15337" operator="containsText" text="em andamento">
      <formula>NOT(ISERROR(SEARCH("em andamento",P657)))</formula>
    </cfRule>
    <cfRule type="containsText" dxfId="6611" priority="15335" operator="containsText" text="Pendente">
      <formula>NOT(ISERROR(SEARCH("Pendente",P657)))</formula>
    </cfRule>
    <cfRule type="containsText" dxfId="6610" priority="15334" operator="containsText" text="N/A">
      <formula>NOT(ISERROR(SEARCH("N/A",P657)))</formula>
    </cfRule>
    <cfRule type="containsText" dxfId="6609" priority="15333" operator="containsText" text="Lançado">
      <formula>NOT(ISERROR(SEARCH("Lançado",P657)))</formula>
    </cfRule>
    <cfRule type="containsText" dxfId="6608" priority="15336" operator="containsText" text="Finalizado">
      <formula>NOT(ISERROR(SEARCH("Finalizado",P657)))</formula>
    </cfRule>
  </conditionalFormatting>
  <conditionalFormatting sqref="P658">
    <cfRule type="containsText" dxfId="6607" priority="15301" operator="containsText" text="N/A">
      <formula>NOT(ISERROR(SEARCH("N/A",P658)))</formula>
    </cfRule>
    <cfRule type="containsText" dxfId="6606" priority="15300" operator="containsText" text="Lançado">
      <formula>NOT(ISERROR(SEARCH("Lançado",P658)))</formula>
    </cfRule>
    <cfRule type="containsText" dxfId="6605" priority="15317" operator="containsText" text="em andamento">
      <formula>NOT(ISERROR(SEARCH("em andamento",P658)))</formula>
    </cfRule>
    <cfRule type="containsText" dxfId="6604" priority="15316" operator="containsText" text="Finalizado">
      <formula>NOT(ISERROR(SEARCH("Finalizado",P658)))</formula>
    </cfRule>
    <cfRule type="containsText" dxfId="6603" priority="15315" operator="containsText" text="Pendente">
      <formula>NOT(ISERROR(SEARCH("Pendente",P658)))</formula>
    </cfRule>
    <cfRule type="expression" dxfId="6602" priority="15299">
      <formula>$H658="ETAPA"</formula>
    </cfRule>
    <cfRule type="containsText" dxfId="6601" priority="15314" operator="containsText" text="N/A">
      <formula>NOT(ISERROR(SEARCH("N/A",P658)))</formula>
    </cfRule>
    <cfRule type="containsText" dxfId="6600" priority="15313" operator="containsText" text="Lançado">
      <formula>NOT(ISERROR(SEARCH("Lançado",P658)))</formula>
    </cfRule>
    <cfRule type="expression" dxfId="6599" priority="15312">
      <formula>$H658="ETAPA"</formula>
    </cfRule>
    <cfRule type="expression" dxfId="6598" priority="15311">
      <formula>$H658="CÉLULA CONSTRUTIVA"</formula>
    </cfRule>
    <cfRule type="expression" dxfId="6597" priority="15310">
      <formula>$H658="SUBETAPA"</formula>
    </cfRule>
    <cfRule type="containsText" dxfId="6596" priority="15309" operator="containsText" text="em andamento">
      <formula>NOT(ISERROR(SEARCH("em andamento",P658)))</formula>
    </cfRule>
    <cfRule type="containsText" dxfId="6595" priority="15308" operator="containsText" text="Finalizado">
      <formula>NOT(ISERROR(SEARCH("Finalizado",P658)))</formula>
    </cfRule>
    <cfRule type="containsText" dxfId="6594" priority="15307" operator="containsText" text="Pendente">
      <formula>NOT(ISERROR(SEARCH("Pendente",P658)))</formula>
    </cfRule>
    <cfRule type="containsText" dxfId="6593" priority="15306" operator="containsText" text="N/A">
      <formula>NOT(ISERROR(SEARCH("N/A",P658)))</formula>
    </cfRule>
    <cfRule type="containsText" dxfId="6592" priority="15305" operator="containsText" text="Lançado">
      <formula>NOT(ISERROR(SEARCH("Lançado",P658)))</formula>
    </cfRule>
    <cfRule type="containsText" dxfId="6591" priority="15304" operator="containsText" text="em andamento">
      <formula>NOT(ISERROR(SEARCH("em andamento",P658)))</formula>
    </cfRule>
    <cfRule type="expression" dxfId="6590" priority="15297">
      <formula>$H658="SUBETAPA"</formula>
    </cfRule>
    <cfRule type="containsText" dxfId="6589" priority="15303" operator="containsText" text="Finalizado">
      <formula>NOT(ISERROR(SEARCH("Finalizado",P658)))</formula>
    </cfRule>
    <cfRule type="containsText" dxfId="6588" priority="15302" operator="containsText" text="Pendente">
      <formula>NOT(ISERROR(SEARCH("Pendente",P658)))</formula>
    </cfRule>
    <cfRule type="expression" dxfId="6587" priority="15298">
      <formula>$H658="CÉLULA CONSTRUTIVA"</formula>
    </cfRule>
  </conditionalFormatting>
  <conditionalFormatting sqref="P659">
    <cfRule type="containsText" dxfId="6586" priority="15219" operator="containsText" text="Pendente">
      <formula>NOT(ISERROR(SEARCH("Pendente",P659)))</formula>
    </cfRule>
    <cfRule type="containsText" dxfId="6585" priority="15217" operator="containsText" text="Lançado">
      <formula>NOT(ISERROR(SEARCH("Lançado",P659)))</formula>
    </cfRule>
    <cfRule type="containsText" dxfId="6584" priority="15220" operator="containsText" text="Finalizado">
      <formula>NOT(ISERROR(SEARCH("Finalizado",P659)))</formula>
    </cfRule>
    <cfRule type="containsText" dxfId="6583" priority="15218" operator="containsText" text="N/A">
      <formula>NOT(ISERROR(SEARCH("N/A",P659)))</formula>
    </cfRule>
    <cfRule type="containsText" dxfId="6582" priority="15221" operator="containsText" text="em andamento">
      <formula>NOT(ISERROR(SEARCH("em andamento",P659)))</formula>
    </cfRule>
  </conditionalFormatting>
  <conditionalFormatting sqref="P660">
    <cfRule type="containsText" dxfId="6581" priority="14556" operator="containsText" text="N/A">
      <formula>NOT(ISERROR(SEARCH("N/A",P660)))</formula>
    </cfRule>
    <cfRule type="containsText" dxfId="6580" priority="14563" operator="containsText" text="Lançado">
      <formula>NOT(ISERROR(SEARCH("Lançado",P660)))</formula>
    </cfRule>
    <cfRule type="expression" dxfId="6579" priority="14561">
      <formula>$H660="CÉLULA CONSTRUTIVA"</formula>
    </cfRule>
    <cfRule type="expression" dxfId="6578" priority="14560">
      <formula>$H660="SUBETAPA"</formula>
    </cfRule>
    <cfRule type="containsText" dxfId="6577" priority="14559" operator="containsText" text="em andamento">
      <formula>NOT(ISERROR(SEARCH("em andamento",P660)))</formula>
    </cfRule>
    <cfRule type="containsText" dxfId="6576" priority="14558" operator="containsText" text="Finalizado">
      <formula>NOT(ISERROR(SEARCH("Finalizado",P660)))</formula>
    </cfRule>
    <cfRule type="containsText" dxfId="6575" priority="14557" operator="containsText" text="Pendente">
      <formula>NOT(ISERROR(SEARCH("Pendente",P660)))</formula>
    </cfRule>
    <cfRule type="containsText" dxfId="6574" priority="14555" operator="containsText" text="Lançado">
      <formula>NOT(ISERROR(SEARCH("Lançado",P660)))</formula>
    </cfRule>
    <cfRule type="containsText" dxfId="6573" priority="14554" operator="containsText" text="em andamento">
      <formula>NOT(ISERROR(SEARCH("em andamento",P660)))</formula>
    </cfRule>
    <cfRule type="containsText" dxfId="6572" priority="14553" operator="containsText" text="Finalizado">
      <formula>NOT(ISERROR(SEARCH("Finalizado",P660)))</formula>
    </cfRule>
    <cfRule type="containsText" dxfId="6571" priority="14552" operator="containsText" text="Pendente">
      <formula>NOT(ISERROR(SEARCH("Pendente",P660)))</formula>
    </cfRule>
    <cfRule type="expression" dxfId="6570" priority="14562">
      <formula>$H660="ETAPA"</formula>
    </cfRule>
    <cfRule type="containsText" dxfId="6569" priority="14550" operator="containsText" text="Lançado">
      <formula>NOT(ISERROR(SEARCH("Lançado",P660)))</formula>
    </cfRule>
    <cfRule type="containsText" dxfId="6568" priority="14551" operator="containsText" text="N/A">
      <formula>NOT(ISERROR(SEARCH("N/A",P660)))</formula>
    </cfRule>
    <cfRule type="expression" dxfId="6567" priority="14549">
      <formula>$H660="ETAPA"</formula>
    </cfRule>
    <cfRule type="expression" dxfId="6566" priority="14548">
      <formula>$H660="CÉLULA CONSTRUTIVA"</formula>
    </cfRule>
    <cfRule type="expression" dxfId="6565" priority="14547">
      <formula>$H660="SUBETAPA"</formula>
    </cfRule>
    <cfRule type="containsText" dxfId="6564" priority="14567" operator="containsText" text="em andamento">
      <formula>NOT(ISERROR(SEARCH("em andamento",P660)))</formula>
    </cfRule>
    <cfRule type="containsText" dxfId="6563" priority="14566" operator="containsText" text="Finalizado">
      <formula>NOT(ISERROR(SEARCH("Finalizado",P660)))</formula>
    </cfRule>
    <cfRule type="containsText" dxfId="6562" priority="14565" operator="containsText" text="Pendente">
      <formula>NOT(ISERROR(SEARCH("Pendente",P660)))</formula>
    </cfRule>
    <cfRule type="containsText" dxfId="6561" priority="14564" operator="containsText" text="N/A">
      <formula>NOT(ISERROR(SEARCH("N/A",P660)))</formula>
    </cfRule>
  </conditionalFormatting>
  <conditionalFormatting sqref="P661">
    <cfRule type="containsText" dxfId="6560" priority="15198" operator="containsText" text="N/A">
      <formula>NOT(ISERROR(SEARCH("N/A",P661)))</formula>
    </cfRule>
    <cfRule type="containsText" dxfId="6559" priority="15199" operator="containsText" text="Pendente">
      <formula>NOT(ISERROR(SEARCH("Pendente",P661)))</formula>
    </cfRule>
    <cfRule type="containsText" dxfId="6558" priority="15201" operator="containsText" text="em andamento">
      <formula>NOT(ISERROR(SEARCH("em andamento",P661)))</formula>
    </cfRule>
    <cfRule type="containsText" dxfId="6557" priority="15197" operator="containsText" text="Lançado">
      <formula>NOT(ISERROR(SEARCH("Lançado",P661)))</formula>
    </cfRule>
    <cfRule type="containsText" dxfId="6556" priority="15200" operator="containsText" text="Finalizado">
      <formula>NOT(ISERROR(SEARCH("Finalizado",P661)))</formula>
    </cfRule>
  </conditionalFormatting>
  <conditionalFormatting sqref="P662">
    <cfRule type="containsText" dxfId="6555" priority="15271" operator="containsText" text="Lançado">
      <formula>NOT(ISERROR(SEARCH("Lançado",P662)))</formula>
    </cfRule>
    <cfRule type="containsText" dxfId="6554" priority="15270" operator="containsText" text="em andamento">
      <formula>NOT(ISERROR(SEARCH("em andamento",P662)))</formula>
    </cfRule>
    <cfRule type="containsText" dxfId="6553" priority="15267" operator="containsText" text="N/A">
      <formula>NOT(ISERROR(SEARCH("N/A",P662)))</formula>
    </cfRule>
    <cfRule type="expression" dxfId="6552" priority="15263">
      <formula>$H662="SUBETAPA"</formula>
    </cfRule>
    <cfRule type="containsText" dxfId="6551" priority="15268" operator="containsText" text="Pendente">
      <formula>NOT(ISERROR(SEARCH("Pendente",P662)))</formula>
    </cfRule>
    <cfRule type="expression" dxfId="6550" priority="15264">
      <formula>$H662="CÉLULA CONSTRUTIVA"</formula>
    </cfRule>
    <cfRule type="expression" dxfId="6549" priority="15265">
      <formula>$H662="ETAPA"</formula>
    </cfRule>
    <cfRule type="containsText" dxfId="6548" priority="15266" operator="containsText" text="Lançado">
      <formula>NOT(ISERROR(SEARCH("Lançado",P662)))</formula>
    </cfRule>
    <cfRule type="containsText" dxfId="6547" priority="15279" operator="containsText" text="Lançado">
      <formula>NOT(ISERROR(SEARCH("Lançado",P662)))</formula>
    </cfRule>
    <cfRule type="containsText" dxfId="6546" priority="15282" operator="containsText" text="Finalizado">
      <formula>NOT(ISERROR(SEARCH("Finalizado",P662)))</formula>
    </cfRule>
    <cfRule type="containsText" dxfId="6545" priority="15283" operator="containsText" text="em andamento">
      <formula>NOT(ISERROR(SEARCH("em andamento",P662)))</formula>
    </cfRule>
    <cfRule type="expression" dxfId="6544" priority="15278">
      <formula>$H662="ETAPA"</formula>
    </cfRule>
    <cfRule type="expression" dxfId="6543" priority="15276">
      <formula>$H662="SUBETAPA"</formula>
    </cfRule>
    <cfRule type="containsText" dxfId="6542" priority="15275" operator="containsText" text="em andamento">
      <formula>NOT(ISERROR(SEARCH("em andamento",P662)))</formula>
    </cfRule>
    <cfRule type="containsText" dxfId="6541" priority="15269" operator="containsText" text="Finalizado">
      <formula>NOT(ISERROR(SEARCH("Finalizado",P662)))</formula>
    </cfRule>
    <cfRule type="containsText" dxfId="6540" priority="15274" operator="containsText" text="Finalizado">
      <formula>NOT(ISERROR(SEARCH("Finalizado",P662)))</formula>
    </cfRule>
    <cfRule type="containsText" dxfId="6539" priority="15273" operator="containsText" text="Pendente">
      <formula>NOT(ISERROR(SEARCH("Pendente",P662)))</formula>
    </cfRule>
    <cfRule type="containsText" dxfId="6538" priority="15280" operator="containsText" text="N/A">
      <formula>NOT(ISERROR(SEARCH("N/A",P662)))</formula>
    </cfRule>
    <cfRule type="containsText" dxfId="6537" priority="15281" operator="containsText" text="Pendente">
      <formula>NOT(ISERROR(SEARCH("Pendente",P662)))</formula>
    </cfRule>
    <cfRule type="expression" dxfId="6536" priority="15277">
      <formula>$H662="CÉLULA CONSTRUTIVA"</formula>
    </cfRule>
    <cfRule type="containsText" dxfId="6535" priority="15272" operator="containsText" text="N/A">
      <formula>NOT(ISERROR(SEARCH("N/A",P662)))</formula>
    </cfRule>
  </conditionalFormatting>
  <conditionalFormatting sqref="P663">
    <cfRule type="containsText" dxfId="6534" priority="15293" operator="containsText" text="Lançado">
      <formula>NOT(ISERROR(SEARCH("Lançado",P663)))</formula>
    </cfRule>
    <cfRule type="containsText" dxfId="6533" priority="15294" operator="containsText" text="Pendente">
      <formula>NOT(ISERROR(SEARCH("Pendente",P663)))</formula>
    </cfRule>
    <cfRule type="containsText" dxfId="6532" priority="15295" operator="containsText" text="Finalizado">
      <formula>NOT(ISERROR(SEARCH("Finalizado",P663)))</formula>
    </cfRule>
    <cfRule type="containsText" dxfId="6531" priority="15296" operator="containsText" text="em andamento">
      <formula>NOT(ISERROR(SEARCH("em andamento",P663)))</formula>
    </cfRule>
  </conditionalFormatting>
  <conditionalFormatting sqref="P664:P665 P678:P679 P692:P693 P706:P707">
    <cfRule type="containsText" dxfId="6530" priority="14610" operator="containsText" text="Lançado">
      <formula>NOT(ISERROR(SEARCH("Lançado",P664)))</formula>
    </cfRule>
  </conditionalFormatting>
  <conditionalFormatting sqref="P666 G674:L674 G676:L676">
    <cfRule type="expression" dxfId="6529" priority="15177">
      <formula>$H666="SUBETAPA"</formula>
    </cfRule>
  </conditionalFormatting>
  <conditionalFormatting sqref="P666">
    <cfRule type="containsText" dxfId="6528" priority="15180" operator="containsText" text="Lançado">
      <formula>NOT(ISERROR(SEARCH("Lançado",P666)))</formula>
    </cfRule>
    <cfRule type="containsText" dxfId="6527" priority="15182" operator="containsText" text="Pendente">
      <formula>NOT(ISERROR(SEARCH("Pendente",P666)))</formula>
    </cfRule>
    <cfRule type="containsText" dxfId="6526" priority="15183" operator="containsText" text="Finalizado">
      <formula>NOT(ISERROR(SEARCH("Finalizado",P666)))</formula>
    </cfRule>
    <cfRule type="containsText" dxfId="6525" priority="15181" operator="containsText" text="N/A">
      <formula>NOT(ISERROR(SEARCH("N/A",P666)))</formula>
    </cfRule>
    <cfRule type="containsText" dxfId="6524" priority="15184" operator="containsText" text="em andamento">
      <formula>NOT(ISERROR(SEARCH("em andamento",P666)))</formula>
    </cfRule>
  </conditionalFormatting>
  <conditionalFormatting sqref="P667">
    <cfRule type="containsText" dxfId="6523" priority="15072" operator="containsText" text="Pendente">
      <formula>NOT(ISERROR(SEARCH("Pendente",P667)))</formula>
    </cfRule>
    <cfRule type="containsText" dxfId="6522" priority="15071" operator="containsText" text="N/A">
      <formula>NOT(ISERROR(SEARCH("N/A",P667)))</formula>
    </cfRule>
    <cfRule type="containsText" dxfId="6521" priority="15070" operator="containsText" text="Lançado">
      <formula>NOT(ISERROR(SEARCH("Lançado",P667)))</formula>
    </cfRule>
    <cfRule type="containsText" dxfId="6520" priority="15074" operator="containsText" text="em andamento">
      <formula>NOT(ISERROR(SEARCH("em andamento",P667)))</formula>
    </cfRule>
    <cfRule type="containsText" dxfId="6519" priority="15073" operator="containsText" text="Finalizado">
      <formula>NOT(ISERROR(SEARCH("Finalizado",P667)))</formula>
    </cfRule>
  </conditionalFormatting>
  <conditionalFormatting sqref="P668">
    <cfRule type="containsText" dxfId="6518" priority="15087" operator="containsText" text="em andamento">
      <formula>NOT(ISERROR(SEARCH("em andamento",P668)))</formula>
    </cfRule>
    <cfRule type="expression" dxfId="6517" priority="15089">
      <formula>$H668="CÉLULA CONSTRUTIVA"</formula>
    </cfRule>
    <cfRule type="expression" dxfId="6516" priority="15090">
      <formula>$H668="ETAPA"</formula>
    </cfRule>
    <cfRule type="containsText" dxfId="6515" priority="15091" operator="containsText" text="Lançado">
      <formula>NOT(ISERROR(SEARCH("Lançado",P668)))</formula>
    </cfRule>
    <cfRule type="containsText" dxfId="6514" priority="15092" operator="containsText" text="N/A">
      <formula>NOT(ISERROR(SEARCH("N/A",P668)))</formula>
    </cfRule>
    <cfRule type="containsText" dxfId="6513" priority="15084" operator="containsText" text="N/A">
      <formula>NOT(ISERROR(SEARCH("N/A",P668)))</formula>
    </cfRule>
    <cfRule type="containsText" dxfId="6512" priority="15083" operator="containsText" text="Lançado">
      <formula>NOT(ISERROR(SEARCH("Lançado",P668)))</formula>
    </cfRule>
    <cfRule type="containsText" dxfId="6511" priority="15082" operator="containsText" text="em andamento">
      <formula>NOT(ISERROR(SEARCH("em andamento",P668)))</formula>
    </cfRule>
    <cfRule type="containsText" dxfId="6510" priority="15081" operator="containsText" text="Finalizado">
      <formula>NOT(ISERROR(SEARCH("Finalizado",P668)))</formula>
    </cfRule>
    <cfRule type="containsText" dxfId="6509" priority="15085" operator="containsText" text="Pendente">
      <formula>NOT(ISERROR(SEARCH("Pendente",P668)))</formula>
    </cfRule>
    <cfRule type="containsText" dxfId="6508" priority="15080" operator="containsText" text="Pendente">
      <formula>NOT(ISERROR(SEARCH("Pendente",P668)))</formula>
    </cfRule>
    <cfRule type="containsText" dxfId="6507" priority="15078" operator="containsText" text="Lançado">
      <formula>NOT(ISERROR(SEARCH("Lançado",P668)))</formula>
    </cfRule>
    <cfRule type="expression" dxfId="6506" priority="15076">
      <formula>$H668="CÉLULA CONSTRUTIVA"</formula>
    </cfRule>
    <cfRule type="expression" dxfId="6505" priority="15075">
      <formula>$H668="SUBETAPA"</formula>
    </cfRule>
    <cfRule type="containsText" dxfId="6504" priority="15079" operator="containsText" text="N/A">
      <formula>NOT(ISERROR(SEARCH("N/A",P668)))</formula>
    </cfRule>
    <cfRule type="expression" dxfId="6503" priority="15077">
      <formula>$H668="ETAPA"</formula>
    </cfRule>
    <cfRule type="containsText" dxfId="6502" priority="15086" operator="containsText" text="Finalizado">
      <formula>NOT(ISERROR(SEARCH("Finalizado",P668)))</formula>
    </cfRule>
    <cfRule type="expression" dxfId="6501" priority="15088">
      <formula>$H668="SUBETAPA"</formula>
    </cfRule>
    <cfRule type="containsText" dxfId="6500" priority="15095" operator="containsText" text="em andamento">
      <formula>NOT(ISERROR(SEARCH("em andamento",P668)))</formula>
    </cfRule>
    <cfRule type="containsText" dxfId="6499" priority="15094" operator="containsText" text="Finalizado">
      <formula>NOT(ISERROR(SEARCH("Finalizado",P668)))</formula>
    </cfRule>
    <cfRule type="containsText" dxfId="6498" priority="15093" operator="containsText" text="Pendente">
      <formula>NOT(ISERROR(SEARCH("Pendente",P668)))</formula>
    </cfRule>
  </conditionalFormatting>
  <conditionalFormatting sqref="P669">
    <cfRule type="containsText" dxfId="6497" priority="14656" operator="containsText" text="Lançado">
      <formula>NOT(ISERROR(SEARCH("Lançado",P669)))</formula>
    </cfRule>
    <cfRule type="containsText" dxfId="6496" priority="14658" operator="containsText" text="Pendente">
      <formula>NOT(ISERROR(SEARCH("Pendente",P669)))</formula>
    </cfRule>
    <cfRule type="containsText" dxfId="6495" priority="14660" operator="containsText" text="em andamento">
      <formula>NOT(ISERROR(SEARCH("em andamento",P669)))</formula>
    </cfRule>
    <cfRule type="containsText" dxfId="6494" priority="14657" operator="containsText" text="N/A">
      <formula>NOT(ISERROR(SEARCH("N/A",P669)))</formula>
    </cfRule>
    <cfRule type="containsText" dxfId="6493" priority="14659" operator="containsText" text="Finalizado">
      <formula>NOT(ISERROR(SEARCH("Finalizado",P669)))</formula>
    </cfRule>
  </conditionalFormatting>
  <conditionalFormatting sqref="P670">
    <cfRule type="containsText" dxfId="6492" priority="14667" operator="containsText" text="Lançado">
      <formula>NOT(ISERROR(SEARCH("Lançado",P670)))</formula>
    </cfRule>
    <cfRule type="expression" dxfId="6491" priority="14666">
      <formula>$H670="ETAPA"</formula>
    </cfRule>
    <cfRule type="expression" dxfId="6490" priority="14665">
      <formula>$H670="CÉLULA CONSTRUTIVA"</formula>
    </cfRule>
    <cfRule type="expression" dxfId="6489" priority="14664">
      <formula>$H670="SUBETAPA"</formula>
    </cfRule>
    <cfRule type="containsText" dxfId="6488" priority="14684" operator="containsText" text="em andamento">
      <formula>NOT(ISERROR(SEARCH("em andamento",P670)))</formula>
    </cfRule>
    <cfRule type="containsText" dxfId="6487" priority="14683" operator="containsText" text="Finalizado">
      <formula>NOT(ISERROR(SEARCH("Finalizado",P670)))</formula>
    </cfRule>
    <cfRule type="containsText" dxfId="6486" priority="14682" operator="containsText" text="Pendente">
      <formula>NOT(ISERROR(SEARCH("Pendente",P670)))</formula>
    </cfRule>
    <cfRule type="containsText" dxfId="6485" priority="14681" operator="containsText" text="N/A">
      <formula>NOT(ISERROR(SEARCH("N/A",P670)))</formula>
    </cfRule>
    <cfRule type="containsText" dxfId="6484" priority="14680" operator="containsText" text="Lançado">
      <formula>NOT(ISERROR(SEARCH("Lançado",P670)))</formula>
    </cfRule>
    <cfRule type="expression" dxfId="6483" priority="14679">
      <formula>$H670="ETAPA"</formula>
    </cfRule>
    <cfRule type="expression" dxfId="6482" priority="14678">
      <formula>$H670="CÉLULA CONSTRUTIVA"</formula>
    </cfRule>
    <cfRule type="expression" dxfId="6481" priority="14677">
      <formula>$H670="SUBETAPA"</formula>
    </cfRule>
    <cfRule type="containsText" dxfId="6480" priority="14676" operator="containsText" text="em andamento">
      <formula>NOT(ISERROR(SEARCH("em andamento",P670)))</formula>
    </cfRule>
    <cfRule type="containsText" dxfId="6479" priority="14675" operator="containsText" text="Finalizado">
      <formula>NOT(ISERROR(SEARCH("Finalizado",P670)))</formula>
    </cfRule>
    <cfRule type="containsText" dxfId="6478" priority="14674" operator="containsText" text="Pendente">
      <formula>NOT(ISERROR(SEARCH("Pendente",P670)))</formula>
    </cfRule>
    <cfRule type="containsText" dxfId="6477" priority="14673" operator="containsText" text="N/A">
      <formula>NOT(ISERROR(SEARCH("N/A",P670)))</formula>
    </cfRule>
    <cfRule type="containsText" dxfId="6476" priority="14672" operator="containsText" text="Lançado">
      <formula>NOT(ISERROR(SEARCH("Lançado",P670)))</formula>
    </cfRule>
    <cfRule type="containsText" dxfId="6475" priority="14671" operator="containsText" text="em andamento">
      <formula>NOT(ISERROR(SEARCH("em andamento",P670)))</formula>
    </cfRule>
    <cfRule type="containsText" dxfId="6474" priority="14670" operator="containsText" text="Finalizado">
      <formula>NOT(ISERROR(SEARCH("Finalizado",P670)))</formula>
    </cfRule>
    <cfRule type="containsText" dxfId="6473" priority="14669" operator="containsText" text="Pendente">
      <formula>NOT(ISERROR(SEARCH("Pendente",P670)))</formula>
    </cfRule>
    <cfRule type="containsText" dxfId="6472" priority="14668" operator="containsText" text="N/A">
      <formula>NOT(ISERROR(SEARCH("N/A",P670)))</formula>
    </cfRule>
  </conditionalFormatting>
  <conditionalFormatting sqref="P671">
    <cfRule type="containsText" dxfId="6471" priority="15173" operator="containsText" text="em andamento">
      <formula>NOT(ISERROR(SEARCH("em andamento",P671)))</formula>
    </cfRule>
    <cfRule type="containsText" dxfId="6470" priority="15169" operator="containsText" text="Lançado">
      <formula>NOT(ISERROR(SEARCH("Lançado",P671)))</formula>
    </cfRule>
    <cfRule type="containsText" dxfId="6469" priority="15172" operator="containsText" text="Finalizado">
      <formula>NOT(ISERROR(SEARCH("Finalizado",P671)))</formula>
    </cfRule>
    <cfRule type="containsText" dxfId="6468" priority="15170" operator="containsText" text="N/A">
      <formula>NOT(ISERROR(SEARCH("N/A",P671)))</formula>
    </cfRule>
    <cfRule type="containsText" dxfId="6467" priority="15171" operator="containsText" text="Pendente">
      <formula>NOT(ISERROR(SEARCH("Pendente",P671)))</formula>
    </cfRule>
  </conditionalFormatting>
  <conditionalFormatting sqref="P672">
    <cfRule type="expression" dxfId="6466" priority="15148">
      <formula>$H672="ETAPA"</formula>
    </cfRule>
    <cfRule type="containsText" dxfId="6465" priority="15142" operator="containsText" text="N/A">
      <formula>NOT(ISERROR(SEARCH("N/A",P672)))</formula>
    </cfRule>
    <cfRule type="containsText" dxfId="6464" priority="15141" operator="containsText" text="Lançado">
      <formula>NOT(ISERROR(SEARCH("Lançado",P672)))</formula>
    </cfRule>
    <cfRule type="containsText" dxfId="6463" priority="15140" operator="containsText" text="em andamento">
      <formula>NOT(ISERROR(SEARCH("em andamento",P672)))</formula>
    </cfRule>
    <cfRule type="containsText" dxfId="6462" priority="15139" operator="containsText" text="Finalizado">
      <formula>NOT(ISERROR(SEARCH("Finalizado",P672)))</formula>
    </cfRule>
    <cfRule type="containsText" dxfId="6461" priority="15138" operator="containsText" text="Pendente">
      <formula>NOT(ISERROR(SEARCH("Pendente",P672)))</formula>
    </cfRule>
    <cfRule type="containsText" dxfId="6460" priority="15137" operator="containsText" text="N/A">
      <formula>NOT(ISERROR(SEARCH("N/A",P672)))</formula>
    </cfRule>
    <cfRule type="containsText" dxfId="6459" priority="15136" operator="containsText" text="Lançado">
      <formula>NOT(ISERROR(SEARCH("Lançado",P672)))</formula>
    </cfRule>
    <cfRule type="expression" dxfId="6458" priority="15133">
      <formula>$H672="SUBETAPA"</formula>
    </cfRule>
    <cfRule type="expression" dxfId="6457" priority="15134">
      <formula>$H672="CÉLULA CONSTRUTIVA"</formula>
    </cfRule>
    <cfRule type="containsText" dxfId="6456" priority="15143" operator="containsText" text="Pendente">
      <formula>NOT(ISERROR(SEARCH("Pendente",P672)))</formula>
    </cfRule>
    <cfRule type="expression" dxfId="6455" priority="15135">
      <formula>$H672="ETAPA"</formula>
    </cfRule>
    <cfRule type="containsText" dxfId="6454" priority="15145" operator="containsText" text="em andamento">
      <formula>NOT(ISERROR(SEARCH("em andamento",P672)))</formula>
    </cfRule>
    <cfRule type="expression" dxfId="6453" priority="15146">
      <formula>$H672="SUBETAPA"</formula>
    </cfRule>
    <cfRule type="expression" dxfId="6452" priority="15147">
      <formula>$H672="CÉLULA CONSTRUTIVA"</formula>
    </cfRule>
    <cfRule type="containsText" dxfId="6451" priority="15149" operator="containsText" text="Lançado">
      <formula>NOT(ISERROR(SEARCH("Lançado",P672)))</formula>
    </cfRule>
    <cfRule type="containsText" dxfId="6450" priority="15150" operator="containsText" text="N/A">
      <formula>NOT(ISERROR(SEARCH("N/A",P672)))</formula>
    </cfRule>
    <cfRule type="containsText" dxfId="6449" priority="15151" operator="containsText" text="Pendente">
      <formula>NOT(ISERROR(SEARCH("Pendente",P672)))</formula>
    </cfRule>
    <cfRule type="containsText" dxfId="6448" priority="15144" operator="containsText" text="Finalizado">
      <formula>NOT(ISERROR(SEARCH("Finalizado",P672)))</formula>
    </cfRule>
    <cfRule type="containsText" dxfId="6447" priority="15153" operator="containsText" text="em andamento">
      <formula>NOT(ISERROR(SEARCH("em andamento",P672)))</formula>
    </cfRule>
    <cfRule type="containsText" dxfId="6446" priority="15152" operator="containsText" text="Finalizado">
      <formula>NOT(ISERROR(SEARCH("Finalizado",P672)))</formula>
    </cfRule>
  </conditionalFormatting>
  <conditionalFormatting sqref="P673">
    <cfRule type="containsText" dxfId="6445" priority="15057" operator="containsText" text="em andamento">
      <formula>NOT(ISERROR(SEARCH("em andamento",P673)))</formula>
    </cfRule>
    <cfRule type="containsText" dxfId="6444" priority="15056" operator="containsText" text="Finalizado">
      <formula>NOT(ISERROR(SEARCH("Finalizado",P673)))</formula>
    </cfRule>
    <cfRule type="containsText" dxfId="6443" priority="15055" operator="containsText" text="Pendente">
      <formula>NOT(ISERROR(SEARCH("Pendente",P673)))</formula>
    </cfRule>
    <cfRule type="containsText" dxfId="6442" priority="15053" operator="containsText" text="Lançado">
      <formula>NOT(ISERROR(SEARCH("Lançado",P673)))</formula>
    </cfRule>
    <cfRule type="containsText" dxfId="6441" priority="15054" operator="containsText" text="N/A">
      <formula>NOT(ISERROR(SEARCH("N/A",P673)))</formula>
    </cfRule>
  </conditionalFormatting>
  <conditionalFormatting sqref="P674">
    <cfRule type="containsText" dxfId="6440" priority="14531" operator="containsText" text="Pendente">
      <formula>NOT(ISERROR(SEARCH("Pendente",P674)))</formula>
    </cfRule>
    <cfRule type="containsText" dxfId="6439" priority="14529" operator="containsText" text="Lançado">
      <formula>NOT(ISERROR(SEARCH("Lançado",P674)))</formula>
    </cfRule>
    <cfRule type="expression" dxfId="6438" priority="14528">
      <formula>$H674="ETAPA"</formula>
    </cfRule>
    <cfRule type="containsText" dxfId="6437" priority="14546" operator="containsText" text="em andamento">
      <formula>NOT(ISERROR(SEARCH("em andamento",P674)))</formula>
    </cfRule>
    <cfRule type="expression" dxfId="6436" priority="14527">
      <formula>$H674="CÉLULA CONSTRUTIVA"</formula>
    </cfRule>
    <cfRule type="expression" dxfId="6435" priority="14526">
      <formula>$H674="SUBETAPA"</formula>
    </cfRule>
    <cfRule type="containsText" dxfId="6434" priority="14535" operator="containsText" text="N/A">
      <formula>NOT(ISERROR(SEARCH("N/A",P674)))</formula>
    </cfRule>
    <cfRule type="containsText" dxfId="6433" priority="14534" operator="containsText" text="Lançado">
      <formula>NOT(ISERROR(SEARCH("Lançado",P674)))</formula>
    </cfRule>
    <cfRule type="containsText" dxfId="6432" priority="14533" operator="containsText" text="em andamento">
      <formula>NOT(ISERROR(SEARCH("em andamento",P674)))</formula>
    </cfRule>
    <cfRule type="containsText" dxfId="6431" priority="14532" operator="containsText" text="Finalizado">
      <formula>NOT(ISERROR(SEARCH("Finalizado",P674)))</formula>
    </cfRule>
    <cfRule type="expression" dxfId="6430" priority="14539">
      <formula>$H674="SUBETAPA"</formula>
    </cfRule>
    <cfRule type="containsText" dxfId="6429" priority="14530" operator="containsText" text="N/A">
      <formula>NOT(ISERROR(SEARCH("N/A",P674)))</formula>
    </cfRule>
    <cfRule type="expression" dxfId="6428" priority="14540">
      <formula>$H674="CÉLULA CONSTRUTIVA"</formula>
    </cfRule>
    <cfRule type="containsText" dxfId="6427" priority="14538" operator="containsText" text="em andamento">
      <formula>NOT(ISERROR(SEARCH("em andamento",P674)))</formula>
    </cfRule>
    <cfRule type="containsText" dxfId="6426" priority="14536" operator="containsText" text="Pendente">
      <formula>NOT(ISERROR(SEARCH("Pendente",P674)))</formula>
    </cfRule>
    <cfRule type="containsText" dxfId="6425" priority="14545" operator="containsText" text="Finalizado">
      <formula>NOT(ISERROR(SEARCH("Finalizado",P674)))</formula>
    </cfRule>
    <cfRule type="containsText" dxfId="6424" priority="14543" operator="containsText" text="N/A">
      <formula>NOT(ISERROR(SEARCH("N/A",P674)))</formula>
    </cfRule>
    <cfRule type="containsText" dxfId="6423" priority="14544" operator="containsText" text="Pendente">
      <formula>NOT(ISERROR(SEARCH("Pendente",P674)))</formula>
    </cfRule>
    <cfRule type="containsText" dxfId="6422" priority="14542" operator="containsText" text="Lançado">
      <formula>NOT(ISERROR(SEARCH("Lançado",P674)))</formula>
    </cfRule>
    <cfRule type="expression" dxfId="6421" priority="14541">
      <formula>$H674="ETAPA"</formula>
    </cfRule>
    <cfRule type="containsText" dxfId="6420" priority="14537" operator="containsText" text="Finalizado">
      <formula>NOT(ISERROR(SEARCH("Finalizado",P674)))</formula>
    </cfRule>
  </conditionalFormatting>
  <conditionalFormatting sqref="P675">
    <cfRule type="containsText" dxfId="6419" priority="15036" operator="containsText" text="Finalizado">
      <formula>NOT(ISERROR(SEARCH("Finalizado",P675)))</formula>
    </cfRule>
    <cfRule type="containsText" dxfId="6418" priority="15037" operator="containsText" text="em andamento">
      <formula>NOT(ISERROR(SEARCH("em andamento",P675)))</formula>
    </cfRule>
    <cfRule type="containsText" dxfId="6417" priority="15035" operator="containsText" text="Pendente">
      <formula>NOT(ISERROR(SEARCH("Pendente",P675)))</formula>
    </cfRule>
    <cfRule type="containsText" dxfId="6416" priority="15034" operator="containsText" text="N/A">
      <formula>NOT(ISERROR(SEARCH("N/A",P675)))</formula>
    </cfRule>
    <cfRule type="containsText" dxfId="6415" priority="15033" operator="containsText" text="Lançado">
      <formula>NOT(ISERROR(SEARCH("Lançado",P675)))</formula>
    </cfRule>
  </conditionalFormatting>
  <conditionalFormatting sqref="P676">
    <cfRule type="expression" dxfId="6414" priority="15100">
      <formula>$H676="CÉLULA CONSTRUTIVA"</formula>
    </cfRule>
    <cfRule type="containsText" dxfId="6413" priority="15115" operator="containsText" text="Lançado">
      <formula>NOT(ISERROR(SEARCH("Lançado",P676)))</formula>
    </cfRule>
    <cfRule type="containsText" dxfId="6412" priority="15102" operator="containsText" text="Lançado">
      <formula>NOT(ISERROR(SEARCH("Lançado",P676)))</formula>
    </cfRule>
    <cfRule type="containsText" dxfId="6411" priority="15104" operator="containsText" text="Pendente">
      <formula>NOT(ISERROR(SEARCH("Pendente",P676)))</formula>
    </cfRule>
    <cfRule type="expression" dxfId="6410" priority="15101">
      <formula>$H676="ETAPA"</formula>
    </cfRule>
    <cfRule type="containsText" dxfId="6409" priority="15109" operator="containsText" text="Pendente">
      <formula>NOT(ISERROR(SEARCH("Pendente",P676)))</formula>
    </cfRule>
    <cfRule type="expression" dxfId="6408" priority="15114">
      <formula>$H676="ETAPA"</formula>
    </cfRule>
    <cfRule type="containsText" dxfId="6407" priority="15116" operator="containsText" text="N/A">
      <formula>NOT(ISERROR(SEARCH("N/A",P676)))</formula>
    </cfRule>
    <cfRule type="containsText" dxfId="6406" priority="15117" operator="containsText" text="Pendente">
      <formula>NOT(ISERROR(SEARCH("Pendente",P676)))</formula>
    </cfRule>
    <cfRule type="containsText" dxfId="6405" priority="15118" operator="containsText" text="Finalizado">
      <formula>NOT(ISERROR(SEARCH("Finalizado",P676)))</formula>
    </cfRule>
    <cfRule type="containsText" dxfId="6404" priority="15103" operator="containsText" text="N/A">
      <formula>NOT(ISERROR(SEARCH("N/A",P676)))</formula>
    </cfRule>
    <cfRule type="containsText" dxfId="6403" priority="15119" operator="containsText" text="em andamento">
      <formula>NOT(ISERROR(SEARCH("em andamento",P676)))</formula>
    </cfRule>
    <cfRule type="expression" dxfId="6402" priority="15113">
      <formula>$H676="CÉLULA CONSTRUTIVA"</formula>
    </cfRule>
    <cfRule type="containsText" dxfId="6401" priority="15108" operator="containsText" text="N/A">
      <formula>NOT(ISERROR(SEARCH("N/A",P676)))</formula>
    </cfRule>
    <cfRule type="containsText" dxfId="6400" priority="15105" operator="containsText" text="Finalizado">
      <formula>NOT(ISERROR(SEARCH("Finalizado",P676)))</formula>
    </cfRule>
    <cfRule type="containsText" dxfId="6399" priority="15106" operator="containsText" text="em andamento">
      <formula>NOT(ISERROR(SEARCH("em andamento",P676)))</formula>
    </cfRule>
    <cfRule type="containsText" dxfId="6398" priority="15107" operator="containsText" text="Lançado">
      <formula>NOT(ISERROR(SEARCH("Lançado",P676)))</formula>
    </cfRule>
    <cfRule type="containsText" dxfId="6397" priority="15111" operator="containsText" text="em andamento">
      <formula>NOT(ISERROR(SEARCH("em andamento",P676)))</formula>
    </cfRule>
    <cfRule type="containsText" dxfId="6396" priority="15110" operator="containsText" text="Finalizado">
      <formula>NOT(ISERROR(SEARCH("Finalizado",P676)))</formula>
    </cfRule>
    <cfRule type="expression" dxfId="6395" priority="15099">
      <formula>$H676="SUBETAPA"</formula>
    </cfRule>
    <cfRule type="expression" dxfId="6394" priority="15112">
      <formula>$H676="SUBETAPA"</formula>
    </cfRule>
  </conditionalFormatting>
  <conditionalFormatting sqref="P677">
    <cfRule type="containsText" dxfId="6393" priority="15129" operator="containsText" text="Lançado">
      <formula>NOT(ISERROR(SEARCH("Lançado",P677)))</formula>
    </cfRule>
    <cfRule type="containsText" dxfId="6392" priority="15131" operator="containsText" text="Finalizado">
      <formula>NOT(ISERROR(SEARCH("Finalizado",P677)))</formula>
    </cfRule>
    <cfRule type="containsText" dxfId="6391" priority="15130" operator="containsText" text="Pendente">
      <formula>NOT(ISERROR(SEARCH("Pendente",P677)))</formula>
    </cfRule>
    <cfRule type="containsText" dxfId="6390" priority="15132" operator="containsText" text="em andamento">
      <formula>NOT(ISERROR(SEARCH("em andamento",P677)))</formula>
    </cfRule>
  </conditionalFormatting>
  <conditionalFormatting sqref="P677:P680">
    <cfRule type="containsText" dxfId="6389" priority="14501" operator="containsText" text="N/A">
      <formula>NOT(ISERROR(SEARCH("N/A",P677)))</formula>
    </cfRule>
  </conditionalFormatting>
  <conditionalFormatting sqref="P680 G688:L688 G690:L690">
    <cfRule type="expression" dxfId="6388" priority="14497">
      <formula>$H680="SUBETAPA"</formula>
    </cfRule>
  </conditionalFormatting>
  <conditionalFormatting sqref="P680">
    <cfRule type="containsText" dxfId="6387" priority="14503" operator="containsText" text="Finalizado">
      <formula>NOT(ISERROR(SEARCH("Finalizado",P680)))</formula>
    </cfRule>
    <cfRule type="containsText" dxfId="6386" priority="14500" operator="containsText" text="Lançado">
      <formula>NOT(ISERROR(SEARCH("Lançado",P680)))</formula>
    </cfRule>
    <cfRule type="containsText" dxfId="6385" priority="14502" operator="containsText" text="Pendente">
      <formula>NOT(ISERROR(SEARCH("Pendente",P680)))</formula>
    </cfRule>
    <cfRule type="containsText" dxfId="6384" priority="14504" operator="containsText" text="em andamento">
      <formula>NOT(ISERROR(SEARCH("em andamento",P680)))</formula>
    </cfRule>
  </conditionalFormatting>
  <conditionalFormatting sqref="P681">
    <cfRule type="containsText" dxfId="6383" priority="14394" operator="containsText" text="em andamento">
      <formula>NOT(ISERROR(SEARCH("em andamento",P681)))</formula>
    </cfRule>
    <cfRule type="containsText" dxfId="6382" priority="14392" operator="containsText" text="Pendente">
      <formula>NOT(ISERROR(SEARCH("Pendente",P681)))</formula>
    </cfRule>
    <cfRule type="containsText" dxfId="6381" priority="14391" operator="containsText" text="N/A">
      <formula>NOT(ISERROR(SEARCH("N/A",P681)))</formula>
    </cfRule>
    <cfRule type="containsText" dxfId="6380" priority="14390" operator="containsText" text="Lançado">
      <formula>NOT(ISERROR(SEARCH("Lançado",P681)))</formula>
    </cfRule>
    <cfRule type="containsText" dxfId="6379" priority="14393" operator="containsText" text="Finalizado">
      <formula>NOT(ISERROR(SEARCH("Finalizado",P681)))</formula>
    </cfRule>
  </conditionalFormatting>
  <conditionalFormatting sqref="P682">
    <cfRule type="containsText" dxfId="6378" priority="14399" operator="containsText" text="N/A">
      <formula>NOT(ISERROR(SEARCH("N/A",P682)))</formula>
    </cfRule>
    <cfRule type="containsText" dxfId="6377" priority="14411" operator="containsText" text="Lançado">
      <formula>NOT(ISERROR(SEARCH("Lançado",P682)))</formula>
    </cfRule>
    <cfRule type="containsText" dxfId="6376" priority="14398" operator="containsText" text="Lançado">
      <formula>NOT(ISERROR(SEARCH("Lançado",P682)))</formula>
    </cfRule>
    <cfRule type="expression" dxfId="6375" priority="14397">
      <formula>$H682="ETAPA"</formula>
    </cfRule>
    <cfRule type="expression" dxfId="6374" priority="14396">
      <formula>$H682="CÉLULA CONSTRUTIVA"</formula>
    </cfRule>
    <cfRule type="expression" dxfId="6373" priority="14395">
      <formula>$H682="SUBETAPA"</formula>
    </cfRule>
    <cfRule type="containsText" dxfId="6372" priority="14413" operator="containsText" text="Pendente">
      <formula>NOT(ISERROR(SEARCH("Pendente",P682)))</formula>
    </cfRule>
    <cfRule type="containsText" dxfId="6371" priority="14412" operator="containsText" text="N/A">
      <formula>NOT(ISERROR(SEARCH("N/A",P682)))</formula>
    </cfRule>
    <cfRule type="containsText" dxfId="6370" priority="14403" operator="containsText" text="Lançado">
      <formula>NOT(ISERROR(SEARCH("Lançado",P682)))</formula>
    </cfRule>
    <cfRule type="containsText" dxfId="6369" priority="14415" operator="containsText" text="em andamento">
      <formula>NOT(ISERROR(SEARCH("em andamento",P682)))</formula>
    </cfRule>
    <cfRule type="containsText" dxfId="6368" priority="14400" operator="containsText" text="Pendente">
      <formula>NOT(ISERROR(SEARCH("Pendente",P682)))</formula>
    </cfRule>
    <cfRule type="containsText" dxfId="6367" priority="14414" operator="containsText" text="Finalizado">
      <formula>NOT(ISERROR(SEARCH("Finalizado",P682)))</formula>
    </cfRule>
    <cfRule type="containsText" dxfId="6366" priority="14406" operator="containsText" text="Finalizado">
      <formula>NOT(ISERROR(SEARCH("Finalizado",P682)))</formula>
    </cfRule>
    <cfRule type="containsText" dxfId="6365" priority="14402" operator="containsText" text="em andamento">
      <formula>NOT(ISERROR(SEARCH("em andamento",P682)))</formula>
    </cfRule>
    <cfRule type="containsText" dxfId="6364" priority="14404" operator="containsText" text="N/A">
      <formula>NOT(ISERROR(SEARCH("N/A",P682)))</formula>
    </cfRule>
    <cfRule type="containsText" dxfId="6363" priority="14401" operator="containsText" text="Finalizado">
      <formula>NOT(ISERROR(SEARCH("Finalizado",P682)))</formula>
    </cfRule>
    <cfRule type="containsText" dxfId="6362" priority="14405" operator="containsText" text="Pendente">
      <formula>NOT(ISERROR(SEARCH("Pendente",P682)))</formula>
    </cfRule>
    <cfRule type="containsText" dxfId="6361" priority="14407" operator="containsText" text="em andamento">
      <formula>NOT(ISERROR(SEARCH("em andamento",P682)))</formula>
    </cfRule>
    <cfRule type="expression" dxfId="6360" priority="14408">
      <formula>$H682="SUBETAPA"</formula>
    </cfRule>
    <cfRule type="expression" dxfId="6359" priority="14409">
      <formula>$H682="CÉLULA CONSTRUTIVA"</formula>
    </cfRule>
    <cfRule type="expression" dxfId="6358" priority="14410">
      <formula>$H682="ETAPA"</formula>
    </cfRule>
  </conditionalFormatting>
  <conditionalFormatting sqref="P683">
    <cfRule type="containsText" dxfId="6357" priority="14309" operator="containsText" text="Lançado">
      <formula>NOT(ISERROR(SEARCH("Lançado",P683)))</formula>
    </cfRule>
    <cfRule type="containsText" dxfId="6356" priority="14310" operator="containsText" text="N/A">
      <formula>NOT(ISERROR(SEARCH("N/A",P683)))</formula>
    </cfRule>
    <cfRule type="containsText" dxfId="6355" priority="14313" operator="containsText" text="em andamento">
      <formula>NOT(ISERROR(SEARCH("em andamento",P683)))</formula>
    </cfRule>
    <cfRule type="containsText" dxfId="6354" priority="14312" operator="containsText" text="Finalizado">
      <formula>NOT(ISERROR(SEARCH("Finalizado",P683)))</formula>
    </cfRule>
    <cfRule type="containsText" dxfId="6353" priority="14311" operator="containsText" text="Pendente">
      <formula>NOT(ISERROR(SEARCH("Pendente",P683)))</formula>
    </cfRule>
  </conditionalFormatting>
  <conditionalFormatting sqref="P684">
    <cfRule type="containsText" dxfId="6352" priority="14324" operator="containsText" text="em andamento">
      <formula>NOT(ISERROR(SEARCH("em andamento",P684)))</formula>
    </cfRule>
    <cfRule type="containsText" dxfId="6351" priority="14337" operator="containsText" text="em andamento">
      <formula>NOT(ISERROR(SEARCH("em andamento",P684)))</formula>
    </cfRule>
    <cfRule type="containsText" dxfId="6350" priority="14336" operator="containsText" text="Finalizado">
      <formula>NOT(ISERROR(SEARCH("Finalizado",P684)))</formula>
    </cfRule>
    <cfRule type="containsText" dxfId="6349" priority="14335" operator="containsText" text="Pendente">
      <formula>NOT(ISERROR(SEARCH("Pendente",P684)))</formula>
    </cfRule>
    <cfRule type="containsText" dxfId="6348" priority="14334" operator="containsText" text="N/A">
      <formula>NOT(ISERROR(SEARCH("N/A",P684)))</formula>
    </cfRule>
    <cfRule type="containsText" dxfId="6347" priority="14327" operator="containsText" text="Pendente">
      <formula>NOT(ISERROR(SEARCH("Pendente",P684)))</formula>
    </cfRule>
    <cfRule type="containsText" dxfId="6346" priority="14333" operator="containsText" text="Lançado">
      <formula>NOT(ISERROR(SEARCH("Lançado",P684)))</formula>
    </cfRule>
    <cfRule type="expression" dxfId="6345" priority="14332">
      <formula>$H684="ETAPA"</formula>
    </cfRule>
    <cfRule type="expression" dxfId="6344" priority="14331">
      <formula>$H684="CÉLULA CONSTRUTIVA"</formula>
    </cfRule>
    <cfRule type="expression" dxfId="6343" priority="14330">
      <formula>$H684="SUBETAPA"</formula>
    </cfRule>
    <cfRule type="containsText" dxfId="6342" priority="14329" operator="containsText" text="em andamento">
      <formula>NOT(ISERROR(SEARCH("em andamento",P684)))</formula>
    </cfRule>
    <cfRule type="containsText" dxfId="6341" priority="14328" operator="containsText" text="Finalizado">
      <formula>NOT(ISERROR(SEARCH("Finalizado",P684)))</formula>
    </cfRule>
    <cfRule type="containsText" dxfId="6340" priority="14323" operator="containsText" text="Finalizado">
      <formula>NOT(ISERROR(SEARCH("Finalizado",P684)))</formula>
    </cfRule>
    <cfRule type="containsText" dxfId="6339" priority="14322" operator="containsText" text="Pendente">
      <formula>NOT(ISERROR(SEARCH("Pendente",P684)))</formula>
    </cfRule>
    <cfRule type="containsText" dxfId="6338" priority="14321" operator="containsText" text="N/A">
      <formula>NOT(ISERROR(SEARCH("N/A",P684)))</formula>
    </cfRule>
    <cfRule type="containsText" dxfId="6337" priority="14320" operator="containsText" text="Lançado">
      <formula>NOT(ISERROR(SEARCH("Lançado",P684)))</formula>
    </cfRule>
    <cfRule type="expression" dxfId="6336" priority="14319">
      <formula>$H684="ETAPA"</formula>
    </cfRule>
    <cfRule type="expression" dxfId="6335" priority="14318">
      <formula>$H684="CÉLULA CONSTRUTIVA"</formula>
    </cfRule>
    <cfRule type="expression" dxfId="6334" priority="14317">
      <formula>$H684="SUBETAPA"</formula>
    </cfRule>
    <cfRule type="containsText" dxfId="6333" priority="14326" operator="containsText" text="N/A">
      <formula>NOT(ISERROR(SEARCH("N/A",P684)))</formula>
    </cfRule>
    <cfRule type="containsText" dxfId="6332" priority="14325" operator="containsText" text="Lançado">
      <formula>NOT(ISERROR(SEARCH("Lançado",P684)))</formula>
    </cfRule>
  </conditionalFormatting>
  <conditionalFormatting sqref="P685">
    <cfRule type="containsText" dxfId="6331" priority="14492" operator="containsText" text="Finalizado">
      <formula>NOT(ISERROR(SEARCH("Finalizado",P685)))</formula>
    </cfRule>
    <cfRule type="containsText" dxfId="6330" priority="14493" operator="containsText" text="em andamento">
      <formula>NOT(ISERROR(SEARCH("em andamento",P685)))</formula>
    </cfRule>
    <cfRule type="containsText" dxfId="6329" priority="14491" operator="containsText" text="Pendente">
      <formula>NOT(ISERROR(SEARCH("Pendente",P685)))</formula>
    </cfRule>
    <cfRule type="containsText" dxfId="6328" priority="14489" operator="containsText" text="Lançado">
      <formula>NOT(ISERROR(SEARCH("Lançado",P685)))</formula>
    </cfRule>
    <cfRule type="containsText" dxfId="6327" priority="14490" operator="containsText" text="N/A">
      <formula>NOT(ISERROR(SEARCH("N/A",P685)))</formula>
    </cfRule>
  </conditionalFormatting>
  <conditionalFormatting sqref="P686">
    <cfRule type="expression" dxfId="6326" priority="14467">
      <formula>$H686="CÉLULA CONSTRUTIVA"</formula>
    </cfRule>
    <cfRule type="expression" dxfId="6325" priority="14466">
      <formula>$H686="SUBETAPA"</formula>
    </cfRule>
    <cfRule type="containsText" dxfId="6324" priority="14465" operator="containsText" text="em andamento">
      <formula>NOT(ISERROR(SEARCH("em andamento",P686)))</formula>
    </cfRule>
    <cfRule type="containsText" dxfId="6323" priority="14464" operator="containsText" text="Finalizado">
      <formula>NOT(ISERROR(SEARCH("Finalizado",P686)))</formula>
    </cfRule>
    <cfRule type="containsText" dxfId="6322" priority="14463" operator="containsText" text="Pendente">
      <formula>NOT(ISERROR(SEARCH("Pendente",P686)))</formula>
    </cfRule>
    <cfRule type="containsText" dxfId="6321" priority="14462" operator="containsText" text="N/A">
      <formula>NOT(ISERROR(SEARCH("N/A",P686)))</formula>
    </cfRule>
    <cfRule type="containsText" dxfId="6320" priority="14461" operator="containsText" text="Lançado">
      <formula>NOT(ISERROR(SEARCH("Lançado",P686)))</formula>
    </cfRule>
    <cfRule type="containsText" dxfId="6319" priority="14460" operator="containsText" text="em andamento">
      <formula>NOT(ISERROR(SEARCH("em andamento",P686)))</formula>
    </cfRule>
    <cfRule type="containsText" dxfId="6318" priority="14459" operator="containsText" text="Finalizado">
      <formula>NOT(ISERROR(SEARCH("Finalizado",P686)))</formula>
    </cfRule>
    <cfRule type="containsText" dxfId="6317" priority="14458" operator="containsText" text="Pendente">
      <formula>NOT(ISERROR(SEARCH("Pendente",P686)))</formula>
    </cfRule>
    <cfRule type="containsText" dxfId="6316" priority="14457" operator="containsText" text="N/A">
      <formula>NOT(ISERROR(SEARCH("N/A",P686)))</formula>
    </cfRule>
    <cfRule type="expression" dxfId="6315" priority="14455">
      <formula>$H686="ETAPA"</formula>
    </cfRule>
    <cfRule type="expression" dxfId="6314" priority="14454">
      <formula>$H686="CÉLULA CONSTRUTIVA"</formula>
    </cfRule>
    <cfRule type="expression" dxfId="6313" priority="14453">
      <formula>$H686="SUBETAPA"</formula>
    </cfRule>
    <cfRule type="containsText" dxfId="6312" priority="14456" operator="containsText" text="Lançado">
      <formula>NOT(ISERROR(SEARCH("Lançado",P686)))</formula>
    </cfRule>
    <cfRule type="containsText" dxfId="6311" priority="14473" operator="containsText" text="em andamento">
      <formula>NOT(ISERROR(SEARCH("em andamento",P686)))</formula>
    </cfRule>
    <cfRule type="containsText" dxfId="6310" priority="14472" operator="containsText" text="Finalizado">
      <formula>NOT(ISERROR(SEARCH("Finalizado",P686)))</formula>
    </cfRule>
    <cfRule type="containsText" dxfId="6309" priority="14471" operator="containsText" text="Pendente">
      <formula>NOT(ISERROR(SEARCH("Pendente",P686)))</formula>
    </cfRule>
    <cfRule type="containsText" dxfId="6308" priority="14470" operator="containsText" text="N/A">
      <formula>NOT(ISERROR(SEARCH("N/A",P686)))</formula>
    </cfRule>
    <cfRule type="containsText" dxfId="6307" priority="14469" operator="containsText" text="Lançado">
      <formula>NOT(ISERROR(SEARCH("Lançado",P686)))</formula>
    </cfRule>
    <cfRule type="expression" dxfId="6306" priority="14468">
      <formula>$H686="ETAPA"</formula>
    </cfRule>
  </conditionalFormatting>
  <conditionalFormatting sqref="P687">
    <cfRule type="containsText" dxfId="6305" priority="14376" operator="containsText" text="Finalizado">
      <formula>NOT(ISERROR(SEARCH("Finalizado",P687)))</formula>
    </cfRule>
    <cfRule type="containsText" dxfId="6304" priority="14377" operator="containsText" text="em andamento">
      <formula>NOT(ISERROR(SEARCH("em andamento",P687)))</formula>
    </cfRule>
    <cfRule type="containsText" dxfId="6303" priority="14374" operator="containsText" text="N/A">
      <formula>NOT(ISERROR(SEARCH("N/A",P687)))</formula>
    </cfRule>
    <cfRule type="containsText" dxfId="6302" priority="14375" operator="containsText" text="Pendente">
      <formula>NOT(ISERROR(SEARCH("Pendente",P687)))</formula>
    </cfRule>
    <cfRule type="containsText" dxfId="6301" priority="14373" operator="containsText" text="Lançado">
      <formula>NOT(ISERROR(SEARCH("Lançado",P687)))</formula>
    </cfRule>
  </conditionalFormatting>
  <conditionalFormatting sqref="P688">
    <cfRule type="containsText" dxfId="6300" priority="14291" operator="containsText" text="N/A">
      <formula>NOT(ISERROR(SEARCH("N/A",P688)))</formula>
    </cfRule>
    <cfRule type="containsText" dxfId="6299" priority="14290" operator="containsText" text="Lançado">
      <formula>NOT(ISERROR(SEARCH("Lançado",P688)))</formula>
    </cfRule>
    <cfRule type="containsText" dxfId="6298" priority="14289" operator="containsText" text="em andamento">
      <formula>NOT(ISERROR(SEARCH("em andamento",P688)))</formula>
    </cfRule>
    <cfRule type="expression" dxfId="6297" priority="14282">
      <formula>$H688="SUBETAPA"</formula>
    </cfRule>
    <cfRule type="expression" dxfId="6296" priority="14283">
      <formula>$H688="CÉLULA CONSTRUTIVA"</formula>
    </cfRule>
    <cfRule type="expression" dxfId="6295" priority="14295">
      <formula>$H688="SUBETAPA"</formula>
    </cfRule>
    <cfRule type="containsText" dxfId="6294" priority="14286" operator="containsText" text="N/A">
      <formula>NOT(ISERROR(SEARCH("N/A",P688)))</formula>
    </cfRule>
    <cfRule type="containsText" dxfId="6293" priority="14287" operator="containsText" text="Pendente">
      <formula>NOT(ISERROR(SEARCH("Pendente",P688)))</formula>
    </cfRule>
    <cfRule type="containsText" dxfId="6292" priority="14285" operator="containsText" text="Lançado">
      <formula>NOT(ISERROR(SEARCH("Lançado",P688)))</formula>
    </cfRule>
    <cfRule type="expression" dxfId="6291" priority="14284">
      <formula>$H688="ETAPA"</formula>
    </cfRule>
    <cfRule type="expression" dxfId="6290" priority="14297">
      <formula>$H688="ETAPA"</formula>
    </cfRule>
    <cfRule type="containsText" dxfId="6289" priority="14288" operator="containsText" text="Finalizado">
      <formula>NOT(ISERROR(SEARCH("Finalizado",P688)))</formula>
    </cfRule>
    <cfRule type="expression" dxfId="6288" priority="14296">
      <formula>$H688="CÉLULA CONSTRUTIVA"</formula>
    </cfRule>
    <cfRule type="containsText" dxfId="6287" priority="14299" operator="containsText" text="N/A">
      <formula>NOT(ISERROR(SEARCH("N/A",P688)))</formula>
    </cfRule>
    <cfRule type="containsText" dxfId="6286" priority="14300" operator="containsText" text="Pendente">
      <formula>NOT(ISERROR(SEARCH("Pendente",P688)))</formula>
    </cfRule>
    <cfRule type="containsText" dxfId="6285" priority="14298" operator="containsText" text="Lançado">
      <formula>NOT(ISERROR(SEARCH("Lançado",P688)))</formula>
    </cfRule>
    <cfRule type="containsText" dxfId="6284" priority="14301" operator="containsText" text="Finalizado">
      <formula>NOT(ISERROR(SEARCH("Finalizado",P688)))</formula>
    </cfRule>
    <cfRule type="containsText" dxfId="6283" priority="14302" operator="containsText" text="em andamento">
      <formula>NOT(ISERROR(SEARCH("em andamento",P688)))</formula>
    </cfRule>
    <cfRule type="containsText" dxfId="6282" priority="14294" operator="containsText" text="em andamento">
      <formula>NOT(ISERROR(SEARCH("em andamento",P688)))</formula>
    </cfRule>
    <cfRule type="containsText" dxfId="6281" priority="14293" operator="containsText" text="Finalizado">
      <formula>NOT(ISERROR(SEARCH("Finalizado",P688)))</formula>
    </cfRule>
    <cfRule type="containsText" dxfId="6280" priority="14292" operator="containsText" text="Pendente">
      <formula>NOT(ISERROR(SEARCH("Pendente",P688)))</formula>
    </cfRule>
  </conditionalFormatting>
  <conditionalFormatting sqref="P689">
    <cfRule type="containsText" dxfId="6279" priority="14354" operator="containsText" text="N/A">
      <formula>NOT(ISERROR(SEARCH("N/A",P689)))</formula>
    </cfRule>
    <cfRule type="containsText" dxfId="6278" priority="14355" operator="containsText" text="Pendente">
      <formula>NOT(ISERROR(SEARCH("Pendente",P689)))</formula>
    </cfRule>
    <cfRule type="containsText" dxfId="6277" priority="14356" operator="containsText" text="Finalizado">
      <formula>NOT(ISERROR(SEARCH("Finalizado",P689)))</formula>
    </cfRule>
    <cfRule type="containsText" dxfId="6276" priority="14357" operator="containsText" text="em andamento">
      <formula>NOT(ISERROR(SEARCH("em andamento",P689)))</formula>
    </cfRule>
    <cfRule type="containsText" dxfId="6275" priority="14353" operator="containsText" text="Lançado">
      <formula>NOT(ISERROR(SEARCH("Lançado",P689)))</formula>
    </cfRule>
  </conditionalFormatting>
  <conditionalFormatting sqref="P690">
    <cfRule type="expression" dxfId="6274" priority="14421">
      <formula>$H690="ETAPA"</formula>
    </cfRule>
    <cfRule type="containsText" dxfId="6273" priority="14435" operator="containsText" text="Lançado">
      <formula>NOT(ISERROR(SEARCH("Lançado",P690)))</formula>
    </cfRule>
    <cfRule type="expression" dxfId="6272" priority="14434">
      <formula>$H690="ETAPA"</formula>
    </cfRule>
    <cfRule type="expression" dxfId="6271" priority="14433">
      <formula>$H690="CÉLULA CONSTRUTIVA"</formula>
    </cfRule>
    <cfRule type="expression" dxfId="6270" priority="14432">
      <formula>$H690="SUBETAPA"</formula>
    </cfRule>
    <cfRule type="containsText" dxfId="6269" priority="14431" operator="containsText" text="em andamento">
      <formula>NOT(ISERROR(SEARCH("em andamento",P690)))</formula>
    </cfRule>
    <cfRule type="containsText" dxfId="6268" priority="14430" operator="containsText" text="Finalizado">
      <formula>NOT(ISERROR(SEARCH("Finalizado",P690)))</formula>
    </cfRule>
    <cfRule type="containsText" dxfId="6267" priority="14428" operator="containsText" text="N/A">
      <formula>NOT(ISERROR(SEARCH("N/A",P690)))</formula>
    </cfRule>
    <cfRule type="containsText" dxfId="6266" priority="14427" operator="containsText" text="Lançado">
      <formula>NOT(ISERROR(SEARCH("Lançado",P690)))</formula>
    </cfRule>
    <cfRule type="containsText" dxfId="6265" priority="14426" operator="containsText" text="em andamento">
      <formula>NOT(ISERROR(SEARCH("em andamento",P690)))</formula>
    </cfRule>
    <cfRule type="containsText" dxfId="6264" priority="14425" operator="containsText" text="Finalizado">
      <formula>NOT(ISERROR(SEARCH("Finalizado",P690)))</formula>
    </cfRule>
    <cfRule type="containsText" dxfId="6263" priority="14424" operator="containsText" text="Pendente">
      <formula>NOT(ISERROR(SEARCH("Pendente",P690)))</formula>
    </cfRule>
    <cfRule type="containsText" dxfId="6262" priority="14423" operator="containsText" text="N/A">
      <formula>NOT(ISERROR(SEARCH("N/A",P690)))</formula>
    </cfRule>
    <cfRule type="containsText" dxfId="6261" priority="14422" operator="containsText" text="Lançado">
      <formula>NOT(ISERROR(SEARCH("Lançado",P690)))</formula>
    </cfRule>
    <cfRule type="expression" dxfId="6260" priority="14420">
      <formula>$H690="CÉLULA CONSTRUTIVA"</formula>
    </cfRule>
    <cfRule type="expression" dxfId="6259" priority="14419">
      <formula>$H690="SUBETAPA"</formula>
    </cfRule>
    <cfRule type="containsText" dxfId="6258" priority="14437" operator="containsText" text="Pendente">
      <formula>NOT(ISERROR(SEARCH("Pendente",P690)))</formula>
    </cfRule>
    <cfRule type="containsText" dxfId="6257" priority="14438" operator="containsText" text="Finalizado">
      <formula>NOT(ISERROR(SEARCH("Finalizado",P690)))</formula>
    </cfRule>
    <cfRule type="containsText" dxfId="6256" priority="14439" operator="containsText" text="em andamento">
      <formula>NOT(ISERROR(SEARCH("em andamento",P690)))</formula>
    </cfRule>
    <cfRule type="containsText" dxfId="6255" priority="14429" operator="containsText" text="Pendente">
      <formula>NOT(ISERROR(SEARCH("Pendente",P690)))</formula>
    </cfRule>
    <cfRule type="containsText" dxfId="6254" priority="14436" operator="containsText" text="N/A">
      <formula>NOT(ISERROR(SEARCH("N/A",P690)))</formula>
    </cfRule>
  </conditionalFormatting>
  <conditionalFormatting sqref="P691">
    <cfRule type="containsText" dxfId="6253" priority="14451" operator="containsText" text="Finalizado">
      <formula>NOT(ISERROR(SEARCH("Finalizado",P691)))</formula>
    </cfRule>
    <cfRule type="containsText" dxfId="6252" priority="14452" operator="containsText" text="em andamento">
      <formula>NOT(ISERROR(SEARCH("em andamento",P691)))</formula>
    </cfRule>
    <cfRule type="containsText" dxfId="6251" priority="14449" operator="containsText" text="Lançado">
      <formula>NOT(ISERROR(SEARCH("Lançado",P691)))</formula>
    </cfRule>
    <cfRule type="containsText" dxfId="6250" priority="14450" operator="containsText" text="Pendente">
      <formula>NOT(ISERROR(SEARCH("Pendente",P691)))</formula>
    </cfRule>
  </conditionalFormatting>
  <conditionalFormatting sqref="P691:P693 P663:P665">
    <cfRule type="containsText" dxfId="6249" priority="14611" operator="containsText" text="N/A">
      <formula>NOT(ISERROR(SEARCH("N/A",P663)))</formula>
    </cfRule>
  </conditionalFormatting>
  <conditionalFormatting sqref="P694 G702:L702">
    <cfRule type="expression" dxfId="6248" priority="15013">
      <formula>$H694="SUBETAPA"</formula>
    </cfRule>
  </conditionalFormatting>
  <conditionalFormatting sqref="P694">
    <cfRule type="containsText" dxfId="6247" priority="15019" operator="containsText" text="Finalizado">
      <formula>NOT(ISERROR(SEARCH("Finalizado",P694)))</formula>
    </cfRule>
    <cfRule type="containsText" dxfId="6246" priority="15018" operator="containsText" text="Pendente">
      <formula>NOT(ISERROR(SEARCH("Pendente",P694)))</formula>
    </cfRule>
    <cfRule type="containsText" dxfId="6245" priority="15020" operator="containsText" text="em andamento">
      <formula>NOT(ISERROR(SEARCH("em andamento",P694)))</formula>
    </cfRule>
    <cfRule type="containsText" dxfId="6244" priority="15016" operator="containsText" text="Lançado">
      <formula>NOT(ISERROR(SEARCH("Lançado",P694)))</formula>
    </cfRule>
    <cfRule type="containsText" dxfId="6243" priority="15017" operator="containsText" text="N/A">
      <formula>NOT(ISERROR(SEARCH("N/A",P694)))</formula>
    </cfRule>
  </conditionalFormatting>
  <conditionalFormatting sqref="P695">
    <cfRule type="containsText" dxfId="6242" priority="14907" operator="containsText" text="N/A">
      <formula>NOT(ISERROR(SEARCH("N/A",P695)))</formula>
    </cfRule>
    <cfRule type="containsText" dxfId="6241" priority="14906" operator="containsText" text="Lançado">
      <formula>NOT(ISERROR(SEARCH("Lançado",P695)))</formula>
    </cfRule>
    <cfRule type="containsText" dxfId="6240" priority="14909" operator="containsText" text="Finalizado">
      <formula>NOT(ISERROR(SEARCH("Finalizado",P695)))</formula>
    </cfRule>
    <cfRule type="containsText" dxfId="6239" priority="14910" operator="containsText" text="em andamento">
      <formula>NOT(ISERROR(SEARCH("em andamento",P695)))</formula>
    </cfRule>
    <cfRule type="containsText" dxfId="6238" priority="14908" operator="containsText" text="Pendente">
      <formula>NOT(ISERROR(SEARCH("Pendente",P695)))</formula>
    </cfRule>
  </conditionalFormatting>
  <conditionalFormatting sqref="P696">
    <cfRule type="containsText" dxfId="6237" priority="14929" operator="containsText" text="Pendente">
      <formula>NOT(ISERROR(SEARCH("Pendente",P696)))</formula>
    </cfRule>
    <cfRule type="containsText" dxfId="6236" priority="14928" operator="containsText" text="N/A">
      <formula>NOT(ISERROR(SEARCH("N/A",P696)))</formula>
    </cfRule>
    <cfRule type="containsText" dxfId="6235" priority="14927" operator="containsText" text="Lançado">
      <formula>NOT(ISERROR(SEARCH("Lançado",P696)))</formula>
    </cfRule>
    <cfRule type="expression" dxfId="6234" priority="14926">
      <formula>$H696="ETAPA"</formula>
    </cfRule>
    <cfRule type="expression" dxfId="6233" priority="14925">
      <formula>$H696="CÉLULA CONSTRUTIVA"</formula>
    </cfRule>
    <cfRule type="containsText" dxfId="6232" priority="14920" operator="containsText" text="N/A">
      <formula>NOT(ISERROR(SEARCH("N/A",P696)))</formula>
    </cfRule>
    <cfRule type="containsText" dxfId="6231" priority="14919" operator="containsText" text="Lançado">
      <formula>NOT(ISERROR(SEARCH("Lançado",P696)))</formula>
    </cfRule>
    <cfRule type="containsText" dxfId="6230" priority="14923" operator="containsText" text="em andamento">
      <formula>NOT(ISERROR(SEARCH("em andamento",P696)))</formula>
    </cfRule>
    <cfRule type="containsText" dxfId="6229" priority="14915" operator="containsText" text="N/A">
      <formula>NOT(ISERROR(SEARCH("N/A",P696)))</formula>
    </cfRule>
    <cfRule type="containsText" dxfId="6228" priority="14916" operator="containsText" text="Pendente">
      <formula>NOT(ISERROR(SEARCH("Pendente",P696)))</formula>
    </cfRule>
    <cfRule type="containsText" dxfId="6227" priority="14922" operator="containsText" text="Finalizado">
      <formula>NOT(ISERROR(SEARCH("Finalizado",P696)))</formula>
    </cfRule>
    <cfRule type="containsText" dxfId="6226" priority="14917" operator="containsText" text="Finalizado">
      <formula>NOT(ISERROR(SEARCH("Finalizado",P696)))</formula>
    </cfRule>
    <cfRule type="containsText" dxfId="6225" priority="14918" operator="containsText" text="em andamento">
      <formula>NOT(ISERROR(SEARCH("em andamento",P696)))</formula>
    </cfRule>
    <cfRule type="containsText" dxfId="6224" priority="14921" operator="containsText" text="Pendente">
      <formula>NOT(ISERROR(SEARCH("Pendente",P696)))</formula>
    </cfRule>
    <cfRule type="containsText" dxfId="6223" priority="14931" operator="containsText" text="em andamento">
      <formula>NOT(ISERROR(SEARCH("em andamento",P696)))</formula>
    </cfRule>
    <cfRule type="containsText" dxfId="6222" priority="14930" operator="containsText" text="Finalizado">
      <formula>NOT(ISERROR(SEARCH("Finalizado",P696)))</formula>
    </cfRule>
    <cfRule type="containsText" dxfId="6221" priority="14914" operator="containsText" text="Lançado">
      <formula>NOT(ISERROR(SEARCH("Lançado",P696)))</formula>
    </cfRule>
    <cfRule type="expression" dxfId="6220" priority="14913">
      <formula>$H696="ETAPA"</formula>
    </cfRule>
    <cfRule type="expression" dxfId="6219" priority="14912">
      <formula>$H696="CÉLULA CONSTRUTIVA"</formula>
    </cfRule>
    <cfRule type="expression" dxfId="6218" priority="14911">
      <formula>$H696="SUBETAPA"</formula>
    </cfRule>
    <cfRule type="expression" dxfId="6217" priority="14924">
      <formula>$H696="SUBETAPA"</formula>
    </cfRule>
  </conditionalFormatting>
  <conditionalFormatting sqref="P697">
    <cfRule type="containsText" dxfId="6216" priority="14620" operator="containsText" text="Pendente">
      <formula>NOT(ISERROR(SEARCH("Pendente",P697)))</formula>
    </cfRule>
    <cfRule type="containsText" dxfId="6215" priority="14622" operator="containsText" text="em andamento">
      <formula>NOT(ISERROR(SEARCH("em andamento",P697)))</formula>
    </cfRule>
    <cfRule type="containsText" dxfId="6214" priority="14621" operator="containsText" text="Finalizado">
      <formula>NOT(ISERROR(SEARCH("Finalizado",P697)))</formula>
    </cfRule>
    <cfRule type="containsText" dxfId="6213" priority="14619" operator="containsText" text="N/A">
      <formula>NOT(ISERROR(SEARCH("N/A",P697)))</formula>
    </cfRule>
    <cfRule type="containsText" dxfId="6212" priority="14618" operator="containsText" text="Lançado">
      <formula>NOT(ISERROR(SEARCH("Lançado",P697)))</formula>
    </cfRule>
  </conditionalFormatting>
  <conditionalFormatting sqref="P698">
    <cfRule type="containsText" dxfId="6211" priority="14638" operator="containsText" text="em andamento">
      <formula>NOT(ISERROR(SEARCH("em andamento",P698)))</formula>
    </cfRule>
    <cfRule type="containsText" dxfId="6210" priority="14635" operator="containsText" text="N/A">
      <formula>NOT(ISERROR(SEARCH("N/A",P698)))</formula>
    </cfRule>
    <cfRule type="containsText" dxfId="6209" priority="14636" operator="containsText" text="Pendente">
      <formula>NOT(ISERROR(SEARCH("Pendente",P698)))</formula>
    </cfRule>
    <cfRule type="containsText" dxfId="6208" priority="14637" operator="containsText" text="Finalizado">
      <formula>NOT(ISERROR(SEARCH("Finalizado",P698)))</formula>
    </cfRule>
    <cfRule type="expression" dxfId="6207" priority="14641">
      <formula>$H698="ETAPA"</formula>
    </cfRule>
    <cfRule type="containsText" dxfId="6206" priority="14632" operator="containsText" text="Finalizado">
      <formula>NOT(ISERROR(SEARCH("Finalizado",P698)))</formula>
    </cfRule>
    <cfRule type="containsText" dxfId="6205" priority="14631" operator="containsText" text="Pendente">
      <formula>NOT(ISERROR(SEARCH("Pendente",P698)))</formula>
    </cfRule>
    <cfRule type="expression" dxfId="6204" priority="14626">
      <formula>$H698="SUBETAPA"</formula>
    </cfRule>
    <cfRule type="expression" dxfId="6203" priority="14639">
      <formula>$H698="SUBETAPA"</formula>
    </cfRule>
    <cfRule type="containsText" dxfId="6202" priority="14630" operator="containsText" text="N/A">
      <formula>NOT(ISERROR(SEARCH("N/A",P698)))</formula>
    </cfRule>
    <cfRule type="containsText" dxfId="6201" priority="14642" operator="containsText" text="Lançado">
      <formula>NOT(ISERROR(SEARCH("Lançado",P698)))</formula>
    </cfRule>
    <cfRule type="containsText" dxfId="6200" priority="14645" operator="containsText" text="Finalizado">
      <formula>NOT(ISERROR(SEARCH("Finalizado",P698)))</formula>
    </cfRule>
    <cfRule type="containsText" dxfId="6199" priority="14646" operator="containsText" text="em andamento">
      <formula>NOT(ISERROR(SEARCH("em andamento",P698)))</formula>
    </cfRule>
    <cfRule type="expression" dxfId="6198" priority="14640">
      <formula>$H698="CÉLULA CONSTRUTIVA"</formula>
    </cfRule>
    <cfRule type="expression" dxfId="6197" priority="14628">
      <formula>$H698="ETAPA"</formula>
    </cfRule>
    <cfRule type="containsText" dxfId="6196" priority="14643" operator="containsText" text="N/A">
      <formula>NOT(ISERROR(SEARCH("N/A",P698)))</formula>
    </cfRule>
    <cfRule type="containsText" dxfId="6195" priority="14644" operator="containsText" text="Pendente">
      <formula>NOT(ISERROR(SEARCH("Pendente",P698)))</formula>
    </cfRule>
    <cfRule type="containsText" dxfId="6194" priority="14633" operator="containsText" text="em andamento">
      <formula>NOT(ISERROR(SEARCH("em andamento",P698)))</formula>
    </cfRule>
    <cfRule type="expression" dxfId="6193" priority="14627">
      <formula>$H698="CÉLULA CONSTRUTIVA"</formula>
    </cfRule>
    <cfRule type="containsText" dxfId="6192" priority="14634" operator="containsText" text="Lançado">
      <formula>NOT(ISERROR(SEARCH("Lançado",P698)))</formula>
    </cfRule>
    <cfRule type="containsText" dxfId="6191" priority="14629" operator="containsText" text="Lançado">
      <formula>NOT(ISERROR(SEARCH("Lançado",P698)))</formula>
    </cfRule>
  </conditionalFormatting>
  <conditionalFormatting sqref="P699">
    <cfRule type="containsText" dxfId="6190" priority="15006" operator="containsText" text="N/A">
      <formula>NOT(ISERROR(SEARCH("N/A",P699)))</formula>
    </cfRule>
    <cfRule type="containsText" dxfId="6189" priority="15009" operator="containsText" text="em andamento">
      <formula>NOT(ISERROR(SEARCH("em andamento",P699)))</formula>
    </cfRule>
    <cfRule type="containsText" dxfId="6188" priority="15008" operator="containsText" text="Finalizado">
      <formula>NOT(ISERROR(SEARCH("Finalizado",P699)))</formula>
    </cfRule>
    <cfRule type="containsText" dxfId="6187" priority="15005" operator="containsText" text="Lançado">
      <formula>NOT(ISERROR(SEARCH("Lançado",P699)))</formula>
    </cfRule>
    <cfRule type="containsText" dxfId="6186" priority="15007" operator="containsText" text="Pendente">
      <formula>NOT(ISERROR(SEARCH("Pendente",P699)))</formula>
    </cfRule>
  </conditionalFormatting>
  <conditionalFormatting sqref="P700">
    <cfRule type="containsText" dxfId="6185" priority="14981" operator="containsText" text="em andamento">
      <formula>NOT(ISERROR(SEARCH("em andamento",P700)))</formula>
    </cfRule>
    <cfRule type="containsText" dxfId="6184" priority="14979" operator="containsText" text="Pendente">
      <formula>NOT(ISERROR(SEARCH("Pendente",P700)))</formula>
    </cfRule>
    <cfRule type="containsText" dxfId="6183" priority="14978" operator="containsText" text="N/A">
      <formula>NOT(ISERROR(SEARCH("N/A",P700)))</formula>
    </cfRule>
    <cfRule type="containsText" dxfId="6182" priority="14977" operator="containsText" text="Lançado">
      <formula>NOT(ISERROR(SEARCH("Lançado",P700)))</formula>
    </cfRule>
    <cfRule type="containsText" dxfId="6181" priority="14976" operator="containsText" text="em andamento">
      <formula>NOT(ISERROR(SEARCH("em andamento",P700)))</formula>
    </cfRule>
    <cfRule type="containsText" dxfId="6180" priority="14975" operator="containsText" text="Finalizado">
      <formula>NOT(ISERROR(SEARCH("Finalizado",P700)))</formula>
    </cfRule>
    <cfRule type="containsText" dxfId="6179" priority="14974" operator="containsText" text="Pendente">
      <formula>NOT(ISERROR(SEARCH("Pendente",P700)))</formula>
    </cfRule>
    <cfRule type="containsText" dxfId="6178" priority="14973" operator="containsText" text="N/A">
      <formula>NOT(ISERROR(SEARCH("N/A",P700)))</formula>
    </cfRule>
    <cfRule type="containsText" dxfId="6177" priority="14972" operator="containsText" text="Lançado">
      <formula>NOT(ISERROR(SEARCH("Lançado",P700)))</formula>
    </cfRule>
    <cfRule type="expression" dxfId="6176" priority="14971">
      <formula>$H700="ETAPA"</formula>
    </cfRule>
    <cfRule type="expression" dxfId="6175" priority="14970">
      <formula>$H700="CÉLULA CONSTRUTIVA"</formula>
    </cfRule>
    <cfRule type="expression" dxfId="6174" priority="14969">
      <formula>$H700="SUBETAPA"</formula>
    </cfRule>
    <cfRule type="containsText" dxfId="6173" priority="14980" operator="containsText" text="Finalizado">
      <formula>NOT(ISERROR(SEARCH("Finalizado",P700)))</formula>
    </cfRule>
    <cfRule type="expression" dxfId="6172" priority="14984">
      <formula>$H700="ETAPA"</formula>
    </cfRule>
    <cfRule type="containsText" dxfId="6171" priority="14989" operator="containsText" text="em andamento">
      <formula>NOT(ISERROR(SEARCH("em andamento",P700)))</formula>
    </cfRule>
    <cfRule type="containsText" dxfId="6170" priority="14988" operator="containsText" text="Finalizado">
      <formula>NOT(ISERROR(SEARCH("Finalizado",P700)))</formula>
    </cfRule>
    <cfRule type="containsText" dxfId="6169" priority="14987" operator="containsText" text="Pendente">
      <formula>NOT(ISERROR(SEARCH("Pendente",P700)))</formula>
    </cfRule>
    <cfRule type="containsText" dxfId="6168" priority="14986" operator="containsText" text="N/A">
      <formula>NOT(ISERROR(SEARCH("N/A",P700)))</formula>
    </cfRule>
    <cfRule type="containsText" dxfId="6167" priority="14985" operator="containsText" text="Lançado">
      <formula>NOT(ISERROR(SEARCH("Lançado",P700)))</formula>
    </cfRule>
    <cfRule type="expression" dxfId="6166" priority="14983">
      <formula>$H700="CÉLULA CONSTRUTIVA"</formula>
    </cfRule>
    <cfRule type="expression" dxfId="6165" priority="14982">
      <formula>$H700="SUBETAPA"</formula>
    </cfRule>
  </conditionalFormatting>
  <conditionalFormatting sqref="P701">
    <cfRule type="containsText" dxfId="6164" priority="14889" operator="containsText" text="Lançado">
      <formula>NOT(ISERROR(SEARCH("Lançado",P701)))</formula>
    </cfRule>
    <cfRule type="containsText" dxfId="6163" priority="14890" operator="containsText" text="N/A">
      <formula>NOT(ISERROR(SEARCH("N/A",P701)))</formula>
    </cfRule>
    <cfRule type="containsText" dxfId="6162" priority="14891" operator="containsText" text="Pendente">
      <formula>NOT(ISERROR(SEARCH("Pendente",P701)))</formula>
    </cfRule>
    <cfRule type="containsText" dxfId="6161" priority="14892" operator="containsText" text="Finalizado">
      <formula>NOT(ISERROR(SEARCH("Finalizado",P701)))</formula>
    </cfRule>
    <cfRule type="containsText" dxfId="6160" priority="14893" operator="containsText" text="em andamento">
      <formula>NOT(ISERROR(SEARCH("em andamento",P701)))</formula>
    </cfRule>
  </conditionalFormatting>
  <conditionalFormatting sqref="P702 P705:P706">
    <cfRule type="containsText" dxfId="6159" priority="14522" operator="containsText" text="N/A">
      <formula>NOT(ISERROR(SEARCH("N/A",P702)))</formula>
    </cfRule>
  </conditionalFormatting>
  <conditionalFormatting sqref="P702">
    <cfRule type="expression" dxfId="6158" priority="14519">
      <formula>$H702="CÉLULA CONSTRUTIVA"</formula>
    </cfRule>
    <cfRule type="containsText" dxfId="6157" priority="14512" operator="containsText" text="em andamento">
      <formula>NOT(ISERROR(SEARCH("em andamento",P702)))</formula>
    </cfRule>
    <cfRule type="containsText" dxfId="6156" priority="14511" operator="containsText" text="Finalizado">
      <formula>NOT(ISERROR(SEARCH("Finalizado",P702)))</formula>
    </cfRule>
    <cfRule type="containsText" dxfId="6155" priority="14509" operator="containsText" text="N/A">
      <formula>NOT(ISERROR(SEARCH("N/A",P702)))</formula>
    </cfRule>
    <cfRule type="containsText" dxfId="6154" priority="14508" operator="containsText" text="Lançado">
      <formula>NOT(ISERROR(SEARCH("Lançado",P702)))</formula>
    </cfRule>
    <cfRule type="expression" dxfId="6153" priority="14505">
      <formula>$H702="SUBETAPA"</formula>
    </cfRule>
    <cfRule type="containsText" dxfId="6152" priority="14510" operator="containsText" text="Pendente">
      <formula>NOT(ISERROR(SEARCH("Pendente",P702)))</formula>
    </cfRule>
    <cfRule type="containsText" dxfId="6151" priority="14524" operator="containsText" text="Finalizado">
      <formula>NOT(ISERROR(SEARCH("Finalizado",P702)))</formula>
    </cfRule>
    <cfRule type="containsText" dxfId="6150" priority="14523" operator="containsText" text="Pendente">
      <formula>NOT(ISERROR(SEARCH("Pendente",P702)))</formula>
    </cfRule>
    <cfRule type="expression" dxfId="6149" priority="14507">
      <formula>$H702="ETAPA"</formula>
    </cfRule>
    <cfRule type="containsText" dxfId="6148" priority="14521" operator="containsText" text="Lançado">
      <formula>NOT(ISERROR(SEARCH("Lançado",P702)))</formula>
    </cfRule>
    <cfRule type="expression" dxfId="6147" priority="14520">
      <formula>$H702="ETAPA"</formula>
    </cfRule>
    <cfRule type="expression" dxfId="6146" priority="14506">
      <formula>$H702="CÉLULA CONSTRUTIVA"</formula>
    </cfRule>
    <cfRule type="containsText" dxfId="6145" priority="14517" operator="containsText" text="em andamento">
      <formula>NOT(ISERROR(SEARCH("em andamento",P702)))</formula>
    </cfRule>
    <cfRule type="containsText" dxfId="6144" priority="14516" operator="containsText" text="Finalizado">
      <formula>NOT(ISERROR(SEARCH("Finalizado",P702)))</formula>
    </cfRule>
    <cfRule type="containsText" dxfId="6143" priority="14515" operator="containsText" text="Pendente">
      <formula>NOT(ISERROR(SEARCH("Pendente",P702)))</formula>
    </cfRule>
    <cfRule type="containsText" dxfId="6142" priority="14514" operator="containsText" text="N/A">
      <formula>NOT(ISERROR(SEARCH("N/A",P702)))</formula>
    </cfRule>
    <cfRule type="containsText" dxfId="6141" priority="14513" operator="containsText" text="Lançado">
      <formula>NOT(ISERROR(SEARCH("Lançado",P702)))</formula>
    </cfRule>
    <cfRule type="expression" dxfId="6140" priority="14518">
      <formula>$H702="SUBETAPA"</formula>
    </cfRule>
    <cfRule type="containsText" dxfId="6139" priority="14525" operator="containsText" text="em andamento">
      <formula>NOT(ISERROR(SEARCH("em andamento",P702)))</formula>
    </cfRule>
  </conditionalFormatting>
  <conditionalFormatting sqref="P703">
    <cfRule type="containsText" dxfId="6138" priority="4960" operator="containsText" text="Lançado">
      <formula>NOT(ISERROR(SEARCH("Lançado",P703)))</formula>
    </cfRule>
    <cfRule type="containsText" dxfId="6137" priority="4961" operator="containsText" text="N/A">
      <formula>NOT(ISERROR(SEARCH("N/A",P703)))</formula>
    </cfRule>
    <cfRule type="containsText" dxfId="6136" priority="4962" operator="containsText" text="Pendente">
      <formula>NOT(ISERROR(SEARCH("Pendente",P703)))</formula>
    </cfRule>
    <cfRule type="containsText" dxfId="6135" priority="4963" operator="containsText" text="Finalizado">
      <formula>NOT(ISERROR(SEARCH("Finalizado",P703)))</formula>
    </cfRule>
    <cfRule type="containsText" dxfId="6134" priority="4964" operator="containsText" text="em andamento">
      <formula>NOT(ISERROR(SEARCH("em andamento",P703)))</formula>
    </cfRule>
  </conditionalFormatting>
  <conditionalFormatting sqref="P704">
    <cfRule type="containsText" dxfId="6133" priority="4985" operator="containsText" text="em andamento">
      <formula>NOT(ISERROR(SEARCH("em andamento",P704)))</formula>
    </cfRule>
    <cfRule type="expression" dxfId="6132" priority="4979">
      <formula>$H704="CÉLULA CONSTRUTIVA"</formula>
    </cfRule>
    <cfRule type="expression" dxfId="6131" priority="4978">
      <formula>$H704="SUBETAPA"</formula>
    </cfRule>
    <cfRule type="containsText" dxfId="6130" priority="4977" operator="containsText" text="em andamento">
      <formula>NOT(ISERROR(SEARCH("em andamento",P704)))</formula>
    </cfRule>
    <cfRule type="containsText" dxfId="6129" priority="4976" operator="containsText" text="Finalizado">
      <formula>NOT(ISERROR(SEARCH("Finalizado",P704)))</formula>
    </cfRule>
    <cfRule type="containsText" dxfId="6128" priority="4984" operator="containsText" text="Finalizado">
      <formula>NOT(ISERROR(SEARCH("Finalizado",P704)))</formula>
    </cfRule>
    <cfRule type="containsText" dxfId="6127" priority="4983" operator="containsText" text="Pendente">
      <formula>NOT(ISERROR(SEARCH("Pendente",P704)))</formula>
    </cfRule>
    <cfRule type="containsText" dxfId="6126" priority="4975" operator="containsText" text="Pendente">
      <formula>NOT(ISERROR(SEARCH("Pendente",P704)))</formula>
    </cfRule>
    <cfRule type="containsText" dxfId="6125" priority="4974" operator="containsText" text="N/A">
      <formula>NOT(ISERROR(SEARCH("N/A",P704)))</formula>
    </cfRule>
    <cfRule type="containsText" dxfId="6124" priority="4973" operator="containsText" text="Lançado">
      <formula>NOT(ISERROR(SEARCH("Lançado",P704)))</formula>
    </cfRule>
    <cfRule type="containsText" dxfId="6123" priority="4982" operator="containsText" text="N/A">
      <formula>NOT(ISERROR(SEARCH("N/A",P704)))</formula>
    </cfRule>
    <cfRule type="expression" dxfId="6122" priority="4965">
      <formula>$H704="SUBETAPA"</formula>
    </cfRule>
    <cfRule type="expression" dxfId="6121" priority="4966">
      <formula>$H704="CÉLULA CONSTRUTIVA"</formula>
    </cfRule>
    <cfRule type="containsText" dxfId="6120" priority="4968" operator="containsText" text="Lançado">
      <formula>NOT(ISERROR(SEARCH("Lançado",P704)))</formula>
    </cfRule>
    <cfRule type="containsText" dxfId="6119" priority="4981" operator="containsText" text="Lançado">
      <formula>NOT(ISERROR(SEARCH("Lançado",P704)))</formula>
    </cfRule>
    <cfRule type="containsText" dxfId="6118" priority="4972" operator="containsText" text="em andamento">
      <formula>NOT(ISERROR(SEARCH("em andamento",P704)))</formula>
    </cfRule>
    <cfRule type="containsText" dxfId="6117" priority="4969" operator="containsText" text="N/A">
      <formula>NOT(ISERROR(SEARCH("N/A",P704)))</formula>
    </cfRule>
    <cfRule type="expression" dxfId="6116" priority="4980">
      <formula>$H704="ETAPA"</formula>
    </cfRule>
    <cfRule type="containsText" dxfId="6115" priority="4971" operator="containsText" text="Finalizado">
      <formula>NOT(ISERROR(SEARCH("Finalizado",P704)))</formula>
    </cfRule>
    <cfRule type="containsText" dxfId="6114" priority="4970" operator="containsText" text="Pendente">
      <formula>NOT(ISERROR(SEARCH("Pendente",P704)))</formula>
    </cfRule>
    <cfRule type="expression" dxfId="6113" priority="4967">
      <formula>$H704="ETAPA"</formula>
    </cfRule>
  </conditionalFormatting>
  <conditionalFormatting sqref="P705">
    <cfRule type="containsText" dxfId="6112" priority="14966" operator="containsText" text="Pendente">
      <formula>NOT(ISERROR(SEARCH("Pendente",P705)))</formula>
    </cfRule>
    <cfRule type="containsText" dxfId="6111" priority="14967" operator="containsText" text="Finalizado">
      <formula>NOT(ISERROR(SEARCH("Finalizado",P705)))</formula>
    </cfRule>
    <cfRule type="containsText" dxfId="6110" priority="14968" operator="containsText" text="em andamento">
      <formula>NOT(ISERROR(SEARCH("em andamento",P705)))</formula>
    </cfRule>
    <cfRule type="containsText" dxfId="6109" priority="14965" operator="containsText" text="Lançado">
      <formula>NOT(ISERROR(SEARCH("Lançado",P705)))</formula>
    </cfRule>
  </conditionalFormatting>
  <conditionalFormatting sqref="P707">
    <cfRule type="expression" dxfId="6108" priority="4946">
      <formula>$H707="CÉLULA CONSTRUTIVA"</formula>
    </cfRule>
    <cfRule type="expression" dxfId="6107" priority="4947">
      <formula>$H707="ETAPA"</formula>
    </cfRule>
    <cfRule type="containsText" dxfId="6106" priority="4941" operator="containsText" text="N/A">
      <formula>NOT(ISERROR(SEARCH("N/A",P707)))</formula>
    </cfRule>
    <cfRule type="expression" dxfId="6105" priority="4945">
      <formula>$H707="SUBETAPA"</formula>
    </cfRule>
  </conditionalFormatting>
  <conditionalFormatting sqref="P708">
    <cfRule type="expression" dxfId="6104" priority="25452">
      <formula>$H708="SUBETAPA"</formula>
    </cfRule>
    <cfRule type="expression" dxfId="6103" priority="25454">
      <formula>$H708="ETAPA"</formula>
    </cfRule>
    <cfRule type="containsText" dxfId="6102" priority="25458" operator="containsText" text="Lançado">
      <formula>NOT(ISERROR(SEARCH("Lançado",P708)))</formula>
    </cfRule>
    <cfRule type="containsText" dxfId="6101" priority="25459" operator="containsText" text="N/A">
      <formula>NOT(ISERROR(SEARCH("N/A",P708)))</formula>
    </cfRule>
    <cfRule type="containsText" dxfId="6100" priority="25460" operator="containsText" text="Pendente">
      <formula>NOT(ISERROR(SEARCH("Pendente",P708)))</formula>
    </cfRule>
    <cfRule type="containsText" dxfId="6099" priority="25461" operator="containsText" text="Finalizado">
      <formula>NOT(ISERROR(SEARCH("Finalizado",P708)))</formula>
    </cfRule>
    <cfRule type="containsText" dxfId="6098" priority="25462" operator="containsText" text="em andamento">
      <formula>NOT(ISERROR(SEARCH("em andamento",P708)))</formula>
    </cfRule>
    <cfRule type="expression" dxfId="6097" priority="25453">
      <formula>$H708="CÉLULA CONSTRUTIVA"</formula>
    </cfRule>
  </conditionalFormatting>
  <conditionalFormatting sqref="P708:P709">
    <cfRule type="expression" dxfId="6096" priority="24477">
      <formula>$H708="CÉLULA CONSTRUTIVA"</formula>
    </cfRule>
    <cfRule type="expression" dxfId="6095" priority="24476">
      <formula>$H708="SUBETAPA"</formula>
    </cfRule>
    <cfRule type="expression" dxfId="6094" priority="24478">
      <formula>$H708="ETAPA"</formula>
    </cfRule>
  </conditionalFormatting>
  <conditionalFormatting sqref="P709">
    <cfRule type="expression" dxfId="6093" priority="24475">
      <formula>$H709="ETAPA"</formula>
    </cfRule>
    <cfRule type="containsText" dxfId="6092" priority="24485" operator="containsText" text="Finalizado">
      <formula>NOT(ISERROR(SEARCH("Finalizado",P709)))</formula>
    </cfRule>
    <cfRule type="containsText" dxfId="6091" priority="24484" operator="containsText" text="Pendente">
      <formula>NOT(ISERROR(SEARCH("Pendente",P709)))</formula>
    </cfRule>
    <cfRule type="expression" dxfId="6090" priority="24473">
      <formula>$H709="CÉLULA CONSTRUTIVA"</formula>
    </cfRule>
    <cfRule type="containsText" dxfId="6089" priority="24486" operator="containsText" text="em andamento">
      <formula>NOT(ISERROR(SEARCH("em andamento",P709)))</formula>
    </cfRule>
    <cfRule type="expression" dxfId="6088" priority="24472">
      <formula>$H709="SUBETAPA"</formula>
    </cfRule>
  </conditionalFormatting>
  <conditionalFormatting sqref="P709:P710">
    <cfRule type="containsText" dxfId="6087" priority="24483" operator="containsText" text="N/A">
      <formula>NOT(ISERROR(SEARCH("N/A",P709)))</formula>
    </cfRule>
    <cfRule type="containsText" dxfId="6086" priority="24482" operator="containsText" text="Lançado">
      <formula>NOT(ISERROR(SEARCH("Lançado",P709)))</formula>
    </cfRule>
  </conditionalFormatting>
  <conditionalFormatting sqref="P710">
    <cfRule type="containsText" dxfId="6085" priority="25216" operator="containsText" text="Pendente">
      <formula>NOT(ISERROR(SEARCH("Pendente",P710)))</formula>
    </cfRule>
    <cfRule type="containsText" dxfId="6084" priority="25217" operator="containsText" text="Finalizado">
      <formula>NOT(ISERROR(SEARCH("Finalizado",P710)))</formula>
    </cfRule>
    <cfRule type="containsText" dxfId="6083" priority="25218" operator="containsText" text="em andamento">
      <formula>NOT(ISERROR(SEARCH("em andamento",P710)))</formula>
    </cfRule>
  </conditionalFormatting>
  <conditionalFormatting sqref="P711">
    <cfRule type="containsText" dxfId="6082" priority="22339" operator="containsText" text="em andamento">
      <formula>NOT(ISERROR(SEARCH("em andamento",P711)))</formula>
    </cfRule>
    <cfRule type="containsText" dxfId="6081" priority="22338" operator="containsText" text="Finalizado">
      <formula>NOT(ISERROR(SEARCH("Finalizado",P711)))</formula>
    </cfRule>
    <cfRule type="containsText" dxfId="6080" priority="22336" operator="containsText" text="N/A">
      <formula>NOT(ISERROR(SEARCH("N/A",P711)))</formula>
    </cfRule>
    <cfRule type="containsText" dxfId="6079" priority="22337" operator="containsText" text="Pendente">
      <formula>NOT(ISERROR(SEARCH("Pendente",P711)))</formula>
    </cfRule>
    <cfRule type="containsText" dxfId="6078" priority="22351" operator="containsText" text="Finalizado">
      <formula>NOT(ISERROR(SEARCH("Finalizado",P711)))</formula>
    </cfRule>
    <cfRule type="containsText" dxfId="6077" priority="22335" operator="containsText" text="Lançado">
      <formula>NOT(ISERROR(SEARCH("Lançado",P711)))</formula>
    </cfRule>
    <cfRule type="expression" dxfId="6076" priority="22334">
      <formula>$H711="ETAPA"</formula>
    </cfRule>
    <cfRule type="expression" dxfId="6075" priority="22332">
      <formula>$H711="SUBETAPA"</formula>
    </cfRule>
    <cfRule type="expression" dxfId="6074" priority="22345">
      <formula>$H711="SUBETAPA"</formula>
    </cfRule>
    <cfRule type="expression" dxfId="6073" priority="22333">
      <formula>$H711="CÉLULA CONSTRUTIVA"</formula>
    </cfRule>
    <cfRule type="containsText" dxfId="6072" priority="22352" operator="containsText" text="em andamento">
      <formula>NOT(ISERROR(SEARCH("em andamento",P711)))</formula>
    </cfRule>
    <cfRule type="containsText" dxfId="6071" priority="22350" operator="containsText" text="Pendente">
      <formula>NOT(ISERROR(SEARCH("Pendente",P711)))</formula>
    </cfRule>
    <cfRule type="containsText" dxfId="6070" priority="22349" operator="containsText" text="N/A">
      <formula>NOT(ISERROR(SEARCH("N/A",P711)))</formula>
    </cfRule>
    <cfRule type="containsText" dxfId="6069" priority="22348" operator="containsText" text="Lançado">
      <formula>NOT(ISERROR(SEARCH("Lançado",P711)))</formula>
    </cfRule>
    <cfRule type="expression" dxfId="6068" priority="22347">
      <formula>$H711="ETAPA"</formula>
    </cfRule>
    <cfRule type="expression" dxfId="6067" priority="22346">
      <formula>$H711="CÉLULA CONSTRUTIVA"</formula>
    </cfRule>
    <cfRule type="containsText" dxfId="6066" priority="22344" operator="containsText" text="em andamento">
      <formula>NOT(ISERROR(SEARCH("em andamento",P711)))</formula>
    </cfRule>
    <cfRule type="containsText" dxfId="6065" priority="22343" operator="containsText" text="Finalizado">
      <formula>NOT(ISERROR(SEARCH("Finalizado",P711)))</formula>
    </cfRule>
    <cfRule type="containsText" dxfId="6064" priority="22342" operator="containsText" text="Pendente">
      <formula>NOT(ISERROR(SEARCH("Pendente",P711)))</formula>
    </cfRule>
    <cfRule type="containsText" dxfId="6063" priority="22341" operator="containsText" text="N/A">
      <formula>NOT(ISERROR(SEARCH("N/A",P711)))</formula>
    </cfRule>
    <cfRule type="containsText" dxfId="6062" priority="22340" operator="containsText" text="Lançado">
      <formula>NOT(ISERROR(SEARCH("Lançado",P711)))</formula>
    </cfRule>
  </conditionalFormatting>
  <conditionalFormatting sqref="P712:P715">
    <cfRule type="containsText" dxfId="6061" priority="21972" operator="containsText" text="Lançado">
      <formula>NOT(ISERROR(SEARCH("Lançado",P712)))</formula>
    </cfRule>
    <cfRule type="containsText" dxfId="6060" priority="21973" operator="containsText" text="N/A">
      <formula>NOT(ISERROR(SEARCH("N/A",P712)))</formula>
    </cfRule>
    <cfRule type="containsText" dxfId="6059" priority="21982" operator="containsText" text="Lançado">
      <formula>NOT(ISERROR(SEARCH("Lançado",P712)))</formula>
    </cfRule>
    <cfRule type="containsText" dxfId="6058" priority="21980" operator="containsText" text="Finalizado">
      <formula>NOT(ISERROR(SEARCH("Finalizado",P712)))</formula>
    </cfRule>
    <cfRule type="containsText" dxfId="6057" priority="21986" operator="containsText" text="em andamento">
      <formula>NOT(ISERROR(SEARCH("em andamento",P712)))</formula>
    </cfRule>
    <cfRule type="containsText" dxfId="6056" priority="21985" operator="containsText" text="Finalizado">
      <formula>NOT(ISERROR(SEARCH("Finalizado",P712)))</formula>
    </cfRule>
    <cfRule type="containsText" dxfId="6055" priority="21979" operator="containsText" text="Pendente">
      <formula>NOT(ISERROR(SEARCH("Pendente",P712)))</formula>
    </cfRule>
    <cfRule type="containsText" dxfId="6054" priority="21978" operator="containsText" text="N/A">
      <formula>NOT(ISERROR(SEARCH("N/A",P712)))</formula>
    </cfRule>
    <cfRule type="containsText" dxfId="6053" priority="21975" operator="containsText" text="Finalizado">
      <formula>NOT(ISERROR(SEARCH("Finalizado",P712)))</formula>
    </cfRule>
    <cfRule type="containsText" dxfId="6052" priority="21984" operator="containsText" text="Pendente">
      <formula>NOT(ISERROR(SEARCH("Pendente",P712)))</formula>
    </cfRule>
    <cfRule type="containsText" dxfId="6051" priority="21983" operator="containsText" text="N/A">
      <formula>NOT(ISERROR(SEARCH("N/A",P712)))</formula>
    </cfRule>
    <cfRule type="containsText" dxfId="6050" priority="21981" operator="containsText" text="em andamento">
      <formula>NOT(ISERROR(SEARCH("em andamento",P712)))</formula>
    </cfRule>
    <cfRule type="containsText" dxfId="6049" priority="21974" operator="containsText" text="Pendente">
      <formula>NOT(ISERROR(SEARCH("Pendente",P712)))</formula>
    </cfRule>
    <cfRule type="containsText" dxfId="6048" priority="21976" operator="containsText" text="em andamento">
      <formula>NOT(ISERROR(SEARCH("em andamento",P712)))</formula>
    </cfRule>
    <cfRule type="containsText" dxfId="6047" priority="21977" operator="containsText" text="Lançado">
      <formula>NOT(ISERROR(SEARCH("Lançado",P712)))</formula>
    </cfRule>
  </conditionalFormatting>
  <conditionalFormatting sqref="P716 P718">
    <cfRule type="containsText" dxfId="6046" priority="25407" operator="containsText" text="Lançado">
      <formula>NOT(ISERROR(SEARCH("Lançado",P716)))</formula>
    </cfRule>
    <cfRule type="containsText" dxfId="6045" priority="25408" operator="containsText" text="N/A">
      <formula>NOT(ISERROR(SEARCH("N/A",P716)))</formula>
    </cfRule>
    <cfRule type="containsText" dxfId="6044" priority="25409" operator="containsText" text="Pendente">
      <formula>NOT(ISERROR(SEARCH("Pendente",P716)))</formula>
    </cfRule>
    <cfRule type="containsText" dxfId="6043" priority="25411" operator="containsText" text="em andamento">
      <formula>NOT(ISERROR(SEARCH("em andamento",P716)))</formula>
    </cfRule>
    <cfRule type="containsText" dxfId="6042" priority="25410" operator="containsText" text="Finalizado">
      <formula>NOT(ISERROR(SEARCH("Finalizado",P716)))</formula>
    </cfRule>
  </conditionalFormatting>
  <conditionalFormatting sqref="P717">
    <cfRule type="expression" dxfId="6041" priority="22368">
      <formula>$H717="ETAPA"</formula>
    </cfRule>
    <cfRule type="containsText" dxfId="6040" priority="22369" operator="containsText" text="Lançado">
      <formula>NOT(ISERROR(SEARCH("Lançado",P717)))</formula>
    </cfRule>
    <cfRule type="containsText" dxfId="6039" priority="22370" operator="containsText" text="N/A">
      <formula>NOT(ISERROR(SEARCH("N/A",P717)))</formula>
    </cfRule>
    <cfRule type="containsText" dxfId="6038" priority="22371" operator="containsText" text="Pendente">
      <formula>NOT(ISERROR(SEARCH("Pendente",P717)))</formula>
    </cfRule>
    <cfRule type="containsText" dxfId="6037" priority="22372" operator="containsText" text="Finalizado">
      <formula>NOT(ISERROR(SEARCH("Finalizado",P717)))</formula>
    </cfRule>
    <cfRule type="containsText" dxfId="6036" priority="22373" operator="containsText" text="em andamento">
      <formula>NOT(ISERROR(SEARCH("em andamento",P717)))</formula>
    </cfRule>
    <cfRule type="containsText" dxfId="6035" priority="22359" operator="containsText" text="Finalizado">
      <formula>NOT(ISERROR(SEARCH("Finalizado",P717)))</formula>
    </cfRule>
    <cfRule type="expression" dxfId="6034" priority="22353">
      <formula>$H717="SUBETAPA"</formula>
    </cfRule>
    <cfRule type="expression" dxfId="6033" priority="22354">
      <formula>$H717="CÉLULA CONSTRUTIVA"</formula>
    </cfRule>
    <cfRule type="expression" dxfId="6032" priority="22355">
      <formula>$H717="ETAPA"</formula>
    </cfRule>
    <cfRule type="containsText" dxfId="6031" priority="22356" operator="containsText" text="Lançado">
      <formula>NOT(ISERROR(SEARCH("Lançado",P717)))</formula>
    </cfRule>
    <cfRule type="containsText" dxfId="6030" priority="22357" operator="containsText" text="N/A">
      <formula>NOT(ISERROR(SEARCH("N/A",P717)))</formula>
    </cfRule>
    <cfRule type="containsText" dxfId="6029" priority="22358" operator="containsText" text="Pendente">
      <formula>NOT(ISERROR(SEARCH("Pendente",P717)))</formula>
    </cfRule>
    <cfRule type="containsText" dxfId="6028" priority="22360" operator="containsText" text="em andamento">
      <formula>NOT(ISERROR(SEARCH("em andamento",P717)))</formula>
    </cfRule>
    <cfRule type="containsText" dxfId="6027" priority="22361" operator="containsText" text="Lançado">
      <formula>NOT(ISERROR(SEARCH("Lançado",P717)))</formula>
    </cfRule>
    <cfRule type="containsText" dxfId="6026" priority="22362" operator="containsText" text="N/A">
      <formula>NOT(ISERROR(SEARCH("N/A",P717)))</formula>
    </cfRule>
    <cfRule type="containsText" dxfId="6025" priority="22363" operator="containsText" text="Pendente">
      <formula>NOT(ISERROR(SEARCH("Pendente",P717)))</formula>
    </cfRule>
    <cfRule type="containsText" dxfId="6024" priority="22364" operator="containsText" text="Finalizado">
      <formula>NOT(ISERROR(SEARCH("Finalizado",P717)))</formula>
    </cfRule>
    <cfRule type="containsText" dxfId="6023" priority="22365" operator="containsText" text="em andamento">
      <formula>NOT(ISERROR(SEARCH("em andamento",P717)))</formula>
    </cfRule>
    <cfRule type="expression" dxfId="6022" priority="22366">
      <formula>$H717="SUBETAPA"</formula>
    </cfRule>
    <cfRule type="expression" dxfId="6021" priority="22367">
      <formula>$H717="CÉLULA CONSTRUTIVA"</formula>
    </cfRule>
  </conditionalFormatting>
  <conditionalFormatting sqref="P719">
    <cfRule type="containsText" dxfId="6020" priority="4911" operator="containsText" text="Lançado">
      <formula>NOT(ISERROR(SEARCH("Lançado",P719)))</formula>
    </cfRule>
    <cfRule type="containsText" dxfId="6019" priority="4915" operator="containsText" text="em andamento">
      <formula>NOT(ISERROR(SEARCH("em andamento",P719)))</formula>
    </cfRule>
    <cfRule type="expression" dxfId="6018" priority="4908">
      <formula>$H719="SUBETAPA"</formula>
    </cfRule>
    <cfRule type="containsText" dxfId="6017" priority="4914" operator="containsText" text="Finalizado">
      <formula>NOT(ISERROR(SEARCH("Finalizado",P719)))</formula>
    </cfRule>
    <cfRule type="containsText" dxfId="6016" priority="4913" operator="containsText" text="Pendente">
      <formula>NOT(ISERROR(SEARCH("Pendente",P719)))</formula>
    </cfRule>
    <cfRule type="containsText" dxfId="6015" priority="4912" operator="containsText" text="N/A">
      <formula>NOT(ISERROR(SEARCH("N/A",P719)))</formula>
    </cfRule>
    <cfRule type="expression" dxfId="6014" priority="4910">
      <formula>$H719="ETAPA"</formula>
    </cfRule>
    <cfRule type="expression" dxfId="6013" priority="4909">
      <formula>$H719="CÉLULA CONSTRUTIVA"</formula>
    </cfRule>
  </conditionalFormatting>
  <conditionalFormatting sqref="P720">
    <cfRule type="containsText" dxfId="6012" priority="4907" operator="containsText" text="em andamento">
      <formula>NOT(ISERROR(SEARCH("em andamento",P720)))</formula>
    </cfRule>
    <cfRule type="containsText" dxfId="6011" priority="4906" operator="containsText" text="Finalizado">
      <formula>NOT(ISERROR(SEARCH("Finalizado",P720)))</formula>
    </cfRule>
    <cfRule type="containsText" dxfId="6010" priority="4905" operator="containsText" text="Pendente">
      <formula>NOT(ISERROR(SEARCH("Pendente",P720)))</formula>
    </cfRule>
    <cfRule type="containsText" dxfId="6009" priority="4904" operator="containsText" text="N/A">
      <formula>NOT(ISERROR(SEARCH("N/A",P720)))</formula>
    </cfRule>
    <cfRule type="containsText" dxfId="6008" priority="4903" operator="containsText" text="Lançado">
      <formula>NOT(ISERROR(SEARCH("Lançado",P720)))</formula>
    </cfRule>
  </conditionalFormatting>
  <conditionalFormatting sqref="P721">
    <cfRule type="containsText" dxfId="6007" priority="4828" operator="containsText" text="N/A">
      <formula>NOT(ISERROR(SEARCH("N/A",P721)))</formula>
    </cfRule>
    <cfRule type="containsText" dxfId="6006" priority="4829" operator="containsText" text="Pendente">
      <formula>NOT(ISERROR(SEARCH("Pendente",P721)))</formula>
    </cfRule>
    <cfRule type="containsText" dxfId="6005" priority="4830" operator="containsText" text="Finalizado">
      <formula>NOT(ISERROR(SEARCH("Finalizado",P721)))</formula>
    </cfRule>
    <cfRule type="containsText" dxfId="6004" priority="4831" operator="containsText" text="em andamento">
      <formula>NOT(ISERROR(SEARCH("em andamento",P721)))</formula>
    </cfRule>
    <cfRule type="containsText" dxfId="6003" priority="4832" operator="containsText" text="Lançado">
      <formula>NOT(ISERROR(SEARCH("Lançado",P721)))</formula>
    </cfRule>
    <cfRule type="expression" dxfId="6002" priority="4838">
      <formula>$H721="CÉLULA CONSTRUTIVA"</formula>
    </cfRule>
    <cfRule type="containsText" dxfId="6001" priority="4835" operator="containsText" text="Finalizado">
      <formula>NOT(ISERROR(SEARCH("Finalizado",P721)))</formula>
    </cfRule>
    <cfRule type="containsText" dxfId="6000" priority="4836" operator="containsText" text="em andamento">
      <formula>NOT(ISERROR(SEARCH("em andamento",P721)))</formula>
    </cfRule>
    <cfRule type="expression" dxfId="5999" priority="4837">
      <formula>$H721="SUBETAPA"</formula>
    </cfRule>
    <cfRule type="containsText" dxfId="5998" priority="4833" operator="containsText" text="N/A">
      <formula>NOT(ISERROR(SEARCH("N/A",P721)))</formula>
    </cfRule>
    <cfRule type="containsText" dxfId="5997" priority="4834" operator="containsText" text="Pendente">
      <formula>NOT(ISERROR(SEARCH("Pendente",P721)))</formula>
    </cfRule>
    <cfRule type="containsText" dxfId="5996" priority="4827" operator="containsText" text="Lançado">
      <formula>NOT(ISERROR(SEARCH("Lançado",P721)))</formula>
    </cfRule>
    <cfRule type="containsText" dxfId="5995" priority="4844" operator="containsText" text="em andamento">
      <formula>NOT(ISERROR(SEARCH("em andamento",P721)))</formula>
    </cfRule>
    <cfRule type="expression" dxfId="5994" priority="4824">
      <formula>$H721="SUBETAPA"</formula>
    </cfRule>
    <cfRule type="containsText" dxfId="5993" priority="4843" operator="containsText" text="Finalizado">
      <formula>NOT(ISERROR(SEARCH("Finalizado",P721)))</formula>
    </cfRule>
    <cfRule type="containsText" dxfId="5992" priority="4842" operator="containsText" text="Pendente">
      <formula>NOT(ISERROR(SEARCH("Pendente",P721)))</formula>
    </cfRule>
    <cfRule type="containsText" dxfId="5991" priority="4841" operator="containsText" text="N/A">
      <formula>NOT(ISERROR(SEARCH("N/A",P721)))</formula>
    </cfRule>
    <cfRule type="containsText" dxfId="5990" priority="4840" operator="containsText" text="Lançado">
      <formula>NOT(ISERROR(SEARCH("Lançado",P721)))</formula>
    </cfRule>
    <cfRule type="expression" dxfId="5989" priority="4839">
      <formula>$H721="ETAPA"</formula>
    </cfRule>
    <cfRule type="expression" dxfId="5988" priority="4825">
      <formula>$H721="CÉLULA CONSTRUTIVA"</formula>
    </cfRule>
    <cfRule type="expression" dxfId="5987" priority="4826">
      <formula>$H721="ETAPA"</formula>
    </cfRule>
  </conditionalFormatting>
  <conditionalFormatting sqref="P723">
    <cfRule type="containsText" dxfId="5986" priority="25402" operator="containsText" text="Lançado">
      <formula>NOT(ISERROR(SEARCH("Lançado",P723)))</formula>
    </cfRule>
    <cfRule type="containsText" dxfId="5985" priority="25403" operator="containsText" text="N/A">
      <formula>NOT(ISERROR(SEARCH("N/A",P723)))</formula>
    </cfRule>
    <cfRule type="containsText" dxfId="5984" priority="25404" operator="containsText" text="Pendente">
      <formula>NOT(ISERROR(SEARCH("Pendente",P723)))</formula>
    </cfRule>
    <cfRule type="containsText" dxfId="5983" priority="25405" operator="containsText" text="Finalizado">
      <formula>NOT(ISERROR(SEARCH("Finalizado",P723)))</formula>
    </cfRule>
    <cfRule type="containsText" dxfId="5982" priority="25406" operator="containsText" text="em andamento">
      <formula>NOT(ISERROR(SEARCH("em andamento",P723)))</formula>
    </cfRule>
  </conditionalFormatting>
  <conditionalFormatting sqref="P724">
    <cfRule type="expression" dxfId="5981" priority="22463">
      <formula>$H724="SUBETAPA"</formula>
    </cfRule>
    <cfRule type="expression" dxfId="5980" priority="22464">
      <formula>$H724="CÉLULA CONSTRUTIVA"</formula>
    </cfRule>
    <cfRule type="expression" dxfId="5979" priority="22465">
      <formula>$H724="ETAPA"</formula>
    </cfRule>
    <cfRule type="containsText" dxfId="5978" priority="22467" operator="containsText" text="N/A">
      <formula>NOT(ISERROR(SEARCH("N/A",P724)))</formula>
    </cfRule>
    <cfRule type="containsText" dxfId="5977" priority="22483" operator="containsText" text="em andamento">
      <formula>NOT(ISERROR(SEARCH("em andamento",P724)))</formula>
    </cfRule>
    <cfRule type="containsText" dxfId="5976" priority="22469" operator="containsText" text="Finalizado">
      <formula>NOT(ISERROR(SEARCH("Finalizado",P724)))</formula>
    </cfRule>
    <cfRule type="containsText" dxfId="5975" priority="22468" operator="containsText" text="Pendente">
      <formula>NOT(ISERROR(SEARCH("Pendente",P724)))</formula>
    </cfRule>
    <cfRule type="containsText" dxfId="5974" priority="22466" operator="containsText" text="Lançado">
      <formula>NOT(ISERROR(SEARCH("Lançado",P724)))</formula>
    </cfRule>
    <cfRule type="containsText" dxfId="5973" priority="22480" operator="containsText" text="N/A">
      <formula>NOT(ISERROR(SEARCH("N/A",P724)))</formula>
    </cfRule>
    <cfRule type="containsText" dxfId="5972" priority="22470" operator="containsText" text="em andamento">
      <formula>NOT(ISERROR(SEARCH("em andamento",P724)))</formula>
    </cfRule>
    <cfRule type="containsText" dxfId="5971" priority="22482" operator="containsText" text="Finalizado">
      <formula>NOT(ISERROR(SEARCH("Finalizado",P724)))</formula>
    </cfRule>
    <cfRule type="containsText" dxfId="5970" priority="22481" operator="containsText" text="Pendente">
      <formula>NOT(ISERROR(SEARCH("Pendente",P724)))</formula>
    </cfRule>
    <cfRule type="containsText" dxfId="5969" priority="22479" operator="containsText" text="Lançado">
      <formula>NOT(ISERROR(SEARCH("Lançado",P724)))</formula>
    </cfRule>
    <cfRule type="expression" dxfId="5968" priority="22478">
      <formula>$H724="ETAPA"</formula>
    </cfRule>
    <cfRule type="expression" dxfId="5967" priority="22477">
      <formula>$H724="CÉLULA CONSTRUTIVA"</formula>
    </cfRule>
    <cfRule type="expression" dxfId="5966" priority="22476">
      <formula>$H724="SUBETAPA"</formula>
    </cfRule>
    <cfRule type="containsText" dxfId="5965" priority="22475" operator="containsText" text="em andamento">
      <formula>NOT(ISERROR(SEARCH("em andamento",P724)))</formula>
    </cfRule>
    <cfRule type="containsText" dxfId="5964" priority="22474" operator="containsText" text="Finalizado">
      <formula>NOT(ISERROR(SEARCH("Finalizado",P724)))</formula>
    </cfRule>
    <cfRule type="containsText" dxfId="5963" priority="22473" operator="containsText" text="Pendente">
      <formula>NOT(ISERROR(SEARCH("Pendente",P724)))</formula>
    </cfRule>
    <cfRule type="containsText" dxfId="5962" priority="22471" operator="containsText" text="Lançado">
      <formula>NOT(ISERROR(SEARCH("Lançado",P724)))</formula>
    </cfRule>
    <cfRule type="containsText" dxfId="5961" priority="22472" operator="containsText" text="N/A">
      <formula>NOT(ISERROR(SEARCH("N/A",P724)))</formula>
    </cfRule>
  </conditionalFormatting>
  <conditionalFormatting sqref="P725">
    <cfRule type="expression" dxfId="5960" priority="14181">
      <formula>$H725="SUBETAPA"</formula>
    </cfRule>
    <cfRule type="expression" dxfId="5959" priority="14182">
      <formula>$H725="CÉLULA CONSTRUTIVA"</formula>
    </cfRule>
    <cfRule type="expression" dxfId="5958" priority="14183">
      <formula>$H725="ETAPA"</formula>
    </cfRule>
    <cfRule type="containsText" dxfId="5957" priority="14184" operator="containsText" text="Lançado">
      <formula>NOT(ISERROR(SEARCH("Lançado",P725)))</formula>
    </cfRule>
    <cfRule type="containsText" dxfId="5956" priority="14185" operator="containsText" text="N/A">
      <formula>NOT(ISERROR(SEARCH("N/A",P725)))</formula>
    </cfRule>
    <cfRule type="containsText" dxfId="5955" priority="14186" operator="containsText" text="Pendente">
      <formula>NOT(ISERROR(SEARCH("Pendente",P725)))</formula>
    </cfRule>
    <cfRule type="containsText" dxfId="5954" priority="14187" operator="containsText" text="Finalizado">
      <formula>NOT(ISERROR(SEARCH("Finalizado",P725)))</formula>
    </cfRule>
    <cfRule type="containsText" dxfId="5953" priority="14190" operator="containsText" text="N/A">
      <formula>NOT(ISERROR(SEARCH("N/A",P725)))</formula>
    </cfRule>
    <cfRule type="containsText" dxfId="5952" priority="14191" operator="containsText" text="Pendente">
      <formula>NOT(ISERROR(SEARCH("Pendente",P725)))</formula>
    </cfRule>
    <cfRule type="containsText" dxfId="5951" priority="14192" operator="containsText" text="Finalizado">
      <formula>NOT(ISERROR(SEARCH("Finalizado",P725)))</formula>
    </cfRule>
    <cfRule type="containsText" dxfId="5950" priority="14201" operator="containsText" text="em andamento">
      <formula>NOT(ISERROR(SEARCH("em andamento",P725)))</formula>
    </cfRule>
    <cfRule type="containsText" dxfId="5949" priority="14193" operator="containsText" text="em andamento">
      <formula>NOT(ISERROR(SEARCH("em andamento",P725)))</formula>
    </cfRule>
    <cfRule type="containsText" dxfId="5948" priority="14198" operator="containsText" text="N/A">
      <formula>NOT(ISERROR(SEARCH("N/A",P725)))</formula>
    </cfRule>
    <cfRule type="containsText" dxfId="5947" priority="14197" operator="containsText" text="Lançado">
      <formula>NOT(ISERROR(SEARCH("Lançado",P725)))</formula>
    </cfRule>
    <cfRule type="expression" dxfId="5946" priority="14196">
      <formula>$H725="ETAPA"</formula>
    </cfRule>
    <cfRule type="containsText" dxfId="5945" priority="14200" operator="containsText" text="Finalizado">
      <formula>NOT(ISERROR(SEARCH("Finalizado",P725)))</formula>
    </cfRule>
    <cfRule type="containsText" dxfId="5944" priority="14199" operator="containsText" text="Pendente">
      <formula>NOT(ISERROR(SEARCH("Pendente",P725)))</formula>
    </cfRule>
    <cfRule type="containsText" dxfId="5943" priority="14189" operator="containsText" text="Lançado">
      <formula>NOT(ISERROR(SEARCH("Lançado",P725)))</formula>
    </cfRule>
    <cfRule type="expression" dxfId="5942" priority="14195">
      <formula>$H725="CÉLULA CONSTRUTIVA"</formula>
    </cfRule>
    <cfRule type="containsText" dxfId="5941" priority="14188" operator="containsText" text="em andamento">
      <formula>NOT(ISERROR(SEARCH("em andamento",P725)))</formula>
    </cfRule>
    <cfRule type="expression" dxfId="5940" priority="14194">
      <formula>$H725="SUBETAPA"</formula>
    </cfRule>
  </conditionalFormatting>
  <conditionalFormatting sqref="P727 P734 P740 P746">
    <cfRule type="containsText" dxfId="5939" priority="22427" operator="containsText" text="Finalizado">
      <formula>NOT(ISERROR(SEARCH("Finalizado",P727)))</formula>
    </cfRule>
    <cfRule type="containsText" dxfId="5938" priority="22426" operator="containsText" text="Pendente">
      <formula>NOT(ISERROR(SEARCH("Pendente",P727)))</formula>
    </cfRule>
    <cfRule type="containsText" dxfId="5937" priority="22425" operator="containsText" text="N/A">
      <formula>NOT(ISERROR(SEARCH("N/A",P727)))</formula>
    </cfRule>
    <cfRule type="expression" dxfId="5936" priority="22423">
      <formula>$H727="ETAPA"</formula>
    </cfRule>
    <cfRule type="expression" dxfId="5935" priority="22422">
      <formula>$H727="CÉLULA CONSTRUTIVA"</formula>
    </cfRule>
    <cfRule type="expression" dxfId="5934" priority="22421">
      <formula>$H727="SUBETAPA"</formula>
    </cfRule>
    <cfRule type="containsText" dxfId="5933" priority="22432" operator="containsText" text="Finalizado">
      <formula>NOT(ISERROR(SEARCH("Finalizado",P727)))</formula>
    </cfRule>
    <cfRule type="containsText" dxfId="5932" priority="22431" operator="containsText" text="Pendente">
      <formula>NOT(ISERROR(SEARCH("Pendente",P727)))</formula>
    </cfRule>
    <cfRule type="containsText" dxfId="5931" priority="22430" operator="containsText" text="N/A">
      <formula>NOT(ISERROR(SEARCH("N/A",P727)))</formula>
    </cfRule>
    <cfRule type="containsText" dxfId="5930" priority="22429" operator="containsText" text="Lançado">
      <formula>NOT(ISERROR(SEARCH("Lançado",P727)))</formula>
    </cfRule>
    <cfRule type="containsText" dxfId="5929" priority="22428" operator="containsText" text="em andamento">
      <formula>NOT(ISERROR(SEARCH("em andamento",P727)))</formula>
    </cfRule>
    <cfRule type="containsText" dxfId="5928" priority="22441" operator="containsText" text="em andamento">
      <formula>NOT(ISERROR(SEARCH("em andamento",P727)))</formula>
    </cfRule>
    <cfRule type="containsText" dxfId="5927" priority="22424" operator="containsText" text="Lançado">
      <formula>NOT(ISERROR(SEARCH("Lançado",P727)))</formula>
    </cfRule>
    <cfRule type="containsText" dxfId="5926" priority="22440" operator="containsText" text="Finalizado">
      <formula>NOT(ISERROR(SEARCH("Finalizado",P727)))</formula>
    </cfRule>
    <cfRule type="containsText" dxfId="5925" priority="22439" operator="containsText" text="Pendente">
      <formula>NOT(ISERROR(SEARCH("Pendente",P727)))</formula>
    </cfRule>
    <cfRule type="containsText" dxfId="5924" priority="22438" operator="containsText" text="N/A">
      <formula>NOT(ISERROR(SEARCH("N/A",P727)))</formula>
    </cfRule>
    <cfRule type="containsText" dxfId="5923" priority="22437" operator="containsText" text="Lançado">
      <formula>NOT(ISERROR(SEARCH("Lançado",P727)))</formula>
    </cfRule>
    <cfRule type="expression" dxfId="5922" priority="22436">
      <formula>$H727="ETAPA"</formula>
    </cfRule>
    <cfRule type="expression" dxfId="5921" priority="22435">
      <formula>$H727="CÉLULA CONSTRUTIVA"</formula>
    </cfRule>
    <cfRule type="expression" dxfId="5920" priority="22434">
      <formula>$H727="SUBETAPA"</formula>
    </cfRule>
    <cfRule type="containsText" dxfId="5919" priority="22433" operator="containsText" text="em andamento">
      <formula>NOT(ISERROR(SEARCH("em andamento",P727)))</formula>
    </cfRule>
  </conditionalFormatting>
  <conditionalFormatting sqref="P728">
    <cfRule type="containsText" dxfId="5918" priority="4814" operator="containsText" text="em andamento">
      <formula>NOT(ISERROR(SEARCH("em andamento",P728)))</formula>
    </cfRule>
    <cfRule type="containsText" dxfId="5917" priority="4821" operator="containsText" text="Finalizado">
      <formula>NOT(ISERROR(SEARCH("Finalizado",P728)))</formula>
    </cfRule>
    <cfRule type="containsText" dxfId="5916" priority="4820" operator="containsText" text="Pendente">
      <formula>NOT(ISERROR(SEARCH("Pendente",P728)))</formula>
    </cfRule>
    <cfRule type="containsText" dxfId="5915" priority="4819" operator="containsText" text="N/A">
      <formula>NOT(ISERROR(SEARCH("N/A",P728)))</formula>
    </cfRule>
    <cfRule type="containsText" dxfId="5914" priority="4818" operator="containsText" text="Lançado">
      <formula>NOT(ISERROR(SEARCH("Lançado",P728)))</formula>
    </cfRule>
    <cfRule type="expression" dxfId="5913" priority="4817">
      <formula>$H728="ETAPA"</formula>
    </cfRule>
    <cfRule type="expression" dxfId="5912" priority="4816">
      <formula>$H728="CÉLULA CONSTRUTIVA"</formula>
    </cfRule>
    <cfRule type="expression" dxfId="5911" priority="4815">
      <formula>$H728="SUBETAPA"</formula>
    </cfRule>
    <cfRule type="containsText" dxfId="5910" priority="4810" operator="containsText" text="Lançado">
      <formula>NOT(ISERROR(SEARCH("Lançado",P728)))</formula>
    </cfRule>
    <cfRule type="containsText" dxfId="5909" priority="4813" operator="containsText" text="Finalizado">
      <formula>NOT(ISERROR(SEARCH("Finalizado",P728)))</formula>
    </cfRule>
    <cfRule type="containsText" dxfId="5908" priority="4809" operator="containsText" text="em andamento">
      <formula>NOT(ISERROR(SEARCH("em andamento",P728)))</formula>
    </cfRule>
    <cfRule type="containsText" dxfId="5907" priority="4806" operator="containsText" text="N/A">
      <formula>NOT(ISERROR(SEARCH("N/A",P728)))</formula>
    </cfRule>
    <cfRule type="expression" dxfId="5906" priority="4803">
      <formula>$H728="CÉLULA CONSTRUTIVA"</formula>
    </cfRule>
    <cfRule type="containsText" dxfId="5905" priority="4807" operator="containsText" text="Pendente">
      <formula>NOT(ISERROR(SEARCH("Pendente",P728)))</formula>
    </cfRule>
    <cfRule type="containsText" dxfId="5904" priority="4808" operator="containsText" text="Finalizado">
      <formula>NOT(ISERROR(SEARCH("Finalizado",P728)))</formula>
    </cfRule>
    <cfRule type="expression" dxfId="5903" priority="4802">
      <formula>$H728="SUBETAPA"</formula>
    </cfRule>
    <cfRule type="containsText" dxfId="5902" priority="4812" operator="containsText" text="Pendente">
      <formula>NOT(ISERROR(SEARCH("Pendente",P728)))</formula>
    </cfRule>
    <cfRule type="expression" dxfId="5901" priority="4804">
      <formula>$H728="ETAPA"</formula>
    </cfRule>
    <cfRule type="containsText" dxfId="5900" priority="4811" operator="containsText" text="N/A">
      <formula>NOT(ISERROR(SEARCH("N/A",P728)))</formula>
    </cfRule>
    <cfRule type="containsText" dxfId="5899" priority="4805" operator="containsText" text="Lançado">
      <formula>NOT(ISERROR(SEARCH("Lançado",P728)))</formula>
    </cfRule>
    <cfRule type="containsText" dxfId="5898" priority="4822" operator="containsText" text="em andamento">
      <formula>NOT(ISERROR(SEARCH("em andamento",P728)))</formula>
    </cfRule>
  </conditionalFormatting>
  <conditionalFormatting sqref="P729">
    <cfRule type="containsText" dxfId="5897" priority="14275" operator="containsText" text="Finalizado">
      <formula>NOT(ISERROR(SEARCH("Finalizado",P729)))</formula>
    </cfRule>
    <cfRule type="containsText" dxfId="5896" priority="14276" operator="containsText" text="em andamento">
      <formula>NOT(ISERROR(SEARCH("em andamento",P729)))</formula>
    </cfRule>
    <cfRule type="containsText" dxfId="5895" priority="14274" operator="containsText" text="Pendente">
      <formula>NOT(ISERROR(SEARCH("Pendente",P729)))</formula>
    </cfRule>
    <cfRule type="expression" dxfId="5894" priority="14267">
      <formula>$H729="SUBETAPA"</formula>
    </cfRule>
    <cfRule type="expression" dxfId="5893" priority="14269">
      <formula>$H729="ETAPA"</formula>
    </cfRule>
    <cfRule type="containsText" dxfId="5892" priority="14272" operator="containsText" text="Lançado">
      <formula>NOT(ISERROR(SEARCH("Lançado",P729)))</formula>
    </cfRule>
    <cfRule type="containsText" dxfId="5891" priority="14273" operator="containsText" text="N/A">
      <formula>NOT(ISERROR(SEARCH("N/A",P729)))</formula>
    </cfRule>
    <cfRule type="expression" dxfId="5890" priority="14268">
      <formula>$H729="CÉLULA CONSTRUTIVA"</formula>
    </cfRule>
  </conditionalFormatting>
  <conditionalFormatting sqref="P730">
    <cfRule type="containsText" dxfId="5889" priority="14266" operator="containsText" text="em andamento">
      <formula>NOT(ISERROR(SEARCH("em andamento",P730)))</formula>
    </cfRule>
    <cfRule type="containsText" dxfId="5888" priority="14265" operator="containsText" text="Finalizado">
      <formula>NOT(ISERROR(SEARCH("Finalizado",P730)))</formula>
    </cfRule>
    <cfRule type="containsText" dxfId="5887" priority="14264" operator="containsText" text="Pendente">
      <formula>NOT(ISERROR(SEARCH("Pendente",P730)))</formula>
    </cfRule>
    <cfRule type="containsText" dxfId="5886" priority="14262" operator="containsText" text="Lançado">
      <formula>NOT(ISERROR(SEARCH("Lançado",P730)))</formula>
    </cfRule>
  </conditionalFormatting>
  <conditionalFormatting sqref="P730:P732">
    <cfRule type="containsText" dxfId="5885" priority="14254" operator="containsText" text="N/A">
      <formula>NOT(ISERROR(SEARCH("N/A",P730)))</formula>
    </cfRule>
  </conditionalFormatting>
  <conditionalFormatting sqref="P731">
    <cfRule type="expression" dxfId="5884" priority="14252">
      <formula>$H731="ETAPA"</formula>
    </cfRule>
    <cfRule type="containsText" dxfId="5883" priority="14256" operator="containsText" text="Finalizado">
      <formula>NOT(ISERROR(SEARCH("Finalizado",P731)))</formula>
    </cfRule>
    <cfRule type="containsText" dxfId="5882" priority="14253" operator="containsText" text="Lançado">
      <formula>NOT(ISERROR(SEARCH("Lançado",P731)))</formula>
    </cfRule>
    <cfRule type="expression" dxfId="5881" priority="14250">
      <formula>$H731="SUBETAPA"</formula>
    </cfRule>
    <cfRule type="containsText" dxfId="5880" priority="14243" operator="containsText" text="Finalizado">
      <formula>NOT(ISERROR(SEARCH("Finalizado",P731)))</formula>
    </cfRule>
    <cfRule type="containsText" dxfId="5879" priority="14242" operator="containsText" text="Pendente">
      <formula>NOT(ISERROR(SEARCH("Pendente",P731)))</formula>
    </cfRule>
    <cfRule type="expression" dxfId="5878" priority="14238">
      <formula>$H731="CÉLULA CONSTRUTIVA"</formula>
    </cfRule>
    <cfRule type="containsText" dxfId="5877" priority="14249" operator="containsText" text="em andamento">
      <formula>NOT(ISERROR(SEARCH("em andamento",P731)))</formula>
    </cfRule>
    <cfRule type="expression" dxfId="5876" priority="14251">
      <formula>$H731="CÉLULA CONSTRUTIVA"</formula>
    </cfRule>
    <cfRule type="containsText" dxfId="5875" priority="14240" operator="containsText" text="Lançado">
      <formula>NOT(ISERROR(SEARCH("Lançado",P731)))</formula>
    </cfRule>
    <cfRule type="containsText" dxfId="5874" priority="14255" operator="containsText" text="Pendente">
      <formula>NOT(ISERROR(SEARCH("Pendente",P731)))</formula>
    </cfRule>
    <cfRule type="expression" dxfId="5873" priority="14239">
      <formula>$H731="ETAPA"</formula>
    </cfRule>
    <cfRule type="containsText" dxfId="5872" priority="14257" operator="containsText" text="em andamento">
      <formula>NOT(ISERROR(SEARCH("em andamento",P731)))</formula>
    </cfRule>
    <cfRule type="containsText" dxfId="5871" priority="14241" operator="containsText" text="N/A">
      <formula>NOT(ISERROR(SEARCH("N/A",P731)))</formula>
    </cfRule>
    <cfRule type="expression" dxfId="5870" priority="14237">
      <formula>$H731="SUBETAPA"</formula>
    </cfRule>
    <cfRule type="containsText" dxfId="5869" priority="14248" operator="containsText" text="Finalizado">
      <formula>NOT(ISERROR(SEARCH("Finalizado",P731)))</formula>
    </cfRule>
    <cfRule type="containsText" dxfId="5868" priority="14247" operator="containsText" text="Pendente">
      <formula>NOT(ISERROR(SEARCH("Pendente",P731)))</formula>
    </cfRule>
    <cfRule type="containsText" dxfId="5867" priority="14246" operator="containsText" text="N/A">
      <formula>NOT(ISERROR(SEARCH("N/A",P731)))</formula>
    </cfRule>
    <cfRule type="containsText" dxfId="5866" priority="14245" operator="containsText" text="Lançado">
      <formula>NOT(ISERROR(SEARCH("Lançado",P731)))</formula>
    </cfRule>
    <cfRule type="containsText" dxfId="5865" priority="14244" operator="containsText" text="em andamento">
      <formula>NOT(ISERROR(SEARCH("em andamento",P731)))</formula>
    </cfRule>
  </conditionalFormatting>
  <conditionalFormatting sqref="P732">
    <cfRule type="containsText" dxfId="5864" priority="14279" operator="containsText" text="Pendente">
      <formula>NOT(ISERROR(SEARCH("Pendente",P732)))</formula>
    </cfRule>
    <cfRule type="containsText" dxfId="5863" priority="14280" operator="containsText" text="Finalizado">
      <formula>NOT(ISERROR(SEARCH("Finalizado",P732)))</formula>
    </cfRule>
    <cfRule type="containsText" dxfId="5862" priority="14281" operator="containsText" text="em andamento">
      <formula>NOT(ISERROR(SEARCH("em andamento",P732)))</formula>
    </cfRule>
    <cfRule type="containsText" dxfId="5861" priority="14277" operator="containsText" text="Lançado">
      <formula>NOT(ISERROR(SEARCH("Lançado",P732)))</formula>
    </cfRule>
  </conditionalFormatting>
  <conditionalFormatting sqref="P733">
    <cfRule type="expression" dxfId="5860" priority="14230">
      <formula>$H733="CÉLULA CONSTRUTIVA"</formula>
    </cfRule>
    <cfRule type="expression" dxfId="5859" priority="14231">
      <formula>$H733="ETAPA"</formula>
    </cfRule>
    <cfRule type="containsText" dxfId="5858" priority="14236" operator="containsText" text="em andamento">
      <formula>NOT(ISERROR(SEARCH("em andamento",P733)))</formula>
    </cfRule>
    <cfRule type="expression" dxfId="5857" priority="14229">
      <formula>$H733="SUBETAPA"</formula>
    </cfRule>
    <cfRule type="expression" dxfId="5856" priority="14216">
      <formula>$H733="SUBETAPA"</formula>
    </cfRule>
    <cfRule type="containsText" dxfId="5855" priority="14222" operator="containsText" text="Finalizado">
      <formula>NOT(ISERROR(SEARCH("Finalizado",P733)))</formula>
    </cfRule>
    <cfRule type="containsText" dxfId="5854" priority="14233" operator="containsText" text="N/A">
      <formula>NOT(ISERROR(SEARCH("N/A",P733)))</formula>
    </cfRule>
    <cfRule type="containsText" dxfId="5853" priority="14232" operator="containsText" text="Lançado">
      <formula>NOT(ISERROR(SEARCH("Lançado",P733)))</formula>
    </cfRule>
    <cfRule type="containsText" dxfId="5852" priority="14234" operator="containsText" text="Pendente">
      <formula>NOT(ISERROR(SEARCH("Pendente",P733)))</formula>
    </cfRule>
    <cfRule type="containsText" dxfId="5851" priority="14221" operator="containsText" text="Pendente">
      <formula>NOT(ISERROR(SEARCH("Pendente",P733)))</formula>
    </cfRule>
    <cfRule type="containsText" dxfId="5850" priority="14220" operator="containsText" text="N/A">
      <formula>NOT(ISERROR(SEARCH("N/A",P733)))</formula>
    </cfRule>
    <cfRule type="containsText" dxfId="5849" priority="14219" operator="containsText" text="Lançado">
      <formula>NOT(ISERROR(SEARCH("Lançado",P733)))</formula>
    </cfRule>
    <cfRule type="containsText" dxfId="5848" priority="14224" operator="containsText" text="Lançado">
      <formula>NOT(ISERROR(SEARCH("Lançado",P733)))</formula>
    </cfRule>
    <cfRule type="expression" dxfId="5847" priority="14218">
      <formula>$H733="ETAPA"</formula>
    </cfRule>
    <cfRule type="containsText" dxfId="5846" priority="14223" operator="containsText" text="em andamento">
      <formula>NOT(ISERROR(SEARCH("em andamento",P733)))</formula>
    </cfRule>
    <cfRule type="containsText" dxfId="5845" priority="14235" operator="containsText" text="Finalizado">
      <formula>NOT(ISERROR(SEARCH("Finalizado",P733)))</formula>
    </cfRule>
    <cfRule type="containsText" dxfId="5844" priority="14225" operator="containsText" text="N/A">
      <formula>NOT(ISERROR(SEARCH("N/A",P733)))</formula>
    </cfRule>
    <cfRule type="containsText" dxfId="5843" priority="14226" operator="containsText" text="Pendente">
      <formula>NOT(ISERROR(SEARCH("Pendente",P733)))</formula>
    </cfRule>
    <cfRule type="containsText" dxfId="5842" priority="14227" operator="containsText" text="Finalizado">
      <formula>NOT(ISERROR(SEARCH("Finalizado",P733)))</formula>
    </cfRule>
    <cfRule type="containsText" dxfId="5841" priority="14228" operator="containsText" text="em andamento">
      <formula>NOT(ISERROR(SEARCH("em andamento",P733)))</formula>
    </cfRule>
    <cfRule type="expression" dxfId="5840" priority="14217">
      <formula>$H733="CÉLULA CONSTRUTIVA"</formula>
    </cfRule>
  </conditionalFormatting>
  <conditionalFormatting sqref="P735">
    <cfRule type="containsText" dxfId="5839" priority="14173" operator="containsText" text="Pendente">
      <formula>NOT(ISERROR(SEARCH("Pendente",P735)))</formula>
    </cfRule>
    <cfRule type="expression" dxfId="5838" priority="14166">
      <formula>$H735="SUBETAPA"</formula>
    </cfRule>
    <cfRule type="expression" dxfId="5837" priority="14167">
      <formula>$H735="CÉLULA CONSTRUTIVA"</formula>
    </cfRule>
    <cfRule type="expression" dxfId="5836" priority="14168">
      <formula>$H735="ETAPA"</formula>
    </cfRule>
    <cfRule type="containsText" dxfId="5835" priority="14171" operator="containsText" text="Lançado">
      <formula>NOT(ISERROR(SEARCH("Lançado",P735)))</formula>
    </cfRule>
    <cfRule type="containsText" dxfId="5834" priority="14172" operator="containsText" text="N/A">
      <formula>NOT(ISERROR(SEARCH("N/A",P735)))</formula>
    </cfRule>
    <cfRule type="containsText" dxfId="5833" priority="14174" operator="containsText" text="Finalizado">
      <formula>NOT(ISERROR(SEARCH("Finalizado",P735)))</formula>
    </cfRule>
    <cfRule type="containsText" dxfId="5832" priority="14175" operator="containsText" text="em andamento">
      <formula>NOT(ISERROR(SEARCH("em andamento",P735)))</formula>
    </cfRule>
  </conditionalFormatting>
  <conditionalFormatting sqref="P736">
    <cfRule type="containsText" dxfId="5831" priority="14165" operator="containsText" text="em andamento">
      <formula>NOT(ISERROR(SEARCH("em andamento",P736)))</formula>
    </cfRule>
    <cfRule type="containsText" dxfId="5830" priority="14164" operator="containsText" text="Finalizado">
      <formula>NOT(ISERROR(SEARCH("Finalizado",P736)))</formula>
    </cfRule>
    <cfRule type="containsText" dxfId="5829" priority="14163" operator="containsText" text="Pendente">
      <formula>NOT(ISERROR(SEARCH("Pendente",P736)))</formula>
    </cfRule>
    <cfRule type="containsText" dxfId="5828" priority="14161" operator="containsText" text="Lançado">
      <formula>NOT(ISERROR(SEARCH("Lançado",P736)))</formula>
    </cfRule>
  </conditionalFormatting>
  <conditionalFormatting sqref="P736:P738">
    <cfRule type="containsText" dxfId="5827" priority="14153" operator="containsText" text="N/A">
      <formula>NOT(ISERROR(SEARCH("N/A",P736)))</formula>
    </cfRule>
  </conditionalFormatting>
  <conditionalFormatting sqref="P737">
    <cfRule type="containsText" dxfId="5826" priority="14152" operator="containsText" text="Lançado">
      <formula>NOT(ISERROR(SEARCH("Lançado",P737)))</formula>
    </cfRule>
    <cfRule type="containsText" dxfId="5825" priority="14139" operator="containsText" text="Lançado">
      <formula>NOT(ISERROR(SEARCH("Lançado",P737)))</formula>
    </cfRule>
    <cfRule type="expression" dxfId="5824" priority="14136">
      <formula>$H737="SUBETAPA"</formula>
    </cfRule>
    <cfRule type="containsText" dxfId="5823" priority="14148" operator="containsText" text="em andamento">
      <formula>NOT(ISERROR(SEARCH("em andamento",P737)))</formula>
    </cfRule>
    <cfRule type="containsText" dxfId="5822" priority="14145" operator="containsText" text="N/A">
      <formula>NOT(ISERROR(SEARCH("N/A",P737)))</formula>
    </cfRule>
    <cfRule type="containsText" dxfId="5821" priority="14146" operator="containsText" text="Pendente">
      <formula>NOT(ISERROR(SEARCH("Pendente",P737)))</formula>
    </cfRule>
    <cfRule type="expression" dxfId="5820" priority="14137">
      <formula>$H737="CÉLULA CONSTRUTIVA"</formula>
    </cfRule>
    <cfRule type="expression" dxfId="5819" priority="14138">
      <formula>$H737="ETAPA"</formula>
    </cfRule>
    <cfRule type="containsText" dxfId="5818" priority="14141" operator="containsText" text="Pendente">
      <formula>NOT(ISERROR(SEARCH("Pendente",P737)))</formula>
    </cfRule>
    <cfRule type="containsText" dxfId="5817" priority="14142" operator="containsText" text="Finalizado">
      <formula>NOT(ISERROR(SEARCH("Finalizado",P737)))</formula>
    </cfRule>
    <cfRule type="containsText" dxfId="5816" priority="14143" operator="containsText" text="em andamento">
      <formula>NOT(ISERROR(SEARCH("em andamento",P737)))</formula>
    </cfRule>
    <cfRule type="containsText" dxfId="5815" priority="14156" operator="containsText" text="em andamento">
      <formula>NOT(ISERROR(SEARCH("em andamento",P737)))</formula>
    </cfRule>
    <cfRule type="containsText" dxfId="5814" priority="14155" operator="containsText" text="Finalizado">
      <formula>NOT(ISERROR(SEARCH("Finalizado",P737)))</formula>
    </cfRule>
    <cfRule type="containsText" dxfId="5813" priority="14154" operator="containsText" text="Pendente">
      <formula>NOT(ISERROR(SEARCH("Pendente",P737)))</formula>
    </cfRule>
    <cfRule type="containsText" dxfId="5812" priority="14144" operator="containsText" text="Lançado">
      <formula>NOT(ISERROR(SEARCH("Lançado",P737)))</formula>
    </cfRule>
    <cfRule type="containsText" dxfId="5811" priority="14147" operator="containsText" text="Finalizado">
      <formula>NOT(ISERROR(SEARCH("Finalizado",P737)))</formula>
    </cfRule>
    <cfRule type="expression" dxfId="5810" priority="14150">
      <formula>$H737="CÉLULA CONSTRUTIVA"</formula>
    </cfRule>
    <cfRule type="containsText" dxfId="5809" priority="14140" operator="containsText" text="N/A">
      <formula>NOT(ISERROR(SEARCH("N/A",P737)))</formula>
    </cfRule>
    <cfRule type="expression" dxfId="5808" priority="14151">
      <formula>$H737="ETAPA"</formula>
    </cfRule>
    <cfRule type="expression" dxfId="5807" priority="14149">
      <formula>$H737="SUBETAPA"</formula>
    </cfRule>
  </conditionalFormatting>
  <conditionalFormatting sqref="P738">
    <cfRule type="containsText" dxfId="5806" priority="14176" operator="containsText" text="Lançado">
      <formula>NOT(ISERROR(SEARCH("Lançado",P738)))</formula>
    </cfRule>
    <cfRule type="containsText" dxfId="5805" priority="14178" operator="containsText" text="Pendente">
      <formula>NOT(ISERROR(SEARCH("Pendente",P738)))</formula>
    </cfRule>
    <cfRule type="containsText" dxfId="5804" priority="14180" operator="containsText" text="em andamento">
      <formula>NOT(ISERROR(SEARCH("em andamento",P738)))</formula>
    </cfRule>
    <cfRule type="containsText" dxfId="5803" priority="14179" operator="containsText" text="Finalizado">
      <formula>NOT(ISERROR(SEARCH("Finalizado",P738)))</formula>
    </cfRule>
  </conditionalFormatting>
  <conditionalFormatting sqref="P739">
    <cfRule type="containsText" dxfId="5802" priority="14131" operator="containsText" text="Lançado">
      <formula>NOT(ISERROR(SEARCH("Lançado",P739)))</formula>
    </cfRule>
    <cfRule type="expression" dxfId="5801" priority="14128">
      <formula>$H739="SUBETAPA"</formula>
    </cfRule>
    <cfRule type="containsText" dxfId="5800" priority="14127" operator="containsText" text="em andamento">
      <formula>NOT(ISERROR(SEARCH("em andamento",P739)))</formula>
    </cfRule>
    <cfRule type="containsText" dxfId="5799" priority="14118" operator="containsText" text="Lançado">
      <formula>NOT(ISERROR(SEARCH("Lançado",P739)))</formula>
    </cfRule>
    <cfRule type="expression" dxfId="5798" priority="14117">
      <formula>$H739="ETAPA"</formula>
    </cfRule>
    <cfRule type="expression" dxfId="5797" priority="14116">
      <formula>$H739="CÉLULA CONSTRUTIVA"</formula>
    </cfRule>
    <cfRule type="expression" dxfId="5796" priority="14115">
      <formula>$H739="SUBETAPA"</formula>
    </cfRule>
    <cfRule type="expression" dxfId="5795" priority="14130">
      <formula>$H739="ETAPA"</formula>
    </cfRule>
    <cfRule type="containsText" dxfId="5794" priority="14126" operator="containsText" text="Finalizado">
      <formula>NOT(ISERROR(SEARCH("Finalizado",P739)))</formula>
    </cfRule>
    <cfRule type="containsText" dxfId="5793" priority="14125" operator="containsText" text="Pendente">
      <formula>NOT(ISERROR(SEARCH("Pendente",P739)))</formula>
    </cfRule>
    <cfRule type="containsText" dxfId="5792" priority="14124" operator="containsText" text="N/A">
      <formula>NOT(ISERROR(SEARCH("N/A",P739)))</formula>
    </cfRule>
    <cfRule type="containsText" dxfId="5791" priority="14123" operator="containsText" text="Lançado">
      <formula>NOT(ISERROR(SEARCH("Lançado",P739)))</formula>
    </cfRule>
    <cfRule type="containsText" dxfId="5790" priority="14122" operator="containsText" text="em andamento">
      <formula>NOT(ISERROR(SEARCH("em andamento",P739)))</formula>
    </cfRule>
    <cfRule type="containsText" dxfId="5789" priority="14121" operator="containsText" text="Finalizado">
      <formula>NOT(ISERROR(SEARCH("Finalizado",P739)))</formula>
    </cfRule>
    <cfRule type="containsText" dxfId="5788" priority="14120" operator="containsText" text="Pendente">
      <formula>NOT(ISERROR(SEARCH("Pendente",P739)))</formula>
    </cfRule>
    <cfRule type="containsText" dxfId="5787" priority="14132" operator="containsText" text="N/A">
      <formula>NOT(ISERROR(SEARCH("N/A",P739)))</formula>
    </cfRule>
    <cfRule type="containsText" dxfId="5786" priority="14133" operator="containsText" text="Pendente">
      <formula>NOT(ISERROR(SEARCH("Pendente",P739)))</formula>
    </cfRule>
    <cfRule type="containsText" dxfId="5785" priority="14135" operator="containsText" text="em andamento">
      <formula>NOT(ISERROR(SEARCH("em andamento",P739)))</formula>
    </cfRule>
    <cfRule type="containsText" dxfId="5784" priority="14134" operator="containsText" text="Finalizado">
      <formula>NOT(ISERROR(SEARCH("Finalizado",P739)))</formula>
    </cfRule>
    <cfRule type="containsText" dxfId="5783" priority="14119" operator="containsText" text="N/A">
      <formula>NOT(ISERROR(SEARCH("N/A",P739)))</formula>
    </cfRule>
    <cfRule type="expression" dxfId="5782" priority="14129">
      <formula>$H739="CÉLULA CONSTRUTIVA"</formula>
    </cfRule>
  </conditionalFormatting>
  <conditionalFormatting sqref="P741">
    <cfRule type="containsText" dxfId="5781" priority="14103" operator="containsText" text="em andamento">
      <formula>NOT(ISERROR(SEARCH("em andamento",P741)))</formula>
    </cfRule>
    <cfRule type="containsText" dxfId="5780" priority="14101" operator="containsText" text="Pendente">
      <formula>NOT(ISERROR(SEARCH("Pendente",P741)))</formula>
    </cfRule>
    <cfRule type="containsText" dxfId="5779" priority="14100" operator="containsText" text="N/A">
      <formula>NOT(ISERROR(SEARCH("N/A",P741)))</formula>
    </cfRule>
    <cfRule type="containsText" dxfId="5778" priority="14099" operator="containsText" text="Lançado">
      <formula>NOT(ISERROR(SEARCH("Lançado",P741)))</formula>
    </cfRule>
    <cfRule type="containsText" dxfId="5777" priority="14102" operator="containsText" text="Finalizado">
      <formula>NOT(ISERROR(SEARCH("Finalizado",P741)))</formula>
    </cfRule>
    <cfRule type="expression" dxfId="5776" priority="14096">
      <formula>$H741="ETAPA"</formula>
    </cfRule>
    <cfRule type="expression" dxfId="5775" priority="14095">
      <formula>$H741="CÉLULA CONSTRUTIVA"</formula>
    </cfRule>
    <cfRule type="expression" dxfId="5774" priority="14094">
      <formula>$H741="SUBETAPA"</formula>
    </cfRule>
  </conditionalFormatting>
  <conditionalFormatting sqref="P742">
    <cfRule type="containsText" dxfId="5773" priority="14093" operator="containsText" text="em andamento">
      <formula>NOT(ISERROR(SEARCH("em andamento",P742)))</formula>
    </cfRule>
    <cfRule type="containsText" dxfId="5772" priority="14092" operator="containsText" text="Finalizado">
      <formula>NOT(ISERROR(SEARCH("Finalizado",P742)))</formula>
    </cfRule>
    <cfRule type="containsText" dxfId="5771" priority="14091" operator="containsText" text="Pendente">
      <formula>NOT(ISERROR(SEARCH("Pendente",P742)))</formula>
    </cfRule>
    <cfRule type="containsText" dxfId="5770" priority="14089" operator="containsText" text="Lançado">
      <formula>NOT(ISERROR(SEARCH("Lançado",P742)))</formula>
    </cfRule>
  </conditionalFormatting>
  <conditionalFormatting sqref="P742:P744">
    <cfRule type="containsText" dxfId="5769" priority="14081" operator="containsText" text="N/A">
      <formula>NOT(ISERROR(SEARCH("N/A",P742)))</formula>
    </cfRule>
  </conditionalFormatting>
  <conditionalFormatting sqref="P743">
    <cfRule type="containsText" dxfId="5768" priority="14070" operator="containsText" text="Finalizado">
      <formula>NOT(ISERROR(SEARCH("Finalizado",P743)))</formula>
    </cfRule>
    <cfRule type="containsText" dxfId="5767" priority="14072" operator="containsText" text="Lançado">
      <formula>NOT(ISERROR(SEARCH("Lançado",P743)))</formula>
    </cfRule>
    <cfRule type="containsText" dxfId="5766" priority="14080" operator="containsText" text="Lançado">
      <formula>NOT(ISERROR(SEARCH("Lançado",P743)))</formula>
    </cfRule>
    <cfRule type="containsText" dxfId="5765" priority="14076" operator="containsText" text="em andamento">
      <formula>NOT(ISERROR(SEARCH("em andamento",P743)))</formula>
    </cfRule>
    <cfRule type="expression" dxfId="5764" priority="14079">
      <formula>$H743="ETAPA"</formula>
    </cfRule>
    <cfRule type="expression" dxfId="5763" priority="14066">
      <formula>$H743="ETAPA"</formula>
    </cfRule>
    <cfRule type="containsText" dxfId="5762" priority="14067" operator="containsText" text="Lançado">
      <formula>NOT(ISERROR(SEARCH("Lançado",P743)))</formula>
    </cfRule>
    <cfRule type="expression" dxfId="5761" priority="14078">
      <formula>$H743="CÉLULA CONSTRUTIVA"</formula>
    </cfRule>
    <cfRule type="containsText" dxfId="5760" priority="14073" operator="containsText" text="N/A">
      <formula>NOT(ISERROR(SEARCH("N/A",P743)))</formula>
    </cfRule>
    <cfRule type="expression" dxfId="5759" priority="14064">
      <formula>$H743="SUBETAPA"</formula>
    </cfRule>
    <cfRule type="expression" dxfId="5758" priority="14065">
      <formula>$H743="CÉLULA CONSTRUTIVA"</formula>
    </cfRule>
    <cfRule type="containsText" dxfId="5757" priority="14074" operator="containsText" text="Pendente">
      <formula>NOT(ISERROR(SEARCH("Pendente",P743)))</formula>
    </cfRule>
    <cfRule type="containsText" dxfId="5756" priority="14068" operator="containsText" text="N/A">
      <formula>NOT(ISERROR(SEARCH("N/A",P743)))</formula>
    </cfRule>
    <cfRule type="containsText" dxfId="5755" priority="14084" operator="containsText" text="em andamento">
      <formula>NOT(ISERROR(SEARCH("em andamento",P743)))</formula>
    </cfRule>
    <cfRule type="containsText" dxfId="5754" priority="14083" operator="containsText" text="Finalizado">
      <formula>NOT(ISERROR(SEARCH("Finalizado",P743)))</formula>
    </cfRule>
    <cfRule type="expression" dxfId="5753" priority="14077">
      <formula>$H743="SUBETAPA"</formula>
    </cfRule>
    <cfRule type="containsText" dxfId="5752" priority="14069" operator="containsText" text="Pendente">
      <formula>NOT(ISERROR(SEARCH("Pendente",P743)))</formula>
    </cfRule>
    <cfRule type="containsText" dxfId="5751" priority="14075" operator="containsText" text="Finalizado">
      <formula>NOT(ISERROR(SEARCH("Finalizado",P743)))</formula>
    </cfRule>
    <cfRule type="containsText" dxfId="5750" priority="14071" operator="containsText" text="em andamento">
      <formula>NOT(ISERROR(SEARCH("em andamento",P743)))</formula>
    </cfRule>
    <cfRule type="containsText" dxfId="5749" priority="14082" operator="containsText" text="Pendente">
      <formula>NOT(ISERROR(SEARCH("Pendente",P743)))</formula>
    </cfRule>
  </conditionalFormatting>
  <conditionalFormatting sqref="P744">
    <cfRule type="containsText" dxfId="5748" priority="14107" operator="containsText" text="Finalizado">
      <formula>NOT(ISERROR(SEARCH("Finalizado",P744)))</formula>
    </cfRule>
    <cfRule type="containsText" dxfId="5747" priority="14106" operator="containsText" text="Pendente">
      <formula>NOT(ISERROR(SEARCH("Pendente",P744)))</formula>
    </cfRule>
    <cfRule type="containsText" dxfId="5746" priority="14108" operator="containsText" text="em andamento">
      <formula>NOT(ISERROR(SEARCH("em andamento",P744)))</formula>
    </cfRule>
    <cfRule type="containsText" dxfId="5745" priority="14104" operator="containsText" text="Lançado">
      <formula>NOT(ISERROR(SEARCH("Lançado",P744)))</formula>
    </cfRule>
  </conditionalFormatting>
  <conditionalFormatting sqref="P745">
    <cfRule type="expression" dxfId="5744" priority="14044">
      <formula>$H745="CÉLULA CONSTRUTIVA"</formula>
    </cfRule>
    <cfRule type="expression" dxfId="5743" priority="14045">
      <formula>$H745="ETAPA"</formula>
    </cfRule>
    <cfRule type="containsText" dxfId="5742" priority="14061" operator="containsText" text="Pendente">
      <formula>NOT(ISERROR(SEARCH("Pendente",P745)))</formula>
    </cfRule>
    <cfRule type="containsText" dxfId="5741" priority="14062" operator="containsText" text="Finalizado">
      <formula>NOT(ISERROR(SEARCH("Finalizado",P745)))</formula>
    </cfRule>
    <cfRule type="containsText" dxfId="5740" priority="14063" operator="containsText" text="em andamento">
      <formula>NOT(ISERROR(SEARCH("em andamento",P745)))</formula>
    </cfRule>
    <cfRule type="containsText" dxfId="5739" priority="14047" operator="containsText" text="N/A">
      <formula>NOT(ISERROR(SEARCH("N/A",P745)))</formula>
    </cfRule>
    <cfRule type="containsText" dxfId="5738" priority="14048" operator="containsText" text="Pendente">
      <formula>NOT(ISERROR(SEARCH("Pendente",P745)))</formula>
    </cfRule>
    <cfRule type="containsText" dxfId="5737" priority="14046" operator="containsText" text="Lançado">
      <formula>NOT(ISERROR(SEARCH("Lançado",P745)))</formula>
    </cfRule>
    <cfRule type="containsText" dxfId="5736" priority="14060" operator="containsText" text="N/A">
      <formula>NOT(ISERROR(SEARCH("N/A",P745)))</formula>
    </cfRule>
    <cfRule type="containsText" dxfId="5735" priority="14059" operator="containsText" text="Lançado">
      <formula>NOT(ISERROR(SEARCH("Lançado",P745)))</formula>
    </cfRule>
    <cfRule type="expression" dxfId="5734" priority="14058">
      <formula>$H745="ETAPA"</formula>
    </cfRule>
    <cfRule type="expression" dxfId="5733" priority="14057">
      <formula>$H745="CÉLULA CONSTRUTIVA"</formula>
    </cfRule>
    <cfRule type="expression" dxfId="5732" priority="14056">
      <formula>$H745="SUBETAPA"</formula>
    </cfRule>
    <cfRule type="containsText" dxfId="5731" priority="14055" operator="containsText" text="em andamento">
      <formula>NOT(ISERROR(SEARCH("em andamento",P745)))</formula>
    </cfRule>
    <cfRule type="containsText" dxfId="5730" priority="14054" operator="containsText" text="Finalizado">
      <formula>NOT(ISERROR(SEARCH("Finalizado",P745)))</formula>
    </cfRule>
    <cfRule type="containsText" dxfId="5729" priority="14053" operator="containsText" text="Pendente">
      <formula>NOT(ISERROR(SEARCH("Pendente",P745)))</formula>
    </cfRule>
    <cfRule type="containsText" dxfId="5728" priority="14052" operator="containsText" text="N/A">
      <formula>NOT(ISERROR(SEARCH("N/A",P745)))</formula>
    </cfRule>
    <cfRule type="containsText" dxfId="5727" priority="14051" operator="containsText" text="Lançado">
      <formula>NOT(ISERROR(SEARCH("Lançado",P745)))</formula>
    </cfRule>
    <cfRule type="containsText" dxfId="5726" priority="14050" operator="containsText" text="em andamento">
      <formula>NOT(ISERROR(SEARCH("em andamento",P745)))</formula>
    </cfRule>
    <cfRule type="containsText" dxfId="5725" priority="14049" operator="containsText" text="Finalizado">
      <formula>NOT(ISERROR(SEARCH("Finalizado",P745)))</formula>
    </cfRule>
    <cfRule type="expression" dxfId="5724" priority="14043">
      <formula>$H745="SUBETAPA"</formula>
    </cfRule>
  </conditionalFormatting>
  <conditionalFormatting sqref="P747">
    <cfRule type="expression" dxfId="5723" priority="25430">
      <formula>$H747="SUBETAPA"</formula>
    </cfRule>
    <cfRule type="containsText" dxfId="5722" priority="25437" operator="containsText" text="em andamento">
      <formula>NOT(ISERROR(SEARCH("em andamento",P747)))</formula>
    </cfRule>
    <cfRule type="containsText" dxfId="5721" priority="25434" operator="containsText" text="N/A">
      <formula>NOT(ISERROR(SEARCH("N/A",P747)))</formula>
    </cfRule>
    <cfRule type="expression" dxfId="5720" priority="25431">
      <formula>$H747="CÉLULA CONSTRUTIVA"</formula>
    </cfRule>
    <cfRule type="expression" dxfId="5719" priority="25432">
      <formula>$H747="ETAPA"</formula>
    </cfRule>
    <cfRule type="containsText" dxfId="5718" priority="25433" operator="containsText" text="Lançado">
      <formula>NOT(ISERROR(SEARCH("Lançado",P747)))</formula>
    </cfRule>
    <cfRule type="containsText" dxfId="5717" priority="25435" operator="containsText" text="Pendente">
      <formula>NOT(ISERROR(SEARCH("Pendente",P747)))</formula>
    </cfRule>
    <cfRule type="containsText" dxfId="5716" priority="25436" operator="containsText" text="Finalizado">
      <formula>NOT(ISERROR(SEARCH("Finalizado",P747)))</formula>
    </cfRule>
  </conditionalFormatting>
  <conditionalFormatting sqref="P748:P749">
    <cfRule type="containsText" dxfId="5715" priority="13536" operator="containsText" text="N/A">
      <formula>NOT(ISERROR(SEARCH("N/A",P748)))</formula>
    </cfRule>
    <cfRule type="containsText" dxfId="5714" priority="13538" operator="containsText" text="Finalizado">
      <formula>NOT(ISERROR(SEARCH("Finalizado",P748)))</formula>
    </cfRule>
    <cfRule type="containsText" dxfId="5713" priority="13539" operator="containsText" text="em andamento">
      <formula>NOT(ISERROR(SEARCH("em andamento",P748)))</formula>
    </cfRule>
    <cfRule type="containsText" dxfId="5712" priority="13537" operator="containsText" text="Pendente">
      <formula>NOT(ISERROR(SEARCH("Pendente",P748)))</formula>
    </cfRule>
    <cfRule type="containsText" dxfId="5711" priority="13535" operator="containsText" text="Lançado">
      <formula>NOT(ISERROR(SEARCH("Lançado",P748)))</formula>
    </cfRule>
  </conditionalFormatting>
  <conditionalFormatting sqref="P749">
    <cfRule type="expression" dxfId="5710" priority="13531">
      <formula>$H749="ETAPA"</formula>
    </cfRule>
    <cfRule type="expression" dxfId="5709" priority="13529">
      <formula>$H749="SUBETAPA"</formula>
    </cfRule>
    <cfRule type="expression" dxfId="5708" priority="13530">
      <formula>$H749="CÉLULA CONSTRUTIVA"</formula>
    </cfRule>
  </conditionalFormatting>
  <conditionalFormatting sqref="P749:P754">
    <cfRule type="expression" dxfId="5707" priority="13479">
      <formula>$H749="ETAPA"</formula>
    </cfRule>
    <cfRule type="expression" dxfId="5706" priority="13478">
      <formula>$H749="CÉLULA CONSTRUTIVA"</formula>
    </cfRule>
    <cfRule type="expression" dxfId="5705" priority="13477">
      <formula>$H749="SUBETAPA"</formula>
    </cfRule>
  </conditionalFormatting>
  <conditionalFormatting sqref="P750:P751">
    <cfRule type="containsText" dxfId="5704" priority="13481" operator="containsText" text="N/A">
      <formula>NOT(ISERROR(SEARCH("N/A",P750)))</formula>
    </cfRule>
    <cfRule type="containsText" dxfId="5703" priority="13482" operator="containsText" text="Pendente">
      <formula>NOT(ISERROR(SEARCH("Pendente",P750)))</formula>
    </cfRule>
    <cfRule type="containsText" dxfId="5702" priority="13483" operator="containsText" text="Finalizado">
      <formula>NOT(ISERROR(SEARCH("Finalizado",P750)))</formula>
    </cfRule>
    <cfRule type="containsText" dxfId="5701" priority="13484" operator="containsText" text="em andamento">
      <formula>NOT(ISERROR(SEARCH("em andamento",P750)))</formula>
    </cfRule>
    <cfRule type="containsText" dxfId="5700" priority="13480" operator="containsText" text="Lançado">
      <formula>NOT(ISERROR(SEARCH("Lançado",P750)))</formula>
    </cfRule>
    <cfRule type="containsText" dxfId="5699" priority="13476" operator="containsText" text="em andamento">
      <formula>NOT(ISERROR(SEARCH("em andamento",P750)))</formula>
    </cfRule>
    <cfRule type="containsText" dxfId="5698" priority="13475" operator="containsText" text="Finalizado">
      <formula>NOT(ISERROR(SEARCH("Finalizado",P750)))</formula>
    </cfRule>
    <cfRule type="containsText" dxfId="5697" priority="13474" operator="containsText" text="Pendente">
      <formula>NOT(ISERROR(SEARCH("Pendente",P750)))</formula>
    </cfRule>
    <cfRule type="containsText" dxfId="5696" priority="13473" operator="containsText" text="N/A">
      <formula>NOT(ISERROR(SEARCH("N/A",P750)))</formula>
    </cfRule>
    <cfRule type="containsText" dxfId="5695" priority="13472" operator="containsText" text="Lançado">
      <formula>NOT(ISERROR(SEARCH("Lançado",P750)))</formula>
    </cfRule>
    <cfRule type="containsText" dxfId="5694" priority="13471" operator="containsText" text="em andamento">
      <formula>NOT(ISERROR(SEARCH("em andamento",P750)))</formula>
    </cfRule>
    <cfRule type="containsText" dxfId="5693" priority="13470" operator="containsText" text="Finalizado">
      <formula>NOT(ISERROR(SEARCH("Finalizado",P750)))</formula>
    </cfRule>
    <cfRule type="containsText" dxfId="5692" priority="13469" operator="containsText" text="Pendente">
      <formula>NOT(ISERROR(SEARCH("Pendente",P750)))</formula>
    </cfRule>
    <cfRule type="containsText" dxfId="5691" priority="13468" operator="containsText" text="N/A">
      <formula>NOT(ISERROR(SEARCH("N/A",P750)))</formula>
    </cfRule>
    <cfRule type="containsText" dxfId="5690" priority="13467" operator="containsText" text="Lançado">
      <formula>NOT(ISERROR(SEARCH("Lançado",P750)))</formula>
    </cfRule>
    <cfRule type="expression" dxfId="5689" priority="13466">
      <formula>$H750="ETAPA"</formula>
    </cfRule>
    <cfRule type="expression" dxfId="5688" priority="13465">
      <formula>$H750="CÉLULA CONSTRUTIVA"</formula>
    </cfRule>
    <cfRule type="expression" dxfId="5687" priority="13464">
      <formula>$H750="SUBETAPA"</formula>
    </cfRule>
  </conditionalFormatting>
  <conditionalFormatting sqref="P752">
    <cfRule type="containsText" dxfId="5686" priority="13489" operator="containsText" text="N/A">
      <formula>NOT(ISERROR(SEARCH("N/A",P752)))</formula>
    </cfRule>
    <cfRule type="containsText" dxfId="5685" priority="13492" operator="containsText" text="em andamento">
      <formula>NOT(ISERROR(SEARCH("em andamento",P752)))</formula>
    </cfRule>
    <cfRule type="containsText" dxfId="5684" priority="13491" operator="containsText" text="Finalizado">
      <formula>NOT(ISERROR(SEARCH("Finalizado",P752)))</formula>
    </cfRule>
    <cfRule type="containsText" dxfId="5683" priority="13488" operator="containsText" text="Lançado">
      <formula>NOT(ISERROR(SEARCH("Lançado",P752)))</formula>
    </cfRule>
    <cfRule type="containsText" dxfId="5682" priority="13490" operator="containsText" text="Pendente">
      <formula>NOT(ISERROR(SEARCH("Pendente",P752)))</formula>
    </cfRule>
  </conditionalFormatting>
  <conditionalFormatting sqref="P753:P754">
    <cfRule type="containsText" dxfId="5681" priority="3299" operator="containsText" text="Finalizado">
      <formula>NOT(ISERROR(SEARCH("Finalizado",P753)))</formula>
    </cfRule>
    <cfRule type="containsText" dxfId="5680" priority="3298" operator="containsText" text="Pendente">
      <formula>NOT(ISERROR(SEARCH("Pendente",P753)))</formula>
    </cfRule>
    <cfRule type="containsText" dxfId="5679" priority="3297" operator="containsText" text="N/A">
      <formula>NOT(ISERROR(SEARCH("N/A",P753)))</formula>
    </cfRule>
    <cfRule type="expression" dxfId="5678" priority="3283">
      <formula>$H753="SUBETAPA"</formula>
    </cfRule>
    <cfRule type="expression" dxfId="5677" priority="3284">
      <formula>$H753="CÉLULA CONSTRUTIVA"</formula>
    </cfRule>
    <cfRule type="expression" dxfId="5676" priority="3285">
      <formula>$H753="ETAPA"</formula>
    </cfRule>
    <cfRule type="containsText" dxfId="5675" priority="3286" operator="containsText" text="Lançado">
      <formula>NOT(ISERROR(SEARCH("Lançado",P753)))</formula>
    </cfRule>
    <cfRule type="containsText" dxfId="5674" priority="3287" operator="containsText" text="N/A">
      <formula>NOT(ISERROR(SEARCH("N/A",P753)))</formula>
    </cfRule>
    <cfRule type="containsText" dxfId="5673" priority="3288" operator="containsText" text="Pendente">
      <formula>NOT(ISERROR(SEARCH("Pendente",P753)))</formula>
    </cfRule>
    <cfRule type="containsText" dxfId="5672" priority="3289" operator="containsText" text="Finalizado">
      <formula>NOT(ISERROR(SEARCH("Finalizado",P753)))</formula>
    </cfRule>
    <cfRule type="containsText" dxfId="5671" priority="3290" operator="containsText" text="em andamento">
      <formula>NOT(ISERROR(SEARCH("em andamento",P753)))</formula>
    </cfRule>
    <cfRule type="containsText" dxfId="5670" priority="3291" operator="containsText" text="Lançado">
      <formula>NOT(ISERROR(SEARCH("Lançado",P753)))</formula>
    </cfRule>
    <cfRule type="containsText" dxfId="5669" priority="3292" operator="containsText" text="N/A">
      <formula>NOT(ISERROR(SEARCH("N/A",P753)))</formula>
    </cfRule>
    <cfRule type="containsText" dxfId="5668" priority="3293" operator="containsText" text="Pendente">
      <formula>NOT(ISERROR(SEARCH("Pendente",P753)))</formula>
    </cfRule>
    <cfRule type="containsText" dxfId="5667" priority="3294" operator="containsText" text="Finalizado">
      <formula>NOT(ISERROR(SEARCH("Finalizado",P753)))</formula>
    </cfRule>
    <cfRule type="containsText" dxfId="5666" priority="3296" operator="containsText" text="Lançado">
      <formula>NOT(ISERROR(SEARCH("Lançado",P753)))</formula>
    </cfRule>
    <cfRule type="containsText" dxfId="5665" priority="3295" operator="containsText" text="em andamento">
      <formula>NOT(ISERROR(SEARCH("em andamento",P753)))</formula>
    </cfRule>
    <cfRule type="containsText" dxfId="5664" priority="3300" operator="containsText" text="em andamento">
      <formula>NOT(ISERROR(SEARCH("em andamento",P753)))</formula>
    </cfRule>
  </conditionalFormatting>
  <conditionalFormatting sqref="P755">
    <cfRule type="expression" dxfId="5663" priority="13494">
      <formula>$H755="ETAPA"</formula>
    </cfRule>
    <cfRule type="expression" dxfId="5662" priority="13499">
      <formula>$H755="CÉLULA CONSTRUTIVA"</formula>
    </cfRule>
    <cfRule type="expression" dxfId="5661" priority="13493">
      <formula>$H755="CÉLULA CONSTRUTIVA"</formula>
    </cfRule>
    <cfRule type="expression" dxfId="5660" priority="13497">
      <formula>$H755="ETAPA"</formula>
    </cfRule>
    <cfRule type="expression" dxfId="5659" priority="13498">
      <formula>$H755="SUBETAPA"</formula>
    </cfRule>
    <cfRule type="expression" dxfId="5658" priority="13500">
      <formula>$H755="ETAPA"</formula>
    </cfRule>
    <cfRule type="containsText" dxfId="5657" priority="13502" operator="containsText" text="N/A">
      <formula>NOT(ISERROR(SEARCH("N/A",P755)))</formula>
    </cfRule>
    <cfRule type="containsText" dxfId="5656" priority="13504" operator="containsText" text="Finalizado">
      <formula>NOT(ISERROR(SEARCH("Finalizado",P755)))</formula>
    </cfRule>
    <cfRule type="containsText" dxfId="5655" priority="13503" operator="containsText" text="Pendente">
      <formula>NOT(ISERROR(SEARCH("Pendente",P755)))</formula>
    </cfRule>
    <cfRule type="containsText" dxfId="5654" priority="13505" operator="containsText" text="em andamento">
      <formula>NOT(ISERROR(SEARCH("em andamento",P755)))</formula>
    </cfRule>
    <cfRule type="containsText" dxfId="5653" priority="13501" operator="containsText" text="Lançado">
      <formula>NOT(ISERROR(SEARCH("Lançado",P755)))</formula>
    </cfRule>
    <cfRule type="expression" dxfId="5652" priority="13463">
      <formula>$H755="SUBETAPA"</formula>
    </cfRule>
    <cfRule type="expression" dxfId="5651" priority="13496">
      <formula>$H755="CÉLULA CONSTRUTIVA"</formula>
    </cfRule>
    <cfRule type="expression" dxfId="5650" priority="13495">
      <formula>$H755="SUBETAPA"</formula>
    </cfRule>
  </conditionalFormatting>
  <conditionalFormatting sqref="P756">
    <cfRule type="containsText" dxfId="5649" priority="3267" operator="containsText" text="Pendente">
      <formula>NOT(ISERROR(SEARCH("Pendente",P756)))</formula>
    </cfRule>
    <cfRule type="containsText" dxfId="5648" priority="3274" operator="containsText" text="em andamento">
      <formula>NOT(ISERROR(SEARCH("em andamento",P756)))</formula>
    </cfRule>
    <cfRule type="containsText" dxfId="5647" priority="3272" operator="containsText" text="Pendente">
      <formula>NOT(ISERROR(SEARCH("Pendente",P756)))</formula>
    </cfRule>
    <cfRule type="expression" dxfId="5646" priority="3262">
      <formula>$H756="SUBETAPA"</formula>
    </cfRule>
    <cfRule type="containsText" dxfId="5645" priority="3273" operator="containsText" text="Finalizado">
      <formula>NOT(ISERROR(SEARCH("Finalizado",P756)))</formula>
    </cfRule>
    <cfRule type="expression" dxfId="5644" priority="3275">
      <formula>$H756="SUBETAPA"</formula>
    </cfRule>
    <cfRule type="containsText" dxfId="5643" priority="3280" operator="containsText" text="Pendente">
      <formula>NOT(ISERROR(SEARCH("Pendente",P756)))</formula>
    </cfRule>
    <cfRule type="containsText" dxfId="5642" priority="3281" operator="containsText" text="Finalizado">
      <formula>NOT(ISERROR(SEARCH("Finalizado",P756)))</formula>
    </cfRule>
    <cfRule type="containsText" dxfId="5641" priority="3282" operator="containsText" text="em andamento">
      <formula>NOT(ISERROR(SEARCH("em andamento",P756)))</formula>
    </cfRule>
    <cfRule type="containsText" dxfId="5640" priority="3271" operator="containsText" text="N/A">
      <formula>NOT(ISERROR(SEARCH("N/A",P756)))</formula>
    </cfRule>
    <cfRule type="containsText" dxfId="5639" priority="3268" operator="containsText" text="Finalizado">
      <formula>NOT(ISERROR(SEARCH("Finalizado",P756)))</formula>
    </cfRule>
    <cfRule type="containsText" dxfId="5638" priority="3279" operator="containsText" text="N/A">
      <formula>NOT(ISERROR(SEARCH("N/A",P756)))</formula>
    </cfRule>
    <cfRule type="expression" dxfId="5637" priority="3263">
      <formula>$H756="CÉLULA CONSTRUTIVA"</formula>
    </cfRule>
    <cfRule type="expression" dxfId="5636" priority="3264">
      <formula>$H756="ETAPA"</formula>
    </cfRule>
    <cfRule type="containsText" dxfId="5635" priority="3270" operator="containsText" text="Lançado">
      <formula>NOT(ISERROR(SEARCH("Lançado",P756)))</formula>
    </cfRule>
    <cfRule type="containsText" dxfId="5634" priority="3265" operator="containsText" text="Lançado">
      <formula>NOT(ISERROR(SEARCH("Lançado",P756)))</formula>
    </cfRule>
    <cfRule type="containsText" dxfId="5633" priority="3266" operator="containsText" text="N/A">
      <formula>NOT(ISERROR(SEARCH("N/A",P756)))</formula>
    </cfRule>
    <cfRule type="expression" dxfId="5632" priority="3276">
      <formula>$H756="CÉLULA CONSTRUTIVA"</formula>
    </cfRule>
    <cfRule type="expression" dxfId="5631" priority="3277">
      <formula>$H756="ETAPA"</formula>
    </cfRule>
    <cfRule type="containsText" dxfId="5630" priority="3278" operator="containsText" text="Lançado">
      <formula>NOT(ISERROR(SEARCH("Lançado",P756)))</formula>
    </cfRule>
    <cfRule type="containsText" dxfId="5629" priority="3269" operator="containsText" text="em andamento">
      <formula>NOT(ISERROR(SEARCH("em andamento",P756)))</formula>
    </cfRule>
  </conditionalFormatting>
  <conditionalFormatting sqref="P757">
    <cfRule type="containsText" dxfId="5628" priority="12764" operator="containsText" text="Lançado">
      <formula>NOT(ISERROR(SEARCH("Lançado",P757)))</formula>
    </cfRule>
    <cfRule type="containsText" dxfId="5627" priority="12765" operator="containsText" text="N/A">
      <formula>NOT(ISERROR(SEARCH("N/A",P757)))</formula>
    </cfRule>
    <cfRule type="containsText" dxfId="5626" priority="12768" operator="containsText" text="em andamento">
      <formula>NOT(ISERROR(SEARCH("em andamento",P757)))</formula>
    </cfRule>
    <cfRule type="containsText" dxfId="5625" priority="12767" operator="containsText" text="Finalizado">
      <formula>NOT(ISERROR(SEARCH("Finalizado",P757)))</formula>
    </cfRule>
    <cfRule type="containsText" dxfId="5624" priority="12766" operator="containsText" text="Pendente">
      <formula>NOT(ISERROR(SEARCH("Pendente",P757)))</formula>
    </cfRule>
  </conditionalFormatting>
  <conditionalFormatting sqref="P758">
    <cfRule type="containsText" dxfId="5623" priority="3249" operator="containsText" text="Lançado">
      <formula>NOT(ISERROR(SEARCH("Lançado",P758)))</formula>
    </cfRule>
    <cfRule type="containsText" dxfId="5622" priority="3248" operator="containsText" text="em andamento">
      <formula>NOT(ISERROR(SEARCH("em andamento",P758)))</formula>
    </cfRule>
    <cfRule type="containsText" dxfId="5621" priority="3258" operator="containsText" text="N/A">
      <formula>NOT(ISERROR(SEARCH("N/A",P758)))</formula>
    </cfRule>
    <cfRule type="expression" dxfId="5620" priority="3241">
      <formula>$H758="SUBETAPA"</formula>
    </cfRule>
    <cfRule type="containsText" dxfId="5619" priority="3261" operator="containsText" text="em andamento">
      <formula>NOT(ISERROR(SEARCH("em andamento",P758)))</formula>
    </cfRule>
    <cfRule type="containsText" dxfId="5618" priority="3260" operator="containsText" text="Finalizado">
      <formula>NOT(ISERROR(SEARCH("Finalizado",P758)))</formula>
    </cfRule>
    <cfRule type="containsText" dxfId="5617" priority="3259" operator="containsText" text="Pendente">
      <formula>NOT(ISERROR(SEARCH("Pendente",P758)))</formula>
    </cfRule>
    <cfRule type="containsText" dxfId="5616" priority="3252" operator="containsText" text="Finalizado">
      <formula>NOT(ISERROR(SEARCH("Finalizado",P758)))</formula>
    </cfRule>
    <cfRule type="containsText" dxfId="5615" priority="3251" operator="containsText" text="Pendente">
      <formula>NOT(ISERROR(SEARCH("Pendente",P758)))</formula>
    </cfRule>
    <cfRule type="expression" dxfId="5614" priority="3242">
      <formula>$H758="CÉLULA CONSTRUTIVA"</formula>
    </cfRule>
    <cfRule type="containsText" dxfId="5613" priority="3250" operator="containsText" text="N/A">
      <formula>NOT(ISERROR(SEARCH("N/A",P758)))</formula>
    </cfRule>
    <cfRule type="expression" dxfId="5612" priority="3243">
      <formula>$H758="ETAPA"</formula>
    </cfRule>
    <cfRule type="containsText" dxfId="5611" priority="3244" operator="containsText" text="Lançado">
      <formula>NOT(ISERROR(SEARCH("Lançado",P758)))</formula>
    </cfRule>
    <cfRule type="containsText" dxfId="5610" priority="3246" operator="containsText" text="Pendente">
      <formula>NOT(ISERROR(SEARCH("Pendente",P758)))</formula>
    </cfRule>
    <cfRule type="expression" dxfId="5609" priority="3255">
      <formula>$H758="CÉLULA CONSTRUTIVA"</formula>
    </cfRule>
    <cfRule type="expression" dxfId="5608" priority="3256">
      <formula>$H758="ETAPA"</formula>
    </cfRule>
    <cfRule type="containsText" dxfId="5607" priority="3257" operator="containsText" text="Lançado">
      <formula>NOT(ISERROR(SEARCH("Lançado",P758)))</formula>
    </cfRule>
    <cfRule type="containsText" dxfId="5606" priority="3253" operator="containsText" text="em andamento">
      <formula>NOT(ISERROR(SEARCH("em andamento",P758)))</formula>
    </cfRule>
    <cfRule type="containsText" dxfId="5605" priority="3245" operator="containsText" text="N/A">
      <formula>NOT(ISERROR(SEARCH("N/A",P758)))</formula>
    </cfRule>
    <cfRule type="containsText" dxfId="5604" priority="3247" operator="containsText" text="Finalizado">
      <formula>NOT(ISERROR(SEARCH("Finalizado",P758)))</formula>
    </cfRule>
    <cfRule type="expression" dxfId="5603" priority="3254">
      <formula>$H758="SUBETAPA"</formula>
    </cfRule>
  </conditionalFormatting>
  <conditionalFormatting sqref="P759">
    <cfRule type="containsText" dxfId="5602" priority="13514" operator="containsText" text="Lançado">
      <formula>NOT(ISERROR(SEARCH("Lançado",P759)))</formula>
    </cfRule>
    <cfRule type="containsText" dxfId="5601" priority="13518" operator="containsText" text="em andamento">
      <formula>NOT(ISERROR(SEARCH("em andamento",P759)))</formula>
    </cfRule>
    <cfRule type="containsText" dxfId="5600" priority="13517" operator="containsText" text="Finalizado">
      <formula>NOT(ISERROR(SEARCH("Finalizado",P759)))</formula>
    </cfRule>
    <cfRule type="containsText" dxfId="5599" priority="13516" operator="containsText" text="Pendente">
      <formula>NOT(ISERROR(SEARCH("Pendente",P759)))</formula>
    </cfRule>
    <cfRule type="containsText" dxfId="5598" priority="13515" operator="containsText" text="N/A">
      <formula>NOT(ISERROR(SEARCH("N/A",P759)))</formula>
    </cfRule>
    <cfRule type="expression" dxfId="5597" priority="13510">
      <formula>$H759="ETAPA"</formula>
    </cfRule>
    <cfRule type="expression" dxfId="5596" priority="13462">
      <formula>$H759="SUBETAPA"</formula>
    </cfRule>
    <cfRule type="expression" dxfId="5595" priority="13509">
      <formula>$H759="CÉLULA CONSTRUTIVA"</formula>
    </cfRule>
    <cfRule type="expression" dxfId="5594" priority="13508">
      <formula>$H759="SUBETAPA"</formula>
    </cfRule>
    <cfRule type="expression" dxfId="5593" priority="13507">
      <formula>$H759="ETAPA"</formula>
    </cfRule>
    <cfRule type="expression" dxfId="5592" priority="13506">
      <formula>$H759="CÉLULA CONSTRUTIVA"</formula>
    </cfRule>
  </conditionalFormatting>
  <conditionalFormatting sqref="P760:P763">
    <cfRule type="expression" dxfId="5591" priority="3235">
      <formula>$H760="ETAPA"</formula>
    </cfRule>
    <cfRule type="expression" dxfId="5590" priority="3220">
      <formula>$H760="SUBETAPA"</formula>
    </cfRule>
    <cfRule type="containsText" dxfId="5589" priority="3224" operator="containsText" text="N/A">
      <formula>NOT(ISERROR(SEARCH("N/A",P760)))</formula>
    </cfRule>
    <cfRule type="containsText" dxfId="5588" priority="3236" operator="containsText" text="Lançado">
      <formula>NOT(ISERROR(SEARCH("Lançado",P760)))</formula>
    </cfRule>
    <cfRule type="containsText" dxfId="5587" priority="3237" operator="containsText" text="N/A">
      <formula>NOT(ISERROR(SEARCH("N/A",P760)))</formula>
    </cfRule>
    <cfRule type="containsText" dxfId="5586" priority="3240" operator="containsText" text="em andamento">
      <formula>NOT(ISERROR(SEARCH("em andamento",P760)))</formula>
    </cfRule>
    <cfRule type="expression" dxfId="5585" priority="3222">
      <formula>$H760="ETAPA"</formula>
    </cfRule>
    <cfRule type="containsText" dxfId="5584" priority="3239" operator="containsText" text="Finalizado">
      <formula>NOT(ISERROR(SEARCH("Finalizado",P760)))</formula>
    </cfRule>
    <cfRule type="containsText" dxfId="5583" priority="3230" operator="containsText" text="Pendente">
      <formula>NOT(ISERROR(SEARCH("Pendente",P760)))</formula>
    </cfRule>
    <cfRule type="containsText" dxfId="5582" priority="3229" operator="containsText" text="N/A">
      <formula>NOT(ISERROR(SEARCH("N/A",P760)))</formula>
    </cfRule>
    <cfRule type="containsText" dxfId="5581" priority="3227" operator="containsText" text="em andamento">
      <formula>NOT(ISERROR(SEARCH("em andamento",P760)))</formula>
    </cfRule>
    <cfRule type="containsText" dxfId="5580" priority="3231" operator="containsText" text="Finalizado">
      <formula>NOT(ISERROR(SEARCH("Finalizado",P760)))</formula>
    </cfRule>
    <cfRule type="containsText" dxfId="5579" priority="3232" operator="containsText" text="em andamento">
      <formula>NOT(ISERROR(SEARCH("em andamento",P760)))</formula>
    </cfRule>
    <cfRule type="expression" dxfId="5578" priority="3233">
      <formula>$H760="SUBETAPA"</formula>
    </cfRule>
    <cfRule type="expression" dxfId="5577" priority="3234">
      <formula>$H760="CÉLULA CONSTRUTIVA"</formula>
    </cfRule>
    <cfRule type="expression" dxfId="5576" priority="3221">
      <formula>$H760="CÉLULA CONSTRUTIVA"</formula>
    </cfRule>
    <cfRule type="containsText" dxfId="5575" priority="3226" operator="containsText" text="Finalizado">
      <formula>NOT(ISERROR(SEARCH("Finalizado",P760)))</formula>
    </cfRule>
    <cfRule type="containsText" dxfId="5574" priority="3225" operator="containsText" text="Pendente">
      <formula>NOT(ISERROR(SEARCH("Pendente",P760)))</formula>
    </cfRule>
    <cfRule type="containsText" dxfId="5573" priority="3228" operator="containsText" text="Lançado">
      <formula>NOT(ISERROR(SEARCH("Lançado",P760)))</formula>
    </cfRule>
    <cfRule type="containsText" dxfId="5572" priority="3223" operator="containsText" text="Lançado">
      <formula>NOT(ISERROR(SEARCH("Lançado",P760)))</formula>
    </cfRule>
    <cfRule type="containsText" dxfId="5571" priority="3238" operator="containsText" text="Pendente">
      <formula>NOT(ISERROR(SEARCH("Pendente",P760)))</formula>
    </cfRule>
  </conditionalFormatting>
  <conditionalFormatting sqref="P764:P765">
    <cfRule type="containsText" dxfId="5570" priority="13386" operator="containsText" text="N/A">
      <formula>NOT(ISERROR(SEARCH("N/A",P764)))</formula>
    </cfRule>
    <cfRule type="containsText" dxfId="5569" priority="13389" operator="containsText" text="em andamento">
      <formula>NOT(ISERROR(SEARCH("em andamento",P764)))</formula>
    </cfRule>
    <cfRule type="containsText" dxfId="5568" priority="13388" operator="containsText" text="Finalizado">
      <formula>NOT(ISERROR(SEARCH("Finalizado",P764)))</formula>
    </cfRule>
    <cfRule type="containsText" dxfId="5567" priority="13387" operator="containsText" text="Pendente">
      <formula>NOT(ISERROR(SEARCH("Pendente",P764)))</formula>
    </cfRule>
    <cfRule type="containsText" dxfId="5566" priority="13385" operator="containsText" text="Lançado">
      <formula>NOT(ISERROR(SEARCH("Lançado",P764)))</formula>
    </cfRule>
  </conditionalFormatting>
  <conditionalFormatting sqref="P765 P768">
    <cfRule type="expression" dxfId="5565" priority="13340">
      <formula>$H765="SUBETAPA"</formula>
    </cfRule>
  </conditionalFormatting>
  <conditionalFormatting sqref="P765">
    <cfRule type="expression" dxfId="5564" priority="13379">
      <formula>$H765="SUBETAPA"</formula>
    </cfRule>
    <cfRule type="expression" dxfId="5563" priority="13377">
      <formula>$H765="CÉLULA CONSTRUTIVA"</formula>
    </cfRule>
    <cfRule type="expression" dxfId="5562" priority="13381">
      <formula>$H765="ETAPA"</formula>
    </cfRule>
    <cfRule type="expression" dxfId="5561" priority="13380">
      <formula>$H765="CÉLULA CONSTRUTIVA"</formula>
    </cfRule>
    <cfRule type="expression" dxfId="5560" priority="13378">
      <formula>$H765="ETAPA"</formula>
    </cfRule>
  </conditionalFormatting>
  <conditionalFormatting sqref="P766:P767">
    <cfRule type="containsText" dxfId="5559" priority="3219" operator="containsText" text="em andamento">
      <formula>NOT(ISERROR(SEARCH("em andamento",P766)))</formula>
    </cfRule>
    <cfRule type="containsText" dxfId="5558" priority="3211" operator="containsText" text="em andamento">
      <formula>NOT(ISERROR(SEARCH("em andamento",P766)))</formula>
    </cfRule>
    <cfRule type="containsText" dxfId="5557" priority="3218" operator="containsText" text="Finalizado">
      <formula>NOT(ISERROR(SEARCH("Finalizado",P766)))</formula>
    </cfRule>
    <cfRule type="expression" dxfId="5556" priority="3199">
      <formula>$H766="SUBETAPA"</formula>
    </cfRule>
    <cfRule type="containsText" dxfId="5555" priority="3216" operator="containsText" text="N/A">
      <formula>NOT(ISERROR(SEARCH("N/A",P766)))</formula>
    </cfRule>
    <cfRule type="containsText" dxfId="5554" priority="3206" operator="containsText" text="em andamento">
      <formula>NOT(ISERROR(SEARCH("em andamento",P766)))</formula>
    </cfRule>
    <cfRule type="containsText" dxfId="5553" priority="3207" operator="containsText" text="Lançado">
      <formula>NOT(ISERROR(SEARCH("Lançado",P766)))</formula>
    </cfRule>
    <cfRule type="containsText" dxfId="5552" priority="3205" operator="containsText" text="Finalizado">
      <formula>NOT(ISERROR(SEARCH("Finalizado",P766)))</formula>
    </cfRule>
    <cfRule type="containsText" dxfId="5551" priority="3204" operator="containsText" text="Pendente">
      <formula>NOT(ISERROR(SEARCH("Pendente",P766)))</formula>
    </cfRule>
    <cfRule type="containsText" dxfId="5550" priority="3203" operator="containsText" text="N/A">
      <formula>NOT(ISERROR(SEARCH("N/A",P766)))</formula>
    </cfRule>
    <cfRule type="containsText" dxfId="5549" priority="3202" operator="containsText" text="Lançado">
      <formula>NOT(ISERROR(SEARCH("Lançado",P766)))</formula>
    </cfRule>
    <cfRule type="expression" dxfId="5548" priority="3201">
      <formula>$H766="ETAPA"</formula>
    </cfRule>
    <cfRule type="expression" dxfId="5547" priority="3200">
      <formula>$H766="CÉLULA CONSTRUTIVA"</formula>
    </cfRule>
    <cfRule type="expression" dxfId="5546" priority="3212">
      <formula>$H766="SUBETAPA"</formula>
    </cfRule>
    <cfRule type="expression" dxfId="5545" priority="3214">
      <formula>$H766="ETAPA"</formula>
    </cfRule>
    <cfRule type="containsText" dxfId="5544" priority="3209" operator="containsText" text="Pendente">
      <formula>NOT(ISERROR(SEARCH("Pendente",P766)))</formula>
    </cfRule>
    <cfRule type="expression" dxfId="5543" priority="3213">
      <formula>$H766="CÉLULA CONSTRUTIVA"</formula>
    </cfRule>
    <cfRule type="containsText" dxfId="5542" priority="3210" operator="containsText" text="Finalizado">
      <formula>NOT(ISERROR(SEARCH("Finalizado",P766)))</formula>
    </cfRule>
    <cfRule type="containsText" dxfId="5541" priority="3217" operator="containsText" text="Pendente">
      <formula>NOT(ISERROR(SEARCH("Pendente",P766)))</formula>
    </cfRule>
    <cfRule type="containsText" dxfId="5540" priority="3208" operator="containsText" text="N/A">
      <formula>NOT(ISERROR(SEARCH("N/A",P766)))</formula>
    </cfRule>
    <cfRule type="containsText" dxfId="5539" priority="3215" operator="containsText" text="Lançado">
      <formula>NOT(ISERROR(SEARCH("Lançado",P766)))</formula>
    </cfRule>
  </conditionalFormatting>
  <conditionalFormatting sqref="P768">
    <cfRule type="containsText" dxfId="5538" priority="13357" operator="containsText" text="em andamento">
      <formula>NOT(ISERROR(SEARCH("em andamento",P768)))</formula>
    </cfRule>
    <cfRule type="containsText" dxfId="5537" priority="13356" operator="containsText" text="Finalizado">
      <formula>NOT(ISERROR(SEARCH("Finalizado",P768)))</formula>
    </cfRule>
    <cfRule type="containsText" dxfId="5536" priority="13355" operator="containsText" text="Pendente">
      <formula>NOT(ISERROR(SEARCH("Pendente",P768)))</formula>
    </cfRule>
    <cfRule type="containsText" dxfId="5535" priority="13354" operator="containsText" text="N/A">
      <formula>NOT(ISERROR(SEARCH("N/A",P768)))</formula>
    </cfRule>
    <cfRule type="containsText" dxfId="5534" priority="13353" operator="containsText" text="Lançado">
      <formula>NOT(ISERROR(SEARCH("Lançado",P768)))</formula>
    </cfRule>
    <cfRule type="expression" dxfId="5533" priority="13351">
      <formula>$H768="CÉLULA CONSTRUTIVA"</formula>
    </cfRule>
    <cfRule type="expression" dxfId="5532" priority="13352">
      <formula>$H768="ETAPA"</formula>
    </cfRule>
  </conditionalFormatting>
  <conditionalFormatting sqref="P769:P770">
    <cfRule type="containsText" dxfId="5531" priority="3182" operator="containsText" text="N/A">
      <formula>NOT(ISERROR(SEARCH("N/A",P769)))</formula>
    </cfRule>
    <cfRule type="containsText" dxfId="5530" priority="3181" operator="containsText" text="Lançado">
      <formula>NOT(ISERROR(SEARCH("Lançado",P769)))</formula>
    </cfRule>
    <cfRule type="expression" dxfId="5529" priority="3180">
      <formula>$H769="ETAPA"</formula>
    </cfRule>
    <cfRule type="expression" dxfId="5528" priority="3179">
      <formula>$H769="CÉLULA CONSTRUTIVA"</formula>
    </cfRule>
    <cfRule type="expression" dxfId="5527" priority="3178">
      <formula>$H769="SUBETAPA"</formula>
    </cfRule>
    <cfRule type="containsText" dxfId="5526" priority="3190" operator="containsText" text="em andamento">
      <formula>NOT(ISERROR(SEARCH("em andamento",P769)))</formula>
    </cfRule>
    <cfRule type="containsText" dxfId="5525" priority="3189" operator="containsText" text="Finalizado">
      <formula>NOT(ISERROR(SEARCH("Finalizado",P769)))</formula>
    </cfRule>
    <cfRule type="containsText" dxfId="5524" priority="3188" operator="containsText" text="Pendente">
      <formula>NOT(ISERROR(SEARCH("Pendente",P769)))</formula>
    </cfRule>
    <cfRule type="expression" dxfId="5523" priority="3191">
      <formula>$H769="SUBETAPA"</formula>
    </cfRule>
    <cfRule type="expression" dxfId="5522" priority="3192">
      <formula>$H769="CÉLULA CONSTRUTIVA"</formula>
    </cfRule>
    <cfRule type="expression" dxfId="5521" priority="3193">
      <formula>$H769="ETAPA"</formula>
    </cfRule>
    <cfRule type="containsText" dxfId="5520" priority="3194" operator="containsText" text="Lançado">
      <formula>NOT(ISERROR(SEARCH("Lançado",P769)))</formula>
    </cfRule>
    <cfRule type="containsText" dxfId="5519" priority="3195" operator="containsText" text="N/A">
      <formula>NOT(ISERROR(SEARCH("N/A",P769)))</formula>
    </cfRule>
    <cfRule type="containsText" dxfId="5518" priority="3196" operator="containsText" text="Pendente">
      <formula>NOT(ISERROR(SEARCH("Pendente",P769)))</formula>
    </cfRule>
    <cfRule type="containsText" dxfId="5517" priority="3187" operator="containsText" text="N/A">
      <formula>NOT(ISERROR(SEARCH("N/A",P769)))</formula>
    </cfRule>
    <cfRule type="containsText" dxfId="5516" priority="3197" operator="containsText" text="Finalizado">
      <formula>NOT(ISERROR(SEARCH("Finalizado",P769)))</formula>
    </cfRule>
    <cfRule type="containsText" dxfId="5515" priority="3198" operator="containsText" text="em andamento">
      <formula>NOT(ISERROR(SEARCH("em andamento",P769)))</formula>
    </cfRule>
    <cfRule type="containsText" dxfId="5514" priority="3186" operator="containsText" text="Lançado">
      <formula>NOT(ISERROR(SEARCH("Lançado",P769)))</formula>
    </cfRule>
    <cfRule type="containsText" dxfId="5513" priority="3185" operator="containsText" text="em andamento">
      <formula>NOT(ISERROR(SEARCH("em andamento",P769)))</formula>
    </cfRule>
    <cfRule type="containsText" dxfId="5512" priority="3184" operator="containsText" text="Finalizado">
      <formula>NOT(ISERROR(SEARCH("Finalizado",P769)))</formula>
    </cfRule>
    <cfRule type="containsText" dxfId="5511" priority="3183" operator="containsText" text="Pendente">
      <formula>NOT(ISERROR(SEARCH("Pendente",P769)))</formula>
    </cfRule>
  </conditionalFormatting>
  <conditionalFormatting sqref="P771">
    <cfRule type="containsText" dxfId="5510" priority="6576" operator="containsText" text="Finalizado">
      <formula>NOT(ISERROR(SEARCH("Finalizado",P771)))</formula>
    </cfRule>
    <cfRule type="containsText" dxfId="5509" priority="6577" operator="containsText" text="em andamento">
      <formula>NOT(ISERROR(SEARCH("em andamento",P771)))</formula>
    </cfRule>
    <cfRule type="containsText" dxfId="5508" priority="6574" operator="containsText" text="N/A">
      <formula>NOT(ISERROR(SEARCH("N/A",P771)))</formula>
    </cfRule>
    <cfRule type="containsText" dxfId="5507" priority="6573" operator="containsText" text="Lançado">
      <formula>NOT(ISERROR(SEARCH("Lançado",P771)))</formula>
    </cfRule>
    <cfRule type="containsText" dxfId="5506" priority="6575" operator="containsText" text="Pendente">
      <formula>NOT(ISERROR(SEARCH("Pendente",P771)))</formula>
    </cfRule>
  </conditionalFormatting>
  <conditionalFormatting sqref="P772">
    <cfRule type="containsText" dxfId="5505" priority="3167" operator="containsText" text="Pendente">
      <formula>NOT(ISERROR(SEARCH("Pendente",P772)))</formula>
    </cfRule>
    <cfRule type="containsText" dxfId="5504" priority="3168" operator="containsText" text="Finalizado">
      <formula>NOT(ISERROR(SEARCH("Finalizado",P772)))</formula>
    </cfRule>
    <cfRule type="containsText" dxfId="5503" priority="3169" operator="containsText" text="em andamento">
      <formula>NOT(ISERROR(SEARCH("em andamento",P772)))</formula>
    </cfRule>
    <cfRule type="expression" dxfId="5502" priority="3170">
      <formula>$H772="SUBETAPA"</formula>
    </cfRule>
    <cfRule type="expression" dxfId="5501" priority="3171">
      <formula>$H772="CÉLULA CONSTRUTIVA"</formula>
    </cfRule>
    <cfRule type="expression" dxfId="5500" priority="3172">
      <formula>$H772="ETAPA"</formula>
    </cfRule>
    <cfRule type="containsText" dxfId="5499" priority="3174" operator="containsText" text="N/A">
      <formula>NOT(ISERROR(SEARCH("N/A",P772)))</formula>
    </cfRule>
    <cfRule type="containsText" dxfId="5498" priority="3175" operator="containsText" text="Pendente">
      <formula>NOT(ISERROR(SEARCH("Pendente",P772)))</formula>
    </cfRule>
    <cfRule type="containsText" dxfId="5497" priority="3176" operator="containsText" text="Finalizado">
      <formula>NOT(ISERROR(SEARCH("Finalizado",P772)))</formula>
    </cfRule>
    <cfRule type="containsText" dxfId="5496" priority="3177" operator="containsText" text="em andamento">
      <formula>NOT(ISERROR(SEARCH("em andamento",P772)))</formula>
    </cfRule>
    <cfRule type="containsText" dxfId="5495" priority="3173" operator="containsText" text="Lançado">
      <formula>NOT(ISERROR(SEARCH("Lançado",P772)))</formula>
    </cfRule>
    <cfRule type="expression" dxfId="5494" priority="3157">
      <formula>$H772="SUBETAPA"</formula>
    </cfRule>
    <cfRule type="expression" dxfId="5493" priority="3158">
      <formula>$H772="CÉLULA CONSTRUTIVA"</formula>
    </cfRule>
    <cfRule type="expression" dxfId="5492" priority="3159">
      <formula>$H772="ETAPA"</formula>
    </cfRule>
    <cfRule type="containsText" dxfId="5491" priority="3160" operator="containsText" text="Lançado">
      <formula>NOT(ISERROR(SEARCH("Lançado",P772)))</formula>
    </cfRule>
    <cfRule type="containsText" dxfId="5490" priority="3161" operator="containsText" text="N/A">
      <formula>NOT(ISERROR(SEARCH("N/A",P772)))</formula>
    </cfRule>
    <cfRule type="containsText" dxfId="5489" priority="3162" operator="containsText" text="Pendente">
      <formula>NOT(ISERROR(SEARCH("Pendente",P772)))</formula>
    </cfRule>
    <cfRule type="containsText" dxfId="5488" priority="3163" operator="containsText" text="Finalizado">
      <formula>NOT(ISERROR(SEARCH("Finalizado",P772)))</formula>
    </cfRule>
    <cfRule type="containsText" dxfId="5487" priority="3164" operator="containsText" text="em andamento">
      <formula>NOT(ISERROR(SEARCH("em andamento",P772)))</formula>
    </cfRule>
    <cfRule type="containsText" dxfId="5486" priority="3165" operator="containsText" text="Lançado">
      <formula>NOT(ISERROR(SEARCH("Lançado",P772)))</formula>
    </cfRule>
    <cfRule type="containsText" dxfId="5485" priority="3166" operator="containsText" text="N/A">
      <formula>NOT(ISERROR(SEARCH("N/A",P772)))</formula>
    </cfRule>
  </conditionalFormatting>
  <conditionalFormatting sqref="P773">
    <cfRule type="containsText" dxfId="5484" priority="13369" operator="containsText" text="Finalizado">
      <formula>NOT(ISERROR(SEARCH("Finalizado",P773)))</formula>
    </cfRule>
    <cfRule type="expression" dxfId="5483" priority="13358">
      <formula>$H773="CÉLULA CONSTRUTIVA"</formula>
    </cfRule>
    <cfRule type="containsText" dxfId="5482" priority="13368" operator="containsText" text="Pendente">
      <formula>NOT(ISERROR(SEARCH("Pendente",P773)))</formula>
    </cfRule>
    <cfRule type="containsText" dxfId="5481" priority="13367" operator="containsText" text="N/A">
      <formula>NOT(ISERROR(SEARCH("N/A",P773)))</formula>
    </cfRule>
    <cfRule type="containsText" dxfId="5480" priority="13366" operator="containsText" text="Lançado">
      <formula>NOT(ISERROR(SEARCH("Lançado",P773)))</formula>
    </cfRule>
    <cfRule type="expression" dxfId="5479" priority="13362">
      <formula>$H773="ETAPA"</formula>
    </cfRule>
    <cfRule type="expression" dxfId="5478" priority="13361">
      <formula>$H773="CÉLULA CONSTRUTIVA"</formula>
    </cfRule>
    <cfRule type="expression" dxfId="5477" priority="13360">
      <formula>$H773="SUBETAPA"</formula>
    </cfRule>
    <cfRule type="expression" dxfId="5476" priority="13359">
      <formula>$H773="ETAPA"</formula>
    </cfRule>
    <cfRule type="containsText" dxfId="5475" priority="13370" operator="containsText" text="em andamento">
      <formula>NOT(ISERROR(SEARCH("em andamento",P773)))</formula>
    </cfRule>
    <cfRule type="expression" dxfId="5474" priority="13326">
      <formula>$H773="SUBETAPA"</formula>
    </cfRule>
  </conditionalFormatting>
  <conditionalFormatting sqref="P774:P776">
    <cfRule type="containsText" dxfId="5473" priority="3147" operator="containsText" text="Finalizado">
      <formula>NOT(ISERROR(SEARCH("Finalizado",P774)))</formula>
    </cfRule>
    <cfRule type="containsText" dxfId="5472" priority="3148" operator="containsText" text="em andamento">
      <formula>NOT(ISERROR(SEARCH("em andamento",P774)))</formula>
    </cfRule>
    <cfRule type="expression" dxfId="5471" priority="3149">
      <formula>$H774="SUBETAPA"</formula>
    </cfRule>
    <cfRule type="containsText" dxfId="5470" priority="3145" operator="containsText" text="N/A">
      <formula>NOT(ISERROR(SEARCH("N/A",P774)))</formula>
    </cfRule>
    <cfRule type="expression" dxfId="5469" priority="3151">
      <formula>$H774="ETAPA"</formula>
    </cfRule>
    <cfRule type="containsText" dxfId="5468" priority="3152" operator="containsText" text="Lançado">
      <formula>NOT(ISERROR(SEARCH("Lançado",P774)))</formula>
    </cfRule>
    <cfRule type="containsText" dxfId="5467" priority="3153" operator="containsText" text="N/A">
      <formula>NOT(ISERROR(SEARCH("N/A",P774)))</formula>
    </cfRule>
    <cfRule type="expression" dxfId="5466" priority="3150">
      <formula>$H774="CÉLULA CONSTRUTIVA"</formula>
    </cfRule>
    <cfRule type="containsText" dxfId="5465" priority="3154" operator="containsText" text="Pendente">
      <formula>NOT(ISERROR(SEARCH("Pendente",P774)))</formula>
    </cfRule>
    <cfRule type="containsText" dxfId="5464" priority="3141" operator="containsText" text="Pendente">
      <formula>NOT(ISERROR(SEARCH("Pendente",P774)))</formula>
    </cfRule>
    <cfRule type="containsText" dxfId="5463" priority="3140" operator="containsText" text="N/A">
      <formula>NOT(ISERROR(SEARCH("N/A",P774)))</formula>
    </cfRule>
    <cfRule type="containsText" dxfId="5462" priority="3139" operator="containsText" text="Lançado">
      <formula>NOT(ISERROR(SEARCH("Lançado",P774)))</formula>
    </cfRule>
    <cfRule type="expression" dxfId="5461" priority="3137">
      <formula>$H774="CÉLULA CONSTRUTIVA"</formula>
    </cfRule>
    <cfRule type="expression" dxfId="5460" priority="3138">
      <formula>$H774="ETAPA"</formula>
    </cfRule>
    <cfRule type="expression" dxfId="5459" priority="3136">
      <formula>$H774="SUBETAPA"</formula>
    </cfRule>
    <cfRule type="containsText" dxfId="5458" priority="3146" operator="containsText" text="Pendente">
      <formula>NOT(ISERROR(SEARCH("Pendente",P774)))</formula>
    </cfRule>
    <cfRule type="containsText" dxfId="5457" priority="3142" operator="containsText" text="Finalizado">
      <formula>NOT(ISERROR(SEARCH("Finalizado",P774)))</formula>
    </cfRule>
    <cfRule type="containsText" dxfId="5456" priority="3144" operator="containsText" text="Lançado">
      <formula>NOT(ISERROR(SEARCH("Lançado",P774)))</formula>
    </cfRule>
    <cfRule type="containsText" dxfId="5455" priority="3143" operator="containsText" text="em andamento">
      <formula>NOT(ISERROR(SEARCH("em andamento",P774)))</formula>
    </cfRule>
    <cfRule type="containsText" dxfId="5454" priority="3155" operator="containsText" text="Finalizado">
      <formula>NOT(ISERROR(SEARCH("Finalizado",P774)))</formula>
    </cfRule>
    <cfRule type="containsText" dxfId="5453" priority="3156" operator="containsText" text="em andamento">
      <formula>NOT(ISERROR(SEARCH("em andamento",P774)))</formula>
    </cfRule>
  </conditionalFormatting>
  <conditionalFormatting sqref="P777:P778">
    <cfRule type="containsText" dxfId="5452" priority="13294" operator="containsText" text="Lançado">
      <formula>NOT(ISERROR(SEARCH("Lançado",P777)))</formula>
    </cfRule>
    <cfRule type="containsText" dxfId="5451" priority="13298" operator="containsText" text="em andamento">
      <formula>NOT(ISERROR(SEARCH("em andamento",P777)))</formula>
    </cfRule>
    <cfRule type="containsText" dxfId="5450" priority="13297" operator="containsText" text="Finalizado">
      <formula>NOT(ISERROR(SEARCH("Finalizado",P777)))</formula>
    </cfRule>
    <cfRule type="containsText" dxfId="5449" priority="13296" operator="containsText" text="Pendente">
      <formula>NOT(ISERROR(SEARCH("Pendente",P777)))</formula>
    </cfRule>
    <cfRule type="containsText" dxfId="5448" priority="13295" operator="containsText" text="N/A">
      <formula>NOT(ISERROR(SEARCH("N/A",P777)))</formula>
    </cfRule>
  </conditionalFormatting>
  <conditionalFormatting sqref="P778 P781">
    <cfRule type="expression" dxfId="5447" priority="13249">
      <formula>$H778="SUBETAPA"</formula>
    </cfRule>
  </conditionalFormatting>
  <conditionalFormatting sqref="P778">
    <cfRule type="expression" dxfId="5446" priority="13287">
      <formula>$H778="ETAPA"</formula>
    </cfRule>
    <cfRule type="expression" dxfId="5445" priority="13290">
      <formula>$H778="ETAPA"</formula>
    </cfRule>
    <cfRule type="expression" dxfId="5444" priority="13289">
      <formula>$H778="CÉLULA CONSTRUTIVA"</formula>
    </cfRule>
    <cfRule type="expression" dxfId="5443" priority="13288">
      <formula>$H778="SUBETAPA"</formula>
    </cfRule>
    <cfRule type="expression" dxfId="5442" priority="13286">
      <formula>$H778="CÉLULA CONSTRUTIVA"</formula>
    </cfRule>
  </conditionalFormatting>
  <conditionalFormatting sqref="P779:P780">
    <cfRule type="containsText" dxfId="5441" priority="3120" operator="containsText" text="Pendente">
      <formula>NOT(ISERROR(SEARCH("Pendente",P779)))</formula>
    </cfRule>
    <cfRule type="expression" dxfId="5440" priority="3115">
      <formula>$H779="SUBETAPA"</formula>
    </cfRule>
    <cfRule type="containsText" dxfId="5439" priority="3121" operator="containsText" text="Finalizado">
      <formula>NOT(ISERROR(SEARCH("Finalizado",P779)))</formula>
    </cfRule>
    <cfRule type="containsText" dxfId="5438" priority="3122" operator="containsText" text="em andamento">
      <formula>NOT(ISERROR(SEARCH("em andamento",P779)))</formula>
    </cfRule>
    <cfRule type="containsText" dxfId="5437" priority="3123" operator="containsText" text="Lançado">
      <formula>NOT(ISERROR(SEARCH("Lançado",P779)))</formula>
    </cfRule>
    <cfRule type="containsText" dxfId="5436" priority="3124" operator="containsText" text="N/A">
      <formula>NOT(ISERROR(SEARCH("N/A",P779)))</formula>
    </cfRule>
    <cfRule type="expression" dxfId="5435" priority="3116">
      <formula>$H779="CÉLULA CONSTRUTIVA"</formula>
    </cfRule>
    <cfRule type="containsText" dxfId="5434" priority="3125" operator="containsText" text="Pendente">
      <formula>NOT(ISERROR(SEARCH("Pendente",P779)))</formula>
    </cfRule>
    <cfRule type="containsText" dxfId="5433" priority="3126" operator="containsText" text="Finalizado">
      <formula>NOT(ISERROR(SEARCH("Finalizado",P779)))</formula>
    </cfRule>
    <cfRule type="containsText" dxfId="5432" priority="3127" operator="containsText" text="em andamento">
      <formula>NOT(ISERROR(SEARCH("em andamento",P779)))</formula>
    </cfRule>
    <cfRule type="expression" dxfId="5431" priority="3128">
      <formula>$H779="SUBETAPA"</formula>
    </cfRule>
    <cfRule type="expression" dxfId="5430" priority="3129">
      <formula>$H779="CÉLULA CONSTRUTIVA"</formula>
    </cfRule>
    <cfRule type="expression" dxfId="5429" priority="3130">
      <formula>$H779="ETAPA"</formula>
    </cfRule>
    <cfRule type="containsText" dxfId="5428" priority="3131" operator="containsText" text="Lançado">
      <formula>NOT(ISERROR(SEARCH("Lançado",P779)))</formula>
    </cfRule>
    <cfRule type="expression" dxfId="5427" priority="3117">
      <formula>$H779="ETAPA"</formula>
    </cfRule>
    <cfRule type="containsText" dxfId="5426" priority="3118" operator="containsText" text="Lançado">
      <formula>NOT(ISERROR(SEARCH("Lançado",P779)))</formula>
    </cfRule>
    <cfRule type="containsText" dxfId="5425" priority="3119" operator="containsText" text="N/A">
      <formula>NOT(ISERROR(SEARCH("N/A",P779)))</formula>
    </cfRule>
    <cfRule type="containsText" dxfId="5424" priority="3134" operator="containsText" text="Finalizado">
      <formula>NOT(ISERROR(SEARCH("Finalizado",P779)))</formula>
    </cfRule>
    <cfRule type="containsText" dxfId="5423" priority="3135" operator="containsText" text="em andamento">
      <formula>NOT(ISERROR(SEARCH("em andamento",P779)))</formula>
    </cfRule>
    <cfRule type="containsText" dxfId="5422" priority="3132" operator="containsText" text="N/A">
      <formula>NOT(ISERROR(SEARCH("N/A",P779)))</formula>
    </cfRule>
    <cfRule type="containsText" dxfId="5421" priority="3133" operator="containsText" text="Pendente">
      <formula>NOT(ISERROR(SEARCH("Pendente",P779)))</formula>
    </cfRule>
  </conditionalFormatting>
  <conditionalFormatting sqref="P781">
    <cfRule type="containsText" dxfId="5420" priority="13265" operator="containsText" text="Finalizado">
      <formula>NOT(ISERROR(SEARCH("Finalizado",P781)))</formula>
    </cfRule>
    <cfRule type="expression" dxfId="5419" priority="13260">
      <formula>$H781="CÉLULA CONSTRUTIVA"</formula>
    </cfRule>
    <cfRule type="expression" dxfId="5418" priority="13261">
      <formula>$H781="ETAPA"</formula>
    </cfRule>
    <cfRule type="containsText" dxfId="5417" priority="13262" operator="containsText" text="Lançado">
      <formula>NOT(ISERROR(SEARCH("Lançado",P781)))</formula>
    </cfRule>
    <cfRule type="containsText" dxfId="5416" priority="13263" operator="containsText" text="N/A">
      <formula>NOT(ISERROR(SEARCH("N/A",P781)))</formula>
    </cfRule>
    <cfRule type="containsText" dxfId="5415" priority="13266" operator="containsText" text="em andamento">
      <formula>NOT(ISERROR(SEARCH("em andamento",P781)))</formula>
    </cfRule>
    <cfRule type="containsText" dxfId="5414" priority="13264" operator="containsText" text="Pendente">
      <formula>NOT(ISERROR(SEARCH("Pendente",P781)))</formula>
    </cfRule>
  </conditionalFormatting>
  <conditionalFormatting sqref="P782:P783">
    <cfRule type="containsText" dxfId="5413" priority="3100" operator="containsText" text="Finalizado">
      <formula>NOT(ISERROR(SEARCH("Finalizado",P782)))</formula>
    </cfRule>
    <cfRule type="containsText" dxfId="5412" priority="3098" operator="containsText" text="N/A">
      <formula>NOT(ISERROR(SEARCH("N/A",P782)))</formula>
    </cfRule>
    <cfRule type="containsText" dxfId="5411" priority="3099" operator="containsText" text="Pendente">
      <formula>NOT(ISERROR(SEARCH("Pendente",P782)))</formula>
    </cfRule>
    <cfRule type="containsText" dxfId="5410" priority="3101" operator="containsText" text="em andamento">
      <formula>NOT(ISERROR(SEARCH("em andamento",P782)))</formula>
    </cfRule>
    <cfRule type="containsText" dxfId="5409" priority="3102" operator="containsText" text="Lançado">
      <formula>NOT(ISERROR(SEARCH("Lançado",P782)))</formula>
    </cfRule>
    <cfRule type="containsText" dxfId="5408" priority="3103" operator="containsText" text="N/A">
      <formula>NOT(ISERROR(SEARCH("N/A",P782)))</formula>
    </cfRule>
    <cfRule type="containsText" dxfId="5407" priority="3104" operator="containsText" text="Pendente">
      <formula>NOT(ISERROR(SEARCH("Pendente",P782)))</formula>
    </cfRule>
    <cfRule type="containsText" dxfId="5406" priority="3105" operator="containsText" text="Finalizado">
      <formula>NOT(ISERROR(SEARCH("Finalizado",P782)))</formula>
    </cfRule>
    <cfRule type="containsText" dxfId="5405" priority="3106" operator="containsText" text="em andamento">
      <formula>NOT(ISERROR(SEARCH("em andamento",P782)))</formula>
    </cfRule>
    <cfRule type="containsText" dxfId="5404" priority="3113" operator="containsText" text="Finalizado">
      <formula>NOT(ISERROR(SEARCH("Finalizado",P782)))</formula>
    </cfRule>
    <cfRule type="expression" dxfId="5403" priority="3095">
      <formula>$H782="CÉLULA CONSTRUTIVA"</formula>
    </cfRule>
    <cfRule type="expression" dxfId="5402" priority="3107">
      <formula>$H782="SUBETAPA"</formula>
    </cfRule>
    <cfRule type="expression" dxfId="5401" priority="3108">
      <formula>$H782="CÉLULA CONSTRUTIVA"</formula>
    </cfRule>
    <cfRule type="expression" dxfId="5400" priority="3109">
      <formula>$H782="ETAPA"</formula>
    </cfRule>
    <cfRule type="containsText" dxfId="5399" priority="3110" operator="containsText" text="Lançado">
      <formula>NOT(ISERROR(SEARCH("Lançado",P782)))</formula>
    </cfRule>
    <cfRule type="containsText" dxfId="5398" priority="3111" operator="containsText" text="N/A">
      <formula>NOT(ISERROR(SEARCH("N/A",P782)))</formula>
    </cfRule>
    <cfRule type="containsText" dxfId="5397" priority="3097" operator="containsText" text="Lançado">
      <formula>NOT(ISERROR(SEARCH("Lançado",P782)))</formula>
    </cfRule>
    <cfRule type="expression" dxfId="5396" priority="3094">
      <formula>$H782="SUBETAPA"</formula>
    </cfRule>
    <cfRule type="containsText" dxfId="5395" priority="3112" operator="containsText" text="Pendente">
      <formula>NOT(ISERROR(SEARCH("Pendente",P782)))</formula>
    </cfRule>
    <cfRule type="expression" dxfId="5394" priority="3096">
      <formula>$H782="ETAPA"</formula>
    </cfRule>
    <cfRule type="containsText" dxfId="5393" priority="3114" operator="containsText" text="em andamento">
      <formula>NOT(ISERROR(SEARCH("em andamento",P782)))</formula>
    </cfRule>
  </conditionalFormatting>
  <conditionalFormatting sqref="P784">
    <cfRule type="containsText" dxfId="5392" priority="12719" operator="containsText" text="Lançado">
      <formula>NOT(ISERROR(SEARCH("Lançado",P784)))</formula>
    </cfRule>
    <cfRule type="containsText" dxfId="5391" priority="12721" operator="containsText" text="Pendente">
      <formula>NOT(ISERROR(SEARCH("Pendente",P784)))</formula>
    </cfRule>
    <cfRule type="containsText" dxfId="5390" priority="12722" operator="containsText" text="Finalizado">
      <formula>NOT(ISERROR(SEARCH("Finalizado",P784)))</formula>
    </cfRule>
    <cfRule type="containsText" dxfId="5389" priority="12723" operator="containsText" text="em andamento">
      <formula>NOT(ISERROR(SEARCH("em andamento",P784)))</formula>
    </cfRule>
    <cfRule type="containsText" dxfId="5388" priority="12720" operator="containsText" text="N/A">
      <formula>NOT(ISERROR(SEARCH("N/A",P784)))</formula>
    </cfRule>
  </conditionalFormatting>
  <conditionalFormatting sqref="P785">
    <cfRule type="containsText" dxfId="5387" priority="3083" operator="containsText" text="Pendente">
      <formula>NOT(ISERROR(SEARCH("Pendente",P785)))</formula>
    </cfRule>
    <cfRule type="containsText" dxfId="5386" priority="3084" operator="containsText" text="Finalizado">
      <formula>NOT(ISERROR(SEARCH("Finalizado",P785)))</formula>
    </cfRule>
    <cfRule type="containsText" dxfId="5385" priority="3085" operator="containsText" text="em andamento">
      <formula>NOT(ISERROR(SEARCH("em andamento",P785)))</formula>
    </cfRule>
    <cfRule type="expression" dxfId="5384" priority="3086">
      <formula>$H785="SUBETAPA"</formula>
    </cfRule>
    <cfRule type="expression" dxfId="5383" priority="3087">
      <formula>$H785="CÉLULA CONSTRUTIVA"</formula>
    </cfRule>
    <cfRule type="containsText" dxfId="5382" priority="3091" operator="containsText" text="Pendente">
      <formula>NOT(ISERROR(SEARCH("Pendente",P785)))</formula>
    </cfRule>
    <cfRule type="containsText" dxfId="5381" priority="3093" operator="containsText" text="em andamento">
      <formula>NOT(ISERROR(SEARCH("em andamento",P785)))</formula>
    </cfRule>
    <cfRule type="expression" dxfId="5380" priority="3073">
      <formula>$H785="SUBETAPA"</formula>
    </cfRule>
    <cfRule type="containsText" dxfId="5379" priority="3092" operator="containsText" text="Finalizado">
      <formula>NOT(ISERROR(SEARCH("Finalizado",P785)))</formula>
    </cfRule>
    <cfRule type="containsText" dxfId="5378" priority="3090" operator="containsText" text="N/A">
      <formula>NOT(ISERROR(SEARCH("N/A",P785)))</formula>
    </cfRule>
    <cfRule type="containsText" dxfId="5377" priority="3081" operator="containsText" text="Lançado">
      <formula>NOT(ISERROR(SEARCH("Lançado",P785)))</formula>
    </cfRule>
    <cfRule type="containsText" dxfId="5376" priority="3080" operator="containsText" text="em andamento">
      <formula>NOT(ISERROR(SEARCH("em andamento",P785)))</formula>
    </cfRule>
    <cfRule type="containsText" dxfId="5375" priority="3089" operator="containsText" text="Lançado">
      <formula>NOT(ISERROR(SEARCH("Lançado",P785)))</formula>
    </cfRule>
    <cfRule type="containsText" dxfId="5374" priority="3082" operator="containsText" text="N/A">
      <formula>NOT(ISERROR(SEARCH("N/A",P785)))</formula>
    </cfRule>
    <cfRule type="expression" dxfId="5373" priority="3088">
      <formula>$H785="ETAPA"</formula>
    </cfRule>
    <cfRule type="expression" dxfId="5372" priority="3074">
      <formula>$H785="CÉLULA CONSTRUTIVA"</formula>
    </cfRule>
    <cfRule type="expression" dxfId="5371" priority="3075">
      <formula>$H785="ETAPA"</formula>
    </cfRule>
    <cfRule type="containsText" dxfId="5370" priority="3076" operator="containsText" text="Lançado">
      <formula>NOT(ISERROR(SEARCH("Lançado",P785)))</formula>
    </cfRule>
    <cfRule type="containsText" dxfId="5369" priority="3077" operator="containsText" text="N/A">
      <formula>NOT(ISERROR(SEARCH("N/A",P785)))</formula>
    </cfRule>
    <cfRule type="containsText" dxfId="5368" priority="3078" operator="containsText" text="Pendente">
      <formula>NOT(ISERROR(SEARCH("Pendente",P785)))</formula>
    </cfRule>
    <cfRule type="containsText" dxfId="5367" priority="3079" operator="containsText" text="Finalizado">
      <formula>NOT(ISERROR(SEARCH("Finalizado",P785)))</formula>
    </cfRule>
  </conditionalFormatting>
  <conditionalFormatting sqref="P786">
    <cfRule type="expression" dxfId="5366" priority="13267">
      <formula>$H786="CÉLULA CONSTRUTIVA"</formula>
    </cfRule>
    <cfRule type="expression" dxfId="5365" priority="13235">
      <formula>$H786="SUBETAPA"</formula>
    </cfRule>
    <cfRule type="containsText" dxfId="5364" priority="13278" operator="containsText" text="Finalizado">
      <formula>NOT(ISERROR(SEARCH("Finalizado",P786)))</formula>
    </cfRule>
    <cfRule type="containsText" dxfId="5363" priority="13279" operator="containsText" text="em andamento">
      <formula>NOT(ISERROR(SEARCH("em andamento",P786)))</formula>
    </cfRule>
    <cfRule type="containsText" dxfId="5362" priority="13277" operator="containsText" text="Pendente">
      <formula>NOT(ISERROR(SEARCH("Pendente",P786)))</formula>
    </cfRule>
    <cfRule type="containsText" dxfId="5361" priority="13276" operator="containsText" text="N/A">
      <formula>NOT(ISERROR(SEARCH("N/A",P786)))</formula>
    </cfRule>
    <cfRule type="containsText" dxfId="5360" priority="13275" operator="containsText" text="Lançado">
      <formula>NOT(ISERROR(SEARCH("Lançado",P786)))</formula>
    </cfRule>
    <cfRule type="expression" dxfId="5359" priority="13271">
      <formula>$H786="ETAPA"</formula>
    </cfRule>
    <cfRule type="expression" dxfId="5358" priority="13270">
      <formula>$H786="CÉLULA CONSTRUTIVA"</formula>
    </cfRule>
    <cfRule type="expression" dxfId="5357" priority="13269">
      <formula>$H786="SUBETAPA"</formula>
    </cfRule>
    <cfRule type="expression" dxfId="5356" priority="13268">
      <formula>$H786="ETAPA"</formula>
    </cfRule>
  </conditionalFormatting>
  <conditionalFormatting sqref="P787:P789">
    <cfRule type="expression" dxfId="5355" priority="3065">
      <formula>$H787="SUBETAPA"</formula>
    </cfRule>
    <cfRule type="containsText" dxfId="5354" priority="3072" operator="containsText" text="em andamento">
      <formula>NOT(ISERROR(SEARCH("em andamento",P787)))</formula>
    </cfRule>
    <cfRule type="containsText" dxfId="5353" priority="3055" operator="containsText" text="Lançado">
      <formula>NOT(ISERROR(SEARCH("Lançado",P787)))</formula>
    </cfRule>
    <cfRule type="containsText" dxfId="5352" priority="3056" operator="containsText" text="N/A">
      <formula>NOT(ISERROR(SEARCH("N/A",P787)))</formula>
    </cfRule>
    <cfRule type="containsText" dxfId="5351" priority="3057" operator="containsText" text="Pendente">
      <formula>NOT(ISERROR(SEARCH("Pendente",P787)))</formula>
    </cfRule>
    <cfRule type="containsText" dxfId="5350" priority="3058" operator="containsText" text="Finalizado">
      <formula>NOT(ISERROR(SEARCH("Finalizado",P787)))</formula>
    </cfRule>
    <cfRule type="containsText" dxfId="5349" priority="3059" operator="containsText" text="em andamento">
      <formula>NOT(ISERROR(SEARCH("em andamento",P787)))</formula>
    </cfRule>
    <cfRule type="containsText" dxfId="5348" priority="3060" operator="containsText" text="Lançado">
      <formula>NOT(ISERROR(SEARCH("Lançado",P787)))</formula>
    </cfRule>
    <cfRule type="containsText" dxfId="5347" priority="3061" operator="containsText" text="N/A">
      <formula>NOT(ISERROR(SEARCH("N/A",P787)))</formula>
    </cfRule>
    <cfRule type="containsText" dxfId="5346" priority="3062" operator="containsText" text="Pendente">
      <formula>NOT(ISERROR(SEARCH("Pendente",P787)))</formula>
    </cfRule>
    <cfRule type="containsText" dxfId="5345" priority="3063" operator="containsText" text="Finalizado">
      <formula>NOT(ISERROR(SEARCH("Finalizado",P787)))</formula>
    </cfRule>
    <cfRule type="expression" dxfId="5344" priority="3067">
      <formula>$H787="ETAPA"</formula>
    </cfRule>
    <cfRule type="containsText" dxfId="5343" priority="3064" operator="containsText" text="em andamento">
      <formula>NOT(ISERROR(SEARCH("em andamento",P787)))</formula>
    </cfRule>
    <cfRule type="containsText" dxfId="5342" priority="3071" operator="containsText" text="Finalizado">
      <formula>NOT(ISERROR(SEARCH("Finalizado",P787)))</formula>
    </cfRule>
    <cfRule type="expression" dxfId="5341" priority="3066">
      <formula>$H787="CÉLULA CONSTRUTIVA"</formula>
    </cfRule>
    <cfRule type="expression" dxfId="5340" priority="3053">
      <formula>$H787="CÉLULA CONSTRUTIVA"</formula>
    </cfRule>
    <cfRule type="expression" dxfId="5339" priority="3054">
      <formula>$H787="ETAPA"</formula>
    </cfRule>
    <cfRule type="expression" dxfId="5338" priority="3052">
      <formula>$H787="SUBETAPA"</formula>
    </cfRule>
    <cfRule type="containsText" dxfId="5337" priority="3070" operator="containsText" text="Pendente">
      <formula>NOT(ISERROR(SEARCH("Pendente",P787)))</formula>
    </cfRule>
    <cfRule type="containsText" dxfId="5336" priority="3069" operator="containsText" text="N/A">
      <formula>NOT(ISERROR(SEARCH("N/A",P787)))</formula>
    </cfRule>
    <cfRule type="containsText" dxfId="5335" priority="3068" operator="containsText" text="Lançado">
      <formula>NOT(ISERROR(SEARCH("Lançado",P787)))</formula>
    </cfRule>
  </conditionalFormatting>
  <conditionalFormatting sqref="P790:P791">
    <cfRule type="containsText" dxfId="5334" priority="13207" operator="containsText" text="em andamento">
      <formula>NOT(ISERROR(SEARCH("em andamento",P790)))</formula>
    </cfRule>
    <cfRule type="containsText" dxfId="5333" priority="13206" operator="containsText" text="Finalizado">
      <formula>NOT(ISERROR(SEARCH("Finalizado",P790)))</formula>
    </cfRule>
    <cfRule type="containsText" dxfId="5332" priority="13205" operator="containsText" text="Pendente">
      <formula>NOT(ISERROR(SEARCH("Pendente",P790)))</formula>
    </cfRule>
    <cfRule type="containsText" dxfId="5331" priority="13203" operator="containsText" text="Lançado">
      <formula>NOT(ISERROR(SEARCH("Lançado",P790)))</formula>
    </cfRule>
    <cfRule type="containsText" dxfId="5330" priority="13204" operator="containsText" text="N/A">
      <formula>NOT(ISERROR(SEARCH("N/A",P790)))</formula>
    </cfRule>
  </conditionalFormatting>
  <conditionalFormatting sqref="P791 P794">
    <cfRule type="expression" dxfId="5329" priority="13145">
      <formula>$H791="SUBETAPA"</formula>
    </cfRule>
  </conditionalFormatting>
  <conditionalFormatting sqref="P791">
    <cfRule type="expression" dxfId="5328" priority="13198">
      <formula>$H791="CÉLULA CONSTRUTIVA"</formula>
    </cfRule>
    <cfRule type="expression" dxfId="5327" priority="13195">
      <formula>$H791="CÉLULA CONSTRUTIVA"</formula>
    </cfRule>
    <cfRule type="expression" dxfId="5326" priority="13196">
      <formula>$H791="ETAPA"</formula>
    </cfRule>
    <cfRule type="expression" dxfId="5325" priority="13197">
      <formula>$H791="SUBETAPA"</formula>
    </cfRule>
    <cfRule type="expression" dxfId="5324" priority="13199">
      <formula>$H791="ETAPA"</formula>
    </cfRule>
  </conditionalFormatting>
  <conditionalFormatting sqref="P792:P793">
    <cfRule type="expression" dxfId="5323" priority="3046">
      <formula>$H792="ETAPA"</formula>
    </cfRule>
    <cfRule type="containsText" dxfId="5322" priority="3034" operator="containsText" text="Lançado">
      <formula>NOT(ISERROR(SEARCH("Lançado",P792)))</formula>
    </cfRule>
    <cfRule type="expression" dxfId="5321" priority="3045">
      <formula>$H792="CÉLULA CONSTRUTIVA"</formula>
    </cfRule>
    <cfRule type="expression" dxfId="5320" priority="3044">
      <formula>$H792="SUBETAPA"</formula>
    </cfRule>
    <cfRule type="containsText" dxfId="5319" priority="3042" operator="containsText" text="Finalizado">
      <formula>NOT(ISERROR(SEARCH("Finalizado",P792)))</formula>
    </cfRule>
    <cfRule type="containsText" dxfId="5318" priority="3043" operator="containsText" text="em andamento">
      <formula>NOT(ISERROR(SEARCH("em andamento",P792)))</formula>
    </cfRule>
    <cfRule type="containsText" dxfId="5317" priority="3047" operator="containsText" text="Lançado">
      <formula>NOT(ISERROR(SEARCH("Lançado",P792)))</formula>
    </cfRule>
    <cfRule type="containsText" dxfId="5316" priority="3048" operator="containsText" text="N/A">
      <formula>NOT(ISERROR(SEARCH("N/A",P792)))</formula>
    </cfRule>
    <cfRule type="containsText" dxfId="5315" priority="3035" operator="containsText" text="N/A">
      <formula>NOT(ISERROR(SEARCH("N/A",P792)))</formula>
    </cfRule>
    <cfRule type="containsText" dxfId="5314" priority="3036" operator="containsText" text="Pendente">
      <formula>NOT(ISERROR(SEARCH("Pendente",P792)))</formula>
    </cfRule>
    <cfRule type="containsText" dxfId="5313" priority="3051" operator="containsText" text="em andamento">
      <formula>NOT(ISERROR(SEARCH("em andamento",P792)))</formula>
    </cfRule>
    <cfRule type="containsText" dxfId="5312" priority="3038" operator="containsText" text="em andamento">
      <formula>NOT(ISERROR(SEARCH("em andamento",P792)))</formula>
    </cfRule>
    <cfRule type="containsText" dxfId="5311" priority="3039" operator="containsText" text="Lançado">
      <formula>NOT(ISERROR(SEARCH("Lançado",P792)))</formula>
    </cfRule>
    <cfRule type="containsText" dxfId="5310" priority="3049" operator="containsText" text="Pendente">
      <formula>NOT(ISERROR(SEARCH("Pendente",P792)))</formula>
    </cfRule>
    <cfRule type="containsText" dxfId="5309" priority="3050" operator="containsText" text="Finalizado">
      <formula>NOT(ISERROR(SEARCH("Finalizado",P792)))</formula>
    </cfRule>
    <cfRule type="containsText" dxfId="5308" priority="3037" operator="containsText" text="Finalizado">
      <formula>NOT(ISERROR(SEARCH("Finalizado",P792)))</formula>
    </cfRule>
    <cfRule type="containsText" dxfId="5307" priority="3041" operator="containsText" text="Pendente">
      <formula>NOT(ISERROR(SEARCH("Pendente",P792)))</formula>
    </cfRule>
    <cfRule type="expression" dxfId="5306" priority="3031">
      <formula>$H792="SUBETAPA"</formula>
    </cfRule>
    <cfRule type="containsText" dxfId="5305" priority="3040" operator="containsText" text="N/A">
      <formula>NOT(ISERROR(SEARCH("N/A",P792)))</formula>
    </cfRule>
    <cfRule type="expression" dxfId="5304" priority="3033">
      <formula>$H792="ETAPA"</formula>
    </cfRule>
    <cfRule type="expression" dxfId="5303" priority="3032">
      <formula>$H792="CÉLULA CONSTRUTIVA"</formula>
    </cfRule>
  </conditionalFormatting>
  <conditionalFormatting sqref="P794">
    <cfRule type="containsText" dxfId="5302" priority="13161" operator="containsText" text="Finalizado">
      <formula>NOT(ISERROR(SEARCH("Finalizado",P794)))</formula>
    </cfRule>
    <cfRule type="containsText" dxfId="5301" priority="13162" operator="containsText" text="em andamento">
      <formula>NOT(ISERROR(SEARCH("em andamento",P794)))</formula>
    </cfRule>
    <cfRule type="containsText" dxfId="5300" priority="13160" operator="containsText" text="Pendente">
      <formula>NOT(ISERROR(SEARCH("Pendente",P794)))</formula>
    </cfRule>
    <cfRule type="containsText" dxfId="5299" priority="13158" operator="containsText" text="Lançado">
      <formula>NOT(ISERROR(SEARCH("Lançado",P794)))</formula>
    </cfRule>
    <cfRule type="expression" dxfId="5298" priority="13157">
      <formula>$H794="ETAPA"</formula>
    </cfRule>
    <cfRule type="expression" dxfId="5297" priority="13156">
      <formula>$H794="CÉLULA CONSTRUTIVA"</formula>
    </cfRule>
    <cfRule type="containsText" dxfId="5296" priority="13159" operator="containsText" text="N/A">
      <formula>NOT(ISERROR(SEARCH("N/A",P794)))</formula>
    </cfRule>
  </conditionalFormatting>
  <conditionalFormatting sqref="P795:P796">
    <cfRule type="containsText" dxfId="5295" priority="3019" operator="containsText" text="N/A">
      <formula>NOT(ISERROR(SEARCH("N/A",P795)))</formula>
    </cfRule>
    <cfRule type="containsText" dxfId="5294" priority="3020" operator="containsText" text="Pendente">
      <formula>NOT(ISERROR(SEARCH("Pendente",P795)))</formula>
    </cfRule>
    <cfRule type="containsText" dxfId="5293" priority="3021" operator="containsText" text="Finalizado">
      <formula>NOT(ISERROR(SEARCH("Finalizado",P795)))</formula>
    </cfRule>
    <cfRule type="containsText" dxfId="5292" priority="3022" operator="containsText" text="em andamento">
      <formula>NOT(ISERROR(SEARCH("em andamento",P795)))</formula>
    </cfRule>
    <cfRule type="expression" dxfId="5291" priority="3023">
      <formula>$H795="SUBETAPA"</formula>
    </cfRule>
    <cfRule type="expression" dxfId="5290" priority="3024">
      <formula>$H795="CÉLULA CONSTRUTIVA"</formula>
    </cfRule>
    <cfRule type="expression" dxfId="5289" priority="3025">
      <formula>$H795="ETAPA"</formula>
    </cfRule>
    <cfRule type="containsText" dxfId="5288" priority="3026" operator="containsText" text="Lançado">
      <formula>NOT(ISERROR(SEARCH("Lançado",P795)))</formula>
    </cfRule>
    <cfRule type="containsText" dxfId="5287" priority="3017" operator="containsText" text="em andamento">
      <formula>NOT(ISERROR(SEARCH("em andamento",P795)))</formula>
    </cfRule>
    <cfRule type="expression" dxfId="5286" priority="3010">
      <formula>$H795="SUBETAPA"</formula>
    </cfRule>
    <cfRule type="expression" dxfId="5285" priority="3011">
      <formula>$H795="CÉLULA CONSTRUTIVA"</formula>
    </cfRule>
    <cfRule type="expression" dxfId="5284" priority="3012">
      <formula>$H795="ETAPA"</formula>
    </cfRule>
    <cfRule type="containsText" dxfId="5283" priority="3013" operator="containsText" text="Lançado">
      <formula>NOT(ISERROR(SEARCH("Lançado",P795)))</formula>
    </cfRule>
    <cfRule type="containsText" dxfId="5282" priority="3014" operator="containsText" text="N/A">
      <formula>NOT(ISERROR(SEARCH("N/A",P795)))</formula>
    </cfRule>
    <cfRule type="containsText" dxfId="5281" priority="3015" operator="containsText" text="Pendente">
      <formula>NOT(ISERROR(SEARCH("Pendente",P795)))</formula>
    </cfRule>
    <cfRule type="containsText" dxfId="5280" priority="3016" operator="containsText" text="Finalizado">
      <formula>NOT(ISERROR(SEARCH("Finalizado",P795)))</formula>
    </cfRule>
    <cfRule type="containsText" dxfId="5279" priority="3027" operator="containsText" text="N/A">
      <formula>NOT(ISERROR(SEARCH("N/A",P795)))</formula>
    </cfRule>
    <cfRule type="containsText" dxfId="5278" priority="3018" operator="containsText" text="Lançado">
      <formula>NOT(ISERROR(SEARCH("Lançado",P795)))</formula>
    </cfRule>
    <cfRule type="containsText" dxfId="5277" priority="3030" operator="containsText" text="em andamento">
      <formula>NOT(ISERROR(SEARCH("em andamento",P795)))</formula>
    </cfRule>
    <cfRule type="containsText" dxfId="5276" priority="3029" operator="containsText" text="Finalizado">
      <formula>NOT(ISERROR(SEARCH("Finalizado",P795)))</formula>
    </cfRule>
    <cfRule type="containsText" dxfId="5275" priority="3028" operator="containsText" text="Pendente">
      <formula>NOT(ISERROR(SEARCH("Pendente",P795)))</formula>
    </cfRule>
  </conditionalFormatting>
  <conditionalFormatting sqref="P797 O799:P799">
    <cfRule type="expression" dxfId="5274" priority="13170">
      <formula>$H797="ETAPA"</formula>
    </cfRule>
    <cfRule type="expression" dxfId="5273" priority="13169">
      <formula>$H797="CÉLULA CONSTRUTIVA"</formula>
    </cfRule>
    <cfRule type="expression" dxfId="5272" priority="13168">
      <formula>$H797="SUBETAPA"</formula>
    </cfRule>
  </conditionalFormatting>
  <conditionalFormatting sqref="P797 P799">
    <cfRule type="containsText" dxfId="5271" priority="13175" operator="containsText" text="em andamento">
      <formula>NOT(ISERROR(SEARCH("em andamento",P797)))</formula>
    </cfRule>
    <cfRule type="containsText" dxfId="5270" priority="13173" operator="containsText" text="Pendente">
      <formula>NOT(ISERROR(SEARCH("Pendente",P797)))</formula>
    </cfRule>
    <cfRule type="containsText" dxfId="5269" priority="13172" operator="containsText" text="N/A">
      <formula>NOT(ISERROR(SEARCH("N/A",P797)))</formula>
    </cfRule>
    <cfRule type="containsText" dxfId="5268" priority="13171" operator="containsText" text="Lançado">
      <formula>NOT(ISERROR(SEARCH("Lançado",P797)))</formula>
    </cfRule>
    <cfRule type="containsText" dxfId="5267" priority="13174" operator="containsText" text="Finalizado">
      <formula>NOT(ISERROR(SEARCH("Finalizado",P797)))</formula>
    </cfRule>
  </conditionalFormatting>
  <conditionalFormatting sqref="P797">
    <cfRule type="expression" dxfId="5266" priority="13167">
      <formula>$H797="ETAPA"</formula>
    </cfRule>
    <cfRule type="expression" dxfId="5265" priority="13166">
      <formula>$H797="CÉLULA CONSTRUTIVA"</formula>
    </cfRule>
    <cfRule type="expression" dxfId="5264" priority="13165">
      <formula>$H797="SUBETAPA"</formula>
    </cfRule>
    <cfRule type="expression" dxfId="5263" priority="13164">
      <formula>$H797="ETAPA"</formula>
    </cfRule>
    <cfRule type="expression" dxfId="5262" priority="13163">
      <formula>$H797="CÉLULA CONSTRUTIVA"</formula>
    </cfRule>
    <cfRule type="expression" dxfId="5261" priority="13131">
      <formula>$H797="SUBETAPA"</formula>
    </cfRule>
  </conditionalFormatting>
  <conditionalFormatting sqref="P798">
    <cfRule type="containsText" dxfId="5260" priority="2995" operator="containsText" text="Finalizado">
      <formula>NOT(ISERROR(SEARCH("Finalizado",P798)))</formula>
    </cfRule>
    <cfRule type="containsText" dxfId="5259" priority="2994" operator="containsText" text="Pendente">
      <formula>NOT(ISERROR(SEARCH("Pendente",P798)))</formula>
    </cfRule>
    <cfRule type="containsText" dxfId="5258" priority="2993" operator="containsText" text="N/A">
      <formula>NOT(ISERROR(SEARCH("N/A",P798)))</formula>
    </cfRule>
    <cfRule type="containsText" dxfId="5257" priority="2992" operator="containsText" text="Lançado">
      <formula>NOT(ISERROR(SEARCH("Lançado",P798)))</formula>
    </cfRule>
    <cfRule type="expression" dxfId="5256" priority="2991">
      <formula>$H798="ETAPA"</formula>
    </cfRule>
    <cfRule type="expression" dxfId="5255" priority="2990">
      <formula>$H798="CÉLULA CONSTRUTIVA"</formula>
    </cfRule>
    <cfRule type="containsText" dxfId="5254" priority="3005" operator="containsText" text="Lançado">
      <formula>NOT(ISERROR(SEARCH("Lançado",P798)))</formula>
    </cfRule>
    <cfRule type="containsText" dxfId="5253" priority="3008" operator="containsText" text="Finalizado">
      <formula>NOT(ISERROR(SEARCH("Finalizado",P798)))</formula>
    </cfRule>
    <cfRule type="containsText" dxfId="5252" priority="3007" operator="containsText" text="Pendente">
      <formula>NOT(ISERROR(SEARCH("Pendente",P798)))</formula>
    </cfRule>
    <cfRule type="containsText" dxfId="5251" priority="3006" operator="containsText" text="N/A">
      <formula>NOT(ISERROR(SEARCH("N/A",P798)))</formula>
    </cfRule>
    <cfRule type="containsText" dxfId="5250" priority="3009" operator="containsText" text="em andamento">
      <formula>NOT(ISERROR(SEARCH("em andamento",P798)))</formula>
    </cfRule>
    <cfRule type="expression" dxfId="5249" priority="3004">
      <formula>$H798="ETAPA"</formula>
    </cfRule>
    <cfRule type="expression" dxfId="5248" priority="3003">
      <formula>$H798="CÉLULA CONSTRUTIVA"</formula>
    </cfRule>
    <cfRule type="expression" dxfId="5247" priority="2989">
      <formula>$H798="SUBETAPA"</formula>
    </cfRule>
    <cfRule type="expression" dxfId="5246" priority="3002">
      <formula>$H798="SUBETAPA"</formula>
    </cfRule>
    <cfRule type="containsText" dxfId="5245" priority="3001" operator="containsText" text="em andamento">
      <formula>NOT(ISERROR(SEARCH("em andamento",P798)))</formula>
    </cfRule>
    <cfRule type="containsText" dxfId="5244" priority="3000" operator="containsText" text="Finalizado">
      <formula>NOT(ISERROR(SEARCH("Finalizado",P798)))</formula>
    </cfRule>
    <cfRule type="containsText" dxfId="5243" priority="2999" operator="containsText" text="Pendente">
      <formula>NOT(ISERROR(SEARCH("Pendente",P798)))</formula>
    </cfRule>
    <cfRule type="containsText" dxfId="5242" priority="2998" operator="containsText" text="N/A">
      <formula>NOT(ISERROR(SEARCH("N/A",P798)))</formula>
    </cfRule>
    <cfRule type="containsText" dxfId="5241" priority="2997" operator="containsText" text="Lançado">
      <formula>NOT(ISERROR(SEARCH("Lançado",P798)))</formula>
    </cfRule>
    <cfRule type="containsText" dxfId="5240" priority="2996" operator="containsText" text="em andamento">
      <formula>NOT(ISERROR(SEARCH("em andamento",P798)))</formula>
    </cfRule>
  </conditionalFormatting>
  <conditionalFormatting sqref="P800">
    <cfRule type="containsText" dxfId="5239" priority="2972" operator="containsText" text="N/A">
      <formula>NOT(ISERROR(SEARCH("N/A",P800)))</formula>
    </cfRule>
    <cfRule type="containsText" dxfId="5238" priority="2973" operator="containsText" text="Pendente">
      <formula>NOT(ISERROR(SEARCH("Pendente",P800)))</formula>
    </cfRule>
    <cfRule type="containsText" dxfId="5237" priority="2974" operator="containsText" text="Finalizado">
      <formula>NOT(ISERROR(SEARCH("Finalizado",P800)))</formula>
    </cfRule>
    <cfRule type="containsText" dxfId="5236" priority="2975" operator="containsText" text="em andamento">
      <formula>NOT(ISERROR(SEARCH("em andamento",P800)))</formula>
    </cfRule>
    <cfRule type="containsText" dxfId="5235" priority="2976" operator="containsText" text="Lançado">
      <formula>NOT(ISERROR(SEARCH("Lançado",P800)))</formula>
    </cfRule>
    <cfRule type="containsText" dxfId="5234" priority="2977" operator="containsText" text="N/A">
      <formula>NOT(ISERROR(SEARCH("N/A",P800)))</formula>
    </cfRule>
    <cfRule type="containsText" dxfId="5233" priority="2978" operator="containsText" text="Pendente">
      <formula>NOT(ISERROR(SEARCH("Pendente",P800)))</formula>
    </cfRule>
    <cfRule type="containsText" dxfId="5232" priority="2979" operator="containsText" text="Finalizado">
      <formula>NOT(ISERROR(SEARCH("Finalizado",P800)))</formula>
    </cfRule>
    <cfRule type="containsText" dxfId="5231" priority="2980" operator="containsText" text="em andamento">
      <formula>NOT(ISERROR(SEARCH("em andamento",P800)))</formula>
    </cfRule>
    <cfRule type="expression" dxfId="5230" priority="2981">
      <formula>$H800="SUBETAPA"</formula>
    </cfRule>
    <cfRule type="expression" dxfId="5229" priority="2982">
      <formula>$H800="CÉLULA CONSTRUTIVA"</formula>
    </cfRule>
    <cfRule type="expression" dxfId="5228" priority="2983">
      <formula>$H800="ETAPA"</formula>
    </cfRule>
    <cfRule type="containsText" dxfId="5227" priority="2984" operator="containsText" text="Lançado">
      <formula>NOT(ISERROR(SEARCH("Lançado",P800)))</formula>
    </cfRule>
    <cfRule type="containsText" dxfId="5226" priority="2985" operator="containsText" text="N/A">
      <formula>NOT(ISERROR(SEARCH("N/A",P800)))</formula>
    </cfRule>
    <cfRule type="containsText" dxfId="5225" priority="2987" operator="containsText" text="Finalizado">
      <formula>NOT(ISERROR(SEARCH("Finalizado",P800)))</formula>
    </cfRule>
    <cfRule type="containsText" dxfId="5224" priority="2988" operator="containsText" text="em andamento">
      <formula>NOT(ISERROR(SEARCH("em andamento",P800)))</formula>
    </cfRule>
    <cfRule type="containsText" dxfId="5223" priority="2986" operator="containsText" text="Pendente">
      <formula>NOT(ISERROR(SEARCH("Pendente",P800)))</formula>
    </cfRule>
    <cfRule type="expression" dxfId="5222" priority="2968">
      <formula>$H800="SUBETAPA"</formula>
    </cfRule>
    <cfRule type="expression" dxfId="5221" priority="2969">
      <formula>$H800="CÉLULA CONSTRUTIVA"</formula>
    </cfRule>
    <cfRule type="expression" dxfId="5220" priority="2970">
      <formula>$H800="ETAPA"</formula>
    </cfRule>
    <cfRule type="containsText" dxfId="5219" priority="2971" operator="containsText" text="Lançado">
      <formula>NOT(ISERROR(SEARCH("Lançado",P800)))</formula>
    </cfRule>
  </conditionalFormatting>
  <conditionalFormatting sqref="P801">
    <cfRule type="expression" dxfId="5218" priority="13177">
      <formula>$H801="ETAPA"</formula>
    </cfRule>
    <cfRule type="containsText" dxfId="5217" priority="13184" operator="containsText" text="Lançado">
      <formula>NOT(ISERROR(SEARCH("Lançado",P801)))</formula>
    </cfRule>
    <cfRule type="expression" dxfId="5216" priority="13180">
      <formula>$H801="ETAPA"</formula>
    </cfRule>
    <cfRule type="expression" dxfId="5215" priority="13179">
      <formula>$H801="CÉLULA CONSTRUTIVA"</formula>
    </cfRule>
    <cfRule type="expression" dxfId="5214" priority="13178">
      <formula>$H801="SUBETAPA"</formula>
    </cfRule>
    <cfRule type="expression" dxfId="5213" priority="13130">
      <formula>$H801="SUBETAPA"</formula>
    </cfRule>
    <cfRule type="expression" dxfId="5212" priority="13176">
      <formula>$H801="CÉLULA CONSTRUTIVA"</formula>
    </cfRule>
    <cfRule type="containsText" dxfId="5211" priority="13185" operator="containsText" text="N/A">
      <formula>NOT(ISERROR(SEARCH("N/A",P801)))</formula>
    </cfRule>
    <cfRule type="containsText" dxfId="5210" priority="13187" operator="containsText" text="Finalizado">
      <formula>NOT(ISERROR(SEARCH("Finalizado",P801)))</formula>
    </cfRule>
    <cfRule type="containsText" dxfId="5209" priority="13188" operator="containsText" text="em andamento">
      <formula>NOT(ISERROR(SEARCH("em andamento",P801)))</formula>
    </cfRule>
    <cfRule type="containsText" dxfId="5208" priority="13186" operator="containsText" text="Pendente">
      <formula>NOT(ISERROR(SEARCH("Pendente",P801)))</formula>
    </cfRule>
  </conditionalFormatting>
  <conditionalFormatting sqref="P802:P805">
    <cfRule type="containsText" dxfId="5207" priority="2966" operator="containsText" text="Finalizado">
      <formula>NOT(ISERROR(SEARCH("Finalizado",P802)))</formula>
    </cfRule>
    <cfRule type="expression" dxfId="5206" priority="2949">
      <formula>$H802="ETAPA"</formula>
    </cfRule>
    <cfRule type="expression" dxfId="5205" priority="2948">
      <formula>$H802="CÉLULA CONSTRUTIVA"</formula>
    </cfRule>
    <cfRule type="expression" dxfId="5204" priority="2947">
      <formula>$H802="SUBETAPA"</formula>
    </cfRule>
    <cfRule type="containsText" dxfId="5203" priority="2954" operator="containsText" text="em andamento">
      <formula>NOT(ISERROR(SEARCH("em andamento",P802)))</formula>
    </cfRule>
    <cfRule type="containsText" dxfId="5202" priority="2964" operator="containsText" text="N/A">
      <formula>NOT(ISERROR(SEARCH("N/A",P802)))</formula>
    </cfRule>
    <cfRule type="containsText" dxfId="5201" priority="2950" operator="containsText" text="Lançado">
      <formula>NOT(ISERROR(SEARCH("Lançado",P802)))</formula>
    </cfRule>
    <cfRule type="containsText" dxfId="5200" priority="2951" operator="containsText" text="N/A">
      <formula>NOT(ISERROR(SEARCH("N/A",P802)))</formula>
    </cfRule>
    <cfRule type="containsText" dxfId="5199" priority="2956" operator="containsText" text="N/A">
      <formula>NOT(ISERROR(SEARCH("N/A",P802)))</formula>
    </cfRule>
    <cfRule type="containsText" dxfId="5198" priority="2967" operator="containsText" text="em andamento">
      <formula>NOT(ISERROR(SEARCH("em andamento",P802)))</formula>
    </cfRule>
    <cfRule type="containsText" dxfId="5197" priority="2965" operator="containsText" text="Pendente">
      <formula>NOT(ISERROR(SEARCH("Pendente",P802)))</formula>
    </cfRule>
    <cfRule type="containsText" dxfId="5196" priority="2952" operator="containsText" text="Pendente">
      <formula>NOT(ISERROR(SEARCH("Pendente",P802)))</formula>
    </cfRule>
    <cfRule type="containsText" dxfId="5195" priority="2953" operator="containsText" text="Finalizado">
      <formula>NOT(ISERROR(SEARCH("Finalizado",P802)))</formula>
    </cfRule>
    <cfRule type="containsText" dxfId="5194" priority="2955" operator="containsText" text="Lançado">
      <formula>NOT(ISERROR(SEARCH("Lançado",P802)))</formula>
    </cfRule>
    <cfRule type="containsText" dxfId="5193" priority="2957" operator="containsText" text="Pendente">
      <formula>NOT(ISERROR(SEARCH("Pendente",P802)))</formula>
    </cfRule>
    <cfRule type="containsText" dxfId="5192" priority="2958" operator="containsText" text="Finalizado">
      <formula>NOT(ISERROR(SEARCH("Finalizado",P802)))</formula>
    </cfRule>
    <cfRule type="containsText" dxfId="5191" priority="2959" operator="containsText" text="em andamento">
      <formula>NOT(ISERROR(SEARCH("em andamento",P802)))</formula>
    </cfRule>
    <cfRule type="expression" dxfId="5190" priority="2960">
      <formula>$H802="SUBETAPA"</formula>
    </cfRule>
    <cfRule type="expression" dxfId="5189" priority="2961">
      <formula>$H802="CÉLULA CONSTRUTIVA"</formula>
    </cfRule>
    <cfRule type="expression" dxfId="5188" priority="2962">
      <formula>$H802="ETAPA"</formula>
    </cfRule>
    <cfRule type="containsText" dxfId="5187" priority="2963" operator="containsText" text="Lançado">
      <formula>NOT(ISERROR(SEARCH("Lançado",P802)))</formula>
    </cfRule>
  </conditionalFormatting>
  <conditionalFormatting sqref="P806:P807">
    <cfRule type="containsText" dxfId="5186" priority="13100" operator="containsText" text="Finalizado">
      <formula>NOT(ISERROR(SEARCH("Finalizado",P806)))</formula>
    </cfRule>
    <cfRule type="containsText" dxfId="5185" priority="13099" operator="containsText" text="Pendente">
      <formula>NOT(ISERROR(SEARCH("Pendente",P806)))</formula>
    </cfRule>
    <cfRule type="containsText" dxfId="5184" priority="13098" operator="containsText" text="N/A">
      <formula>NOT(ISERROR(SEARCH("N/A",P806)))</formula>
    </cfRule>
    <cfRule type="containsText" dxfId="5183" priority="13097" operator="containsText" text="Lançado">
      <formula>NOT(ISERROR(SEARCH("Lançado",P806)))</formula>
    </cfRule>
    <cfRule type="containsText" dxfId="5182" priority="13101" operator="containsText" text="em andamento">
      <formula>NOT(ISERROR(SEARCH("em andamento",P806)))</formula>
    </cfRule>
  </conditionalFormatting>
  <conditionalFormatting sqref="P807 P810">
    <cfRule type="expression" dxfId="5181" priority="13039">
      <formula>$H807="SUBETAPA"</formula>
    </cfRule>
  </conditionalFormatting>
  <conditionalFormatting sqref="P807">
    <cfRule type="expression" dxfId="5180" priority="13093">
      <formula>$H807="ETAPA"</formula>
    </cfRule>
    <cfRule type="expression" dxfId="5179" priority="13089">
      <formula>$H807="CÉLULA CONSTRUTIVA"</formula>
    </cfRule>
    <cfRule type="expression" dxfId="5178" priority="13091">
      <formula>$H807="SUBETAPA"</formula>
    </cfRule>
    <cfRule type="expression" dxfId="5177" priority="13092">
      <formula>$H807="CÉLULA CONSTRUTIVA"</formula>
    </cfRule>
    <cfRule type="expression" dxfId="5176" priority="13090">
      <formula>$H807="ETAPA"</formula>
    </cfRule>
  </conditionalFormatting>
  <conditionalFormatting sqref="P808:P809">
    <cfRule type="containsText" dxfId="5175" priority="2936" operator="containsText" text="Pendente">
      <formula>NOT(ISERROR(SEARCH("Pendente",P808)))</formula>
    </cfRule>
    <cfRule type="containsText" dxfId="5174" priority="2937" operator="containsText" text="Finalizado">
      <formula>NOT(ISERROR(SEARCH("Finalizado",P808)))</formula>
    </cfRule>
    <cfRule type="containsText" dxfId="5173" priority="2938" operator="containsText" text="em andamento">
      <formula>NOT(ISERROR(SEARCH("em andamento",P808)))</formula>
    </cfRule>
    <cfRule type="expression" dxfId="5172" priority="2939">
      <formula>$H808="SUBETAPA"</formula>
    </cfRule>
    <cfRule type="expression" dxfId="5171" priority="2940">
      <formula>$H808="CÉLULA CONSTRUTIVA"</formula>
    </cfRule>
    <cfRule type="expression" dxfId="5170" priority="2941">
      <formula>$H808="ETAPA"</formula>
    </cfRule>
    <cfRule type="containsText" dxfId="5169" priority="2942" operator="containsText" text="Lançado">
      <formula>NOT(ISERROR(SEARCH("Lançado",P808)))</formula>
    </cfRule>
    <cfRule type="containsText" dxfId="5168" priority="2943" operator="containsText" text="N/A">
      <formula>NOT(ISERROR(SEARCH("N/A",P808)))</formula>
    </cfRule>
    <cfRule type="containsText" dxfId="5167" priority="2944" operator="containsText" text="Pendente">
      <formula>NOT(ISERROR(SEARCH("Pendente",P808)))</formula>
    </cfRule>
    <cfRule type="containsText" dxfId="5166" priority="2945" operator="containsText" text="Finalizado">
      <formula>NOT(ISERROR(SEARCH("Finalizado",P808)))</formula>
    </cfRule>
    <cfRule type="containsText" dxfId="5165" priority="2946" operator="containsText" text="em andamento">
      <formula>NOT(ISERROR(SEARCH("em andamento",P808)))</formula>
    </cfRule>
    <cfRule type="expression" dxfId="5164" priority="2927">
      <formula>$H808="CÉLULA CONSTRUTIVA"</formula>
    </cfRule>
    <cfRule type="expression" dxfId="5163" priority="2926">
      <formula>$H808="SUBETAPA"</formula>
    </cfRule>
    <cfRule type="expression" dxfId="5162" priority="2928">
      <formula>$H808="ETAPA"</formula>
    </cfRule>
    <cfRule type="containsText" dxfId="5161" priority="2929" operator="containsText" text="Lançado">
      <formula>NOT(ISERROR(SEARCH("Lançado",P808)))</formula>
    </cfRule>
    <cfRule type="containsText" dxfId="5160" priority="2930" operator="containsText" text="N/A">
      <formula>NOT(ISERROR(SEARCH("N/A",P808)))</formula>
    </cfRule>
    <cfRule type="containsText" dxfId="5159" priority="2931" operator="containsText" text="Pendente">
      <formula>NOT(ISERROR(SEARCH("Pendente",P808)))</formula>
    </cfRule>
    <cfRule type="containsText" dxfId="5158" priority="2932" operator="containsText" text="Finalizado">
      <formula>NOT(ISERROR(SEARCH("Finalizado",P808)))</formula>
    </cfRule>
    <cfRule type="containsText" dxfId="5157" priority="2933" operator="containsText" text="em andamento">
      <formula>NOT(ISERROR(SEARCH("em andamento",P808)))</formula>
    </cfRule>
    <cfRule type="containsText" dxfId="5156" priority="2934" operator="containsText" text="Lançado">
      <formula>NOT(ISERROR(SEARCH("Lançado",P808)))</formula>
    </cfRule>
    <cfRule type="containsText" dxfId="5155" priority="2935" operator="containsText" text="N/A">
      <formula>NOT(ISERROR(SEARCH("N/A",P808)))</formula>
    </cfRule>
  </conditionalFormatting>
  <conditionalFormatting sqref="P810">
    <cfRule type="containsText" dxfId="5154" priority="13056" operator="containsText" text="em andamento">
      <formula>NOT(ISERROR(SEARCH("em andamento",P810)))</formula>
    </cfRule>
    <cfRule type="containsText" dxfId="5153" priority="13055" operator="containsText" text="Finalizado">
      <formula>NOT(ISERROR(SEARCH("Finalizado",P810)))</formula>
    </cfRule>
    <cfRule type="containsText" dxfId="5152" priority="13053" operator="containsText" text="N/A">
      <formula>NOT(ISERROR(SEARCH("N/A",P810)))</formula>
    </cfRule>
    <cfRule type="containsText" dxfId="5151" priority="13052" operator="containsText" text="Lançado">
      <formula>NOT(ISERROR(SEARCH("Lançado",P810)))</formula>
    </cfRule>
    <cfRule type="expression" dxfId="5150" priority="13051">
      <formula>$H810="ETAPA"</formula>
    </cfRule>
    <cfRule type="expression" dxfId="5149" priority="13050">
      <formula>$H810="CÉLULA CONSTRUTIVA"</formula>
    </cfRule>
    <cfRule type="containsText" dxfId="5148" priority="13054" operator="containsText" text="Pendente">
      <formula>NOT(ISERROR(SEARCH("Pendente",P810)))</formula>
    </cfRule>
  </conditionalFormatting>
  <conditionalFormatting sqref="P811:P812">
    <cfRule type="expression" dxfId="5147" priority="2918">
      <formula>$H811="SUBETAPA"</formula>
    </cfRule>
    <cfRule type="containsText" dxfId="5146" priority="2915" operator="containsText" text="Pendente">
      <formula>NOT(ISERROR(SEARCH("Pendente",P811)))</formula>
    </cfRule>
    <cfRule type="containsText" dxfId="5145" priority="2916" operator="containsText" text="Finalizado">
      <formula>NOT(ISERROR(SEARCH("Finalizado",P811)))</formula>
    </cfRule>
    <cfRule type="containsText" dxfId="5144" priority="2913" operator="containsText" text="Lançado">
      <formula>NOT(ISERROR(SEARCH("Lançado",P811)))</formula>
    </cfRule>
    <cfRule type="containsText" dxfId="5143" priority="2917" operator="containsText" text="em andamento">
      <formula>NOT(ISERROR(SEARCH("em andamento",P811)))</formula>
    </cfRule>
    <cfRule type="expression" dxfId="5142" priority="2919">
      <formula>$H811="CÉLULA CONSTRUTIVA"</formula>
    </cfRule>
    <cfRule type="expression" dxfId="5141" priority="2920">
      <formula>$H811="ETAPA"</formula>
    </cfRule>
    <cfRule type="containsText" dxfId="5140" priority="2921" operator="containsText" text="Lançado">
      <formula>NOT(ISERROR(SEARCH("Lançado",P811)))</formula>
    </cfRule>
    <cfRule type="containsText" dxfId="5139" priority="2922" operator="containsText" text="N/A">
      <formula>NOT(ISERROR(SEARCH("N/A",P811)))</formula>
    </cfRule>
    <cfRule type="containsText" dxfId="5138" priority="2923" operator="containsText" text="Pendente">
      <formula>NOT(ISERROR(SEARCH("Pendente",P811)))</formula>
    </cfRule>
    <cfRule type="containsText" dxfId="5137" priority="2912" operator="containsText" text="em andamento">
      <formula>NOT(ISERROR(SEARCH("em andamento",P811)))</formula>
    </cfRule>
    <cfRule type="expression" dxfId="5136" priority="2907">
      <formula>$H811="ETAPA"</formula>
    </cfRule>
    <cfRule type="containsText" dxfId="5135" priority="2911" operator="containsText" text="Finalizado">
      <formula>NOT(ISERROR(SEARCH("Finalizado",P811)))</formula>
    </cfRule>
    <cfRule type="containsText" dxfId="5134" priority="2910" operator="containsText" text="Pendente">
      <formula>NOT(ISERROR(SEARCH("Pendente",P811)))</formula>
    </cfRule>
    <cfRule type="containsText" dxfId="5133" priority="2909" operator="containsText" text="N/A">
      <formula>NOT(ISERROR(SEARCH("N/A",P811)))</formula>
    </cfRule>
    <cfRule type="containsText" dxfId="5132" priority="2908" operator="containsText" text="Lançado">
      <formula>NOT(ISERROR(SEARCH("Lançado",P811)))</formula>
    </cfRule>
    <cfRule type="containsText" dxfId="5131" priority="2925" operator="containsText" text="em andamento">
      <formula>NOT(ISERROR(SEARCH("em andamento",P811)))</formula>
    </cfRule>
    <cfRule type="containsText" dxfId="5130" priority="2924" operator="containsText" text="Finalizado">
      <formula>NOT(ISERROR(SEARCH("Finalizado",P811)))</formula>
    </cfRule>
    <cfRule type="expression" dxfId="5129" priority="2906">
      <formula>$H811="CÉLULA CONSTRUTIVA"</formula>
    </cfRule>
    <cfRule type="expression" dxfId="5128" priority="2905">
      <formula>$H811="SUBETAPA"</formula>
    </cfRule>
    <cfRule type="containsText" dxfId="5127" priority="2914" operator="containsText" text="N/A">
      <formula>NOT(ISERROR(SEARCH("N/A",P811)))</formula>
    </cfRule>
  </conditionalFormatting>
  <conditionalFormatting sqref="P813">
    <cfRule type="expression" dxfId="5126" priority="861">
      <formula>$H813="ETAPA"</formula>
    </cfRule>
    <cfRule type="expression" dxfId="5125" priority="860">
      <formula>$H813="CÉLULA CONSTRUTIVA"</formula>
    </cfRule>
    <cfRule type="expression" dxfId="5124" priority="859">
      <formula>$H813="SUBETAPA"</formula>
    </cfRule>
    <cfRule type="expression" dxfId="5123" priority="858">
      <formula>$H813="ETAPA"</formula>
    </cfRule>
    <cfRule type="expression" dxfId="5122" priority="857">
      <formula>$H813="CÉLULA CONSTRUTIVA"</formula>
    </cfRule>
    <cfRule type="expression" dxfId="5121" priority="856">
      <formula>$H813="SUBETAPA"</formula>
    </cfRule>
    <cfRule type="expression" dxfId="5120" priority="855">
      <formula>$H813="ETAPA"</formula>
    </cfRule>
    <cfRule type="expression" dxfId="5119" priority="854">
      <formula>$H813="CÉLULA CONSTRUTIVA"</formula>
    </cfRule>
    <cfRule type="expression" dxfId="5118" priority="853">
      <formula>$H813="SUBETAPA"</formula>
    </cfRule>
    <cfRule type="containsText" dxfId="5117" priority="866" operator="containsText" text="em andamento">
      <formula>NOT(ISERROR(SEARCH("em andamento",P813)))</formula>
    </cfRule>
    <cfRule type="containsText" dxfId="5116" priority="865" operator="containsText" text="Finalizado">
      <formula>NOT(ISERROR(SEARCH("Finalizado",P813)))</formula>
    </cfRule>
    <cfRule type="containsText" dxfId="5115" priority="864" operator="containsText" text="Pendente">
      <formula>NOT(ISERROR(SEARCH("Pendente",P813)))</formula>
    </cfRule>
    <cfRule type="containsText" dxfId="5114" priority="863" operator="containsText" text="N/A">
      <formula>NOT(ISERROR(SEARCH("N/A",P813)))</formula>
    </cfRule>
    <cfRule type="containsText" dxfId="5113" priority="862" operator="containsText" text="Lançado">
      <formula>NOT(ISERROR(SEARCH("Lançado",P813)))</formula>
    </cfRule>
  </conditionalFormatting>
  <conditionalFormatting sqref="P814:P815">
    <cfRule type="expression" dxfId="5112" priority="830">
      <formula>$H814="CÉLULA CONSTRUTIVA"</formula>
    </cfRule>
    <cfRule type="expression" dxfId="5111" priority="831">
      <formula>$H814="ETAPA"</formula>
    </cfRule>
    <cfRule type="containsText" dxfId="5110" priority="832" operator="containsText" text="Lançado">
      <formula>NOT(ISERROR(SEARCH("Lançado",P814)))</formula>
    </cfRule>
    <cfRule type="containsText" dxfId="5109" priority="833" operator="containsText" text="N/A">
      <formula>NOT(ISERROR(SEARCH("N/A",P814)))</formula>
    </cfRule>
    <cfRule type="containsText" dxfId="5108" priority="834" operator="containsText" text="Pendente">
      <formula>NOT(ISERROR(SEARCH("Pendente",P814)))</formula>
    </cfRule>
    <cfRule type="containsText" dxfId="5107" priority="849" operator="containsText" text="em andamento">
      <formula>NOT(ISERROR(SEARCH("em andamento",P814)))</formula>
    </cfRule>
    <cfRule type="expression" dxfId="5106" priority="829">
      <formula>$H814="SUBETAPA"</formula>
    </cfRule>
    <cfRule type="containsText" dxfId="5105" priority="847" operator="containsText" text="Pendente">
      <formula>NOT(ISERROR(SEARCH("Pendente",P814)))</formula>
    </cfRule>
    <cfRule type="containsText" dxfId="5104" priority="841" operator="containsText" text="em andamento">
      <formula>NOT(ISERROR(SEARCH("em andamento",P814)))</formula>
    </cfRule>
    <cfRule type="expression" dxfId="5103" priority="842">
      <formula>$H814="SUBETAPA"</formula>
    </cfRule>
    <cfRule type="expression" dxfId="5102" priority="843">
      <formula>$H814="CÉLULA CONSTRUTIVA"</formula>
    </cfRule>
    <cfRule type="expression" dxfId="5101" priority="844">
      <formula>$H814="ETAPA"</formula>
    </cfRule>
    <cfRule type="containsText" dxfId="5100" priority="835" operator="containsText" text="Finalizado">
      <formula>NOT(ISERROR(SEARCH("Finalizado",P814)))</formula>
    </cfRule>
    <cfRule type="containsText" dxfId="5099" priority="840" operator="containsText" text="Finalizado">
      <formula>NOT(ISERROR(SEARCH("Finalizado",P814)))</formula>
    </cfRule>
    <cfRule type="containsText" dxfId="5098" priority="848" operator="containsText" text="Finalizado">
      <formula>NOT(ISERROR(SEARCH("Finalizado",P814)))</formula>
    </cfRule>
    <cfRule type="containsText" dxfId="5097" priority="839" operator="containsText" text="Pendente">
      <formula>NOT(ISERROR(SEARCH("Pendente",P814)))</formula>
    </cfRule>
    <cfRule type="containsText" dxfId="5096" priority="838" operator="containsText" text="N/A">
      <formula>NOT(ISERROR(SEARCH("N/A",P814)))</formula>
    </cfRule>
    <cfRule type="containsText" dxfId="5095" priority="837" operator="containsText" text="Lançado">
      <formula>NOT(ISERROR(SEARCH("Lançado",P814)))</formula>
    </cfRule>
    <cfRule type="containsText" dxfId="5094" priority="836" operator="containsText" text="em andamento">
      <formula>NOT(ISERROR(SEARCH("em andamento",P814)))</formula>
    </cfRule>
    <cfRule type="containsText" dxfId="5093" priority="845" operator="containsText" text="Lançado">
      <formula>NOT(ISERROR(SEARCH("Lançado",P814)))</formula>
    </cfRule>
    <cfRule type="containsText" dxfId="5092" priority="846" operator="containsText" text="N/A">
      <formula>NOT(ISERROR(SEARCH("N/A",P814)))</formula>
    </cfRule>
  </conditionalFormatting>
  <conditionalFormatting sqref="P816">
    <cfRule type="containsText" dxfId="5091" priority="13069" operator="containsText" text="em andamento">
      <formula>NOT(ISERROR(SEARCH("em andamento",P816)))</formula>
    </cfRule>
    <cfRule type="containsText" dxfId="5090" priority="13065" operator="containsText" text="Lançado">
      <formula>NOT(ISERROR(SEARCH("Lançado",P816)))</formula>
    </cfRule>
    <cfRule type="containsText" dxfId="5089" priority="13066" operator="containsText" text="N/A">
      <formula>NOT(ISERROR(SEARCH("N/A",P816)))</formula>
    </cfRule>
    <cfRule type="containsText" dxfId="5088" priority="13067" operator="containsText" text="Pendente">
      <formula>NOT(ISERROR(SEARCH("Pendente",P816)))</formula>
    </cfRule>
    <cfRule type="containsText" dxfId="5087" priority="13068" operator="containsText" text="Finalizado">
      <formula>NOT(ISERROR(SEARCH("Finalizado",P816)))</formula>
    </cfRule>
  </conditionalFormatting>
  <conditionalFormatting sqref="P817">
    <cfRule type="containsText" dxfId="5086" priority="2902" operator="containsText" text="Pendente">
      <formula>NOT(ISERROR(SEARCH("Pendente",P817)))</formula>
    </cfRule>
    <cfRule type="containsText" dxfId="5085" priority="2903" operator="containsText" text="Finalizado">
      <formula>NOT(ISERROR(SEARCH("Finalizado",P817)))</formula>
    </cfRule>
    <cfRule type="containsText" dxfId="5084" priority="2904" operator="containsText" text="em andamento">
      <formula>NOT(ISERROR(SEARCH("em andamento",P817)))</formula>
    </cfRule>
    <cfRule type="containsText" dxfId="5083" priority="2892" operator="containsText" text="Lançado">
      <formula>NOT(ISERROR(SEARCH("Lançado",P817)))</formula>
    </cfRule>
    <cfRule type="expression" dxfId="5082" priority="2899">
      <formula>$H817="ETAPA"</formula>
    </cfRule>
    <cfRule type="containsText" dxfId="5081" priority="2895" operator="containsText" text="Finalizado">
      <formula>NOT(ISERROR(SEARCH("Finalizado",P817)))</formula>
    </cfRule>
    <cfRule type="containsText" dxfId="5080" priority="2896" operator="containsText" text="em andamento">
      <formula>NOT(ISERROR(SEARCH("em andamento",P817)))</formula>
    </cfRule>
    <cfRule type="containsText" dxfId="5079" priority="2900" operator="containsText" text="Lançado">
      <formula>NOT(ISERROR(SEARCH("Lançado",P817)))</formula>
    </cfRule>
    <cfRule type="expression" dxfId="5078" priority="2897">
      <formula>$H817="SUBETAPA"</formula>
    </cfRule>
    <cfRule type="expression" dxfId="5077" priority="2884">
      <formula>$H817="SUBETAPA"</formula>
    </cfRule>
    <cfRule type="expression" dxfId="5076" priority="2885">
      <formula>$H817="CÉLULA CONSTRUTIVA"</formula>
    </cfRule>
    <cfRule type="expression" dxfId="5075" priority="2886">
      <formula>$H817="ETAPA"</formula>
    </cfRule>
    <cfRule type="containsText" dxfId="5074" priority="2887" operator="containsText" text="Lançado">
      <formula>NOT(ISERROR(SEARCH("Lançado",P817)))</formula>
    </cfRule>
    <cfRule type="containsText" dxfId="5073" priority="2888" operator="containsText" text="N/A">
      <formula>NOT(ISERROR(SEARCH("N/A",P817)))</formula>
    </cfRule>
    <cfRule type="containsText" dxfId="5072" priority="2889" operator="containsText" text="Pendente">
      <formula>NOT(ISERROR(SEARCH("Pendente",P817)))</formula>
    </cfRule>
    <cfRule type="containsText" dxfId="5071" priority="2891" operator="containsText" text="em andamento">
      <formula>NOT(ISERROR(SEARCH("em andamento",P817)))</formula>
    </cfRule>
    <cfRule type="containsText" dxfId="5070" priority="2890" operator="containsText" text="Finalizado">
      <formula>NOT(ISERROR(SEARCH("Finalizado",P817)))</formula>
    </cfRule>
    <cfRule type="containsText" dxfId="5069" priority="2894" operator="containsText" text="Pendente">
      <formula>NOT(ISERROR(SEARCH("Pendente",P817)))</formula>
    </cfRule>
    <cfRule type="containsText" dxfId="5068" priority="2893" operator="containsText" text="N/A">
      <formula>NOT(ISERROR(SEARCH("N/A",P817)))</formula>
    </cfRule>
    <cfRule type="containsText" dxfId="5067" priority="2901" operator="containsText" text="N/A">
      <formula>NOT(ISERROR(SEARCH("N/A",P817)))</formula>
    </cfRule>
    <cfRule type="expression" dxfId="5066" priority="2898">
      <formula>$H817="CÉLULA CONSTRUTIVA"</formula>
    </cfRule>
  </conditionalFormatting>
  <conditionalFormatting sqref="P818">
    <cfRule type="containsText" dxfId="5065" priority="13079" operator="containsText" text="N/A">
      <formula>NOT(ISERROR(SEARCH("N/A",P818)))</formula>
    </cfRule>
    <cfRule type="containsText" dxfId="5064" priority="13078" operator="containsText" text="Lançado">
      <formula>NOT(ISERROR(SEARCH("Lançado",P818)))</formula>
    </cfRule>
    <cfRule type="expression" dxfId="5063" priority="13074">
      <formula>$H818="ETAPA"</formula>
    </cfRule>
    <cfRule type="expression" dxfId="5062" priority="13072">
      <formula>$H818="SUBETAPA"</formula>
    </cfRule>
    <cfRule type="expression" dxfId="5061" priority="13073">
      <formula>$H818="CÉLULA CONSTRUTIVA"</formula>
    </cfRule>
    <cfRule type="expression" dxfId="5060" priority="13024">
      <formula>$H818="SUBETAPA"</formula>
    </cfRule>
    <cfRule type="containsText" dxfId="5059" priority="13080" operator="containsText" text="Pendente">
      <formula>NOT(ISERROR(SEARCH("Pendente",P818)))</formula>
    </cfRule>
    <cfRule type="containsText" dxfId="5058" priority="13082" operator="containsText" text="em andamento">
      <formula>NOT(ISERROR(SEARCH("em andamento",P818)))</formula>
    </cfRule>
    <cfRule type="containsText" dxfId="5057" priority="13081" operator="containsText" text="Finalizado">
      <formula>NOT(ISERROR(SEARCH("Finalizado",P818)))</formula>
    </cfRule>
    <cfRule type="expression" dxfId="5056" priority="13070">
      <formula>$H818="CÉLULA CONSTRUTIVA"</formula>
    </cfRule>
    <cfRule type="expression" dxfId="5055" priority="13071">
      <formula>$H818="ETAPA"</formula>
    </cfRule>
  </conditionalFormatting>
  <conditionalFormatting sqref="P819:P820 P822">
    <cfRule type="containsText" dxfId="5054" priority="2872" operator="containsText" text="N/A">
      <formula>NOT(ISERROR(SEARCH("N/A",P819)))</formula>
    </cfRule>
    <cfRule type="expression" dxfId="5053" priority="2863">
      <formula>$H819="SUBETAPA"</formula>
    </cfRule>
    <cfRule type="expression" dxfId="5052" priority="2864">
      <formula>$H819="CÉLULA CONSTRUTIVA"</formula>
    </cfRule>
    <cfRule type="expression" dxfId="5051" priority="2865">
      <formula>$H819="ETAPA"</formula>
    </cfRule>
    <cfRule type="containsText" dxfId="5050" priority="2866" operator="containsText" text="Lançado">
      <formula>NOT(ISERROR(SEARCH("Lançado",P819)))</formula>
    </cfRule>
    <cfRule type="containsText" dxfId="5049" priority="2867" operator="containsText" text="N/A">
      <formula>NOT(ISERROR(SEARCH("N/A",P819)))</formula>
    </cfRule>
    <cfRule type="containsText" dxfId="5048" priority="2868" operator="containsText" text="Pendente">
      <formula>NOT(ISERROR(SEARCH("Pendente",P819)))</formula>
    </cfRule>
    <cfRule type="containsText" dxfId="5047" priority="2869" operator="containsText" text="Finalizado">
      <formula>NOT(ISERROR(SEARCH("Finalizado",P819)))</formula>
    </cfRule>
    <cfRule type="containsText" dxfId="5046" priority="2870" operator="containsText" text="em andamento">
      <formula>NOT(ISERROR(SEARCH("em andamento",P819)))</formula>
    </cfRule>
    <cfRule type="containsText" dxfId="5045" priority="2871" operator="containsText" text="Lançado">
      <formula>NOT(ISERROR(SEARCH("Lançado",P819)))</formula>
    </cfRule>
    <cfRule type="containsText" dxfId="5044" priority="2873" operator="containsText" text="Pendente">
      <formula>NOT(ISERROR(SEARCH("Pendente",P819)))</formula>
    </cfRule>
    <cfRule type="containsText" dxfId="5043" priority="2874" operator="containsText" text="Finalizado">
      <formula>NOT(ISERROR(SEARCH("Finalizado",P819)))</formula>
    </cfRule>
    <cfRule type="containsText" dxfId="5042" priority="2875" operator="containsText" text="em andamento">
      <formula>NOT(ISERROR(SEARCH("em andamento",P819)))</formula>
    </cfRule>
    <cfRule type="expression" dxfId="5041" priority="2876">
      <formula>$H819="SUBETAPA"</formula>
    </cfRule>
    <cfRule type="expression" dxfId="5040" priority="2877">
      <formula>$H819="CÉLULA CONSTRUTIVA"</formula>
    </cfRule>
    <cfRule type="expression" dxfId="5039" priority="2878">
      <formula>$H819="ETAPA"</formula>
    </cfRule>
    <cfRule type="containsText" dxfId="5038" priority="2879" operator="containsText" text="Lançado">
      <formula>NOT(ISERROR(SEARCH("Lançado",P819)))</formula>
    </cfRule>
    <cfRule type="containsText" dxfId="5037" priority="2880" operator="containsText" text="N/A">
      <formula>NOT(ISERROR(SEARCH("N/A",P819)))</formula>
    </cfRule>
    <cfRule type="containsText" dxfId="5036" priority="2881" operator="containsText" text="Pendente">
      <formula>NOT(ISERROR(SEARCH("Pendente",P819)))</formula>
    </cfRule>
    <cfRule type="containsText" dxfId="5035" priority="2882" operator="containsText" text="Finalizado">
      <formula>NOT(ISERROR(SEARCH("Finalizado",P819)))</formula>
    </cfRule>
    <cfRule type="containsText" dxfId="5034" priority="2883" operator="containsText" text="em andamento">
      <formula>NOT(ISERROR(SEARCH("em andamento",P819)))</formula>
    </cfRule>
  </conditionalFormatting>
  <conditionalFormatting sqref="P821">
    <cfRule type="containsText" dxfId="5033" priority="727" operator="containsText" text="Pendente">
      <formula>NOT(ISERROR(SEARCH("Pendente",P821)))</formula>
    </cfRule>
    <cfRule type="containsText" dxfId="5032" priority="728" operator="containsText" text="Finalizado">
      <formula>NOT(ISERROR(SEARCH("Finalizado",P821)))</formula>
    </cfRule>
    <cfRule type="containsText" dxfId="5031" priority="729" operator="containsText" text="em andamento">
      <formula>NOT(ISERROR(SEARCH("em andamento",P821)))</formula>
    </cfRule>
    <cfRule type="expression" dxfId="5030" priority="730">
      <formula>$H821="SUBETAPA"</formula>
    </cfRule>
    <cfRule type="expression" dxfId="5029" priority="731">
      <formula>$H821="CÉLULA CONSTRUTIVA"</formula>
    </cfRule>
    <cfRule type="containsText" dxfId="5028" priority="724" operator="containsText" text="em andamento">
      <formula>NOT(ISERROR(SEARCH("em andamento",P821)))</formula>
    </cfRule>
    <cfRule type="containsText" dxfId="5027" priority="725" operator="containsText" text="Lançado">
      <formula>NOT(ISERROR(SEARCH("Lançado",P821)))</formula>
    </cfRule>
    <cfRule type="containsText" dxfId="5026" priority="726" operator="containsText" text="N/A">
      <formula>NOT(ISERROR(SEARCH("N/A",P821)))</formula>
    </cfRule>
    <cfRule type="expression" dxfId="5025" priority="732">
      <formula>$H821="ETAPA"</formula>
    </cfRule>
    <cfRule type="containsText" dxfId="5024" priority="733" operator="containsText" text="Lançado">
      <formula>NOT(ISERROR(SEARCH("Lançado",P821)))</formula>
    </cfRule>
    <cfRule type="containsText" dxfId="5023" priority="734" operator="containsText" text="N/A">
      <formula>NOT(ISERROR(SEARCH("N/A",P821)))</formula>
    </cfRule>
    <cfRule type="containsText" dxfId="5022" priority="721" operator="containsText" text="N/A">
      <formula>NOT(ISERROR(SEARCH("N/A",P821)))</formula>
    </cfRule>
    <cfRule type="containsText" dxfId="5021" priority="735" operator="containsText" text="Pendente">
      <formula>NOT(ISERROR(SEARCH("Pendente",P821)))</formula>
    </cfRule>
    <cfRule type="containsText" dxfId="5020" priority="736" operator="containsText" text="Finalizado">
      <formula>NOT(ISERROR(SEARCH("Finalizado",P821)))</formula>
    </cfRule>
    <cfRule type="containsText" dxfId="5019" priority="737" operator="containsText" text="em andamento">
      <formula>NOT(ISERROR(SEARCH("em andamento",P821)))</formula>
    </cfRule>
    <cfRule type="expression" dxfId="5018" priority="717">
      <formula>$H821="SUBETAPA"</formula>
    </cfRule>
    <cfRule type="expression" dxfId="5017" priority="718">
      <formula>$H821="CÉLULA CONSTRUTIVA"</formula>
    </cfRule>
    <cfRule type="expression" dxfId="5016" priority="719">
      <formula>$H821="ETAPA"</formula>
    </cfRule>
    <cfRule type="containsText" dxfId="5015" priority="720" operator="containsText" text="Lançado">
      <formula>NOT(ISERROR(SEARCH("Lançado",P821)))</formula>
    </cfRule>
    <cfRule type="containsText" dxfId="5014" priority="722" operator="containsText" text="Pendente">
      <formula>NOT(ISERROR(SEARCH("Pendente",P821)))</formula>
    </cfRule>
    <cfRule type="containsText" dxfId="5013" priority="723" operator="containsText" text="Finalizado">
      <formula>NOT(ISERROR(SEARCH("Finalizado",P821)))</formula>
    </cfRule>
  </conditionalFormatting>
  <conditionalFormatting sqref="P823:P824">
    <cfRule type="containsText" dxfId="5012" priority="12991" operator="containsText" text="Finalizado">
      <formula>NOT(ISERROR(SEARCH("Finalizado",P823)))</formula>
    </cfRule>
    <cfRule type="containsText" dxfId="5011" priority="12990" operator="containsText" text="Pendente">
      <formula>NOT(ISERROR(SEARCH("Pendente",P823)))</formula>
    </cfRule>
    <cfRule type="containsText" dxfId="5010" priority="12989" operator="containsText" text="N/A">
      <formula>NOT(ISERROR(SEARCH("N/A",P823)))</formula>
    </cfRule>
    <cfRule type="containsText" dxfId="5009" priority="12988" operator="containsText" text="Lançado">
      <formula>NOT(ISERROR(SEARCH("Lançado",P823)))</formula>
    </cfRule>
    <cfRule type="containsText" dxfId="5008" priority="12992" operator="containsText" text="em andamento">
      <formula>NOT(ISERROR(SEARCH("em andamento",P823)))</formula>
    </cfRule>
  </conditionalFormatting>
  <conditionalFormatting sqref="P824 P827">
    <cfRule type="expression" dxfId="5007" priority="12930">
      <formula>$H824="SUBETAPA"</formula>
    </cfRule>
  </conditionalFormatting>
  <conditionalFormatting sqref="P824">
    <cfRule type="expression" dxfId="5006" priority="12984">
      <formula>$H824="ETAPA"</formula>
    </cfRule>
    <cfRule type="expression" dxfId="5005" priority="12981">
      <formula>$H824="ETAPA"</formula>
    </cfRule>
    <cfRule type="expression" dxfId="5004" priority="12980">
      <formula>$H824="CÉLULA CONSTRUTIVA"</formula>
    </cfRule>
    <cfRule type="expression" dxfId="5003" priority="12983">
      <formula>$H824="CÉLULA CONSTRUTIVA"</formula>
    </cfRule>
    <cfRule type="expression" dxfId="5002" priority="12982">
      <formula>$H824="SUBETAPA"</formula>
    </cfRule>
  </conditionalFormatting>
  <conditionalFormatting sqref="P825:P826">
    <cfRule type="expression" dxfId="5001" priority="2856">
      <formula>$H825="CÉLULA CONSTRUTIVA"</formula>
    </cfRule>
    <cfRule type="containsText" dxfId="5000" priority="2854" operator="containsText" text="em andamento">
      <formula>NOT(ISERROR(SEARCH("em andamento",P825)))</formula>
    </cfRule>
    <cfRule type="containsText" dxfId="4999" priority="2853" operator="containsText" text="Finalizado">
      <formula>NOT(ISERROR(SEARCH("Finalizado",P825)))</formula>
    </cfRule>
    <cfRule type="containsText" dxfId="4998" priority="2852" operator="containsText" text="Pendente">
      <formula>NOT(ISERROR(SEARCH("Pendente",P825)))</formula>
    </cfRule>
    <cfRule type="expression" dxfId="4997" priority="2855">
      <formula>$H825="SUBETAPA"</formula>
    </cfRule>
    <cfRule type="containsText" dxfId="4996" priority="2846" operator="containsText" text="N/A">
      <formula>NOT(ISERROR(SEARCH("N/A",P825)))</formula>
    </cfRule>
    <cfRule type="containsText" dxfId="4995" priority="2845" operator="containsText" text="Lançado">
      <formula>NOT(ISERROR(SEARCH("Lançado",P825)))</formula>
    </cfRule>
    <cfRule type="expression" dxfId="4994" priority="2844">
      <formula>$H825="ETAPA"</formula>
    </cfRule>
    <cfRule type="expression" dxfId="4993" priority="2842">
      <formula>$H825="SUBETAPA"</formula>
    </cfRule>
    <cfRule type="containsText" dxfId="4992" priority="2862" operator="containsText" text="em andamento">
      <formula>NOT(ISERROR(SEARCH("em andamento",P825)))</formula>
    </cfRule>
    <cfRule type="containsText" dxfId="4991" priority="2851" operator="containsText" text="N/A">
      <formula>NOT(ISERROR(SEARCH("N/A",P825)))</formula>
    </cfRule>
    <cfRule type="containsText" dxfId="4990" priority="2848" operator="containsText" text="Finalizado">
      <formula>NOT(ISERROR(SEARCH("Finalizado",P825)))</formula>
    </cfRule>
    <cfRule type="containsText" dxfId="4989" priority="2849" operator="containsText" text="em andamento">
      <formula>NOT(ISERROR(SEARCH("em andamento",P825)))</formula>
    </cfRule>
    <cfRule type="expression" dxfId="4988" priority="2843">
      <formula>$H825="CÉLULA CONSTRUTIVA"</formula>
    </cfRule>
    <cfRule type="containsText" dxfId="4987" priority="2850" operator="containsText" text="Lançado">
      <formula>NOT(ISERROR(SEARCH("Lançado",P825)))</formula>
    </cfRule>
    <cfRule type="containsText" dxfId="4986" priority="2847" operator="containsText" text="Pendente">
      <formula>NOT(ISERROR(SEARCH("Pendente",P825)))</formula>
    </cfRule>
    <cfRule type="containsText" dxfId="4985" priority="2861" operator="containsText" text="Finalizado">
      <formula>NOT(ISERROR(SEARCH("Finalizado",P825)))</formula>
    </cfRule>
    <cfRule type="containsText" dxfId="4984" priority="2860" operator="containsText" text="Pendente">
      <formula>NOT(ISERROR(SEARCH("Pendente",P825)))</formula>
    </cfRule>
    <cfRule type="containsText" dxfId="4983" priority="2859" operator="containsText" text="N/A">
      <formula>NOT(ISERROR(SEARCH("N/A",P825)))</formula>
    </cfRule>
    <cfRule type="containsText" dxfId="4982" priority="2858" operator="containsText" text="Lançado">
      <formula>NOT(ISERROR(SEARCH("Lançado",P825)))</formula>
    </cfRule>
    <cfRule type="expression" dxfId="4981" priority="2857">
      <formula>$H825="ETAPA"</formula>
    </cfRule>
  </conditionalFormatting>
  <conditionalFormatting sqref="P827">
    <cfRule type="containsText" dxfId="4980" priority="12947" operator="containsText" text="em andamento">
      <formula>NOT(ISERROR(SEARCH("em andamento",P827)))</formula>
    </cfRule>
    <cfRule type="expression" dxfId="4979" priority="12941">
      <formula>$H827="CÉLULA CONSTRUTIVA"</formula>
    </cfRule>
    <cfRule type="expression" dxfId="4978" priority="12942">
      <formula>$H827="ETAPA"</formula>
    </cfRule>
    <cfRule type="containsText" dxfId="4977" priority="12943" operator="containsText" text="Lançado">
      <formula>NOT(ISERROR(SEARCH("Lançado",P827)))</formula>
    </cfRule>
    <cfRule type="containsText" dxfId="4976" priority="12944" operator="containsText" text="N/A">
      <formula>NOT(ISERROR(SEARCH("N/A",P827)))</formula>
    </cfRule>
    <cfRule type="containsText" dxfId="4975" priority="12945" operator="containsText" text="Pendente">
      <formula>NOT(ISERROR(SEARCH("Pendente",P827)))</formula>
    </cfRule>
    <cfRule type="containsText" dxfId="4974" priority="12946" operator="containsText" text="Finalizado">
      <formula>NOT(ISERROR(SEARCH("Finalizado",P827)))</formula>
    </cfRule>
  </conditionalFormatting>
  <conditionalFormatting sqref="P828:P829">
    <cfRule type="containsText" dxfId="4973" priority="2828" operator="containsText" text="em andamento">
      <formula>NOT(ISERROR(SEARCH("em andamento",P828)))</formula>
    </cfRule>
    <cfRule type="expression" dxfId="4972" priority="2836">
      <formula>$H828="ETAPA"</formula>
    </cfRule>
    <cfRule type="containsText" dxfId="4971" priority="2824" operator="containsText" text="Lançado">
      <formula>NOT(ISERROR(SEARCH("Lançado",P828)))</formula>
    </cfRule>
    <cfRule type="containsText" dxfId="4970" priority="2833" operator="containsText" text="em andamento">
      <formula>NOT(ISERROR(SEARCH("em andamento",P828)))</formula>
    </cfRule>
    <cfRule type="containsText" dxfId="4969" priority="2841" operator="containsText" text="em andamento">
      <formula>NOT(ISERROR(SEARCH("em andamento",P828)))</formula>
    </cfRule>
    <cfRule type="containsText" dxfId="4968" priority="2826" operator="containsText" text="Pendente">
      <formula>NOT(ISERROR(SEARCH("Pendente",P828)))</formula>
    </cfRule>
    <cfRule type="containsText" dxfId="4967" priority="2827" operator="containsText" text="Finalizado">
      <formula>NOT(ISERROR(SEARCH("Finalizado",P828)))</formula>
    </cfRule>
    <cfRule type="containsText" dxfId="4966" priority="2832" operator="containsText" text="Finalizado">
      <formula>NOT(ISERROR(SEARCH("Finalizado",P828)))</formula>
    </cfRule>
    <cfRule type="containsText" dxfId="4965" priority="2831" operator="containsText" text="Pendente">
      <formula>NOT(ISERROR(SEARCH("Pendente",P828)))</formula>
    </cfRule>
    <cfRule type="containsText" dxfId="4964" priority="2840" operator="containsText" text="Finalizado">
      <formula>NOT(ISERROR(SEARCH("Finalizado",P828)))</formula>
    </cfRule>
    <cfRule type="containsText" dxfId="4963" priority="2830" operator="containsText" text="N/A">
      <formula>NOT(ISERROR(SEARCH("N/A",P828)))</formula>
    </cfRule>
    <cfRule type="expression" dxfId="4962" priority="2834">
      <formula>$H828="SUBETAPA"</formula>
    </cfRule>
    <cfRule type="containsText" dxfId="4961" priority="2829" operator="containsText" text="Lançado">
      <formula>NOT(ISERROR(SEARCH("Lançado",P828)))</formula>
    </cfRule>
    <cfRule type="expression" dxfId="4960" priority="2835">
      <formula>$H828="CÉLULA CONSTRUTIVA"</formula>
    </cfRule>
    <cfRule type="containsText" dxfId="4959" priority="2825" operator="containsText" text="N/A">
      <formula>NOT(ISERROR(SEARCH("N/A",P828)))</formula>
    </cfRule>
    <cfRule type="expression" dxfId="4958" priority="2821">
      <formula>$H828="SUBETAPA"</formula>
    </cfRule>
    <cfRule type="expression" dxfId="4957" priority="2822">
      <formula>$H828="CÉLULA CONSTRUTIVA"</formula>
    </cfRule>
    <cfRule type="containsText" dxfId="4956" priority="2837" operator="containsText" text="Lançado">
      <formula>NOT(ISERROR(SEARCH("Lançado",P828)))</formula>
    </cfRule>
    <cfRule type="containsText" dxfId="4955" priority="2838" operator="containsText" text="N/A">
      <formula>NOT(ISERROR(SEARCH("N/A",P828)))</formula>
    </cfRule>
    <cfRule type="containsText" dxfId="4954" priority="2839" operator="containsText" text="Pendente">
      <formula>NOT(ISERROR(SEARCH("Pendente",P828)))</formula>
    </cfRule>
    <cfRule type="expression" dxfId="4953" priority="2823">
      <formula>$H828="ETAPA"</formula>
    </cfRule>
  </conditionalFormatting>
  <conditionalFormatting sqref="P830">
    <cfRule type="expression" dxfId="4952" priority="809">
      <formula>$H830="ETAPA"</formula>
    </cfRule>
    <cfRule type="expression" dxfId="4951" priority="812">
      <formula>$H830="ETAPA"</formula>
    </cfRule>
    <cfRule type="containsText" dxfId="4950" priority="813" operator="containsText" text="Lançado">
      <formula>NOT(ISERROR(SEARCH("Lançado",P830)))</formula>
    </cfRule>
    <cfRule type="containsText" dxfId="4949" priority="814" operator="containsText" text="N/A">
      <formula>NOT(ISERROR(SEARCH("N/A",P830)))</formula>
    </cfRule>
    <cfRule type="expression" dxfId="4948" priority="808">
      <formula>$H830="CÉLULA CONSTRUTIVA"</formula>
    </cfRule>
    <cfRule type="expression" dxfId="4947" priority="805">
      <formula>$H830="CÉLULA CONSTRUTIVA"</formula>
    </cfRule>
    <cfRule type="expression" dxfId="4946" priority="804">
      <formula>$H830="SUBETAPA"</formula>
    </cfRule>
    <cfRule type="containsText" dxfId="4945" priority="815" operator="containsText" text="Pendente">
      <formula>NOT(ISERROR(SEARCH("Pendente",P830)))</formula>
    </cfRule>
    <cfRule type="expression" dxfId="4944" priority="811">
      <formula>$H830="CÉLULA CONSTRUTIVA"</formula>
    </cfRule>
    <cfRule type="containsText" dxfId="4943" priority="816" operator="containsText" text="Finalizado">
      <formula>NOT(ISERROR(SEARCH("Finalizado",P830)))</formula>
    </cfRule>
    <cfRule type="expression" dxfId="4942" priority="806">
      <formula>$H830="ETAPA"</formula>
    </cfRule>
    <cfRule type="containsText" dxfId="4941" priority="817" operator="containsText" text="em andamento">
      <formula>NOT(ISERROR(SEARCH("em andamento",P830)))</formula>
    </cfRule>
    <cfRule type="expression" dxfId="4940" priority="807">
      <formula>$H830="SUBETAPA"</formula>
    </cfRule>
    <cfRule type="expression" dxfId="4939" priority="810">
      <formula>$H830="SUBETAPA"</formula>
    </cfRule>
  </conditionalFormatting>
  <conditionalFormatting sqref="P831">
    <cfRule type="containsText" dxfId="4938" priority="800" operator="containsText" text="em andamento">
      <formula>NOT(ISERROR(SEARCH("em andamento",P831)))</formula>
    </cfRule>
    <cfRule type="containsText" dxfId="4937" priority="786" operator="containsText" text="Finalizado">
      <formula>NOT(ISERROR(SEARCH("Finalizado",P831)))</formula>
    </cfRule>
    <cfRule type="expression" dxfId="4936" priority="781">
      <formula>$H831="CÉLULA CONSTRUTIVA"</formula>
    </cfRule>
    <cfRule type="containsText" dxfId="4935" priority="787" operator="containsText" text="em andamento">
      <formula>NOT(ISERROR(SEARCH("em andamento",P831)))</formula>
    </cfRule>
    <cfRule type="containsText" dxfId="4934" priority="788" operator="containsText" text="Lançado">
      <formula>NOT(ISERROR(SEARCH("Lançado",P831)))</formula>
    </cfRule>
    <cfRule type="containsText" dxfId="4933" priority="789" operator="containsText" text="N/A">
      <formula>NOT(ISERROR(SEARCH("N/A",P831)))</formula>
    </cfRule>
    <cfRule type="containsText" dxfId="4932" priority="790" operator="containsText" text="Pendente">
      <formula>NOT(ISERROR(SEARCH("Pendente",P831)))</formula>
    </cfRule>
    <cfRule type="containsText" dxfId="4931" priority="791" operator="containsText" text="Finalizado">
      <formula>NOT(ISERROR(SEARCH("Finalizado",P831)))</formula>
    </cfRule>
    <cfRule type="containsText" dxfId="4930" priority="792" operator="containsText" text="em andamento">
      <formula>NOT(ISERROR(SEARCH("em andamento",P831)))</formula>
    </cfRule>
    <cfRule type="expression" dxfId="4929" priority="793">
      <formula>$H831="SUBETAPA"</formula>
    </cfRule>
    <cfRule type="expression" dxfId="4928" priority="794">
      <formula>$H831="CÉLULA CONSTRUTIVA"</formula>
    </cfRule>
    <cfRule type="expression" dxfId="4927" priority="795">
      <formula>$H831="ETAPA"</formula>
    </cfRule>
    <cfRule type="containsText" dxfId="4926" priority="796" operator="containsText" text="Lançado">
      <formula>NOT(ISERROR(SEARCH("Lançado",P831)))</formula>
    </cfRule>
    <cfRule type="expression" dxfId="4925" priority="780">
      <formula>$H831="SUBETAPA"</formula>
    </cfRule>
    <cfRule type="expression" dxfId="4924" priority="782">
      <formula>$H831="ETAPA"</formula>
    </cfRule>
    <cfRule type="containsText" dxfId="4923" priority="783" operator="containsText" text="Lançado">
      <formula>NOT(ISERROR(SEARCH("Lançado",P831)))</formula>
    </cfRule>
    <cfRule type="containsText" dxfId="4922" priority="784" operator="containsText" text="N/A">
      <formula>NOT(ISERROR(SEARCH("N/A",P831)))</formula>
    </cfRule>
    <cfRule type="containsText" dxfId="4921" priority="785" operator="containsText" text="Pendente">
      <formula>NOT(ISERROR(SEARCH("Pendente",P831)))</formula>
    </cfRule>
    <cfRule type="containsText" dxfId="4920" priority="797" operator="containsText" text="N/A">
      <formula>NOT(ISERROR(SEARCH("N/A",P831)))</formula>
    </cfRule>
    <cfRule type="containsText" dxfId="4919" priority="798" operator="containsText" text="Pendente">
      <formula>NOT(ISERROR(SEARCH("Pendente",P831)))</formula>
    </cfRule>
    <cfRule type="containsText" dxfId="4918" priority="799" operator="containsText" text="Finalizado">
      <formula>NOT(ISERROR(SEARCH("Finalizado",P831)))</formula>
    </cfRule>
  </conditionalFormatting>
  <conditionalFormatting sqref="P832">
    <cfRule type="containsText" dxfId="4917" priority="61" operator="containsText" text="Finalizado">
      <formula>NOT(ISERROR(SEARCH("Finalizado",P832)))</formula>
    </cfRule>
    <cfRule type="containsText" dxfId="4916" priority="62" operator="containsText" text="em andamento">
      <formula>NOT(ISERROR(SEARCH("em andamento",P832)))</formula>
    </cfRule>
    <cfRule type="containsText" dxfId="4915" priority="50" operator="containsText" text="Lançado">
      <formula>NOT(ISERROR(SEARCH("Lançado",P832)))</formula>
    </cfRule>
    <cfRule type="expression" dxfId="4914" priority="42">
      <formula>$H832="SUBETAPA"</formula>
    </cfRule>
    <cfRule type="expression" dxfId="4913" priority="43">
      <formula>$H832="CÉLULA CONSTRUTIVA"</formula>
    </cfRule>
    <cfRule type="containsText" dxfId="4912" priority="52" operator="containsText" text="Pendente">
      <formula>NOT(ISERROR(SEARCH("Pendente",P832)))</formula>
    </cfRule>
    <cfRule type="expression" dxfId="4911" priority="44">
      <formula>$H832="ETAPA"</formula>
    </cfRule>
    <cfRule type="containsText" dxfId="4910" priority="45" operator="containsText" text="Lançado">
      <formula>NOT(ISERROR(SEARCH("Lançado",P832)))</formula>
    </cfRule>
    <cfRule type="containsText" dxfId="4909" priority="46" operator="containsText" text="N/A">
      <formula>NOT(ISERROR(SEARCH("N/A",P832)))</formula>
    </cfRule>
    <cfRule type="containsText" dxfId="4908" priority="47" operator="containsText" text="Pendente">
      <formula>NOT(ISERROR(SEARCH("Pendente",P832)))</formula>
    </cfRule>
    <cfRule type="containsText" dxfId="4907" priority="48" operator="containsText" text="Finalizado">
      <formula>NOT(ISERROR(SEARCH("Finalizado",P832)))</formula>
    </cfRule>
    <cfRule type="containsText" dxfId="4906" priority="49" operator="containsText" text="em andamento">
      <formula>NOT(ISERROR(SEARCH("em andamento",P832)))</formula>
    </cfRule>
    <cfRule type="containsText" dxfId="4905" priority="51" operator="containsText" text="N/A">
      <formula>NOT(ISERROR(SEARCH("N/A",P832)))</formula>
    </cfRule>
    <cfRule type="containsText" dxfId="4904" priority="53" operator="containsText" text="Finalizado">
      <formula>NOT(ISERROR(SEARCH("Finalizado",P832)))</formula>
    </cfRule>
    <cfRule type="containsText" dxfId="4903" priority="54" operator="containsText" text="em andamento">
      <formula>NOT(ISERROR(SEARCH("em andamento",P832)))</formula>
    </cfRule>
    <cfRule type="expression" dxfId="4902" priority="55">
      <formula>$H832="SUBETAPA"</formula>
    </cfRule>
    <cfRule type="expression" dxfId="4901" priority="56">
      <formula>$H832="CÉLULA CONSTRUTIVA"</formula>
    </cfRule>
    <cfRule type="expression" dxfId="4900" priority="57">
      <formula>$H832="ETAPA"</formula>
    </cfRule>
    <cfRule type="containsText" dxfId="4899" priority="58" operator="containsText" text="Lançado">
      <formula>NOT(ISERROR(SEARCH("Lançado",P832)))</formula>
    </cfRule>
    <cfRule type="containsText" dxfId="4898" priority="59" operator="containsText" text="N/A">
      <formula>NOT(ISERROR(SEARCH("N/A",P832)))</formula>
    </cfRule>
    <cfRule type="containsText" dxfId="4897" priority="60" operator="containsText" text="Pendente">
      <formula>NOT(ISERROR(SEARCH("Pendente",P832)))</formula>
    </cfRule>
  </conditionalFormatting>
  <conditionalFormatting sqref="P833">
    <cfRule type="containsText" dxfId="4896" priority="12958" operator="containsText" text="Pendente">
      <formula>NOT(ISERROR(SEARCH("Pendente",P833)))</formula>
    </cfRule>
    <cfRule type="containsText" dxfId="4895" priority="12957" operator="containsText" text="N/A">
      <formula>NOT(ISERROR(SEARCH("N/A",P833)))</formula>
    </cfRule>
    <cfRule type="containsText" dxfId="4894" priority="12959" operator="containsText" text="Finalizado">
      <formula>NOT(ISERROR(SEARCH("Finalizado",P833)))</formula>
    </cfRule>
    <cfRule type="containsText" dxfId="4893" priority="12956" operator="containsText" text="Lançado">
      <formula>NOT(ISERROR(SEARCH("Lançado",P833)))</formula>
    </cfRule>
    <cfRule type="containsText" dxfId="4892" priority="12960" operator="containsText" text="em andamento">
      <formula>NOT(ISERROR(SEARCH("em andamento",P833)))</formula>
    </cfRule>
  </conditionalFormatting>
  <conditionalFormatting sqref="P834">
    <cfRule type="containsText" dxfId="4891" priority="2809" operator="containsText" text="N/A">
      <formula>NOT(ISERROR(SEARCH("N/A",P834)))</formula>
    </cfRule>
    <cfRule type="containsText" dxfId="4890" priority="2810" operator="containsText" text="Pendente">
      <formula>NOT(ISERROR(SEARCH("Pendente",P834)))</formula>
    </cfRule>
    <cfRule type="containsText" dxfId="4889" priority="2811" operator="containsText" text="Finalizado">
      <formula>NOT(ISERROR(SEARCH("Finalizado",P834)))</formula>
    </cfRule>
    <cfRule type="containsText" dxfId="4888" priority="2812" operator="containsText" text="em andamento">
      <formula>NOT(ISERROR(SEARCH("em andamento",P834)))</formula>
    </cfRule>
    <cfRule type="containsText" dxfId="4887" priority="2807" operator="containsText" text="em andamento">
      <formula>NOT(ISERROR(SEARCH("em andamento",P834)))</formula>
    </cfRule>
    <cfRule type="containsText" dxfId="4886" priority="2808" operator="containsText" text="Lançado">
      <formula>NOT(ISERROR(SEARCH("Lançado",P834)))</formula>
    </cfRule>
    <cfRule type="containsText" dxfId="4885" priority="2820" operator="containsText" text="em andamento">
      <formula>NOT(ISERROR(SEARCH("em andamento",P834)))</formula>
    </cfRule>
    <cfRule type="containsText" dxfId="4884" priority="2819" operator="containsText" text="Finalizado">
      <formula>NOT(ISERROR(SEARCH("Finalizado",P834)))</formula>
    </cfRule>
    <cfRule type="containsText" dxfId="4883" priority="2818" operator="containsText" text="Pendente">
      <formula>NOT(ISERROR(SEARCH("Pendente",P834)))</formula>
    </cfRule>
    <cfRule type="containsText" dxfId="4882" priority="2817" operator="containsText" text="N/A">
      <formula>NOT(ISERROR(SEARCH("N/A",P834)))</formula>
    </cfRule>
    <cfRule type="containsText" dxfId="4881" priority="2816" operator="containsText" text="Lançado">
      <formula>NOT(ISERROR(SEARCH("Lançado",P834)))</formula>
    </cfRule>
    <cfRule type="expression" dxfId="4880" priority="2815">
      <formula>$H834="ETAPA"</formula>
    </cfRule>
    <cfRule type="expression" dxfId="4879" priority="2814">
      <formula>$H834="CÉLULA CONSTRUTIVA"</formula>
    </cfRule>
    <cfRule type="expression" dxfId="4878" priority="2813">
      <formula>$H834="SUBETAPA"</formula>
    </cfRule>
    <cfRule type="expression" dxfId="4877" priority="2800">
      <formula>$H834="SUBETAPA"</formula>
    </cfRule>
    <cfRule type="expression" dxfId="4876" priority="2801">
      <formula>$H834="CÉLULA CONSTRUTIVA"</formula>
    </cfRule>
    <cfRule type="expression" dxfId="4875" priority="2802">
      <formula>$H834="ETAPA"</formula>
    </cfRule>
    <cfRule type="containsText" dxfId="4874" priority="2803" operator="containsText" text="Lançado">
      <formula>NOT(ISERROR(SEARCH("Lançado",P834)))</formula>
    </cfRule>
    <cfRule type="containsText" dxfId="4873" priority="2804" operator="containsText" text="N/A">
      <formula>NOT(ISERROR(SEARCH("N/A",P834)))</formula>
    </cfRule>
    <cfRule type="containsText" dxfId="4872" priority="2805" operator="containsText" text="Pendente">
      <formula>NOT(ISERROR(SEARCH("Pendente",P834)))</formula>
    </cfRule>
    <cfRule type="containsText" dxfId="4871" priority="2806" operator="containsText" text="Finalizado">
      <formula>NOT(ISERROR(SEARCH("Finalizado",P834)))</formula>
    </cfRule>
  </conditionalFormatting>
  <conditionalFormatting sqref="P835">
    <cfRule type="expression" dxfId="4870" priority="12961">
      <formula>$H835="CÉLULA CONSTRUTIVA"</formula>
    </cfRule>
    <cfRule type="expression" dxfId="4869" priority="12915">
      <formula>$H835="SUBETAPA"</formula>
    </cfRule>
    <cfRule type="expression" dxfId="4868" priority="12965">
      <formula>$H835="ETAPA"</formula>
    </cfRule>
    <cfRule type="containsText" dxfId="4867" priority="12969" operator="containsText" text="Lançado">
      <formula>NOT(ISERROR(SEARCH("Lançado",P835)))</formula>
    </cfRule>
    <cfRule type="containsText" dxfId="4866" priority="12970" operator="containsText" text="N/A">
      <formula>NOT(ISERROR(SEARCH("N/A",P835)))</formula>
    </cfRule>
    <cfRule type="containsText" dxfId="4865" priority="12971" operator="containsText" text="Pendente">
      <formula>NOT(ISERROR(SEARCH("Pendente",P835)))</formula>
    </cfRule>
    <cfRule type="containsText" dxfId="4864" priority="12972" operator="containsText" text="Finalizado">
      <formula>NOT(ISERROR(SEARCH("Finalizado",P835)))</formula>
    </cfRule>
    <cfRule type="containsText" dxfId="4863" priority="12973" operator="containsText" text="em andamento">
      <formula>NOT(ISERROR(SEARCH("em andamento",P835)))</formula>
    </cfRule>
    <cfRule type="expression" dxfId="4862" priority="12963">
      <formula>$H835="SUBETAPA"</formula>
    </cfRule>
    <cfRule type="expression" dxfId="4861" priority="12964">
      <formula>$H835="CÉLULA CONSTRUTIVA"</formula>
    </cfRule>
    <cfRule type="expression" dxfId="4860" priority="12962">
      <formula>$H835="ETAPA"</formula>
    </cfRule>
  </conditionalFormatting>
  <conditionalFormatting sqref="P836:P837 P839">
    <cfRule type="containsText" dxfId="4859" priority="2795" operator="containsText" text="Lançado">
      <formula>NOT(ISERROR(SEARCH("Lançado",P836)))</formula>
    </cfRule>
    <cfRule type="containsText" dxfId="4858" priority="2796" operator="containsText" text="N/A">
      <formula>NOT(ISERROR(SEARCH("N/A",P836)))</formula>
    </cfRule>
    <cfRule type="containsText" dxfId="4857" priority="2797" operator="containsText" text="Pendente">
      <formula>NOT(ISERROR(SEARCH("Pendente",P836)))</formula>
    </cfRule>
    <cfRule type="expression" dxfId="4856" priority="2794">
      <formula>$H836="ETAPA"</formula>
    </cfRule>
    <cfRule type="expression" dxfId="4855" priority="2793">
      <formula>$H836="CÉLULA CONSTRUTIVA"</formula>
    </cfRule>
    <cfRule type="containsText" dxfId="4854" priority="2785" operator="containsText" text="Finalizado">
      <formula>NOT(ISERROR(SEARCH("Finalizado",P836)))</formula>
    </cfRule>
    <cfRule type="containsText" dxfId="4853" priority="2798" operator="containsText" text="Finalizado">
      <formula>NOT(ISERROR(SEARCH("Finalizado",P836)))</formula>
    </cfRule>
    <cfRule type="containsText" dxfId="4852" priority="2799" operator="containsText" text="em andamento">
      <formula>NOT(ISERROR(SEARCH("em andamento",P836)))</formula>
    </cfRule>
    <cfRule type="expression" dxfId="4851" priority="2779">
      <formula>$H836="SUBETAPA"</formula>
    </cfRule>
    <cfRule type="expression" dxfId="4850" priority="2780">
      <formula>$H836="CÉLULA CONSTRUTIVA"</formula>
    </cfRule>
    <cfRule type="expression" dxfId="4849" priority="2781">
      <formula>$H836="ETAPA"</formula>
    </cfRule>
    <cfRule type="containsText" dxfId="4848" priority="2782" operator="containsText" text="Lançado">
      <formula>NOT(ISERROR(SEARCH("Lançado",P836)))</formula>
    </cfRule>
    <cfRule type="containsText" dxfId="4847" priority="2783" operator="containsText" text="N/A">
      <formula>NOT(ISERROR(SEARCH("N/A",P836)))</formula>
    </cfRule>
    <cfRule type="containsText" dxfId="4846" priority="2784" operator="containsText" text="Pendente">
      <formula>NOT(ISERROR(SEARCH("Pendente",P836)))</formula>
    </cfRule>
    <cfRule type="containsText" dxfId="4845" priority="2786" operator="containsText" text="em andamento">
      <formula>NOT(ISERROR(SEARCH("em andamento",P836)))</formula>
    </cfRule>
    <cfRule type="containsText" dxfId="4844" priority="2787" operator="containsText" text="Lançado">
      <formula>NOT(ISERROR(SEARCH("Lançado",P836)))</formula>
    </cfRule>
    <cfRule type="containsText" dxfId="4843" priority="2788" operator="containsText" text="N/A">
      <formula>NOT(ISERROR(SEARCH("N/A",P836)))</formula>
    </cfRule>
    <cfRule type="containsText" dxfId="4842" priority="2789" operator="containsText" text="Pendente">
      <formula>NOT(ISERROR(SEARCH("Pendente",P836)))</formula>
    </cfRule>
    <cfRule type="containsText" dxfId="4841" priority="2790" operator="containsText" text="Finalizado">
      <formula>NOT(ISERROR(SEARCH("Finalizado",P836)))</formula>
    </cfRule>
    <cfRule type="containsText" dxfId="4840" priority="2791" operator="containsText" text="em andamento">
      <formula>NOT(ISERROR(SEARCH("em andamento",P836)))</formula>
    </cfRule>
    <cfRule type="expression" dxfId="4839" priority="2792">
      <formula>$H836="SUBETAPA"</formula>
    </cfRule>
  </conditionalFormatting>
  <conditionalFormatting sqref="P838">
    <cfRule type="containsText" dxfId="4838" priority="753" operator="containsText" text="em andamento">
      <formula>NOT(ISERROR(SEARCH("em andamento",P838)))</formula>
    </cfRule>
    <cfRule type="containsText" dxfId="4837" priority="752" operator="containsText" text="Finalizado">
      <formula>NOT(ISERROR(SEARCH("Finalizado",P838)))</formula>
    </cfRule>
    <cfRule type="containsText" dxfId="4836" priority="751" operator="containsText" text="Pendente">
      <formula>NOT(ISERROR(SEARCH("Pendente",P838)))</formula>
    </cfRule>
    <cfRule type="containsText" dxfId="4835" priority="750" operator="containsText" text="N/A">
      <formula>NOT(ISERROR(SEARCH("N/A",P838)))</formula>
    </cfRule>
    <cfRule type="containsText" dxfId="4834" priority="749" operator="containsText" text="Lançado">
      <formula>NOT(ISERROR(SEARCH("Lançado",P838)))</formula>
    </cfRule>
    <cfRule type="containsText" dxfId="4833" priority="748" operator="containsText" text="em andamento">
      <formula>NOT(ISERROR(SEARCH("em andamento",P838)))</formula>
    </cfRule>
    <cfRule type="containsText" dxfId="4832" priority="746" operator="containsText" text="Pendente">
      <formula>NOT(ISERROR(SEARCH("Pendente",P838)))</formula>
    </cfRule>
    <cfRule type="containsText" dxfId="4831" priority="745" operator="containsText" text="N/A">
      <formula>NOT(ISERROR(SEARCH("N/A",P838)))</formula>
    </cfRule>
    <cfRule type="containsText" dxfId="4830" priority="744" operator="containsText" text="Lançado">
      <formula>NOT(ISERROR(SEARCH("Lançado",P838)))</formula>
    </cfRule>
    <cfRule type="expression" dxfId="4829" priority="743">
      <formula>$H838="ETAPA"</formula>
    </cfRule>
    <cfRule type="expression" dxfId="4828" priority="742">
      <formula>$H838="CÉLULA CONSTRUTIVA"</formula>
    </cfRule>
    <cfRule type="expression" dxfId="4827" priority="741">
      <formula>$H838="SUBETAPA"</formula>
    </cfRule>
    <cfRule type="containsText" dxfId="4826" priority="747" operator="containsText" text="Finalizado">
      <formula>NOT(ISERROR(SEARCH("Finalizado",P838)))</formula>
    </cfRule>
    <cfRule type="containsText" dxfId="4825" priority="761" operator="containsText" text="em andamento">
      <formula>NOT(ISERROR(SEARCH("em andamento",P838)))</formula>
    </cfRule>
    <cfRule type="containsText" dxfId="4824" priority="760" operator="containsText" text="Finalizado">
      <formula>NOT(ISERROR(SEARCH("Finalizado",P838)))</formula>
    </cfRule>
    <cfRule type="containsText" dxfId="4823" priority="759" operator="containsText" text="Pendente">
      <formula>NOT(ISERROR(SEARCH("Pendente",P838)))</formula>
    </cfRule>
    <cfRule type="containsText" dxfId="4822" priority="758" operator="containsText" text="N/A">
      <formula>NOT(ISERROR(SEARCH("N/A",P838)))</formula>
    </cfRule>
    <cfRule type="containsText" dxfId="4821" priority="757" operator="containsText" text="Lançado">
      <formula>NOT(ISERROR(SEARCH("Lançado",P838)))</formula>
    </cfRule>
    <cfRule type="expression" dxfId="4820" priority="756">
      <formula>$H838="ETAPA"</formula>
    </cfRule>
    <cfRule type="expression" dxfId="4819" priority="755">
      <formula>$H838="CÉLULA CONSTRUTIVA"</formula>
    </cfRule>
    <cfRule type="expression" dxfId="4818" priority="754">
      <formula>$H838="SUBETAPA"</formula>
    </cfRule>
  </conditionalFormatting>
  <conditionalFormatting sqref="P840:P841">
    <cfRule type="containsText" dxfId="4817" priority="12426" operator="containsText" text="Pendente">
      <formula>NOT(ISERROR(SEARCH("Pendente",P840)))</formula>
    </cfRule>
    <cfRule type="containsText" dxfId="4816" priority="12425" operator="containsText" text="N/A">
      <formula>NOT(ISERROR(SEARCH("N/A",P840)))</formula>
    </cfRule>
    <cfRule type="containsText" dxfId="4815" priority="12424" operator="containsText" text="Lançado">
      <formula>NOT(ISERROR(SEARCH("Lançado",P840)))</formula>
    </cfRule>
    <cfRule type="containsText" dxfId="4814" priority="12428" operator="containsText" text="em andamento">
      <formula>NOT(ISERROR(SEARCH("em andamento",P840)))</formula>
    </cfRule>
    <cfRule type="containsText" dxfId="4813" priority="12427" operator="containsText" text="Finalizado">
      <formula>NOT(ISERROR(SEARCH("Finalizado",P840)))</formula>
    </cfRule>
  </conditionalFormatting>
  <conditionalFormatting sqref="P841">
    <cfRule type="expression" dxfId="4812" priority="12418">
      <formula>$H841="SUBETAPA"</formula>
    </cfRule>
    <cfRule type="expression" dxfId="4811" priority="12417">
      <formula>$H841="ETAPA"</formula>
    </cfRule>
    <cfRule type="expression" dxfId="4810" priority="12416">
      <formula>$H841="CÉLULA CONSTRUTIVA"</formula>
    </cfRule>
    <cfRule type="expression" dxfId="4809" priority="12420">
      <formula>$H841="ETAPA"</formula>
    </cfRule>
    <cfRule type="expression" dxfId="4808" priority="12419">
      <formula>$H841="CÉLULA CONSTRUTIVA"</formula>
    </cfRule>
  </conditionalFormatting>
  <conditionalFormatting sqref="P842">
    <cfRule type="expression" dxfId="4807" priority="2771">
      <formula>$H842="SUBETAPA"</formula>
    </cfRule>
    <cfRule type="containsText" dxfId="4806" priority="2764" operator="containsText" text="Finalizado">
      <formula>NOT(ISERROR(SEARCH("Finalizado",P842)))</formula>
    </cfRule>
    <cfRule type="containsText" dxfId="4805" priority="2763" operator="containsText" text="Pendente">
      <formula>NOT(ISERROR(SEARCH("Pendente",P842)))</formula>
    </cfRule>
    <cfRule type="containsText" dxfId="4804" priority="2761" operator="containsText" text="Lançado">
      <formula>NOT(ISERROR(SEARCH("Lançado",P842)))</formula>
    </cfRule>
    <cfRule type="expression" dxfId="4803" priority="2760">
      <formula>$H842="ETAPA"</formula>
    </cfRule>
    <cfRule type="expression" dxfId="4802" priority="2759">
      <formula>$H842="CÉLULA CONSTRUTIVA"</formula>
    </cfRule>
    <cfRule type="expression" dxfId="4801" priority="2758">
      <formula>$H842="SUBETAPA"</formula>
    </cfRule>
    <cfRule type="containsText" dxfId="4800" priority="2767" operator="containsText" text="N/A">
      <formula>NOT(ISERROR(SEARCH("N/A",P842)))</formula>
    </cfRule>
    <cfRule type="containsText" dxfId="4799" priority="2765" operator="containsText" text="em andamento">
      <formula>NOT(ISERROR(SEARCH("em andamento",P842)))</formula>
    </cfRule>
    <cfRule type="containsText" dxfId="4798" priority="2777" operator="containsText" text="Finalizado">
      <formula>NOT(ISERROR(SEARCH("Finalizado",P842)))</formula>
    </cfRule>
    <cfRule type="containsText" dxfId="4797" priority="2778" operator="containsText" text="em andamento">
      <formula>NOT(ISERROR(SEARCH("em andamento",P842)))</formula>
    </cfRule>
    <cfRule type="expression" dxfId="4796" priority="2772">
      <formula>$H842="CÉLULA CONSTRUTIVA"</formula>
    </cfRule>
    <cfRule type="expression" dxfId="4795" priority="2773">
      <formula>$H842="ETAPA"</formula>
    </cfRule>
    <cfRule type="containsText" dxfId="4794" priority="2774" operator="containsText" text="Lançado">
      <formula>NOT(ISERROR(SEARCH("Lançado",P842)))</formula>
    </cfRule>
    <cfRule type="containsText" dxfId="4793" priority="2775" operator="containsText" text="N/A">
      <formula>NOT(ISERROR(SEARCH("N/A",P842)))</formula>
    </cfRule>
    <cfRule type="containsText" dxfId="4792" priority="2762" operator="containsText" text="N/A">
      <formula>NOT(ISERROR(SEARCH("N/A",P842)))</formula>
    </cfRule>
    <cfRule type="containsText" dxfId="4791" priority="2776" operator="containsText" text="Pendente">
      <formula>NOT(ISERROR(SEARCH("Pendente",P842)))</formula>
    </cfRule>
    <cfRule type="containsText" dxfId="4790" priority="2766" operator="containsText" text="Lançado">
      <formula>NOT(ISERROR(SEARCH("Lançado",P842)))</formula>
    </cfRule>
    <cfRule type="containsText" dxfId="4789" priority="2768" operator="containsText" text="Pendente">
      <formula>NOT(ISERROR(SEARCH("Pendente",P842)))</formula>
    </cfRule>
    <cfRule type="containsText" dxfId="4788" priority="2769" operator="containsText" text="Finalizado">
      <formula>NOT(ISERROR(SEARCH("Finalizado",P842)))</formula>
    </cfRule>
    <cfRule type="containsText" dxfId="4787" priority="2770" operator="containsText" text="em andamento">
      <formula>NOT(ISERROR(SEARCH("em andamento",P842)))</formula>
    </cfRule>
  </conditionalFormatting>
  <conditionalFormatting sqref="P843">
    <cfRule type="containsText" dxfId="4786" priority="12381" operator="containsText" text="Pendente">
      <formula>NOT(ISERROR(SEARCH("Pendente",P843)))</formula>
    </cfRule>
    <cfRule type="expression" dxfId="4785" priority="12377">
      <formula>$H843="CÉLULA CONSTRUTIVA"</formula>
    </cfRule>
    <cfRule type="containsText" dxfId="4784" priority="12382" operator="containsText" text="Finalizado">
      <formula>NOT(ISERROR(SEARCH("Finalizado",P843)))</formula>
    </cfRule>
    <cfRule type="containsText" dxfId="4783" priority="12383" operator="containsText" text="em andamento">
      <formula>NOT(ISERROR(SEARCH("em andamento",P843)))</formula>
    </cfRule>
    <cfRule type="expression" dxfId="4782" priority="12378">
      <formula>$H843="ETAPA"</formula>
    </cfRule>
    <cfRule type="containsText" dxfId="4781" priority="12379" operator="containsText" text="Lançado">
      <formula>NOT(ISERROR(SEARCH("Lançado",P843)))</formula>
    </cfRule>
    <cfRule type="containsText" dxfId="4780" priority="12380" operator="containsText" text="N/A">
      <formula>NOT(ISERROR(SEARCH("N/A",P843)))</formula>
    </cfRule>
  </conditionalFormatting>
  <conditionalFormatting sqref="P844:P845">
    <cfRule type="expression" dxfId="4779" priority="2751">
      <formula>$H844="CÉLULA CONSTRUTIVA"</formula>
    </cfRule>
    <cfRule type="expression" dxfId="4778" priority="2752">
      <formula>$H844="ETAPA"</formula>
    </cfRule>
    <cfRule type="containsText" dxfId="4777" priority="2753" operator="containsText" text="Lançado">
      <formula>NOT(ISERROR(SEARCH("Lançado",P844)))</formula>
    </cfRule>
    <cfRule type="containsText" dxfId="4776" priority="2757" operator="containsText" text="em andamento">
      <formula>NOT(ISERROR(SEARCH("em andamento",P844)))</formula>
    </cfRule>
    <cfRule type="containsText" dxfId="4775" priority="2747" operator="containsText" text="Pendente">
      <formula>NOT(ISERROR(SEARCH("Pendente",P844)))</formula>
    </cfRule>
    <cfRule type="containsText" dxfId="4774" priority="2748" operator="containsText" text="Finalizado">
      <formula>NOT(ISERROR(SEARCH("Finalizado",P844)))</formula>
    </cfRule>
    <cfRule type="containsText" dxfId="4773" priority="2749" operator="containsText" text="em andamento">
      <formula>NOT(ISERROR(SEARCH("em andamento",P844)))</formula>
    </cfRule>
    <cfRule type="expression" dxfId="4772" priority="2750">
      <formula>$H844="SUBETAPA"</formula>
    </cfRule>
    <cfRule type="containsText" dxfId="4771" priority="2745" operator="containsText" text="Lançado">
      <formula>NOT(ISERROR(SEARCH("Lançado",P844)))</formula>
    </cfRule>
    <cfRule type="expression" dxfId="4770" priority="2737">
      <formula>$H844="SUBETAPA"</formula>
    </cfRule>
    <cfRule type="expression" dxfId="4769" priority="2738">
      <formula>$H844="CÉLULA CONSTRUTIVA"</formula>
    </cfRule>
    <cfRule type="expression" dxfId="4768" priority="2739">
      <formula>$H844="ETAPA"</formula>
    </cfRule>
    <cfRule type="containsText" dxfId="4767" priority="2740" operator="containsText" text="Lançado">
      <formula>NOT(ISERROR(SEARCH("Lançado",P844)))</formula>
    </cfRule>
    <cfRule type="containsText" dxfId="4766" priority="2756" operator="containsText" text="Finalizado">
      <formula>NOT(ISERROR(SEARCH("Finalizado",P844)))</formula>
    </cfRule>
    <cfRule type="containsText" dxfId="4765" priority="2754" operator="containsText" text="N/A">
      <formula>NOT(ISERROR(SEARCH("N/A",P844)))</formula>
    </cfRule>
    <cfRule type="containsText" dxfId="4764" priority="2741" operator="containsText" text="N/A">
      <formula>NOT(ISERROR(SEARCH("N/A",P844)))</formula>
    </cfRule>
    <cfRule type="containsText" dxfId="4763" priority="2742" operator="containsText" text="Pendente">
      <formula>NOT(ISERROR(SEARCH("Pendente",P844)))</formula>
    </cfRule>
    <cfRule type="containsText" dxfId="4762" priority="2743" operator="containsText" text="Finalizado">
      <formula>NOT(ISERROR(SEARCH("Finalizado",P844)))</formula>
    </cfRule>
    <cfRule type="containsText" dxfId="4761" priority="2744" operator="containsText" text="em andamento">
      <formula>NOT(ISERROR(SEARCH("em andamento",P844)))</formula>
    </cfRule>
    <cfRule type="containsText" dxfId="4760" priority="2755" operator="containsText" text="Pendente">
      <formula>NOT(ISERROR(SEARCH("Pendente",P844)))</formula>
    </cfRule>
    <cfRule type="containsText" dxfId="4759" priority="2746" operator="containsText" text="N/A">
      <formula>NOT(ISERROR(SEARCH("N/A",P844)))</formula>
    </cfRule>
  </conditionalFormatting>
  <conditionalFormatting sqref="P846 O849:P849">
    <cfRule type="expression" dxfId="4758" priority="12391">
      <formula>$H846="ETAPA"</formula>
    </cfRule>
    <cfRule type="expression" dxfId="4757" priority="12389">
      <formula>$H846="SUBETAPA"</formula>
    </cfRule>
    <cfRule type="expression" dxfId="4756" priority="12390">
      <formula>$H846="CÉLULA CONSTRUTIVA"</formula>
    </cfRule>
  </conditionalFormatting>
  <conditionalFormatting sqref="P846 P849">
    <cfRule type="containsText" dxfId="4755" priority="12392" operator="containsText" text="Lançado">
      <formula>NOT(ISERROR(SEARCH("Lançado",P846)))</formula>
    </cfRule>
    <cfRule type="containsText" dxfId="4754" priority="12394" operator="containsText" text="Pendente">
      <formula>NOT(ISERROR(SEARCH("Pendente",P846)))</formula>
    </cfRule>
    <cfRule type="containsText" dxfId="4753" priority="12395" operator="containsText" text="Finalizado">
      <formula>NOT(ISERROR(SEARCH("Finalizado",P846)))</formula>
    </cfRule>
    <cfRule type="containsText" dxfId="4752" priority="12396" operator="containsText" text="em andamento">
      <formula>NOT(ISERROR(SEARCH("em andamento",P846)))</formula>
    </cfRule>
    <cfRule type="containsText" dxfId="4751" priority="12393" operator="containsText" text="N/A">
      <formula>NOT(ISERROR(SEARCH("N/A",P846)))</formula>
    </cfRule>
  </conditionalFormatting>
  <conditionalFormatting sqref="P846">
    <cfRule type="expression" dxfId="4750" priority="12385">
      <formula>$H846="ETAPA"</formula>
    </cfRule>
    <cfRule type="expression" dxfId="4749" priority="12352">
      <formula>$H846="SUBETAPA"</formula>
    </cfRule>
    <cfRule type="expression" dxfId="4748" priority="12388">
      <formula>$H846="ETAPA"</formula>
    </cfRule>
    <cfRule type="expression" dxfId="4747" priority="12387">
      <formula>$H846="CÉLULA CONSTRUTIVA"</formula>
    </cfRule>
    <cfRule type="expression" dxfId="4746" priority="12386">
      <formula>$H846="SUBETAPA"</formula>
    </cfRule>
    <cfRule type="expression" dxfId="4745" priority="12384">
      <formula>$H846="CÉLULA CONSTRUTIVA"</formula>
    </cfRule>
  </conditionalFormatting>
  <conditionalFormatting sqref="P847">
    <cfRule type="containsText" dxfId="4744" priority="2735" operator="containsText" text="Finalizado">
      <formula>NOT(ISERROR(SEARCH("Finalizado",P847)))</formula>
    </cfRule>
    <cfRule type="containsText" dxfId="4743" priority="2734" operator="containsText" text="Pendente">
      <formula>NOT(ISERROR(SEARCH("Pendente",P847)))</formula>
    </cfRule>
    <cfRule type="containsText" dxfId="4742" priority="2733" operator="containsText" text="N/A">
      <formula>NOT(ISERROR(SEARCH("N/A",P847)))</formula>
    </cfRule>
    <cfRule type="containsText" dxfId="4741" priority="2732" operator="containsText" text="Lançado">
      <formula>NOT(ISERROR(SEARCH("Lançado",P847)))</formula>
    </cfRule>
    <cfRule type="expression" dxfId="4740" priority="2716">
      <formula>$H847="SUBETAPA"</formula>
    </cfRule>
    <cfRule type="containsText" dxfId="4739" priority="2723" operator="containsText" text="em andamento">
      <formula>NOT(ISERROR(SEARCH("em andamento",P847)))</formula>
    </cfRule>
    <cfRule type="containsText" dxfId="4738" priority="2724" operator="containsText" text="Lançado">
      <formula>NOT(ISERROR(SEARCH("Lançado",P847)))</formula>
    </cfRule>
    <cfRule type="containsText" dxfId="4737" priority="2726" operator="containsText" text="Pendente">
      <formula>NOT(ISERROR(SEARCH("Pendente",P847)))</formula>
    </cfRule>
    <cfRule type="containsText" dxfId="4736" priority="2727" operator="containsText" text="Finalizado">
      <formula>NOT(ISERROR(SEARCH("Finalizado",P847)))</formula>
    </cfRule>
    <cfRule type="containsText" dxfId="4735" priority="2728" operator="containsText" text="em andamento">
      <formula>NOT(ISERROR(SEARCH("em andamento",P847)))</formula>
    </cfRule>
    <cfRule type="expression" dxfId="4734" priority="2729">
      <formula>$H847="SUBETAPA"</formula>
    </cfRule>
    <cfRule type="expression" dxfId="4733" priority="2730">
      <formula>$H847="CÉLULA CONSTRUTIVA"</formula>
    </cfRule>
    <cfRule type="containsText" dxfId="4732" priority="2722" operator="containsText" text="Finalizado">
      <formula>NOT(ISERROR(SEARCH("Finalizado",P847)))</formula>
    </cfRule>
    <cfRule type="containsText" dxfId="4731" priority="2721" operator="containsText" text="Pendente">
      <formula>NOT(ISERROR(SEARCH("Pendente",P847)))</formula>
    </cfRule>
    <cfRule type="containsText" dxfId="4730" priority="2725" operator="containsText" text="N/A">
      <formula>NOT(ISERROR(SEARCH("N/A",P847)))</formula>
    </cfRule>
    <cfRule type="containsText" dxfId="4729" priority="2720" operator="containsText" text="N/A">
      <formula>NOT(ISERROR(SEARCH("N/A",P847)))</formula>
    </cfRule>
    <cfRule type="containsText" dxfId="4728" priority="2719" operator="containsText" text="Lançado">
      <formula>NOT(ISERROR(SEARCH("Lançado",P847)))</formula>
    </cfRule>
    <cfRule type="expression" dxfId="4727" priority="2718">
      <formula>$H847="ETAPA"</formula>
    </cfRule>
    <cfRule type="expression" dxfId="4726" priority="2717">
      <formula>$H847="CÉLULA CONSTRUTIVA"</formula>
    </cfRule>
    <cfRule type="expression" dxfId="4725" priority="2731">
      <formula>$H847="ETAPA"</formula>
    </cfRule>
    <cfRule type="containsText" dxfId="4724" priority="2736" operator="containsText" text="em andamento">
      <formula>NOT(ISERROR(SEARCH("em andamento",P847)))</formula>
    </cfRule>
  </conditionalFormatting>
  <conditionalFormatting sqref="P848">
    <cfRule type="containsText" dxfId="4723" priority="15" operator="containsText" text="Lançado">
      <formula>NOT(ISERROR(SEARCH("Lançado",P848)))</formula>
    </cfRule>
    <cfRule type="containsText" dxfId="4722" priority="14" operator="containsText" text="em andamento">
      <formula>NOT(ISERROR(SEARCH("em andamento",P848)))</formula>
    </cfRule>
    <cfRule type="containsText" dxfId="4721" priority="13" operator="containsText" text="Finalizado">
      <formula>NOT(ISERROR(SEARCH("Finalizado",P848)))</formula>
    </cfRule>
    <cfRule type="containsText" dxfId="4720" priority="12" operator="containsText" text="Pendente">
      <formula>NOT(ISERROR(SEARCH("Pendente",P848)))</formula>
    </cfRule>
    <cfRule type="containsText" dxfId="4719" priority="11" operator="containsText" text="N/A">
      <formula>NOT(ISERROR(SEARCH("N/A",P848)))</formula>
    </cfRule>
    <cfRule type="containsText" dxfId="4718" priority="10" operator="containsText" text="Lançado">
      <formula>NOT(ISERROR(SEARCH("Lançado",P848)))</formula>
    </cfRule>
    <cfRule type="expression" dxfId="4717" priority="7">
      <formula>$H848="SUBETAPA"</formula>
    </cfRule>
    <cfRule type="expression" dxfId="4716" priority="8">
      <formula>$H848="CÉLULA CONSTRUTIVA"</formula>
    </cfRule>
    <cfRule type="containsText" dxfId="4715" priority="27" operator="containsText" text="em andamento">
      <formula>NOT(ISERROR(SEARCH("em andamento",P848)))</formula>
    </cfRule>
    <cfRule type="containsText" dxfId="4714" priority="26" operator="containsText" text="Finalizado">
      <formula>NOT(ISERROR(SEARCH("Finalizado",P848)))</formula>
    </cfRule>
    <cfRule type="containsText" dxfId="4713" priority="25" operator="containsText" text="Pendente">
      <formula>NOT(ISERROR(SEARCH("Pendente",P848)))</formula>
    </cfRule>
    <cfRule type="containsText" dxfId="4712" priority="24" operator="containsText" text="N/A">
      <formula>NOT(ISERROR(SEARCH("N/A",P848)))</formula>
    </cfRule>
    <cfRule type="expression" dxfId="4711" priority="22">
      <formula>$H848="ETAPA"</formula>
    </cfRule>
    <cfRule type="containsText" dxfId="4710" priority="23" operator="containsText" text="Lançado">
      <formula>NOT(ISERROR(SEARCH("Lançado",P848)))</formula>
    </cfRule>
    <cfRule type="expression" dxfId="4709" priority="21">
      <formula>$H848="CÉLULA CONSTRUTIVA"</formula>
    </cfRule>
    <cfRule type="expression" dxfId="4708" priority="20">
      <formula>$H848="SUBETAPA"</formula>
    </cfRule>
    <cfRule type="containsText" dxfId="4707" priority="19" operator="containsText" text="em andamento">
      <formula>NOT(ISERROR(SEARCH("em andamento",P848)))</formula>
    </cfRule>
    <cfRule type="containsText" dxfId="4706" priority="18" operator="containsText" text="Finalizado">
      <formula>NOT(ISERROR(SEARCH("Finalizado",P848)))</formula>
    </cfRule>
    <cfRule type="containsText" dxfId="4705" priority="17" operator="containsText" text="Pendente">
      <formula>NOT(ISERROR(SEARCH("Pendente",P848)))</formula>
    </cfRule>
    <cfRule type="containsText" dxfId="4704" priority="16" operator="containsText" text="N/A">
      <formula>NOT(ISERROR(SEARCH("N/A",P848)))</formula>
    </cfRule>
    <cfRule type="expression" dxfId="4703" priority="9">
      <formula>$H848="ETAPA"</formula>
    </cfRule>
  </conditionalFormatting>
  <conditionalFormatting sqref="P850">
    <cfRule type="containsText" dxfId="4702" priority="2706" operator="containsText" text="Finalizado">
      <formula>NOT(ISERROR(SEARCH("Finalizado",P850)))</formula>
    </cfRule>
    <cfRule type="containsText" dxfId="4701" priority="2715" operator="containsText" text="em andamento">
      <formula>NOT(ISERROR(SEARCH("em andamento",P850)))</formula>
    </cfRule>
    <cfRule type="containsText" dxfId="4700" priority="2714" operator="containsText" text="Finalizado">
      <formula>NOT(ISERROR(SEARCH("Finalizado",P850)))</formula>
    </cfRule>
    <cfRule type="containsText" dxfId="4699" priority="2713" operator="containsText" text="Pendente">
      <formula>NOT(ISERROR(SEARCH("Pendente",P850)))</formula>
    </cfRule>
    <cfRule type="containsText" dxfId="4698" priority="2712" operator="containsText" text="N/A">
      <formula>NOT(ISERROR(SEARCH("N/A",P850)))</formula>
    </cfRule>
    <cfRule type="containsText" dxfId="4697" priority="2711" operator="containsText" text="Lançado">
      <formula>NOT(ISERROR(SEARCH("Lançado",P850)))</formula>
    </cfRule>
    <cfRule type="expression" dxfId="4696" priority="2710">
      <formula>$H850="ETAPA"</formula>
    </cfRule>
    <cfRule type="expression" dxfId="4695" priority="2709">
      <formula>$H850="CÉLULA CONSTRUTIVA"</formula>
    </cfRule>
    <cfRule type="expression" dxfId="4694" priority="2708">
      <formula>$H850="SUBETAPA"</formula>
    </cfRule>
    <cfRule type="containsText" dxfId="4693" priority="2707" operator="containsText" text="em andamento">
      <formula>NOT(ISERROR(SEARCH("em andamento",P850)))</formula>
    </cfRule>
    <cfRule type="containsText" dxfId="4692" priority="2705" operator="containsText" text="Pendente">
      <formula>NOT(ISERROR(SEARCH("Pendente",P850)))</formula>
    </cfRule>
    <cfRule type="containsText" dxfId="4691" priority="2704" operator="containsText" text="N/A">
      <formula>NOT(ISERROR(SEARCH("N/A",P850)))</formula>
    </cfRule>
    <cfRule type="containsText" dxfId="4690" priority="2703" operator="containsText" text="Lançado">
      <formula>NOT(ISERROR(SEARCH("Lançado",P850)))</formula>
    </cfRule>
    <cfRule type="containsText" dxfId="4689" priority="2702" operator="containsText" text="em andamento">
      <formula>NOT(ISERROR(SEARCH("em andamento",P850)))</formula>
    </cfRule>
    <cfRule type="containsText" dxfId="4688" priority="2701" operator="containsText" text="Finalizado">
      <formula>NOT(ISERROR(SEARCH("Finalizado",P850)))</formula>
    </cfRule>
    <cfRule type="containsText" dxfId="4687" priority="2700" operator="containsText" text="Pendente">
      <formula>NOT(ISERROR(SEARCH("Pendente",P850)))</formula>
    </cfRule>
    <cfRule type="containsText" dxfId="4686" priority="2699" operator="containsText" text="N/A">
      <formula>NOT(ISERROR(SEARCH("N/A",P850)))</formula>
    </cfRule>
    <cfRule type="containsText" dxfId="4685" priority="2698" operator="containsText" text="Lançado">
      <formula>NOT(ISERROR(SEARCH("Lançado",P850)))</formula>
    </cfRule>
    <cfRule type="expression" dxfId="4684" priority="2697">
      <formula>$H850="ETAPA"</formula>
    </cfRule>
    <cfRule type="expression" dxfId="4683" priority="2696">
      <formula>$H850="CÉLULA CONSTRUTIVA"</formula>
    </cfRule>
    <cfRule type="expression" dxfId="4682" priority="2695">
      <formula>$H850="SUBETAPA"</formula>
    </cfRule>
  </conditionalFormatting>
  <conditionalFormatting sqref="P851">
    <cfRule type="containsText" dxfId="4681" priority="12405" operator="containsText" text="Lançado">
      <formula>NOT(ISERROR(SEARCH("Lançado",P851)))</formula>
    </cfRule>
    <cfRule type="expression" dxfId="4680" priority="12397">
      <formula>$H851="CÉLULA CONSTRUTIVA"</formula>
    </cfRule>
    <cfRule type="containsText" dxfId="4679" priority="12409" operator="containsText" text="em andamento">
      <formula>NOT(ISERROR(SEARCH("em andamento",P851)))</formula>
    </cfRule>
    <cfRule type="containsText" dxfId="4678" priority="12408" operator="containsText" text="Finalizado">
      <formula>NOT(ISERROR(SEARCH("Finalizado",P851)))</formula>
    </cfRule>
    <cfRule type="containsText" dxfId="4677" priority="12407" operator="containsText" text="Pendente">
      <formula>NOT(ISERROR(SEARCH("Pendente",P851)))</formula>
    </cfRule>
    <cfRule type="containsText" dxfId="4676" priority="12406" operator="containsText" text="N/A">
      <formula>NOT(ISERROR(SEARCH("N/A",P851)))</formula>
    </cfRule>
    <cfRule type="expression" dxfId="4675" priority="12351">
      <formula>$H851="SUBETAPA"</formula>
    </cfRule>
    <cfRule type="expression" dxfId="4674" priority="12401">
      <formula>$H851="ETAPA"</formula>
    </cfRule>
    <cfRule type="expression" dxfId="4673" priority="12400">
      <formula>$H851="CÉLULA CONSTRUTIVA"</formula>
    </cfRule>
    <cfRule type="expression" dxfId="4672" priority="12399">
      <formula>$H851="SUBETAPA"</formula>
    </cfRule>
    <cfRule type="expression" dxfId="4671" priority="12398">
      <formula>$H851="ETAPA"</formula>
    </cfRule>
  </conditionalFormatting>
  <conditionalFormatting sqref="P852:P855">
    <cfRule type="containsText" dxfId="4670" priority="2680" operator="containsText" text="Finalizado">
      <formula>NOT(ISERROR(SEARCH("Finalizado",P852)))</formula>
    </cfRule>
    <cfRule type="containsText" dxfId="4669" priority="2682" operator="containsText" text="Lançado">
      <formula>NOT(ISERROR(SEARCH("Lançado",P852)))</formula>
    </cfRule>
    <cfRule type="containsText" dxfId="4668" priority="2683" operator="containsText" text="N/A">
      <formula>NOT(ISERROR(SEARCH("N/A",P852)))</formula>
    </cfRule>
    <cfRule type="containsText" dxfId="4667" priority="2684" operator="containsText" text="Pendente">
      <formula>NOT(ISERROR(SEARCH("Pendente",P852)))</formula>
    </cfRule>
    <cfRule type="containsText" dxfId="4666" priority="2685" operator="containsText" text="Finalizado">
      <formula>NOT(ISERROR(SEARCH("Finalizado",P852)))</formula>
    </cfRule>
    <cfRule type="containsText" dxfId="4665" priority="2686" operator="containsText" text="em andamento">
      <formula>NOT(ISERROR(SEARCH("em andamento",P852)))</formula>
    </cfRule>
    <cfRule type="expression" dxfId="4664" priority="2687">
      <formula>$H852="SUBETAPA"</formula>
    </cfRule>
    <cfRule type="containsText" dxfId="4663" priority="2679" operator="containsText" text="Pendente">
      <formula>NOT(ISERROR(SEARCH("Pendente",P852)))</formula>
    </cfRule>
    <cfRule type="expression" dxfId="4662" priority="2675">
      <formula>$H852="CÉLULA CONSTRUTIVA"</formula>
    </cfRule>
    <cfRule type="containsText" dxfId="4661" priority="2694" operator="containsText" text="em andamento">
      <formula>NOT(ISERROR(SEARCH("em andamento",P852)))</formula>
    </cfRule>
    <cfRule type="expression" dxfId="4660" priority="2688">
      <formula>$H852="CÉLULA CONSTRUTIVA"</formula>
    </cfRule>
    <cfRule type="expression" dxfId="4659" priority="2674">
      <formula>$H852="SUBETAPA"</formula>
    </cfRule>
    <cfRule type="containsText" dxfId="4658" priority="2681" operator="containsText" text="em andamento">
      <formula>NOT(ISERROR(SEARCH("em andamento",P852)))</formula>
    </cfRule>
    <cfRule type="expression" dxfId="4657" priority="2689">
      <formula>$H852="ETAPA"</formula>
    </cfRule>
    <cfRule type="containsText" dxfId="4656" priority="2690" operator="containsText" text="Lançado">
      <formula>NOT(ISERROR(SEARCH("Lançado",P852)))</formula>
    </cfRule>
    <cfRule type="expression" dxfId="4655" priority="2676">
      <formula>$H852="ETAPA"</formula>
    </cfRule>
    <cfRule type="containsText" dxfId="4654" priority="2693" operator="containsText" text="Finalizado">
      <formula>NOT(ISERROR(SEARCH("Finalizado",P852)))</formula>
    </cfRule>
    <cfRule type="containsText" dxfId="4653" priority="2692" operator="containsText" text="Pendente">
      <formula>NOT(ISERROR(SEARCH("Pendente",P852)))</formula>
    </cfRule>
    <cfRule type="containsText" dxfId="4652" priority="2691" operator="containsText" text="N/A">
      <formula>NOT(ISERROR(SEARCH("N/A",P852)))</formula>
    </cfRule>
    <cfRule type="containsText" dxfId="4651" priority="2677" operator="containsText" text="Lançado">
      <formula>NOT(ISERROR(SEARCH("Lançado",P852)))</formula>
    </cfRule>
    <cfRule type="containsText" dxfId="4650" priority="2678" operator="containsText" text="N/A">
      <formula>NOT(ISERROR(SEARCH("N/A",P852)))</formula>
    </cfRule>
  </conditionalFormatting>
  <conditionalFormatting sqref="P856:P857">
    <cfRule type="containsText" dxfId="4649" priority="12881" operator="containsText" text="Pendente">
      <formula>NOT(ISERROR(SEARCH("Pendente",P856)))</formula>
    </cfRule>
    <cfRule type="containsText" dxfId="4648" priority="12880" operator="containsText" text="N/A">
      <formula>NOT(ISERROR(SEARCH("N/A",P856)))</formula>
    </cfRule>
    <cfRule type="containsText" dxfId="4647" priority="12883" operator="containsText" text="em andamento">
      <formula>NOT(ISERROR(SEARCH("em andamento",P856)))</formula>
    </cfRule>
    <cfRule type="containsText" dxfId="4646" priority="12879" operator="containsText" text="Lançado">
      <formula>NOT(ISERROR(SEARCH("Lançado",P856)))</formula>
    </cfRule>
    <cfRule type="containsText" dxfId="4645" priority="12882" operator="containsText" text="Finalizado">
      <formula>NOT(ISERROR(SEARCH("Finalizado",P856)))</formula>
    </cfRule>
  </conditionalFormatting>
  <conditionalFormatting sqref="P857">
    <cfRule type="expression" dxfId="4644" priority="12875">
      <formula>$H857="ETAPA"</formula>
    </cfRule>
    <cfRule type="expression" dxfId="4643" priority="12872">
      <formula>$H857="ETAPA"</formula>
    </cfRule>
    <cfRule type="expression" dxfId="4642" priority="12871">
      <formula>$H857="CÉLULA CONSTRUTIVA"</formula>
    </cfRule>
    <cfRule type="expression" dxfId="4641" priority="12874">
      <formula>$H857="CÉLULA CONSTRUTIVA"</formula>
    </cfRule>
    <cfRule type="expression" dxfId="4640" priority="12873">
      <formula>$H857="SUBETAPA"</formula>
    </cfRule>
  </conditionalFormatting>
  <conditionalFormatting sqref="P858">
    <cfRule type="expression" dxfId="4639" priority="2655">
      <formula>$H858="ETAPA"</formula>
    </cfRule>
    <cfRule type="containsText" dxfId="4638" priority="2656" operator="containsText" text="Lançado">
      <formula>NOT(ISERROR(SEARCH("Lançado",P858)))</formula>
    </cfRule>
    <cfRule type="containsText" dxfId="4637" priority="2657" operator="containsText" text="N/A">
      <formula>NOT(ISERROR(SEARCH("N/A",P858)))</formula>
    </cfRule>
    <cfRule type="containsText" dxfId="4636" priority="2658" operator="containsText" text="Pendente">
      <formula>NOT(ISERROR(SEARCH("Pendente",P858)))</formula>
    </cfRule>
    <cfRule type="containsText" dxfId="4635" priority="2659" operator="containsText" text="Finalizado">
      <formula>NOT(ISERROR(SEARCH("Finalizado",P858)))</formula>
    </cfRule>
    <cfRule type="containsText" dxfId="4634" priority="2660" operator="containsText" text="em andamento">
      <formula>NOT(ISERROR(SEARCH("em andamento",P858)))</formula>
    </cfRule>
    <cfRule type="containsText" dxfId="4633" priority="2661" operator="containsText" text="Lançado">
      <formula>NOT(ISERROR(SEARCH("Lançado",P858)))</formula>
    </cfRule>
    <cfRule type="containsText" dxfId="4632" priority="2662" operator="containsText" text="N/A">
      <formula>NOT(ISERROR(SEARCH("N/A",P858)))</formula>
    </cfRule>
    <cfRule type="containsText" dxfId="4631" priority="2663" operator="containsText" text="Pendente">
      <formula>NOT(ISERROR(SEARCH("Pendente",P858)))</formula>
    </cfRule>
    <cfRule type="containsText" dxfId="4630" priority="2664" operator="containsText" text="Finalizado">
      <formula>NOT(ISERROR(SEARCH("Finalizado",P858)))</formula>
    </cfRule>
    <cfRule type="containsText" dxfId="4629" priority="2665" operator="containsText" text="em andamento">
      <formula>NOT(ISERROR(SEARCH("em andamento",P858)))</formula>
    </cfRule>
    <cfRule type="expression" dxfId="4628" priority="2668">
      <formula>$H858="ETAPA"</formula>
    </cfRule>
    <cfRule type="containsText" dxfId="4627" priority="2669" operator="containsText" text="Lançado">
      <formula>NOT(ISERROR(SEARCH("Lançado",P858)))</formula>
    </cfRule>
    <cfRule type="containsText" dxfId="4626" priority="2670" operator="containsText" text="N/A">
      <formula>NOT(ISERROR(SEARCH("N/A",P858)))</formula>
    </cfRule>
    <cfRule type="containsText" dxfId="4625" priority="2671" operator="containsText" text="Pendente">
      <formula>NOT(ISERROR(SEARCH("Pendente",P858)))</formula>
    </cfRule>
    <cfRule type="containsText" dxfId="4624" priority="2672" operator="containsText" text="Finalizado">
      <formula>NOT(ISERROR(SEARCH("Finalizado",P858)))</formula>
    </cfRule>
    <cfRule type="containsText" dxfId="4623" priority="2673" operator="containsText" text="em andamento">
      <formula>NOT(ISERROR(SEARCH("em andamento",P858)))</formula>
    </cfRule>
    <cfRule type="expression" dxfId="4622" priority="2667">
      <formula>$H858="CÉLULA CONSTRUTIVA"</formula>
    </cfRule>
    <cfRule type="expression" dxfId="4621" priority="2653">
      <formula>$H858="SUBETAPA"</formula>
    </cfRule>
    <cfRule type="expression" dxfId="4620" priority="2654">
      <formula>$H858="CÉLULA CONSTRUTIVA"</formula>
    </cfRule>
    <cfRule type="expression" dxfId="4619" priority="2666">
      <formula>$H858="SUBETAPA"</formula>
    </cfRule>
  </conditionalFormatting>
  <conditionalFormatting sqref="P859">
    <cfRule type="containsText" dxfId="4618" priority="12847" operator="containsText" text="Lançado">
      <formula>NOT(ISERROR(SEARCH("Lançado",P859)))</formula>
    </cfRule>
    <cfRule type="expression" dxfId="4617" priority="12845">
      <formula>$H859="CÉLULA CONSTRUTIVA"</formula>
    </cfRule>
    <cfRule type="expression" dxfId="4616" priority="12846">
      <formula>$H859="ETAPA"</formula>
    </cfRule>
    <cfRule type="containsText" dxfId="4615" priority="12850" operator="containsText" text="Finalizado">
      <formula>NOT(ISERROR(SEARCH("Finalizado",P859)))</formula>
    </cfRule>
    <cfRule type="containsText" dxfId="4614" priority="12849" operator="containsText" text="Pendente">
      <formula>NOT(ISERROR(SEARCH("Pendente",P859)))</formula>
    </cfRule>
    <cfRule type="containsText" dxfId="4613" priority="12851" operator="containsText" text="em andamento">
      <formula>NOT(ISERROR(SEARCH("em andamento",P859)))</formula>
    </cfRule>
    <cfRule type="containsText" dxfId="4612" priority="12848" operator="containsText" text="N/A">
      <formula>NOT(ISERROR(SEARCH("N/A",P859)))</formula>
    </cfRule>
  </conditionalFormatting>
  <conditionalFormatting sqref="P860:P861">
    <cfRule type="containsText" dxfId="4611" priority="2650" operator="containsText" text="Pendente">
      <formula>NOT(ISERROR(SEARCH("Pendente",P860)))</formula>
    </cfRule>
    <cfRule type="containsText" dxfId="4610" priority="2651" operator="containsText" text="Finalizado">
      <formula>NOT(ISERROR(SEARCH("Finalizado",P860)))</formula>
    </cfRule>
    <cfRule type="expression" dxfId="4609" priority="2634">
      <formula>$H860="ETAPA"</formula>
    </cfRule>
    <cfRule type="expression" dxfId="4608" priority="2633">
      <formula>$H860="CÉLULA CONSTRUTIVA"</formula>
    </cfRule>
    <cfRule type="containsText" dxfId="4607" priority="2652" operator="containsText" text="em andamento">
      <formula>NOT(ISERROR(SEARCH("em andamento",P860)))</formula>
    </cfRule>
    <cfRule type="expression" dxfId="4606" priority="2632">
      <formula>$H860="SUBETAPA"</formula>
    </cfRule>
    <cfRule type="containsText" dxfId="4605" priority="2639" operator="containsText" text="em andamento">
      <formula>NOT(ISERROR(SEARCH("em andamento",P860)))</formula>
    </cfRule>
    <cfRule type="containsText" dxfId="4604" priority="2638" operator="containsText" text="Finalizado">
      <formula>NOT(ISERROR(SEARCH("Finalizado",P860)))</formula>
    </cfRule>
    <cfRule type="containsText" dxfId="4603" priority="2648" operator="containsText" text="Lançado">
      <formula>NOT(ISERROR(SEARCH("Lançado",P860)))</formula>
    </cfRule>
    <cfRule type="expression" dxfId="4602" priority="2647">
      <formula>$H860="ETAPA"</formula>
    </cfRule>
    <cfRule type="expression" dxfId="4601" priority="2646">
      <formula>$H860="CÉLULA CONSTRUTIVA"</formula>
    </cfRule>
    <cfRule type="expression" dxfId="4600" priority="2645">
      <formula>$H860="SUBETAPA"</formula>
    </cfRule>
    <cfRule type="containsText" dxfId="4599" priority="2644" operator="containsText" text="em andamento">
      <formula>NOT(ISERROR(SEARCH("em andamento",P860)))</formula>
    </cfRule>
    <cfRule type="containsText" dxfId="4598" priority="2640" operator="containsText" text="Lançado">
      <formula>NOT(ISERROR(SEARCH("Lançado",P860)))</formula>
    </cfRule>
    <cfRule type="containsText" dxfId="4597" priority="2636" operator="containsText" text="N/A">
      <formula>NOT(ISERROR(SEARCH("N/A",P860)))</formula>
    </cfRule>
    <cfRule type="containsText" dxfId="4596" priority="2635" operator="containsText" text="Lançado">
      <formula>NOT(ISERROR(SEARCH("Lançado",P860)))</formula>
    </cfRule>
    <cfRule type="containsText" dxfId="4595" priority="2643" operator="containsText" text="Finalizado">
      <formula>NOT(ISERROR(SEARCH("Finalizado",P860)))</formula>
    </cfRule>
    <cfRule type="containsText" dxfId="4594" priority="2642" operator="containsText" text="Pendente">
      <formula>NOT(ISERROR(SEARCH("Pendente",P860)))</formula>
    </cfRule>
    <cfRule type="containsText" dxfId="4593" priority="2641" operator="containsText" text="N/A">
      <formula>NOT(ISERROR(SEARCH("N/A",P860)))</formula>
    </cfRule>
    <cfRule type="containsText" dxfId="4592" priority="2637" operator="containsText" text="Pendente">
      <formula>NOT(ISERROR(SEARCH("Pendente",P860)))</formula>
    </cfRule>
    <cfRule type="containsText" dxfId="4591" priority="2649" operator="containsText" text="N/A">
      <formula>NOT(ISERROR(SEARCH("N/A",P860)))</formula>
    </cfRule>
  </conditionalFormatting>
  <conditionalFormatting sqref="P862">
    <cfRule type="expression" dxfId="4590" priority="12820">
      <formula>$H862="SUBETAPA"</formula>
    </cfRule>
    <cfRule type="containsText" dxfId="4589" priority="12863" operator="containsText" text="Finalizado">
      <formula>NOT(ISERROR(SEARCH("Finalizado",P862)))</formula>
    </cfRule>
    <cfRule type="containsText" dxfId="4588" priority="12862" operator="containsText" text="Pendente">
      <formula>NOT(ISERROR(SEARCH("Pendente",P862)))</formula>
    </cfRule>
    <cfRule type="expression" dxfId="4587" priority="12852">
      <formula>$H862="CÉLULA CONSTRUTIVA"</formula>
    </cfRule>
    <cfRule type="expression" dxfId="4586" priority="12856">
      <formula>$H862="ETAPA"</formula>
    </cfRule>
    <cfRule type="expression" dxfId="4585" priority="12855">
      <formula>$H862="CÉLULA CONSTRUTIVA"</formula>
    </cfRule>
    <cfRule type="expression" dxfId="4584" priority="12854">
      <formula>$H862="SUBETAPA"</formula>
    </cfRule>
    <cfRule type="containsText" dxfId="4583" priority="12860" operator="containsText" text="Lançado">
      <formula>NOT(ISERROR(SEARCH("Lançado",P862)))</formula>
    </cfRule>
    <cfRule type="containsText" dxfId="4582" priority="12864" operator="containsText" text="em andamento">
      <formula>NOT(ISERROR(SEARCH("em andamento",P862)))</formula>
    </cfRule>
    <cfRule type="containsText" dxfId="4581" priority="12861" operator="containsText" text="N/A">
      <formula>NOT(ISERROR(SEARCH("N/A",P862)))</formula>
    </cfRule>
    <cfRule type="expression" dxfId="4580" priority="12853">
      <formula>$H862="ETAPA"</formula>
    </cfRule>
  </conditionalFormatting>
  <conditionalFormatting sqref="P863:P864">
    <cfRule type="containsText" dxfId="4579" priority="2615" operator="containsText" text="N/A">
      <formula>NOT(ISERROR(SEARCH("N/A",P863)))</formula>
    </cfRule>
    <cfRule type="containsText" dxfId="4578" priority="2614" operator="containsText" text="Lançado">
      <formula>NOT(ISERROR(SEARCH("Lançado",P863)))</formula>
    </cfRule>
    <cfRule type="expression" dxfId="4577" priority="2613">
      <formula>$H863="ETAPA"</formula>
    </cfRule>
    <cfRule type="containsText" dxfId="4576" priority="2619" operator="containsText" text="Lançado">
      <formula>NOT(ISERROR(SEARCH("Lançado",P863)))</formula>
    </cfRule>
    <cfRule type="containsText" dxfId="4575" priority="2620" operator="containsText" text="N/A">
      <formula>NOT(ISERROR(SEARCH("N/A",P863)))</formula>
    </cfRule>
    <cfRule type="containsText" dxfId="4574" priority="2629" operator="containsText" text="Pendente">
      <formula>NOT(ISERROR(SEARCH("Pendente",P863)))</formula>
    </cfRule>
    <cfRule type="containsText" dxfId="4573" priority="2631" operator="containsText" text="em andamento">
      <formula>NOT(ISERROR(SEARCH("em andamento",P863)))</formula>
    </cfRule>
    <cfRule type="containsText" dxfId="4572" priority="2630" operator="containsText" text="Finalizado">
      <formula>NOT(ISERROR(SEARCH("Finalizado",P863)))</formula>
    </cfRule>
    <cfRule type="expression" dxfId="4571" priority="2612">
      <formula>$H863="CÉLULA CONSTRUTIVA"</formula>
    </cfRule>
    <cfRule type="containsText" dxfId="4570" priority="2628" operator="containsText" text="N/A">
      <formula>NOT(ISERROR(SEARCH("N/A",P863)))</formula>
    </cfRule>
    <cfRule type="containsText" dxfId="4569" priority="2618" operator="containsText" text="em andamento">
      <formula>NOT(ISERROR(SEARCH("em andamento",P863)))</formula>
    </cfRule>
    <cfRule type="containsText" dxfId="4568" priority="2627" operator="containsText" text="Lançado">
      <formula>NOT(ISERROR(SEARCH("Lançado",P863)))</formula>
    </cfRule>
    <cfRule type="containsText" dxfId="4567" priority="2623" operator="containsText" text="em andamento">
      <formula>NOT(ISERROR(SEARCH("em andamento",P863)))</formula>
    </cfRule>
    <cfRule type="containsText" dxfId="4566" priority="2617" operator="containsText" text="Finalizado">
      <formula>NOT(ISERROR(SEARCH("Finalizado",P863)))</formula>
    </cfRule>
    <cfRule type="expression" dxfId="4565" priority="2611">
      <formula>$H863="SUBETAPA"</formula>
    </cfRule>
    <cfRule type="containsText" dxfId="4564" priority="2616" operator="containsText" text="Pendente">
      <formula>NOT(ISERROR(SEARCH("Pendente",P863)))</formula>
    </cfRule>
    <cfRule type="expression" dxfId="4563" priority="2626">
      <formula>$H863="ETAPA"</formula>
    </cfRule>
    <cfRule type="expression" dxfId="4562" priority="2625">
      <formula>$H863="CÉLULA CONSTRUTIVA"</formula>
    </cfRule>
    <cfRule type="expression" dxfId="4561" priority="2624">
      <formula>$H863="SUBETAPA"</formula>
    </cfRule>
    <cfRule type="containsText" dxfId="4560" priority="2622" operator="containsText" text="Finalizado">
      <formula>NOT(ISERROR(SEARCH("Finalizado",P863)))</formula>
    </cfRule>
    <cfRule type="containsText" dxfId="4559" priority="2621" operator="containsText" text="Pendente">
      <formula>NOT(ISERROR(SEARCH("Pendente",P863)))</formula>
    </cfRule>
  </conditionalFormatting>
  <conditionalFormatting sqref="P865">
    <cfRule type="containsText" dxfId="4558" priority="25299" operator="containsText" text="Lançado">
      <formula>NOT(ISERROR(SEARCH("Lançado",P865)))</formula>
    </cfRule>
    <cfRule type="containsText" dxfId="4557" priority="25300" operator="containsText" text="N/A">
      <formula>NOT(ISERROR(SEARCH("N/A",P865)))</formula>
    </cfRule>
    <cfRule type="containsText" dxfId="4556" priority="25328" operator="containsText" text="em andamento">
      <formula>NOT(ISERROR(SEARCH("em andamento",P865)))</formula>
    </cfRule>
    <cfRule type="containsText" dxfId="4555" priority="25327" operator="containsText" text="Finalizado">
      <formula>NOT(ISERROR(SEARCH("Finalizado",P865)))</formula>
    </cfRule>
    <cfRule type="containsText" dxfId="4554" priority="25326" operator="containsText" text="Pendente">
      <formula>NOT(ISERROR(SEARCH("Pendente",P865)))</formula>
    </cfRule>
  </conditionalFormatting>
  <conditionalFormatting sqref="P866:P867">
    <cfRule type="containsText" dxfId="4553" priority="12231" operator="containsText" text="Lançado">
      <formula>NOT(ISERROR(SEARCH("Lançado",P866)))</formula>
    </cfRule>
    <cfRule type="containsText" dxfId="4552" priority="12234" operator="containsText" text="Finalizado">
      <formula>NOT(ISERROR(SEARCH("Finalizado",P866)))</formula>
    </cfRule>
    <cfRule type="containsText" dxfId="4551" priority="12232" operator="containsText" text="N/A">
      <formula>NOT(ISERROR(SEARCH("N/A",P866)))</formula>
    </cfRule>
    <cfRule type="containsText" dxfId="4550" priority="12233" operator="containsText" text="Pendente">
      <formula>NOT(ISERROR(SEARCH("Pendente",P866)))</formula>
    </cfRule>
    <cfRule type="containsText" dxfId="4549" priority="12235" operator="containsText" text="em andamento">
      <formula>NOT(ISERROR(SEARCH("em andamento",P866)))</formula>
    </cfRule>
  </conditionalFormatting>
  <conditionalFormatting sqref="P868">
    <cfRule type="containsText" dxfId="4548" priority="12188" operator="containsText" text="em andamento">
      <formula>NOT(ISERROR(SEARCH("em andamento",P868)))</formula>
    </cfRule>
    <cfRule type="containsText" dxfId="4547" priority="12192" operator="containsText" text="Finalizado">
      <formula>NOT(ISERROR(SEARCH("Finalizado",P868)))</formula>
    </cfRule>
    <cfRule type="containsText" dxfId="4546" priority="12193" operator="containsText" text="em andamento">
      <formula>NOT(ISERROR(SEARCH("em andamento",P868)))</formula>
    </cfRule>
    <cfRule type="containsText" dxfId="4545" priority="12180" operator="containsText" text="N/A">
      <formula>NOT(ISERROR(SEARCH("N/A",P868)))</formula>
    </cfRule>
    <cfRule type="containsText" dxfId="4544" priority="12190" operator="containsText" text="N/A">
      <formula>NOT(ISERROR(SEARCH("N/A",P868)))</formula>
    </cfRule>
    <cfRule type="containsText" dxfId="4543" priority="12189" operator="containsText" text="Lançado">
      <formula>NOT(ISERROR(SEARCH("Lançado",P868)))</formula>
    </cfRule>
    <cfRule type="containsText" dxfId="4542" priority="12191" operator="containsText" text="Pendente">
      <formula>NOT(ISERROR(SEARCH("Pendente",P868)))</formula>
    </cfRule>
    <cfRule type="containsText" dxfId="4541" priority="12187" operator="containsText" text="Finalizado">
      <formula>NOT(ISERROR(SEARCH("Finalizado",P868)))</formula>
    </cfRule>
    <cfRule type="containsText" dxfId="4540" priority="12186" operator="containsText" text="Pendente">
      <formula>NOT(ISERROR(SEARCH("Pendente",P868)))</formula>
    </cfRule>
    <cfRule type="containsText" dxfId="4539" priority="12185" operator="containsText" text="N/A">
      <formula>NOT(ISERROR(SEARCH("N/A",P868)))</formula>
    </cfRule>
    <cfRule type="containsText" dxfId="4538" priority="12184" operator="containsText" text="Lançado">
      <formula>NOT(ISERROR(SEARCH("Lançado",P868)))</formula>
    </cfRule>
    <cfRule type="containsText" dxfId="4537" priority="12183" operator="containsText" text="em andamento">
      <formula>NOT(ISERROR(SEARCH("em andamento",P868)))</formula>
    </cfRule>
    <cfRule type="containsText" dxfId="4536" priority="12182" operator="containsText" text="Finalizado">
      <formula>NOT(ISERROR(SEARCH("Finalizado",P868)))</formula>
    </cfRule>
    <cfRule type="containsText" dxfId="4535" priority="12181" operator="containsText" text="Pendente">
      <formula>NOT(ISERROR(SEARCH("Pendente",P868)))</formula>
    </cfRule>
    <cfRule type="containsText" dxfId="4534" priority="12179" operator="containsText" text="Lançado">
      <formula>NOT(ISERROR(SEARCH("Lançado",P868)))</formula>
    </cfRule>
  </conditionalFormatting>
  <conditionalFormatting sqref="P869">
    <cfRule type="containsText" dxfId="4533" priority="12249" operator="containsText" text="Lançado">
      <formula>NOT(ISERROR(SEARCH("Lançado",P869)))</formula>
    </cfRule>
    <cfRule type="containsText" dxfId="4532" priority="12246" operator="containsText" text="em andamento">
      <formula>NOT(ISERROR(SEARCH("em andamento",P869)))</formula>
    </cfRule>
    <cfRule type="containsText" dxfId="4531" priority="12245" operator="containsText" text="Finalizado">
      <formula>NOT(ISERROR(SEARCH("Finalizado",P869)))</formula>
    </cfRule>
    <cfRule type="containsText" dxfId="4530" priority="12244" operator="containsText" text="Pendente">
      <formula>NOT(ISERROR(SEARCH("Pendente",P869)))</formula>
    </cfRule>
    <cfRule type="containsText" dxfId="4529" priority="12243" operator="containsText" text="N/A">
      <formula>NOT(ISERROR(SEARCH("N/A",P869)))</formula>
    </cfRule>
    <cfRule type="containsText" dxfId="4528" priority="12242" operator="containsText" text="Lançado">
      <formula>NOT(ISERROR(SEARCH("Lançado",P869)))</formula>
    </cfRule>
    <cfRule type="containsText" dxfId="4527" priority="12253" operator="containsText" text="em andamento">
      <formula>NOT(ISERROR(SEARCH("em andamento",P869)))</formula>
    </cfRule>
    <cfRule type="containsText" dxfId="4526" priority="12252" operator="containsText" text="Finalizado">
      <formula>NOT(ISERROR(SEARCH("Finalizado",P869)))</formula>
    </cfRule>
    <cfRule type="containsText" dxfId="4525" priority="12251" operator="containsText" text="Pendente">
      <formula>NOT(ISERROR(SEARCH("Pendente",P869)))</formula>
    </cfRule>
    <cfRule type="containsText" dxfId="4524" priority="12250" operator="containsText" text="N/A">
      <formula>NOT(ISERROR(SEARCH("N/A",P869)))</formula>
    </cfRule>
  </conditionalFormatting>
  <conditionalFormatting sqref="P870">
    <cfRule type="containsText" dxfId="4523" priority="2598" operator="containsText" text="Pendente">
      <formula>NOT(ISERROR(SEARCH("Pendente",P870)))</formula>
    </cfRule>
    <cfRule type="expression" dxfId="4522" priority="12150">
      <formula>$H870="ETAPA"</formula>
    </cfRule>
    <cfRule type="containsText" dxfId="4521" priority="12209" operator="containsText" text="em andamento">
      <formula>NOT(ISERROR(SEARCH("em andamento",P870)))</formula>
    </cfRule>
    <cfRule type="containsText" dxfId="4520" priority="2599" operator="containsText" text="Finalizado">
      <formula>NOT(ISERROR(SEARCH("Finalizado",P870)))</formula>
    </cfRule>
    <cfRule type="containsText" dxfId="4519" priority="12207" operator="containsText" text="Pendente">
      <formula>NOT(ISERROR(SEARCH("Pendente",P870)))</formula>
    </cfRule>
    <cfRule type="containsText" dxfId="4518" priority="12206" operator="containsText" text="N/A">
      <formula>NOT(ISERROR(SEARCH("N/A",P870)))</formula>
    </cfRule>
    <cfRule type="containsText" dxfId="4517" priority="12205" operator="containsText" text="Lançado">
      <formula>NOT(ISERROR(SEARCH("Lançado",P870)))</formula>
    </cfRule>
    <cfRule type="containsText" dxfId="4516" priority="12204" operator="containsText" text="em andamento">
      <formula>NOT(ISERROR(SEARCH("em andamento",P870)))</formula>
    </cfRule>
    <cfRule type="containsText" dxfId="4515" priority="12203" operator="containsText" text="Finalizado">
      <formula>NOT(ISERROR(SEARCH("Finalizado",P870)))</formula>
    </cfRule>
    <cfRule type="containsText" dxfId="4514" priority="12202" operator="containsText" text="Pendente">
      <formula>NOT(ISERROR(SEARCH("Pendente",P870)))</formula>
    </cfRule>
    <cfRule type="containsText" dxfId="4513" priority="12201" operator="containsText" text="N/A">
      <formula>NOT(ISERROR(SEARCH("N/A",P870)))</formula>
    </cfRule>
    <cfRule type="containsText" dxfId="4512" priority="12200" operator="containsText" text="Lançado">
      <formula>NOT(ISERROR(SEARCH("Lançado",P870)))</formula>
    </cfRule>
    <cfRule type="containsText" dxfId="4511" priority="12199" operator="containsText" text="em andamento">
      <formula>NOT(ISERROR(SEARCH("em andamento",P870)))</formula>
    </cfRule>
    <cfRule type="containsText" dxfId="4510" priority="12198" operator="containsText" text="Finalizado">
      <formula>NOT(ISERROR(SEARCH("Finalizado",P870)))</formula>
    </cfRule>
    <cfRule type="containsText" dxfId="4509" priority="12197" operator="containsText" text="Pendente">
      <formula>NOT(ISERROR(SEARCH("Pendente",P870)))</formula>
    </cfRule>
    <cfRule type="containsText" dxfId="4508" priority="12196" operator="containsText" text="N/A">
      <formula>NOT(ISERROR(SEARCH("N/A",P870)))</formula>
    </cfRule>
    <cfRule type="containsText" dxfId="4507" priority="12195" operator="containsText" text="Lançado">
      <formula>NOT(ISERROR(SEARCH("Lançado",P870)))</formula>
    </cfRule>
    <cfRule type="containsText" dxfId="4506" priority="2600" operator="containsText" text="em andamento">
      <formula>NOT(ISERROR(SEARCH("em andamento",P870)))</formula>
    </cfRule>
    <cfRule type="containsText" dxfId="4505" priority="2601" operator="containsText" text="Lançado">
      <formula>NOT(ISERROR(SEARCH("Lançado",P870)))</formula>
    </cfRule>
    <cfRule type="containsText" dxfId="4504" priority="2603" operator="containsText" text="Pendente">
      <formula>NOT(ISERROR(SEARCH("Pendente",P870)))</formula>
    </cfRule>
    <cfRule type="containsText" dxfId="4503" priority="2609" operator="containsText" text="Finalizado">
      <formula>NOT(ISERROR(SEARCH("Finalizado",P870)))</formula>
    </cfRule>
    <cfRule type="containsText" dxfId="4502" priority="2608" operator="containsText" text="Pendente">
      <formula>NOT(ISERROR(SEARCH("Pendente",P870)))</formula>
    </cfRule>
    <cfRule type="containsText" dxfId="4501" priority="2607" operator="containsText" text="N/A">
      <formula>NOT(ISERROR(SEARCH("N/A",P870)))</formula>
    </cfRule>
    <cfRule type="containsText" dxfId="4500" priority="2606" operator="containsText" text="Lançado">
      <formula>NOT(ISERROR(SEARCH("Lançado",P870)))</formula>
    </cfRule>
    <cfRule type="containsText" dxfId="4499" priority="2605" operator="containsText" text="em andamento">
      <formula>NOT(ISERROR(SEARCH("em andamento",P870)))</formula>
    </cfRule>
    <cfRule type="containsText" dxfId="4498" priority="2604" operator="containsText" text="Finalizado">
      <formula>NOT(ISERROR(SEARCH("Finalizado",P870)))</formula>
    </cfRule>
    <cfRule type="containsText" dxfId="4497" priority="2602" operator="containsText" text="N/A">
      <formula>NOT(ISERROR(SEARCH("N/A",P870)))</formula>
    </cfRule>
    <cfRule type="containsText" dxfId="4496" priority="2610" operator="containsText" text="em andamento">
      <formula>NOT(ISERROR(SEARCH("em andamento",P870)))</formula>
    </cfRule>
    <cfRule type="containsText" dxfId="4495" priority="12133" operator="containsText" text="Lançado">
      <formula>NOT(ISERROR(SEARCH("Lançado",P870)))</formula>
    </cfRule>
    <cfRule type="containsText" dxfId="4494" priority="2596" operator="containsText" text="Lançado">
      <formula>NOT(ISERROR(SEARCH("Lançado",P870)))</formula>
    </cfRule>
    <cfRule type="containsText" dxfId="4493" priority="12208" operator="containsText" text="Finalizado">
      <formula>NOT(ISERROR(SEARCH("Finalizado",P870)))</formula>
    </cfRule>
    <cfRule type="containsText" dxfId="4492" priority="2597" operator="containsText" text="N/A">
      <formula>NOT(ISERROR(SEARCH("N/A",P870)))</formula>
    </cfRule>
    <cfRule type="expression" dxfId="4491" priority="12151">
      <formula>$H870="ETAPA"</formula>
    </cfRule>
    <cfRule type="expression" dxfId="4490" priority="12149">
      <formula>$H870="CÉLULA CONSTRUTIVA"</formula>
    </cfRule>
    <cfRule type="expression" dxfId="4489" priority="12148">
      <formula>$H870="SUBETAPA"</formula>
    </cfRule>
    <cfRule type="containsText" dxfId="4488" priority="12147" operator="containsText" text="em andamento">
      <formula>NOT(ISERROR(SEARCH("em andamento",P870)))</formula>
    </cfRule>
    <cfRule type="containsText" dxfId="4487" priority="12146" operator="containsText" text="Finalizado">
      <formula>NOT(ISERROR(SEARCH("Finalizado",P870)))</formula>
    </cfRule>
    <cfRule type="containsText" dxfId="4486" priority="12145" operator="containsText" text="Pendente">
      <formula>NOT(ISERROR(SEARCH("Pendente",P870)))</formula>
    </cfRule>
    <cfRule type="containsText" dxfId="4485" priority="12144" operator="containsText" text="N/A">
      <formula>NOT(ISERROR(SEARCH("N/A",P870)))</formula>
    </cfRule>
    <cfRule type="containsText" dxfId="4484" priority="12143" operator="containsText" text="Lançado">
      <formula>NOT(ISERROR(SEARCH("Lançado",P870)))</formula>
    </cfRule>
    <cfRule type="containsText" dxfId="4483" priority="12142" operator="containsText" text="em andamento">
      <formula>NOT(ISERROR(SEARCH("em andamento",P870)))</formula>
    </cfRule>
    <cfRule type="containsText" dxfId="4482" priority="12141" operator="containsText" text="Finalizado">
      <formula>NOT(ISERROR(SEARCH("Finalizado",P870)))</formula>
    </cfRule>
    <cfRule type="containsText" dxfId="4481" priority="12140" operator="containsText" text="Pendente">
      <formula>NOT(ISERROR(SEARCH("Pendente",P870)))</formula>
    </cfRule>
    <cfRule type="containsText" dxfId="4480" priority="12139" operator="containsText" text="N/A">
      <formula>NOT(ISERROR(SEARCH("N/A",P870)))</formula>
    </cfRule>
    <cfRule type="containsText" dxfId="4479" priority="12138" operator="containsText" text="Lançado">
      <formula>NOT(ISERROR(SEARCH("Lançado",P870)))</formula>
    </cfRule>
    <cfRule type="containsText" dxfId="4478" priority="12137" operator="containsText" text="em andamento">
      <formula>NOT(ISERROR(SEARCH("em andamento",P870)))</formula>
    </cfRule>
    <cfRule type="containsText" dxfId="4477" priority="12136" operator="containsText" text="Finalizado">
      <formula>NOT(ISERROR(SEARCH("Finalizado",P870)))</formula>
    </cfRule>
    <cfRule type="containsText" dxfId="4476" priority="12135" operator="containsText" text="Pendente">
      <formula>NOT(ISERROR(SEARCH("Pendente",P870)))</formula>
    </cfRule>
    <cfRule type="containsText" dxfId="4475" priority="12134" operator="containsText" text="N/A">
      <formula>NOT(ISERROR(SEARCH("N/A",P870)))</formula>
    </cfRule>
  </conditionalFormatting>
  <conditionalFormatting sqref="P871 P874">
    <cfRule type="containsText" dxfId="4474" priority="12127" operator="containsText" text="em andamento">
      <formula>NOT(ISERROR(SEARCH("em andamento",P871)))</formula>
    </cfRule>
    <cfRule type="containsText" dxfId="4473" priority="12126" operator="containsText" text="Finalizado">
      <formula>NOT(ISERROR(SEARCH("Finalizado",P871)))</formula>
    </cfRule>
    <cfRule type="containsText" dxfId="4472" priority="12125" operator="containsText" text="Pendente">
      <formula>NOT(ISERROR(SEARCH("Pendente",P871)))</formula>
    </cfRule>
  </conditionalFormatting>
  <conditionalFormatting sqref="P871:P872">
    <cfRule type="containsText" dxfId="4471" priority="12112" operator="containsText" text="Lançado">
      <formula>NOT(ISERROR(SEARCH("Lançado",P871)))</formula>
    </cfRule>
    <cfRule type="containsText" dxfId="4470" priority="12113" operator="containsText" text="N/A">
      <formula>NOT(ISERROR(SEARCH("N/A",P871)))</formula>
    </cfRule>
  </conditionalFormatting>
  <conditionalFormatting sqref="P872">
    <cfRule type="expression" dxfId="4469" priority="12117">
      <formula>$H872="ETAPA"</formula>
    </cfRule>
    <cfRule type="containsText" dxfId="4468" priority="12116" operator="containsText" text="em andamento">
      <formula>NOT(ISERROR(SEARCH("em andamento",P872)))</formula>
    </cfRule>
    <cfRule type="containsText" dxfId="4467" priority="12115" operator="containsText" text="Finalizado">
      <formula>NOT(ISERROR(SEARCH("Finalizado",P872)))</formula>
    </cfRule>
    <cfRule type="containsText" dxfId="4466" priority="12114" operator="containsText" text="Pendente">
      <formula>NOT(ISERROR(SEARCH("Pendente",P872)))</formula>
    </cfRule>
  </conditionalFormatting>
  <conditionalFormatting sqref="P873">
    <cfRule type="containsText" dxfId="4465" priority="2590" operator="containsText" text="Pendente">
      <formula>NOT(ISERROR(SEARCH("Pendente",P873)))</formula>
    </cfRule>
    <cfRule type="containsText" dxfId="4464" priority="2589" operator="containsText" text="N/A">
      <formula>NOT(ISERROR(SEARCH("N/A",P873)))</formula>
    </cfRule>
    <cfRule type="containsText" dxfId="4463" priority="2588" operator="containsText" text="Lançado">
      <formula>NOT(ISERROR(SEARCH("Lançado",P873)))</formula>
    </cfRule>
    <cfRule type="containsText" dxfId="4462" priority="2584" operator="containsText" text="N/A">
      <formula>NOT(ISERROR(SEARCH("N/A",P873)))</formula>
    </cfRule>
    <cfRule type="containsText" dxfId="4461" priority="2586" operator="containsText" text="Finalizado">
      <formula>NOT(ISERROR(SEARCH("Finalizado",P873)))</formula>
    </cfRule>
    <cfRule type="containsText" dxfId="4460" priority="2585" operator="containsText" text="Pendente">
      <formula>NOT(ISERROR(SEARCH("Pendente",P873)))</formula>
    </cfRule>
    <cfRule type="containsText" dxfId="4459" priority="2587" operator="containsText" text="em andamento">
      <formula>NOT(ISERROR(SEARCH("em andamento",P873)))</formula>
    </cfRule>
    <cfRule type="containsText" dxfId="4458" priority="2578" operator="containsText" text="Lançado">
      <formula>NOT(ISERROR(SEARCH("Lançado",P873)))</formula>
    </cfRule>
    <cfRule type="containsText" dxfId="4457" priority="2579" operator="containsText" text="N/A">
      <formula>NOT(ISERROR(SEARCH("N/A",P873)))</formula>
    </cfRule>
    <cfRule type="containsText" dxfId="4456" priority="2580" operator="containsText" text="Pendente">
      <formula>NOT(ISERROR(SEARCH("Pendente",P873)))</formula>
    </cfRule>
    <cfRule type="containsText" dxfId="4455" priority="2581" operator="containsText" text="Finalizado">
      <formula>NOT(ISERROR(SEARCH("Finalizado",P873)))</formula>
    </cfRule>
    <cfRule type="containsText" dxfId="4454" priority="2582" operator="containsText" text="em andamento">
      <formula>NOT(ISERROR(SEARCH("em andamento",P873)))</formula>
    </cfRule>
    <cfRule type="containsText" dxfId="4453" priority="2583" operator="containsText" text="Lançado">
      <formula>NOT(ISERROR(SEARCH("Lançado",P873)))</formula>
    </cfRule>
    <cfRule type="expression" dxfId="4452" priority="2595">
      <formula>$H873="ETAPA"</formula>
    </cfRule>
    <cfRule type="expression" dxfId="4451" priority="2594">
      <formula>$H873="CÉLULA CONSTRUTIVA"</formula>
    </cfRule>
    <cfRule type="expression" dxfId="4450" priority="2593">
      <formula>$H873="SUBETAPA"</formula>
    </cfRule>
    <cfRule type="containsText" dxfId="4449" priority="2592" operator="containsText" text="em andamento">
      <formula>NOT(ISERROR(SEARCH("em andamento",P873)))</formula>
    </cfRule>
    <cfRule type="containsText" dxfId="4448" priority="2591" operator="containsText" text="Finalizado">
      <formula>NOT(ISERROR(SEARCH("Finalizado",P873)))</formula>
    </cfRule>
  </conditionalFormatting>
  <conditionalFormatting sqref="P874">
    <cfRule type="containsText" dxfId="4447" priority="12132" operator="containsText" text="em andamento">
      <formula>NOT(ISERROR(SEARCH("em andamento",P874)))</formula>
    </cfRule>
    <cfRule type="containsText" dxfId="4446" priority="12131" operator="containsText" text="Finalizado">
      <formula>NOT(ISERROR(SEARCH("Finalizado",P874)))</formula>
    </cfRule>
    <cfRule type="containsText" dxfId="4445" priority="12130" operator="containsText" text="Pendente">
      <formula>NOT(ISERROR(SEARCH("Pendente",P874)))</formula>
    </cfRule>
    <cfRule type="containsText" dxfId="4444" priority="12129" operator="containsText" text="N/A">
      <formula>NOT(ISERROR(SEARCH("N/A",P874)))</formula>
    </cfRule>
    <cfRule type="containsText" dxfId="4443" priority="12128" operator="containsText" text="Lançado">
      <formula>NOT(ISERROR(SEARCH("Lançado",P874)))</formula>
    </cfRule>
    <cfRule type="containsText" dxfId="4442" priority="12124" operator="containsText" text="N/A">
      <formula>NOT(ISERROR(SEARCH("N/A",P874)))</formula>
    </cfRule>
    <cfRule type="containsText" dxfId="4441" priority="12123" operator="containsText" text="Lançado">
      <formula>NOT(ISERROR(SEARCH("Lançado",P874)))</formula>
    </cfRule>
  </conditionalFormatting>
  <conditionalFormatting sqref="P875">
    <cfRule type="containsText" dxfId="4440" priority="2561" operator="containsText" text="N/A">
      <formula>NOT(ISERROR(SEARCH("N/A",P875)))</formula>
    </cfRule>
    <cfRule type="containsText" dxfId="4439" priority="2560" operator="containsText" text="Lançado">
      <formula>NOT(ISERROR(SEARCH("Lançado",P875)))</formula>
    </cfRule>
    <cfRule type="expression" dxfId="4438" priority="2577">
      <formula>$H875="ETAPA"</formula>
    </cfRule>
    <cfRule type="expression" dxfId="4437" priority="2576">
      <formula>$H875="CÉLULA CONSTRUTIVA"</formula>
    </cfRule>
    <cfRule type="expression" dxfId="4436" priority="2575">
      <formula>$H875="SUBETAPA"</formula>
    </cfRule>
    <cfRule type="containsText" dxfId="4435" priority="2574" operator="containsText" text="em andamento">
      <formula>NOT(ISERROR(SEARCH("em andamento",P875)))</formula>
    </cfRule>
    <cfRule type="containsText" dxfId="4434" priority="2573" operator="containsText" text="Finalizado">
      <formula>NOT(ISERROR(SEARCH("Finalizado",P875)))</formula>
    </cfRule>
    <cfRule type="containsText" dxfId="4433" priority="2572" operator="containsText" text="Pendente">
      <formula>NOT(ISERROR(SEARCH("Pendente",P875)))</formula>
    </cfRule>
    <cfRule type="containsText" dxfId="4432" priority="2571" operator="containsText" text="N/A">
      <formula>NOT(ISERROR(SEARCH("N/A",P875)))</formula>
    </cfRule>
    <cfRule type="containsText" dxfId="4431" priority="2570" operator="containsText" text="Lançado">
      <formula>NOT(ISERROR(SEARCH("Lançado",P875)))</formula>
    </cfRule>
    <cfRule type="containsText" dxfId="4430" priority="2569" operator="containsText" text="em andamento">
      <formula>NOT(ISERROR(SEARCH("em andamento",P875)))</formula>
    </cfRule>
    <cfRule type="containsText" dxfId="4429" priority="2567" operator="containsText" text="Pendente">
      <formula>NOT(ISERROR(SEARCH("Pendente",P875)))</formula>
    </cfRule>
    <cfRule type="containsText" dxfId="4428" priority="2566" operator="containsText" text="N/A">
      <formula>NOT(ISERROR(SEARCH("N/A",P875)))</formula>
    </cfRule>
    <cfRule type="containsText" dxfId="4427" priority="2565" operator="containsText" text="Lançado">
      <formula>NOT(ISERROR(SEARCH("Lançado",P875)))</formula>
    </cfRule>
    <cfRule type="containsText" dxfId="4426" priority="2568" operator="containsText" text="Finalizado">
      <formula>NOT(ISERROR(SEARCH("Finalizado",P875)))</formula>
    </cfRule>
    <cfRule type="containsText" dxfId="4425" priority="2564" operator="containsText" text="em andamento">
      <formula>NOT(ISERROR(SEARCH("em andamento",P875)))</formula>
    </cfRule>
    <cfRule type="containsText" dxfId="4424" priority="2563" operator="containsText" text="Finalizado">
      <formula>NOT(ISERROR(SEARCH("Finalizado",P875)))</formula>
    </cfRule>
    <cfRule type="containsText" dxfId="4423" priority="2562" operator="containsText" text="Pendente">
      <formula>NOT(ISERROR(SEARCH("Pendente",P875)))</formula>
    </cfRule>
  </conditionalFormatting>
  <conditionalFormatting sqref="P876 P879">
    <cfRule type="containsText" dxfId="4422" priority="12049" operator="containsText" text="Pendente">
      <formula>NOT(ISERROR(SEARCH("Pendente",P876)))</formula>
    </cfRule>
    <cfRule type="containsText" dxfId="4421" priority="12050" operator="containsText" text="Finalizado">
      <formula>NOT(ISERROR(SEARCH("Finalizado",P876)))</formula>
    </cfRule>
    <cfRule type="containsText" dxfId="4420" priority="12051" operator="containsText" text="em andamento">
      <formula>NOT(ISERROR(SEARCH("em andamento",P876)))</formula>
    </cfRule>
  </conditionalFormatting>
  <conditionalFormatting sqref="P876:P877">
    <cfRule type="containsText" dxfId="4419" priority="12037" operator="containsText" text="N/A">
      <formula>NOT(ISERROR(SEARCH("N/A",P876)))</formula>
    </cfRule>
    <cfRule type="containsText" dxfId="4418" priority="12036" operator="containsText" text="Lançado">
      <formula>NOT(ISERROR(SEARCH("Lançado",P876)))</formula>
    </cfRule>
  </conditionalFormatting>
  <conditionalFormatting sqref="P877">
    <cfRule type="containsText" dxfId="4417" priority="12040" operator="containsText" text="em andamento">
      <formula>NOT(ISERROR(SEARCH("em andamento",P877)))</formula>
    </cfRule>
    <cfRule type="expression" dxfId="4416" priority="12041">
      <formula>$H877="ETAPA"</formula>
    </cfRule>
    <cfRule type="containsText" dxfId="4415" priority="12038" operator="containsText" text="Pendente">
      <formula>NOT(ISERROR(SEARCH("Pendente",P877)))</formula>
    </cfRule>
    <cfRule type="containsText" dxfId="4414" priority="12039" operator="containsText" text="Finalizado">
      <formula>NOT(ISERROR(SEARCH("Finalizado",P877)))</formula>
    </cfRule>
  </conditionalFormatting>
  <conditionalFormatting sqref="P878">
    <cfRule type="containsText" dxfId="4413" priority="2549" operator="containsText" text="Pendente">
      <formula>NOT(ISERROR(SEARCH("Pendente",P878)))</formula>
    </cfRule>
    <cfRule type="expression" dxfId="4412" priority="2558">
      <formula>$H878="CÉLULA CONSTRUTIVA"</formula>
    </cfRule>
    <cfRule type="expression" dxfId="4411" priority="2559">
      <formula>$H878="ETAPA"</formula>
    </cfRule>
    <cfRule type="containsText" dxfId="4410" priority="2555" operator="containsText" text="Finalizado">
      <formula>NOT(ISERROR(SEARCH("Finalizado",P878)))</formula>
    </cfRule>
    <cfRule type="containsText" dxfId="4409" priority="2546" operator="containsText" text="em andamento">
      <formula>NOT(ISERROR(SEARCH("em andamento",P878)))</formula>
    </cfRule>
    <cfRule type="containsText" dxfId="4408" priority="2547" operator="containsText" text="Lançado">
      <formula>NOT(ISERROR(SEARCH("Lançado",P878)))</formula>
    </cfRule>
    <cfRule type="containsText" dxfId="4407" priority="2543" operator="containsText" text="N/A">
      <formula>NOT(ISERROR(SEARCH("N/A",P878)))</formula>
    </cfRule>
    <cfRule type="containsText" dxfId="4406" priority="2556" operator="containsText" text="em andamento">
      <formula>NOT(ISERROR(SEARCH("em andamento",P878)))</formula>
    </cfRule>
    <cfRule type="containsText" dxfId="4405" priority="2554" operator="containsText" text="Pendente">
      <formula>NOT(ISERROR(SEARCH("Pendente",P878)))</formula>
    </cfRule>
    <cfRule type="containsText" dxfId="4404" priority="2553" operator="containsText" text="N/A">
      <formula>NOT(ISERROR(SEARCH("N/A",P878)))</formula>
    </cfRule>
    <cfRule type="containsText" dxfId="4403" priority="2551" operator="containsText" text="em andamento">
      <formula>NOT(ISERROR(SEARCH("em andamento",P878)))</formula>
    </cfRule>
    <cfRule type="containsText" dxfId="4402" priority="2550" operator="containsText" text="Finalizado">
      <formula>NOT(ISERROR(SEARCH("Finalizado",P878)))</formula>
    </cfRule>
    <cfRule type="containsText" dxfId="4401" priority="2552" operator="containsText" text="Lançado">
      <formula>NOT(ISERROR(SEARCH("Lançado",P878)))</formula>
    </cfRule>
    <cfRule type="containsText" dxfId="4400" priority="2548" operator="containsText" text="N/A">
      <formula>NOT(ISERROR(SEARCH("N/A",P878)))</formula>
    </cfRule>
    <cfRule type="expression" dxfId="4399" priority="2557">
      <formula>$H878="SUBETAPA"</formula>
    </cfRule>
    <cfRule type="containsText" dxfId="4398" priority="2542" operator="containsText" text="Lançado">
      <formula>NOT(ISERROR(SEARCH("Lançado",P878)))</formula>
    </cfRule>
    <cfRule type="containsText" dxfId="4397" priority="2544" operator="containsText" text="Pendente">
      <formula>NOT(ISERROR(SEARCH("Pendente",P878)))</formula>
    </cfRule>
    <cfRule type="containsText" dxfId="4396" priority="2545" operator="containsText" text="Finalizado">
      <formula>NOT(ISERROR(SEARCH("Finalizado",P878)))</formula>
    </cfRule>
  </conditionalFormatting>
  <conditionalFormatting sqref="P879">
    <cfRule type="containsText" dxfId="4395" priority="12054" operator="containsText" text="Pendente">
      <formula>NOT(ISERROR(SEARCH("Pendente",P879)))</formula>
    </cfRule>
    <cfRule type="containsText" dxfId="4394" priority="12052" operator="containsText" text="Lançado">
      <formula>NOT(ISERROR(SEARCH("Lançado",P879)))</formula>
    </cfRule>
    <cfRule type="containsText" dxfId="4393" priority="12053" operator="containsText" text="N/A">
      <formula>NOT(ISERROR(SEARCH("N/A",P879)))</formula>
    </cfRule>
    <cfRule type="containsText" dxfId="4392" priority="12055" operator="containsText" text="Finalizado">
      <formula>NOT(ISERROR(SEARCH("Finalizado",P879)))</formula>
    </cfRule>
    <cfRule type="containsText" dxfId="4391" priority="12056" operator="containsText" text="em andamento">
      <formula>NOT(ISERROR(SEARCH("em andamento",P879)))</formula>
    </cfRule>
    <cfRule type="containsText" dxfId="4390" priority="12048" operator="containsText" text="N/A">
      <formula>NOT(ISERROR(SEARCH("N/A",P879)))</formula>
    </cfRule>
    <cfRule type="containsText" dxfId="4389" priority="12047" operator="containsText" text="Lançado">
      <formula>NOT(ISERROR(SEARCH("Lançado",P879)))</formula>
    </cfRule>
  </conditionalFormatting>
  <conditionalFormatting sqref="P880">
    <cfRule type="containsText" dxfId="4388" priority="2538" operator="containsText" text="em andamento">
      <formula>NOT(ISERROR(SEARCH("em andamento",P880)))</formula>
    </cfRule>
    <cfRule type="expression" dxfId="4387" priority="2539">
      <formula>$H880="SUBETAPA"</formula>
    </cfRule>
    <cfRule type="expression" dxfId="4386" priority="2541">
      <formula>$H880="ETAPA"</formula>
    </cfRule>
    <cfRule type="containsText" dxfId="4385" priority="2537" operator="containsText" text="Finalizado">
      <formula>NOT(ISERROR(SEARCH("Finalizado",P880)))</formula>
    </cfRule>
    <cfRule type="containsText" dxfId="4384" priority="2527" operator="containsText" text="Finalizado">
      <formula>NOT(ISERROR(SEARCH("Finalizado",P880)))</formula>
    </cfRule>
    <cfRule type="containsText" dxfId="4383" priority="2526" operator="containsText" text="Pendente">
      <formula>NOT(ISERROR(SEARCH("Pendente",P880)))</formula>
    </cfRule>
    <cfRule type="containsText" dxfId="4382" priority="2525" operator="containsText" text="N/A">
      <formula>NOT(ISERROR(SEARCH("N/A",P880)))</formula>
    </cfRule>
    <cfRule type="containsText" dxfId="4381" priority="2524" operator="containsText" text="Lançado">
      <formula>NOT(ISERROR(SEARCH("Lançado",P880)))</formula>
    </cfRule>
    <cfRule type="containsText" dxfId="4380" priority="2530" operator="containsText" text="N/A">
      <formula>NOT(ISERROR(SEARCH("N/A",P880)))</formula>
    </cfRule>
    <cfRule type="containsText" dxfId="4379" priority="2531" operator="containsText" text="Pendente">
      <formula>NOT(ISERROR(SEARCH("Pendente",P880)))</formula>
    </cfRule>
    <cfRule type="containsText" dxfId="4378" priority="2532" operator="containsText" text="Finalizado">
      <formula>NOT(ISERROR(SEARCH("Finalizado",P880)))</formula>
    </cfRule>
    <cfRule type="containsText" dxfId="4377" priority="2533" operator="containsText" text="em andamento">
      <formula>NOT(ISERROR(SEARCH("em andamento",P880)))</formula>
    </cfRule>
    <cfRule type="containsText" dxfId="4376" priority="2534" operator="containsText" text="Lançado">
      <formula>NOT(ISERROR(SEARCH("Lançado",P880)))</formula>
    </cfRule>
    <cfRule type="containsText" dxfId="4375" priority="2535" operator="containsText" text="N/A">
      <formula>NOT(ISERROR(SEARCH("N/A",P880)))</formula>
    </cfRule>
    <cfRule type="containsText" dxfId="4374" priority="2536" operator="containsText" text="Pendente">
      <formula>NOT(ISERROR(SEARCH("Pendente",P880)))</formula>
    </cfRule>
    <cfRule type="containsText" dxfId="4373" priority="2529" operator="containsText" text="Lançado">
      <formula>NOT(ISERROR(SEARCH("Lançado",P880)))</formula>
    </cfRule>
    <cfRule type="containsText" dxfId="4372" priority="2528" operator="containsText" text="em andamento">
      <formula>NOT(ISERROR(SEARCH("em andamento",P880)))</formula>
    </cfRule>
    <cfRule type="expression" dxfId="4371" priority="2540">
      <formula>$H880="CÉLULA CONSTRUTIVA"</formula>
    </cfRule>
  </conditionalFormatting>
  <conditionalFormatting sqref="P881">
    <cfRule type="containsText" dxfId="4370" priority="11974" operator="containsText" text="Finalizado">
      <formula>NOT(ISERROR(SEARCH("Finalizado",P881)))</formula>
    </cfRule>
    <cfRule type="containsText" dxfId="4369" priority="11961" operator="containsText" text="N/A">
      <formula>NOT(ISERROR(SEARCH("N/A",P881)))</formula>
    </cfRule>
    <cfRule type="containsText" dxfId="4368" priority="11975" operator="containsText" text="em andamento">
      <formula>NOT(ISERROR(SEARCH("em andamento",P881)))</formula>
    </cfRule>
    <cfRule type="containsText" dxfId="4367" priority="11960" operator="containsText" text="Lançado">
      <formula>NOT(ISERROR(SEARCH("Lançado",P881)))</formula>
    </cfRule>
    <cfRule type="containsText" dxfId="4366" priority="11973" operator="containsText" text="Pendente">
      <formula>NOT(ISERROR(SEARCH("Pendente",P881)))</formula>
    </cfRule>
  </conditionalFormatting>
  <conditionalFormatting sqref="P882">
    <cfRule type="containsText" dxfId="4365" priority="6455" operator="containsText" text="em andamento">
      <formula>NOT(ISERROR(SEARCH("em andamento",P882)))</formula>
    </cfRule>
    <cfRule type="containsText" dxfId="4364" priority="6451" operator="containsText" text="Lançado">
      <formula>NOT(ISERROR(SEARCH("Lançado",P882)))</formula>
    </cfRule>
    <cfRule type="containsText" dxfId="4363" priority="6452" operator="containsText" text="N/A">
      <formula>NOT(ISERROR(SEARCH("N/A",P882)))</formula>
    </cfRule>
    <cfRule type="containsText" dxfId="4362" priority="6453" operator="containsText" text="Pendente">
      <formula>NOT(ISERROR(SEARCH("Pendente",P882)))</formula>
    </cfRule>
    <cfRule type="containsText" dxfId="4361" priority="6454" operator="containsText" text="Finalizado">
      <formula>NOT(ISERROR(SEARCH("Finalizado",P882)))</formula>
    </cfRule>
  </conditionalFormatting>
  <conditionalFormatting sqref="P883">
    <cfRule type="containsText" dxfId="4360" priority="2511" operator="containsText" text="Lançado">
      <formula>NOT(ISERROR(SEARCH("Lançado",P883)))</formula>
    </cfRule>
    <cfRule type="containsText" dxfId="4359" priority="2517" operator="containsText" text="N/A">
      <formula>NOT(ISERROR(SEARCH("N/A",P883)))</formula>
    </cfRule>
    <cfRule type="containsText" dxfId="4358" priority="2516" operator="containsText" text="Lançado">
      <formula>NOT(ISERROR(SEARCH("Lançado",P883)))</formula>
    </cfRule>
    <cfRule type="containsText" dxfId="4357" priority="2514" operator="containsText" text="Finalizado">
      <formula>NOT(ISERROR(SEARCH("Finalizado",P883)))</formula>
    </cfRule>
    <cfRule type="containsText" dxfId="4356" priority="2515" operator="containsText" text="em andamento">
      <formula>NOT(ISERROR(SEARCH("em andamento",P883)))</formula>
    </cfRule>
    <cfRule type="containsText" dxfId="4355" priority="2508" operator="containsText" text="Pendente">
      <formula>NOT(ISERROR(SEARCH("Pendente",P883)))</formula>
    </cfRule>
    <cfRule type="containsText" dxfId="4354" priority="2513" operator="containsText" text="Pendente">
      <formula>NOT(ISERROR(SEARCH("Pendente",P883)))</formula>
    </cfRule>
    <cfRule type="containsText" dxfId="4353" priority="2512" operator="containsText" text="N/A">
      <formula>NOT(ISERROR(SEARCH("N/A",P883)))</formula>
    </cfRule>
    <cfRule type="containsText" dxfId="4352" priority="2518" operator="containsText" text="Pendente">
      <formula>NOT(ISERROR(SEARCH("Pendente",P883)))</formula>
    </cfRule>
    <cfRule type="containsText" dxfId="4351" priority="2510" operator="containsText" text="em andamento">
      <formula>NOT(ISERROR(SEARCH("em andamento",P883)))</formula>
    </cfRule>
    <cfRule type="containsText" dxfId="4350" priority="2509" operator="containsText" text="Finalizado">
      <formula>NOT(ISERROR(SEARCH("Finalizado",P883)))</formula>
    </cfRule>
    <cfRule type="containsText" dxfId="4349" priority="2507" operator="containsText" text="N/A">
      <formula>NOT(ISERROR(SEARCH("N/A",P883)))</formula>
    </cfRule>
    <cfRule type="containsText" dxfId="4348" priority="2506" operator="containsText" text="Lançado">
      <formula>NOT(ISERROR(SEARCH("Lançado",P883)))</formula>
    </cfRule>
    <cfRule type="expression" dxfId="4347" priority="2523">
      <formula>$H883="ETAPA"</formula>
    </cfRule>
    <cfRule type="expression" dxfId="4346" priority="2522">
      <formula>$H883="CÉLULA CONSTRUTIVA"</formula>
    </cfRule>
    <cfRule type="expression" dxfId="4345" priority="2521">
      <formula>$H883="SUBETAPA"</formula>
    </cfRule>
    <cfRule type="containsText" dxfId="4344" priority="2520" operator="containsText" text="em andamento">
      <formula>NOT(ISERROR(SEARCH("em andamento",P883)))</formula>
    </cfRule>
    <cfRule type="containsText" dxfId="4343" priority="2519" operator="containsText" text="Finalizado">
      <formula>NOT(ISERROR(SEARCH("Finalizado",P883)))</formula>
    </cfRule>
  </conditionalFormatting>
  <conditionalFormatting sqref="P884">
    <cfRule type="containsText" dxfId="4342" priority="11969" operator="containsText" text="Finalizado">
      <formula>NOT(ISERROR(SEARCH("Finalizado",P884)))</formula>
    </cfRule>
    <cfRule type="containsText" dxfId="4341" priority="11968" operator="containsText" text="Pendente">
      <formula>NOT(ISERROR(SEARCH("Pendente",P884)))</formula>
    </cfRule>
    <cfRule type="containsText" dxfId="4340" priority="11967" operator="containsText" text="N/A">
      <formula>NOT(ISERROR(SEARCH("N/A",P884)))</formula>
    </cfRule>
    <cfRule type="containsText" dxfId="4339" priority="11966" operator="containsText" text="Lançado">
      <formula>NOT(ISERROR(SEARCH("Lançado",P884)))</formula>
    </cfRule>
    <cfRule type="containsText" dxfId="4338" priority="11970" operator="containsText" text="em andamento">
      <formula>NOT(ISERROR(SEARCH("em andamento",P884)))</formula>
    </cfRule>
  </conditionalFormatting>
  <conditionalFormatting sqref="P885">
    <cfRule type="containsText" dxfId="4337" priority="2496" operator="containsText" text="Finalizado">
      <formula>NOT(ISERROR(SEARCH("Finalizado",P885)))</formula>
    </cfRule>
    <cfRule type="containsText" dxfId="4336" priority="2499" operator="containsText" text="N/A">
      <formula>NOT(ISERROR(SEARCH("N/A",P885)))</formula>
    </cfRule>
    <cfRule type="containsText" dxfId="4335" priority="2500" operator="containsText" text="Pendente">
      <formula>NOT(ISERROR(SEARCH("Pendente",P885)))</formula>
    </cfRule>
    <cfRule type="containsText" dxfId="4334" priority="2490" operator="containsText" text="Pendente">
      <formula>NOT(ISERROR(SEARCH("Pendente",P885)))</formula>
    </cfRule>
    <cfRule type="containsText" dxfId="4333" priority="2488" operator="containsText" text="Lançado">
      <formula>NOT(ISERROR(SEARCH("Lançado",P885)))</formula>
    </cfRule>
    <cfRule type="expression" dxfId="4332" priority="2505">
      <formula>$H885="ETAPA"</formula>
    </cfRule>
    <cfRule type="containsText" dxfId="4331" priority="2491" operator="containsText" text="Finalizado">
      <formula>NOT(ISERROR(SEARCH("Finalizado",P885)))</formula>
    </cfRule>
    <cfRule type="containsText" dxfId="4330" priority="2498" operator="containsText" text="Lançado">
      <formula>NOT(ISERROR(SEARCH("Lançado",P885)))</formula>
    </cfRule>
    <cfRule type="containsText" dxfId="4329" priority="2501" operator="containsText" text="Finalizado">
      <formula>NOT(ISERROR(SEARCH("Finalizado",P885)))</formula>
    </cfRule>
    <cfRule type="containsText" dxfId="4328" priority="2495" operator="containsText" text="Pendente">
      <formula>NOT(ISERROR(SEARCH("Pendente",P885)))</formula>
    </cfRule>
    <cfRule type="containsText" dxfId="4327" priority="2489" operator="containsText" text="N/A">
      <formula>NOT(ISERROR(SEARCH("N/A",P885)))</formula>
    </cfRule>
    <cfRule type="containsText" dxfId="4326" priority="2494" operator="containsText" text="N/A">
      <formula>NOT(ISERROR(SEARCH("N/A",P885)))</formula>
    </cfRule>
    <cfRule type="containsText" dxfId="4325" priority="2493" operator="containsText" text="Lançado">
      <formula>NOT(ISERROR(SEARCH("Lançado",P885)))</formula>
    </cfRule>
    <cfRule type="containsText" dxfId="4324" priority="2492" operator="containsText" text="em andamento">
      <formula>NOT(ISERROR(SEARCH("em andamento",P885)))</formula>
    </cfRule>
    <cfRule type="containsText" dxfId="4323" priority="2497" operator="containsText" text="em andamento">
      <formula>NOT(ISERROR(SEARCH("em andamento",P885)))</formula>
    </cfRule>
    <cfRule type="expression" dxfId="4322" priority="2503">
      <formula>$H885="SUBETAPA"</formula>
    </cfRule>
    <cfRule type="expression" dxfId="4321" priority="2504">
      <formula>$H885="CÉLULA CONSTRUTIVA"</formula>
    </cfRule>
    <cfRule type="containsText" dxfId="4320" priority="2502" operator="containsText" text="em andamento">
      <formula>NOT(ISERROR(SEARCH("em andamento",P885)))</formula>
    </cfRule>
  </conditionalFormatting>
  <conditionalFormatting sqref="P886">
    <cfRule type="containsText" dxfId="4319" priority="6487" operator="containsText" text="N/A">
      <formula>NOT(ISERROR(SEARCH("N/A",P886)))</formula>
    </cfRule>
    <cfRule type="containsText" dxfId="4318" priority="6489" operator="containsText" text="Finalizado">
      <formula>NOT(ISERROR(SEARCH("Finalizado",P886)))</formula>
    </cfRule>
    <cfRule type="containsText" dxfId="4317" priority="6488" operator="containsText" text="Pendente">
      <formula>NOT(ISERROR(SEARCH("Pendente",P886)))</formula>
    </cfRule>
    <cfRule type="containsText" dxfId="4316" priority="6486" operator="containsText" text="Lançado">
      <formula>NOT(ISERROR(SEARCH("Lançado",P886)))</formula>
    </cfRule>
    <cfRule type="containsText" dxfId="4315" priority="6490" operator="containsText" text="em andamento">
      <formula>NOT(ISERROR(SEARCH("em andamento",P886)))</formula>
    </cfRule>
    <cfRule type="expression" dxfId="4314" priority="6491">
      <formula>$H886="ETAPA"</formula>
    </cfRule>
  </conditionalFormatting>
  <conditionalFormatting sqref="P887">
    <cfRule type="containsText" dxfId="4313" priority="2480" operator="containsText" text="Lançado">
      <formula>NOT(ISERROR(SEARCH("Lançado",P887)))</formula>
    </cfRule>
    <cfRule type="containsText" dxfId="4312" priority="2478" operator="containsText" text="Finalizado">
      <formula>NOT(ISERROR(SEARCH("Finalizado",P887)))</formula>
    </cfRule>
    <cfRule type="containsText" dxfId="4311" priority="2470" operator="containsText" text="Lançado">
      <formula>NOT(ISERROR(SEARCH("Lançado",P887)))</formula>
    </cfRule>
    <cfRule type="containsText" dxfId="4310" priority="2477" operator="containsText" text="Pendente">
      <formula>NOT(ISERROR(SEARCH("Pendente",P887)))</formula>
    </cfRule>
    <cfRule type="containsText" dxfId="4309" priority="2471" operator="containsText" text="N/A">
      <formula>NOT(ISERROR(SEARCH("N/A",P887)))</formula>
    </cfRule>
    <cfRule type="containsText" dxfId="4308" priority="2472" operator="containsText" text="Pendente">
      <formula>NOT(ISERROR(SEARCH("Pendente",P887)))</formula>
    </cfRule>
    <cfRule type="containsText" dxfId="4307" priority="2476" operator="containsText" text="N/A">
      <formula>NOT(ISERROR(SEARCH("N/A",P887)))</formula>
    </cfRule>
    <cfRule type="containsText" dxfId="4306" priority="2479" operator="containsText" text="em andamento">
      <formula>NOT(ISERROR(SEARCH("em andamento",P887)))</formula>
    </cfRule>
    <cfRule type="expression" dxfId="4305" priority="2487">
      <formula>$H887="ETAPA"</formula>
    </cfRule>
    <cfRule type="expression" dxfId="4304" priority="2485">
      <formula>$H887="SUBETAPA"</formula>
    </cfRule>
    <cfRule type="containsText" dxfId="4303" priority="2484" operator="containsText" text="em andamento">
      <formula>NOT(ISERROR(SEARCH("em andamento",P887)))</formula>
    </cfRule>
    <cfRule type="containsText" dxfId="4302" priority="2483" operator="containsText" text="Finalizado">
      <formula>NOT(ISERROR(SEARCH("Finalizado",P887)))</formula>
    </cfRule>
    <cfRule type="expression" dxfId="4301" priority="2486">
      <formula>$H887="CÉLULA CONSTRUTIVA"</formula>
    </cfRule>
    <cfRule type="containsText" dxfId="4300" priority="2473" operator="containsText" text="Finalizado">
      <formula>NOT(ISERROR(SEARCH("Finalizado",P887)))</formula>
    </cfRule>
    <cfRule type="containsText" dxfId="4299" priority="2481" operator="containsText" text="N/A">
      <formula>NOT(ISERROR(SEARCH("N/A",P887)))</formula>
    </cfRule>
    <cfRule type="containsText" dxfId="4298" priority="2474" operator="containsText" text="em andamento">
      <formula>NOT(ISERROR(SEARCH("em andamento",P887)))</formula>
    </cfRule>
    <cfRule type="containsText" dxfId="4297" priority="2475" operator="containsText" text="Lançado">
      <formula>NOT(ISERROR(SEARCH("Lançado",P887)))</formula>
    </cfRule>
    <cfRule type="containsText" dxfId="4296" priority="2482" operator="containsText" text="Pendente">
      <formula>NOT(ISERROR(SEARCH("Pendente",P887)))</formula>
    </cfRule>
  </conditionalFormatting>
  <conditionalFormatting sqref="P888">
    <cfRule type="containsText" dxfId="4295" priority="6498" operator="containsText" text="N/A">
      <formula>NOT(ISERROR(SEARCH("N/A",P888)))</formula>
    </cfRule>
    <cfRule type="containsText" dxfId="4294" priority="6500" operator="containsText" text="Finalizado">
      <formula>NOT(ISERROR(SEARCH("Finalizado",P888)))</formula>
    </cfRule>
    <cfRule type="containsText" dxfId="4293" priority="6493" operator="containsText" text="N/A">
      <formula>NOT(ISERROR(SEARCH("N/A",P888)))</formula>
    </cfRule>
    <cfRule type="containsText" dxfId="4292" priority="6494" operator="containsText" text="Pendente">
      <formula>NOT(ISERROR(SEARCH("Pendente",P888)))</formula>
    </cfRule>
    <cfRule type="containsText" dxfId="4291" priority="6501" operator="containsText" text="em andamento">
      <formula>NOT(ISERROR(SEARCH("em andamento",P888)))</formula>
    </cfRule>
    <cfRule type="containsText" dxfId="4290" priority="6492" operator="containsText" text="Lançado">
      <formula>NOT(ISERROR(SEARCH("Lançado",P888)))</formula>
    </cfRule>
    <cfRule type="containsText" dxfId="4289" priority="6499" operator="containsText" text="Pendente">
      <formula>NOT(ISERROR(SEARCH("Pendente",P888)))</formula>
    </cfRule>
    <cfRule type="containsText" dxfId="4288" priority="6495" operator="containsText" text="Finalizado">
      <formula>NOT(ISERROR(SEARCH("Finalizado",P888)))</formula>
    </cfRule>
    <cfRule type="containsText" dxfId="4287" priority="6496" operator="containsText" text="em andamento">
      <formula>NOT(ISERROR(SEARCH("em andamento",P888)))</formula>
    </cfRule>
    <cfRule type="containsText" dxfId="4286" priority="6497" operator="containsText" text="Lançado">
      <formula>NOT(ISERROR(SEARCH("Lançado",P888)))</formula>
    </cfRule>
  </conditionalFormatting>
  <conditionalFormatting sqref="P889">
    <cfRule type="containsText" dxfId="4285" priority="2460" operator="containsText" text="Finalizado">
      <formula>NOT(ISERROR(SEARCH("Finalizado",P889)))</formula>
    </cfRule>
    <cfRule type="containsText" dxfId="4284" priority="2452" operator="containsText" text="Lançado">
      <formula>NOT(ISERROR(SEARCH("Lançado",P889)))</formula>
    </cfRule>
    <cfRule type="containsText" dxfId="4283" priority="2454" operator="containsText" text="Pendente">
      <formula>NOT(ISERROR(SEARCH("Pendente",P889)))</formula>
    </cfRule>
    <cfRule type="containsText" dxfId="4282" priority="2453" operator="containsText" text="N/A">
      <formula>NOT(ISERROR(SEARCH("N/A",P889)))</formula>
    </cfRule>
    <cfRule type="containsText" dxfId="4281" priority="2459" operator="containsText" text="Pendente">
      <formula>NOT(ISERROR(SEARCH("Pendente",P889)))</formula>
    </cfRule>
    <cfRule type="expression" dxfId="4280" priority="2469">
      <formula>$H889="ETAPA"</formula>
    </cfRule>
    <cfRule type="expression" dxfId="4279" priority="2468">
      <formula>$H889="CÉLULA CONSTRUTIVA"</formula>
    </cfRule>
    <cfRule type="expression" dxfId="4278" priority="2467">
      <formula>$H889="SUBETAPA"</formula>
    </cfRule>
    <cfRule type="containsText" dxfId="4277" priority="2466" operator="containsText" text="em andamento">
      <formula>NOT(ISERROR(SEARCH("em andamento",P889)))</formula>
    </cfRule>
    <cfRule type="containsText" dxfId="4276" priority="2465" operator="containsText" text="Finalizado">
      <formula>NOT(ISERROR(SEARCH("Finalizado",P889)))</formula>
    </cfRule>
    <cfRule type="containsText" dxfId="4275" priority="2464" operator="containsText" text="Pendente">
      <formula>NOT(ISERROR(SEARCH("Pendente",P889)))</formula>
    </cfRule>
    <cfRule type="containsText" dxfId="4274" priority="2463" operator="containsText" text="N/A">
      <formula>NOT(ISERROR(SEARCH("N/A",P889)))</formula>
    </cfRule>
    <cfRule type="containsText" dxfId="4273" priority="2462" operator="containsText" text="Lançado">
      <formula>NOT(ISERROR(SEARCH("Lançado",P889)))</formula>
    </cfRule>
    <cfRule type="containsText" dxfId="4272" priority="2461" operator="containsText" text="em andamento">
      <formula>NOT(ISERROR(SEARCH("em andamento",P889)))</formula>
    </cfRule>
    <cfRule type="containsText" dxfId="4271" priority="2458" operator="containsText" text="N/A">
      <formula>NOT(ISERROR(SEARCH("N/A",P889)))</formula>
    </cfRule>
    <cfRule type="containsText" dxfId="4270" priority="2457" operator="containsText" text="Lançado">
      <formula>NOT(ISERROR(SEARCH("Lançado",P889)))</formula>
    </cfRule>
    <cfRule type="containsText" dxfId="4269" priority="2456" operator="containsText" text="em andamento">
      <formula>NOT(ISERROR(SEARCH("em andamento",P889)))</formula>
    </cfRule>
    <cfRule type="containsText" dxfId="4268" priority="2455" operator="containsText" text="Finalizado">
      <formula>NOT(ISERROR(SEARCH("Finalizado",P889)))</formula>
    </cfRule>
  </conditionalFormatting>
  <conditionalFormatting sqref="P890">
    <cfRule type="containsText" dxfId="4267" priority="11898" operator="containsText" text="Finalizado">
      <formula>NOT(ISERROR(SEARCH("Finalizado",P890)))</formula>
    </cfRule>
    <cfRule type="containsText" dxfId="4266" priority="11897" operator="containsText" text="Pendente">
      <formula>NOT(ISERROR(SEARCH("Pendente",P890)))</formula>
    </cfRule>
    <cfRule type="containsText" dxfId="4265" priority="11884" operator="containsText" text="Lançado">
      <formula>NOT(ISERROR(SEARCH("Lançado",P890)))</formula>
    </cfRule>
    <cfRule type="containsText" dxfId="4264" priority="11885" operator="containsText" text="N/A">
      <formula>NOT(ISERROR(SEARCH("N/A",P890)))</formula>
    </cfRule>
    <cfRule type="containsText" dxfId="4263" priority="11899" operator="containsText" text="em andamento">
      <formula>NOT(ISERROR(SEARCH("em andamento",P890)))</formula>
    </cfRule>
  </conditionalFormatting>
  <conditionalFormatting sqref="P891">
    <cfRule type="containsText" dxfId="4262" priority="11894" operator="containsText" text="em andamento">
      <formula>NOT(ISERROR(SEARCH("em andamento",P891)))</formula>
    </cfRule>
    <cfRule type="containsText" dxfId="4261" priority="11893" operator="containsText" text="Finalizado">
      <formula>NOT(ISERROR(SEARCH("Finalizado",P891)))</formula>
    </cfRule>
    <cfRule type="containsText" dxfId="4260" priority="11892" operator="containsText" text="Pendente">
      <formula>NOT(ISERROR(SEARCH("Pendente",P891)))</formula>
    </cfRule>
    <cfRule type="containsText" dxfId="4259" priority="11891" operator="containsText" text="N/A">
      <formula>NOT(ISERROR(SEARCH("N/A",P891)))</formula>
    </cfRule>
    <cfRule type="containsText" dxfId="4258" priority="11890" operator="containsText" text="Lançado">
      <formula>NOT(ISERROR(SEARCH("Lançado",P891)))</formula>
    </cfRule>
  </conditionalFormatting>
  <conditionalFormatting sqref="P892">
    <cfRule type="containsText" dxfId="4257" priority="2443" operator="containsText" text="em andamento">
      <formula>NOT(ISERROR(SEARCH("em andamento",P892)))</formula>
    </cfRule>
    <cfRule type="containsText" dxfId="4256" priority="2438" operator="containsText" text="em andamento">
      <formula>NOT(ISERROR(SEARCH("em andamento",P892)))</formula>
    </cfRule>
    <cfRule type="containsText" dxfId="4255" priority="2442" operator="containsText" text="Finalizado">
      <formula>NOT(ISERROR(SEARCH("Finalizado",P892)))</formula>
    </cfRule>
    <cfRule type="expression" dxfId="4254" priority="2451">
      <formula>$H892="ETAPA"</formula>
    </cfRule>
    <cfRule type="expression" dxfId="4253" priority="2450">
      <formula>$H892="CÉLULA CONSTRUTIVA"</formula>
    </cfRule>
    <cfRule type="containsText" dxfId="4252" priority="2437" operator="containsText" text="Finalizado">
      <formula>NOT(ISERROR(SEARCH("Finalizado",P892)))</formula>
    </cfRule>
    <cfRule type="containsText" dxfId="4251" priority="2441" operator="containsText" text="Pendente">
      <formula>NOT(ISERROR(SEARCH("Pendente",P892)))</formula>
    </cfRule>
    <cfRule type="containsText" dxfId="4250" priority="2440" operator="containsText" text="N/A">
      <formula>NOT(ISERROR(SEARCH("N/A",P892)))</formula>
    </cfRule>
    <cfRule type="containsText" dxfId="4249" priority="2439" operator="containsText" text="Lançado">
      <formula>NOT(ISERROR(SEARCH("Lançado",P892)))</formula>
    </cfRule>
    <cfRule type="containsText" dxfId="4248" priority="2436" operator="containsText" text="Pendente">
      <formula>NOT(ISERROR(SEARCH("Pendente",P892)))</formula>
    </cfRule>
    <cfRule type="containsText" dxfId="4247" priority="2435" operator="containsText" text="N/A">
      <formula>NOT(ISERROR(SEARCH("N/A",P892)))</formula>
    </cfRule>
    <cfRule type="containsText" dxfId="4246" priority="2434" operator="containsText" text="Lançado">
      <formula>NOT(ISERROR(SEARCH("Lançado",P892)))</formula>
    </cfRule>
    <cfRule type="expression" dxfId="4245" priority="2449">
      <formula>$H892="SUBETAPA"</formula>
    </cfRule>
    <cfRule type="containsText" dxfId="4244" priority="2448" operator="containsText" text="em andamento">
      <formula>NOT(ISERROR(SEARCH("em andamento",P892)))</formula>
    </cfRule>
    <cfRule type="containsText" dxfId="4243" priority="2447" operator="containsText" text="Finalizado">
      <formula>NOT(ISERROR(SEARCH("Finalizado",P892)))</formula>
    </cfRule>
    <cfRule type="containsText" dxfId="4242" priority="2446" operator="containsText" text="Pendente">
      <formula>NOT(ISERROR(SEARCH("Pendente",P892)))</formula>
    </cfRule>
    <cfRule type="containsText" dxfId="4241" priority="2445" operator="containsText" text="N/A">
      <formula>NOT(ISERROR(SEARCH("N/A",P892)))</formula>
    </cfRule>
    <cfRule type="containsText" dxfId="4240" priority="2444" operator="containsText" text="Lançado">
      <formula>NOT(ISERROR(SEARCH("Lançado",P892)))</formula>
    </cfRule>
  </conditionalFormatting>
  <conditionalFormatting sqref="P893">
    <cfRule type="expression" dxfId="4239" priority="2342">
      <formula>$H893="ETAPA"</formula>
    </cfRule>
    <cfRule type="containsText" dxfId="4238" priority="2341" operator="containsText" text="em andamento">
      <formula>NOT(ISERROR(SEARCH("em andamento",P893)))</formula>
    </cfRule>
    <cfRule type="containsText" dxfId="4237" priority="2340" operator="containsText" text="Finalizado">
      <formula>NOT(ISERROR(SEARCH("Finalizado",P893)))</formula>
    </cfRule>
    <cfRule type="containsText" dxfId="4236" priority="2339" operator="containsText" text="Pendente">
      <formula>NOT(ISERROR(SEARCH("Pendente",P893)))</formula>
    </cfRule>
    <cfRule type="containsText" dxfId="4235" priority="2338" operator="containsText" text="N/A">
      <formula>NOT(ISERROR(SEARCH("N/A",P893)))</formula>
    </cfRule>
    <cfRule type="containsText" dxfId="4234" priority="2337" operator="containsText" text="Lançado">
      <formula>NOT(ISERROR(SEARCH("Lançado",P893)))</formula>
    </cfRule>
  </conditionalFormatting>
  <conditionalFormatting sqref="P894">
    <cfRule type="containsText" dxfId="4233" priority="2313" operator="containsText" text="N/A">
      <formula>NOT(ISERROR(SEARCH("N/A",P894)))</formula>
    </cfRule>
    <cfRule type="containsText" dxfId="4232" priority="2318" operator="containsText" text="N/A">
      <formula>NOT(ISERROR(SEARCH("N/A",P894)))</formula>
    </cfRule>
    <cfRule type="containsText" dxfId="4231" priority="2317" operator="containsText" text="Lançado">
      <formula>NOT(ISERROR(SEARCH("Lançado",P894)))</formula>
    </cfRule>
    <cfRule type="containsText" dxfId="4230" priority="2316" operator="containsText" text="em andamento">
      <formula>NOT(ISERROR(SEARCH("em andamento",P894)))</formula>
    </cfRule>
    <cfRule type="containsText" dxfId="4229" priority="2315" operator="containsText" text="Finalizado">
      <formula>NOT(ISERROR(SEARCH("Finalizado",P894)))</formula>
    </cfRule>
    <cfRule type="containsText" dxfId="4228" priority="2314" operator="containsText" text="Pendente">
      <formula>NOT(ISERROR(SEARCH("Pendente",P894)))</formula>
    </cfRule>
    <cfRule type="containsText" dxfId="4227" priority="2319" operator="containsText" text="Pendente">
      <formula>NOT(ISERROR(SEARCH("Pendente",P894)))</formula>
    </cfRule>
    <cfRule type="containsText" dxfId="4226" priority="2312" operator="containsText" text="Lançado">
      <formula>NOT(ISERROR(SEARCH("Lançado",P894)))</formula>
    </cfRule>
    <cfRule type="containsText" dxfId="4225" priority="2311" operator="containsText" text="em andamento">
      <formula>NOT(ISERROR(SEARCH("em andamento",P894)))</formula>
    </cfRule>
    <cfRule type="containsText" dxfId="4224" priority="2310" operator="containsText" text="Finalizado">
      <formula>NOT(ISERROR(SEARCH("Finalizado",P894)))</formula>
    </cfRule>
    <cfRule type="containsText" dxfId="4223" priority="2309" operator="containsText" text="Pendente">
      <formula>NOT(ISERROR(SEARCH("Pendente",P894)))</formula>
    </cfRule>
    <cfRule type="containsText" dxfId="4222" priority="2308" operator="containsText" text="N/A">
      <formula>NOT(ISERROR(SEARCH("N/A",P894)))</formula>
    </cfRule>
    <cfRule type="containsText" dxfId="4221" priority="2307" operator="containsText" text="Lançado">
      <formula>NOT(ISERROR(SEARCH("Lançado",P894)))</formula>
    </cfRule>
    <cfRule type="expression" dxfId="4220" priority="2324">
      <formula>$H894="ETAPA"</formula>
    </cfRule>
    <cfRule type="expression" dxfId="4219" priority="2323">
      <formula>$H894="CÉLULA CONSTRUTIVA"</formula>
    </cfRule>
    <cfRule type="expression" dxfId="4218" priority="2322">
      <formula>$H894="SUBETAPA"</formula>
    </cfRule>
    <cfRule type="containsText" dxfId="4217" priority="2321" operator="containsText" text="em andamento">
      <formula>NOT(ISERROR(SEARCH("em andamento",P894)))</formula>
    </cfRule>
    <cfRule type="containsText" dxfId="4216" priority="2320" operator="containsText" text="Finalizado">
      <formula>NOT(ISERROR(SEARCH("Finalizado",P894)))</formula>
    </cfRule>
  </conditionalFormatting>
  <conditionalFormatting sqref="P895">
    <cfRule type="containsText" dxfId="4215" priority="2352" operator="containsText" text="em andamento">
      <formula>NOT(ISERROR(SEARCH("em andamento",P895)))</formula>
    </cfRule>
    <cfRule type="containsText" dxfId="4214" priority="2350" operator="containsText" text="Pendente">
      <formula>NOT(ISERROR(SEARCH("Pendente",P895)))</formula>
    </cfRule>
    <cfRule type="containsText" dxfId="4213" priority="2346" operator="containsText" text="Finalizado">
      <formula>NOT(ISERROR(SEARCH("Finalizado",P895)))</formula>
    </cfRule>
    <cfRule type="containsText" dxfId="4212" priority="2345" operator="containsText" text="Pendente">
      <formula>NOT(ISERROR(SEARCH("Pendente",P895)))</formula>
    </cfRule>
    <cfRule type="containsText" dxfId="4211" priority="2344" operator="containsText" text="N/A">
      <formula>NOT(ISERROR(SEARCH("N/A",P895)))</formula>
    </cfRule>
    <cfRule type="containsText" dxfId="4210" priority="2343" operator="containsText" text="Lançado">
      <formula>NOT(ISERROR(SEARCH("Lançado",P895)))</formula>
    </cfRule>
    <cfRule type="containsText" dxfId="4209" priority="2347" operator="containsText" text="em andamento">
      <formula>NOT(ISERROR(SEARCH("em andamento",P895)))</formula>
    </cfRule>
    <cfRule type="containsText" dxfId="4208" priority="2349" operator="containsText" text="N/A">
      <formula>NOT(ISERROR(SEARCH("N/A",P895)))</formula>
    </cfRule>
    <cfRule type="containsText" dxfId="4207" priority="2351" operator="containsText" text="Finalizado">
      <formula>NOT(ISERROR(SEARCH("Finalizado",P895)))</formula>
    </cfRule>
    <cfRule type="containsText" dxfId="4206" priority="2348" operator="containsText" text="Lançado">
      <formula>NOT(ISERROR(SEARCH("Lançado",P895)))</formula>
    </cfRule>
  </conditionalFormatting>
  <conditionalFormatting sqref="P896">
    <cfRule type="containsText" dxfId="4205" priority="2299" operator="containsText" text="Lançado">
      <formula>NOT(ISERROR(SEARCH("Lançado",P896)))</formula>
    </cfRule>
    <cfRule type="containsText" dxfId="4204" priority="2298" operator="containsText" text="em andamento">
      <formula>NOT(ISERROR(SEARCH("em andamento",P896)))</formula>
    </cfRule>
    <cfRule type="containsText" dxfId="4203" priority="2295" operator="containsText" text="N/A">
      <formula>NOT(ISERROR(SEARCH("N/A",P896)))</formula>
    </cfRule>
    <cfRule type="containsText" dxfId="4202" priority="2294" operator="containsText" text="Lançado">
      <formula>NOT(ISERROR(SEARCH("Lançado",P896)))</formula>
    </cfRule>
    <cfRule type="containsText" dxfId="4201" priority="2296" operator="containsText" text="Pendente">
      <formula>NOT(ISERROR(SEARCH("Pendente",P896)))</formula>
    </cfRule>
    <cfRule type="expression" dxfId="4200" priority="2306">
      <formula>$H896="ETAPA"</formula>
    </cfRule>
    <cfRule type="containsText" dxfId="4199" priority="2293" operator="containsText" text="em andamento">
      <formula>NOT(ISERROR(SEARCH("em andamento",P896)))</formula>
    </cfRule>
    <cfRule type="containsText" dxfId="4198" priority="2289" operator="containsText" text="Lançado">
      <formula>NOT(ISERROR(SEARCH("Lançado",P896)))</formula>
    </cfRule>
    <cfRule type="containsText" dxfId="4197" priority="2290" operator="containsText" text="N/A">
      <formula>NOT(ISERROR(SEARCH("N/A",P896)))</formula>
    </cfRule>
    <cfRule type="containsText" dxfId="4196" priority="2291" operator="containsText" text="Pendente">
      <formula>NOT(ISERROR(SEARCH("Pendente",P896)))</formula>
    </cfRule>
    <cfRule type="containsText" dxfId="4195" priority="2292" operator="containsText" text="Finalizado">
      <formula>NOT(ISERROR(SEARCH("Finalizado",P896)))</formula>
    </cfRule>
    <cfRule type="expression" dxfId="4194" priority="2305">
      <formula>$H896="CÉLULA CONSTRUTIVA"</formula>
    </cfRule>
    <cfRule type="expression" dxfId="4193" priority="2304">
      <formula>$H896="SUBETAPA"</formula>
    </cfRule>
    <cfRule type="containsText" dxfId="4192" priority="2303" operator="containsText" text="em andamento">
      <formula>NOT(ISERROR(SEARCH("em andamento",P896)))</formula>
    </cfRule>
    <cfRule type="containsText" dxfId="4191" priority="2297" operator="containsText" text="Finalizado">
      <formula>NOT(ISERROR(SEARCH("Finalizado",P896)))</formula>
    </cfRule>
    <cfRule type="containsText" dxfId="4190" priority="2302" operator="containsText" text="Finalizado">
      <formula>NOT(ISERROR(SEARCH("Finalizado",P896)))</formula>
    </cfRule>
    <cfRule type="containsText" dxfId="4189" priority="2301" operator="containsText" text="Pendente">
      <formula>NOT(ISERROR(SEARCH("Pendente",P896)))</formula>
    </cfRule>
    <cfRule type="containsText" dxfId="4188" priority="2300" operator="containsText" text="N/A">
      <formula>NOT(ISERROR(SEARCH("N/A",P896)))</formula>
    </cfRule>
  </conditionalFormatting>
  <conditionalFormatting sqref="P897">
    <cfRule type="containsText" dxfId="4187" priority="11823" operator="containsText" text="em andamento">
      <formula>NOT(ISERROR(SEARCH("em andamento",P897)))</formula>
    </cfRule>
    <cfRule type="containsText" dxfId="4186" priority="11821" operator="containsText" text="Pendente">
      <formula>NOT(ISERROR(SEARCH("Pendente",P897)))</formula>
    </cfRule>
    <cfRule type="containsText" dxfId="4185" priority="11809" operator="containsText" text="N/A">
      <formula>NOT(ISERROR(SEARCH("N/A",P897)))</formula>
    </cfRule>
    <cfRule type="containsText" dxfId="4184" priority="11822" operator="containsText" text="Finalizado">
      <formula>NOT(ISERROR(SEARCH("Finalizado",P897)))</formula>
    </cfRule>
    <cfRule type="containsText" dxfId="4183" priority="11808" operator="containsText" text="Lançado">
      <formula>NOT(ISERROR(SEARCH("Lançado",P897)))</formula>
    </cfRule>
  </conditionalFormatting>
  <conditionalFormatting sqref="P898">
    <cfRule type="containsText" dxfId="4182" priority="11818" operator="containsText" text="em andamento">
      <formula>NOT(ISERROR(SEARCH("em andamento",P898)))</formula>
    </cfRule>
    <cfRule type="containsText" dxfId="4181" priority="11816" operator="containsText" text="Pendente">
      <formula>NOT(ISERROR(SEARCH("Pendente",P898)))</formula>
    </cfRule>
    <cfRule type="containsText" dxfId="4180" priority="11815" operator="containsText" text="N/A">
      <formula>NOT(ISERROR(SEARCH("N/A",P898)))</formula>
    </cfRule>
    <cfRule type="containsText" dxfId="4179" priority="11814" operator="containsText" text="Lançado">
      <formula>NOT(ISERROR(SEARCH("Lançado",P898)))</formula>
    </cfRule>
    <cfRule type="containsText" dxfId="4178" priority="11817" operator="containsText" text="Finalizado">
      <formula>NOT(ISERROR(SEARCH("Finalizado",P898)))</formula>
    </cfRule>
  </conditionalFormatting>
  <conditionalFormatting sqref="P899">
    <cfRule type="containsText" dxfId="4177" priority="2422" operator="containsText" text="N/A">
      <formula>NOT(ISERROR(SEARCH("N/A",P899)))</formula>
    </cfRule>
    <cfRule type="expression" dxfId="4176" priority="2431">
      <formula>$H899="SUBETAPA"</formula>
    </cfRule>
    <cfRule type="containsText" dxfId="4175" priority="2426" operator="containsText" text="Lançado">
      <formula>NOT(ISERROR(SEARCH("Lançado",P899)))</formula>
    </cfRule>
    <cfRule type="containsText" dxfId="4174" priority="2425" operator="containsText" text="em andamento">
      <formula>NOT(ISERROR(SEARCH("em andamento",P899)))</formula>
    </cfRule>
    <cfRule type="containsText" dxfId="4173" priority="2416" operator="containsText" text="Lançado">
      <formula>NOT(ISERROR(SEARCH("Lançado",P899)))</formula>
    </cfRule>
    <cfRule type="containsText" dxfId="4172" priority="2417" operator="containsText" text="N/A">
      <formula>NOT(ISERROR(SEARCH("N/A",P899)))</formula>
    </cfRule>
    <cfRule type="containsText" dxfId="4171" priority="2418" operator="containsText" text="Pendente">
      <formula>NOT(ISERROR(SEARCH("Pendente",P899)))</formula>
    </cfRule>
    <cfRule type="containsText" dxfId="4170" priority="2424" operator="containsText" text="Finalizado">
      <formula>NOT(ISERROR(SEARCH("Finalizado",P899)))</formula>
    </cfRule>
    <cfRule type="containsText" dxfId="4169" priority="2419" operator="containsText" text="Finalizado">
      <formula>NOT(ISERROR(SEARCH("Finalizado",P899)))</formula>
    </cfRule>
    <cfRule type="containsText" dxfId="4168" priority="2423" operator="containsText" text="Pendente">
      <formula>NOT(ISERROR(SEARCH("Pendente",P899)))</formula>
    </cfRule>
    <cfRule type="containsText" dxfId="4167" priority="2430" operator="containsText" text="em andamento">
      <formula>NOT(ISERROR(SEARCH("em andamento",P899)))</formula>
    </cfRule>
    <cfRule type="expression" dxfId="4166" priority="2432">
      <formula>$H899="CÉLULA CONSTRUTIVA"</formula>
    </cfRule>
    <cfRule type="containsText" dxfId="4165" priority="2427" operator="containsText" text="N/A">
      <formula>NOT(ISERROR(SEARCH("N/A",P899)))</formula>
    </cfRule>
    <cfRule type="containsText" dxfId="4164" priority="2428" operator="containsText" text="Pendente">
      <formula>NOT(ISERROR(SEARCH("Pendente",P899)))</formula>
    </cfRule>
    <cfRule type="expression" dxfId="4163" priority="2433">
      <formula>$H899="ETAPA"</formula>
    </cfRule>
    <cfRule type="containsText" dxfId="4162" priority="2421" operator="containsText" text="Lançado">
      <formula>NOT(ISERROR(SEARCH("Lançado",P899)))</formula>
    </cfRule>
    <cfRule type="containsText" dxfId="4161" priority="2420" operator="containsText" text="em andamento">
      <formula>NOT(ISERROR(SEARCH("em andamento",P899)))</formula>
    </cfRule>
    <cfRule type="containsText" dxfId="4160" priority="2429" operator="containsText" text="Finalizado">
      <formula>NOT(ISERROR(SEARCH("Finalizado",P899)))</formula>
    </cfRule>
  </conditionalFormatting>
  <conditionalFormatting sqref="P900">
    <cfRule type="containsText" dxfId="4159" priority="2264" operator="containsText" text="Lançado">
      <formula>NOT(ISERROR(SEARCH("Lançado",P900)))</formula>
    </cfRule>
    <cfRule type="containsText" dxfId="4158" priority="2265" operator="containsText" text="N/A">
      <formula>NOT(ISERROR(SEARCH("N/A",P900)))</formula>
    </cfRule>
    <cfRule type="containsText" dxfId="4157" priority="2266" operator="containsText" text="Pendente">
      <formula>NOT(ISERROR(SEARCH("Pendente",P900)))</formula>
    </cfRule>
    <cfRule type="containsText" dxfId="4156" priority="2267" operator="containsText" text="Finalizado">
      <formula>NOT(ISERROR(SEARCH("Finalizado",P900)))</formula>
    </cfRule>
    <cfRule type="expression" dxfId="4155" priority="2269">
      <formula>$H900="ETAPA"</formula>
    </cfRule>
    <cfRule type="containsText" dxfId="4154" priority="2268" operator="containsText" text="em andamento">
      <formula>NOT(ISERROR(SEARCH("em andamento",P900)))</formula>
    </cfRule>
  </conditionalFormatting>
  <conditionalFormatting sqref="P901">
    <cfRule type="containsText" dxfId="4153" priority="2243" operator="containsText" text="em andamento">
      <formula>NOT(ISERROR(SEARCH("em andamento",P901)))</formula>
    </cfRule>
    <cfRule type="containsText" dxfId="4152" priority="2244" operator="containsText" text="Lançado">
      <formula>NOT(ISERROR(SEARCH("Lançado",P901)))</formula>
    </cfRule>
    <cfRule type="containsText" dxfId="4151" priority="2245" operator="containsText" text="N/A">
      <formula>NOT(ISERROR(SEARCH("N/A",P901)))</formula>
    </cfRule>
    <cfRule type="containsText" dxfId="4150" priority="2234" operator="containsText" text="Lançado">
      <formula>NOT(ISERROR(SEARCH("Lançado",P901)))</formula>
    </cfRule>
    <cfRule type="containsText" dxfId="4149" priority="2247" operator="containsText" text="Finalizado">
      <formula>NOT(ISERROR(SEARCH("Finalizado",P901)))</formula>
    </cfRule>
    <cfRule type="containsText" dxfId="4148" priority="2248" operator="containsText" text="em andamento">
      <formula>NOT(ISERROR(SEARCH("em andamento",P901)))</formula>
    </cfRule>
    <cfRule type="containsText" dxfId="4147" priority="2235" operator="containsText" text="N/A">
      <formula>NOT(ISERROR(SEARCH("N/A",P901)))</formula>
    </cfRule>
    <cfRule type="containsText" dxfId="4146" priority="2236" operator="containsText" text="Pendente">
      <formula>NOT(ISERROR(SEARCH("Pendente",P901)))</formula>
    </cfRule>
    <cfRule type="expression" dxfId="4145" priority="2249">
      <formula>$H901="SUBETAPA"</formula>
    </cfRule>
    <cfRule type="expression" dxfId="4144" priority="2250">
      <formula>$H901="CÉLULA CONSTRUTIVA"</formula>
    </cfRule>
    <cfRule type="containsText" dxfId="4143" priority="2237" operator="containsText" text="Finalizado">
      <formula>NOT(ISERROR(SEARCH("Finalizado",P901)))</formula>
    </cfRule>
    <cfRule type="expression" dxfId="4142" priority="2251">
      <formula>$H901="ETAPA"</formula>
    </cfRule>
    <cfRule type="containsText" dxfId="4141" priority="2246" operator="containsText" text="Pendente">
      <formula>NOT(ISERROR(SEARCH("Pendente",P901)))</formula>
    </cfRule>
    <cfRule type="containsText" dxfId="4140" priority="2238" operator="containsText" text="em andamento">
      <formula>NOT(ISERROR(SEARCH("em andamento",P901)))</formula>
    </cfRule>
    <cfRule type="containsText" dxfId="4139" priority="2239" operator="containsText" text="Lançado">
      <formula>NOT(ISERROR(SEARCH("Lançado",P901)))</formula>
    </cfRule>
    <cfRule type="containsText" dxfId="4138" priority="2240" operator="containsText" text="N/A">
      <formula>NOT(ISERROR(SEARCH("N/A",P901)))</formula>
    </cfRule>
    <cfRule type="containsText" dxfId="4137" priority="2241" operator="containsText" text="Pendente">
      <formula>NOT(ISERROR(SEARCH("Pendente",P901)))</formula>
    </cfRule>
    <cfRule type="containsText" dxfId="4136" priority="2242" operator="containsText" text="Finalizado">
      <formula>NOT(ISERROR(SEARCH("Finalizado",P901)))</formula>
    </cfRule>
  </conditionalFormatting>
  <conditionalFormatting sqref="P902">
    <cfRule type="containsText" dxfId="4135" priority="2273" operator="containsText" text="Finalizado">
      <formula>NOT(ISERROR(SEARCH("Finalizado",P902)))</formula>
    </cfRule>
    <cfRule type="containsText" dxfId="4134" priority="2276" operator="containsText" text="N/A">
      <formula>NOT(ISERROR(SEARCH("N/A",P902)))</formula>
    </cfRule>
    <cfRule type="containsText" dxfId="4133" priority="2277" operator="containsText" text="Pendente">
      <formula>NOT(ISERROR(SEARCH("Pendente",P902)))</formula>
    </cfRule>
    <cfRule type="containsText" dxfId="4132" priority="2270" operator="containsText" text="Lançado">
      <formula>NOT(ISERROR(SEARCH("Lançado",P902)))</formula>
    </cfRule>
    <cfRule type="containsText" dxfId="4131" priority="2279" operator="containsText" text="em andamento">
      <formula>NOT(ISERROR(SEARCH("em andamento",P902)))</formula>
    </cfRule>
    <cfRule type="containsText" dxfId="4130" priority="2272" operator="containsText" text="Pendente">
      <formula>NOT(ISERROR(SEARCH("Pendente",P902)))</formula>
    </cfRule>
    <cfRule type="containsText" dxfId="4129" priority="2278" operator="containsText" text="Finalizado">
      <formula>NOT(ISERROR(SEARCH("Finalizado",P902)))</formula>
    </cfRule>
    <cfRule type="containsText" dxfId="4128" priority="2271" operator="containsText" text="N/A">
      <formula>NOT(ISERROR(SEARCH("N/A",P902)))</formula>
    </cfRule>
    <cfRule type="containsText" dxfId="4127" priority="2275" operator="containsText" text="Lançado">
      <formula>NOT(ISERROR(SEARCH("Lançado",P902)))</formula>
    </cfRule>
    <cfRule type="containsText" dxfId="4126" priority="2274" operator="containsText" text="em andamento">
      <formula>NOT(ISERROR(SEARCH("em andamento",P902)))</formula>
    </cfRule>
  </conditionalFormatting>
  <conditionalFormatting sqref="P903">
    <cfRule type="containsText" dxfId="4125" priority="2228" operator="containsText" text="Pendente">
      <formula>NOT(ISERROR(SEARCH("Pendente",P903)))</formula>
    </cfRule>
    <cfRule type="containsText" dxfId="4124" priority="2229" operator="containsText" text="Finalizado">
      <formula>NOT(ISERROR(SEARCH("Finalizado",P903)))</formula>
    </cfRule>
    <cfRule type="containsText" dxfId="4123" priority="2230" operator="containsText" text="em andamento">
      <formula>NOT(ISERROR(SEARCH("em andamento",P903)))</formula>
    </cfRule>
    <cfRule type="expression" dxfId="4122" priority="2231">
      <formula>$H903="SUBETAPA"</formula>
    </cfRule>
    <cfRule type="expression" dxfId="4121" priority="2233">
      <formula>$H903="ETAPA"</formula>
    </cfRule>
    <cfRule type="expression" dxfId="4120" priority="2232">
      <formula>$H903="CÉLULA CONSTRUTIVA"</formula>
    </cfRule>
    <cfRule type="containsText" dxfId="4119" priority="2222" operator="containsText" text="N/A">
      <formula>NOT(ISERROR(SEARCH("N/A",P903)))</formula>
    </cfRule>
    <cfRule type="containsText" dxfId="4118" priority="2224" operator="containsText" text="Finalizado">
      <formula>NOT(ISERROR(SEARCH("Finalizado",P903)))</formula>
    </cfRule>
    <cfRule type="containsText" dxfId="4117" priority="2221" operator="containsText" text="Lançado">
      <formula>NOT(ISERROR(SEARCH("Lançado",P903)))</formula>
    </cfRule>
    <cfRule type="containsText" dxfId="4116" priority="2220" operator="containsText" text="em andamento">
      <formula>NOT(ISERROR(SEARCH("em andamento",P903)))</formula>
    </cfRule>
    <cfRule type="containsText" dxfId="4115" priority="2219" operator="containsText" text="Finalizado">
      <formula>NOT(ISERROR(SEARCH("Finalizado",P903)))</formula>
    </cfRule>
    <cfRule type="containsText" dxfId="4114" priority="2218" operator="containsText" text="Pendente">
      <formula>NOT(ISERROR(SEARCH("Pendente",P903)))</formula>
    </cfRule>
    <cfRule type="containsText" dxfId="4113" priority="2217" operator="containsText" text="N/A">
      <formula>NOT(ISERROR(SEARCH("N/A",P903)))</formula>
    </cfRule>
    <cfRule type="containsText" dxfId="4112" priority="2216" operator="containsText" text="Lançado">
      <formula>NOT(ISERROR(SEARCH("Lançado",P903)))</formula>
    </cfRule>
    <cfRule type="containsText" dxfId="4111" priority="2227" operator="containsText" text="N/A">
      <formula>NOT(ISERROR(SEARCH("N/A",P903)))</formula>
    </cfRule>
    <cfRule type="containsText" dxfId="4110" priority="2223" operator="containsText" text="Pendente">
      <formula>NOT(ISERROR(SEARCH("Pendente",P903)))</formula>
    </cfRule>
    <cfRule type="containsText" dxfId="4109" priority="2226" operator="containsText" text="Lançado">
      <formula>NOT(ISERROR(SEARCH("Lançado",P903)))</formula>
    </cfRule>
    <cfRule type="containsText" dxfId="4108" priority="2225" operator="containsText" text="em andamento">
      <formula>NOT(ISERROR(SEARCH("em andamento",P903)))</formula>
    </cfRule>
  </conditionalFormatting>
  <conditionalFormatting sqref="P904">
    <cfRule type="containsText" dxfId="4107" priority="11573" operator="containsText" text="N/A">
      <formula>NOT(ISERROR(SEARCH("N/A",P904)))</formula>
    </cfRule>
    <cfRule type="containsText" dxfId="4106" priority="11580" operator="containsText" text="Finalizado">
      <formula>NOT(ISERROR(SEARCH("Finalizado",P904)))</formula>
    </cfRule>
    <cfRule type="containsText" dxfId="4105" priority="11579" operator="containsText" text="Pendente">
      <formula>NOT(ISERROR(SEARCH("Pendente",P904)))</formula>
    </cfRule>
    <cfRule type="containsText" dxfId="4104" priority="11581" operator="containsText" text="em andamento">
      <formula>NOT(ISERROR(SEARCH("em andamento",P904)))</formula>
    </cfRule>
    <cfRule type="containsText" dxfId="4103" priority="11572" operator="containsText" text="Lançado">
      <formula>NOT(ISERROR(SEARCH("Lançado",P904)))</formula>
    </cfRule>
  </conditionalFormatting>
  <conditionalFormatting sqref="P905">
    <cfRule type="containsText" dxfId="4102" priority="11574" operator="containsText" text="Lançado">
      <formula>NOT(ISERROR(SEARCH("Lançado",P905)))</formula>
    </cfRule>
    <cfRule type="containsText" dxfId="4101" priority="11578" operator="containsText" text="em andamento">
      <formula>NOT(ISERROR(SEARCH("em andamento",P905)))</formula>
    </cfRule>
    <cfRule type="containsText" dxfId="4100" priority="11575" operator="containsText" text="N/A">
      <formula>NOT(ISERROR(SEARCH("N/A",P905)))</formula>
    </cfRule>
    <cfRule type="containsText" dxfId="4099" priority="11577" operator="containsText" text="Finalizado">
      <formula>NOT(ISERROR(SEARCH("Finalizado",P905)))</formula>
    </cfRule>
    <cfRule type="containsText" dxfId="4098" priority="11576" operator="containsText" text="Pendente">
      <formula>NOT(ISERROR(SEARCH("Pendente",P905)))</formula>
    </cfRule>
  </conditionalFormatting>
  <conditionalFormatting sqref="P906">
    <cfRule type="containsText" dxfId="4097" priority="2410" operator="containsText" text="Pendente">
      <formula>NOT(ISERROR(SEARCH("Pendente",P906)))</formula>
    </cfRule>
    <cfRule type="containsText" dxfId="4096" priority="2409" operator="containsText" text="N/A">
      <formula>NOT(ISERROR(SEARCH("N/A",P906)))</formula>
    </cfRule>
    <cfRule type="containsText" dxfId="4095" priority="2408" operator="containsText" text="Lançado">
      <formula>NOT(ISERROR(SEARCH("Lançado",P906)))</formula>
    </cfRule>
    <cfRule type="containsText" dxfId="4094" priority="2407" operator="containsText" text="em andamento">
      <formula>NOT(ISERROR(SEARCH("em andamento",P906)))</formula>
    </cfRule>
    <cfRule type="containsText" dxfId="4093" priority="2406" operator="containsText" text="Finalizado">
      <formula>NOT(ISERROR(SEARCH("Finalizado",P906)))</formula>
    </cfRule>
    <cfRule type="containsText" dxfId="4092" priority="2404" operator="containsText" text="N/A">
      <formula>NOT(ISERROR(SEARCH("N/A",P906)))</formula>
    </cfRule>
    <cfRule type="containsText" dxfId="4091" priority="2403" operator="containsText" text="Lançado">
      <formula>NOT(ISERROR(SEARCH("Lançado",P906)))</formula>
    </cfRule>
    <cfRule type="containsText" dxfId="4090" priority="2402" operator="containsText" text="em andamento">
      <formula>NOT(ISERROR(SEARCH("em andamento",P906)))</formula>
    </cfRule>
    <cfRule type="containsText" dxfId="4089" priority="2401" operator="containsText" text="Finalizado">
      <formula>NOT(ISERROR(SEARCH("Finalizado",P906)))</formula>
    </cfRule>
    <cfRule type="containsText" dxfId="4088" priority="2405" operator="containsText" text="Pendente">
      <formula>NOT(ISERROR(SEARCH("Pendente",P906)))</formula>
    </cfRule>
    <cfRule type="containsText" dxfId="4087" priority="2400" operator="containsText" text="Pendente">
      <formula>NOT(ISERROR(SEARCH("Pendente",P906)))</formula>
    </cfRule>
    <cfRule type="containsText" dxfId="4086" priority="2399" operator="containsText" text="N/A">
      <formula>NOT(ISERROR(SEARCH("N/A",P906)))</formula>
    </cfRule>
    <cfRule type="containsText" dxfId="4085" priority="2398" operator="containsText" text="Lançado">
      <formula>NOT(ISERROR(SEARCH("Lançado",P906)))</formula>
    </cfRule>
    <cfRule type="expression" dxfId="4084" priority="2415">
      <formula>$H906="ETAPA"</formula>
    </cfRule>
    <cfRule type="expression" dxfId="4083" priority="2414">
      <formula>$H906="CÉLULA CONSTRUTIVA"</formula>
    </cfRule>
    <cfRule type="expression" dxfId="4082" priority="2413">
      <formula>$H906="SUBETAPA"</formula>
    </cfRule>
    <cfRule type="containsText" dxfId="4081" priority="2412" operator="containsText" text="em andamento">
      <formula>NOT(ISERROR(SEARCH("em andamento",P906)))</formula>
    </cfRule>
    <cfRule type="containsText" dxfId="4080" priority="2411" operator="containsText" text="Finalizado">
      <formula>NOT(ISERROR(SEARCH("Finalizado",P906)))</formula>
    </cfRule>
  </conditionalFormatting>
  <conditionalFormatting sqref="P907 P910">
    <cfRule type="containsText" dxfId="4079" priority="11747" operator="containsText" text="em andamento">
      <formula>NOT(ISERROR(SEARCH("em andamento",P907)))</formula>
    </cfRule>
    <cfRule type="containsText" dxfId="4078" priority="11746" operator="containsText" text="Finalizado">
      <formula>NOT(ISERROR(SEARCH("Finalizado",P907)))</formula>
    </cfRule>
    <cfRule type="containsText" dxfId="4077" priority="11745" operator="containsText" text="Pendente">
      <formula>NOT(ISERROR(SEARCH("Pendente",P907)))</formula>
    </cfRule>
  </conditionalFormatting>
  <conditionalFormatting sqref="P907:P908">
    <cfRule type="containsText" dxfId="4076" priority="11738" operator="containsText" text="N/A">
      <formula>NOT(ISERROR(SEARCH("N/A",P907)))</formula>
    </cfRule>
    <cfRule type="containsText" dxfId="4075" priority="11737" operator="containsText" text="Lançado">
      <formula>NOT(ISERROR(SEARCH("Lançado",P907)))</formula>
    </cfRule>
  </conditionalFormatting>
  <conditionalFormatting sqref="P908">
    <cfRule type="expression" dxfId="4074" priority="11742">
      <formula>$H908="ETAPA"</formula>
    </cfRule>
    <cfRule type="containsText" dxfId="4073" priority="11740" operator="containsText" text="Finalizado">
      <formula>NOT(ISERROR(SEARCH("Finalizado",P908)))</formula>
    </cfRule>
    <cfRule type="containsText" dxfId="4072" priority="11739" operator="containsText" text="Pendente">
      <formula>NOT(ISERROR(SEARCH("Pendente",P908)))</formula>
    </cfRule>
    <cfRule type="containsText" dxfId="4071" priority="11741" operator="containsText" text="em andamento">
      <formula>NOT(ISERROR(SEARCH("em andamento",P908)))</formula>
    </cfRule>
  </conditionalFormatting>
  <conditionalFormatting sqref="P909">
    <cfRule type="expression" dxfId="4070" priority="2395">
      <formula>$H909="SUBETAPA"</formula>
    </cfRule>
    <cfRule type="containsText" dxfId="4069" priority="2394" operator="containsText" text="em andamento">
      <formula>NOT(ISERROR(SEARCH("em andamento",P909)))</formula>
    </cfRule>
    <cfRule type="containsText" dxfId="4068" priority="2386" operator="containsText" text="N/A">
      <formula>NOT(ISERROR(SEARCH("N/A",P909)))</formula>
    </cfRule>
    <cfRule type="containsText" dxfId="4067" priority="2392" operator="containsText" text="Pendente">
      <formula>NOT(ISERROR(SEARCH("Pendente",P909)))</formula>
    </cfRule>
    <cfRule type="containsText" dxfId="4066" priority="2391" operator="containsText" text="N/A">
      <formula>NOT(ISERROR(SEARCH("N/A",P909)))</formula>
    </cfRule>
    <cfRule type="containsText" dxfId="4065" priority="2389" operator="containsText" text="em andamento">
      <formula>NOT(ISERROR(SEARCH("em andamento",P909)))</formula>
    </cfRule>
    <cfRule type="containsText" dxfId="4064" priority="2393" operator="containsText" text="Finalizado">
      <formula>NOT(ISERROR(SEARCH("Finalizado",P909)))</formula>
    </cfRule>
    <cfRule type="containsText" dxfId="4063" priority="2381" operator="containsText" text="N/A">
      <formula>NOT(ISERROR(SEARCH("N/A",P909)))</formula>
    </cfRule>
    <cfRule type="containsText" dxfId="4062" priority="2390" operator="containsText" text="Lançado">
      <formula>NOT(ISERROR(SEARCH("Lançado",P909)))</formula>
    </cfRule>
    <cfRule type="containsText" dxfId="4061" priority="2380" operator="containsText" text="Lançado">
      <formula>NOT(ISERROR(SEARCH("Lançado",P909)))</formula>
    </cfRule>
    <cfRule type="containsText" dxfId="4060" priority="2382" operator="containsText" text="Pendente">
      <formula>NOT(ISERROR(SEARCH("Pendente",P909)))</formula>
    </cfRule>
    <cfRule type="containsText" dxfId="4059" priority="2383" operator="containsText" text="Finalizado">
      <formula>NOT(ISERROR(SEARCH("Finalizado",P909)))</formula>
    </cfRule>
    <cfRule type="containsText" dxfId="4058" priority="2384" operator="containsText" text="em andamento">
      <formula>NOT(ISERROR(SEARCH("em andamento",P909)))</formula>
    </cfRule>
    <cfRule type="containsText" dxfId="4057" priority="2385" operator="containsText" text="Lançado">
      <formula>NOT(ISERROR(SEARCH("Lançado",P909)))</formula>
    </cfRule>
    <cfRule type="expression" dxfId="4056" priority="2397">
      <formula>$H909="ETAPA"</formula>
    </cfRule>
    <cfRule type="expression" dxfId="4055" priority="2396">
      <formula>$H909="CÉLULA CONSTRUTIVA"</formula>
    </cfRule>
    <cfRule type="containsText" dxfId="4054" priority="2388" operator="containsText" text="Finalizado">
      <formula>NOT(ISERROR(SEARCH("Finalizado",P909)))</formula>
    </cfRule>
    <cfRule type="containsText" dxfId="4053" priority="2387" operator="containsText" text="Pendente">
      <formula>NOT(ISERROR(SEARCH("Pendente",P909)))</formula>
    </cfRule>
  </conditionalFormatting>
  <conditionalFormatting sqref="P910">
    <cfRule type="containsText" dxfId="4052" priority="11749" operator="containsText" text="N/A">
      <formula>NOT(ISERROR(SEARCH("N/A",P910)))</formula>
    </cfRule>
    <cfRule type="containsText" dxfId="4051" priority="11750" operator="containsText" text="Pendente">
      <formula>NOT(ISERROR(SEARCH("Pendente",P910)))</formula>
    </cfRule>
    <cfRule type="containsText" dxfId="4050" priority="11751" operator="containsText" text="Finalizado">
      <formula>NOT(ISERROR(SEARCH("Finalizado",P910)))</formula>
    </cfRule>
    <cfRule type="containsText" dxfId="4049" priority="11752" operator="containsText" text="em andamento">
      <formula>NOT(ISERROR(SEARCH("em andamento",P910)))</formula>
    </cfRule>
    <cfRule type="containsText" dxfId="4048" priority="11748" operator="containsText" text="Lançado">
      <formula>NOT(ISERROR(SEARCH("Lançado",P910)))</formula>
    </cfRule>
    <cfRule type="containsText" dxfId="4047" priority="11743" operator="containsText" text="Lançado">
      <formula>NOT(ISERROR(SEARCH("Lançado",P910)))</formula>
    </cfRule>
    <cfRule type="containsText" dxfId="4046" priority="11744" operator="containsText" text="N/A">
      <formula>NOT(ISERROR(SEARCH("N/A",P910)))</formula>
    </cfRule>
  </conditionalFormatting>
  <conditionalFormatting sqref="P911">
    <cfRule type="containsText" dxfId="4045" priority="2370" operator="containsText" text="Finalizado">
      <formula>NOT(ISERROR(SEARCH("Finalizado",P911)))</formula>
    </cfRule>
    <cfRule type="containsText" dxfId="4044" priority="2369" operator="containsText" text="Pendente">
      <formula>NOT(ISERROR(SEARCH("Pendente",P911)))</formula>
    </cfRule>
    <cfRule type="containsText" dxfId="4043" priority="2368" operator="containsText" text="N/A">
      <formula>NOT(ISERROR(SEARCH("N/A",P911)))</formula>
    </cfRule>
    <cfRule type="containsText" dxfId="4042" priority="2367" operator="containsText" text="Lançado">
      <formula>NOT(ISERROR(SEARCH("Lançado",P911)))</formula>
    </cfRule>
    <cfRule type="containsText" dxfId="4041" priority="2366" operator="containsText" text="em andamento">
      <formula>NOT(ISERROR(SEARCH("em andamento",P911)))</formula>
    </cfRule>
    <cfRule type="containsText" dxfId="4040" priority="2365" operator="containsText" text="Finalizado">
      <formula>NOT(ISERROR(SEARCH("Finalizado",P911)))</formula>
    </cfRule>
    <cfRule type="containsText" dxfId="4039" priority="2364" operator="containsText" text="Pendente">
      <formula>NOT(ISERROR(SEARCH("Pendente",P911)))</formula>
    </cfRule>
    <cfRule type="containsText" dxfId="4038" priority="2363" operator="containsText" text="N/A">
      <formula>NOT(ISERROR(SEARCH("N/A",P911)))</formula>
    </cfRule>
    <cfRule type="containsText" dxfId="4037" priority="2371" operator="containsText" text="em andamento">
      <formula>NOT(ISERROR(SEARCH("em andamento",P911)))</formula>
    </cfRule>
    <cfRule type="containsText" dxfId="4036" priority="2372" operator="containsText" text="Lançado">
      <formula>NOT(ISERROR(SEARCH("Lançado",P911)))</formula>
    </cfRule>
    <cfRule type="containsText" dxfId="4035" priority="2373" operator="containsText" text="N/A">
      <formula>NOT(ISERROR(SEARCH("N/A",P911)))</formula>
    </cfRule>
    <cfRule type="containsText" dxfId="4034" priority="2374" operator="containsText" text="Pendente">
      <formula>NOT(ISERROR(SEARCH("Pendente",P911)))</formula>
    </cfRule>
    <cfRule type="containsText" dxfId="4033" priority="2375" operator="containsText" text="Finalizado">
      <formula>NOT(ISERROR(SEARCH("Finalizado",P911)))</formula>
    </cfRule>
    <cfRule type="containsText" dxfId="4032" priority="2376" operator="containsText" text="em andamento">
      <formula>NOT(ISERROR(SEARCH("em andamento",P911)))</formula>
    </cfRule>
    <cfRule type="expression" dxfId="4031" priority="2377">
      <formula>$H911="SUBETAPA"</formula>
    </cfRule>
    <cfRule type="expression" dxfId="4030" priority="2379">
      <formula>$H911="ETAPA"</formula>
    </cfRule>
    <cfRule type="containsText" dxfId="4029" priority="2362" operator="containsText" text="Lançado">
      <formula>NOT(ISERROR(SEARCH("Lançado",P911)))</formula>
    </cfRule>
    <cfRule type="expression" dxfId="4028" priority="2378">
      <formula>$H911="CÉLULA CONSTRUTIVA"</formula>
    </cfRule>
  </conditionalFormatting>
  <conditionalFormatting sqref="P912 P1185 P1308 P1335:P1336 P1340">
    <cfRule type="containsText" dxfId="4027" priority="25441" operator="containsText" text="Finalizado">
      <formula>NOT(ISERROR(SEARCH("Finalizado",P912)))</formula>
    </cfRule>
  </conditionalFormatting>
  <conditionalFormatting sqref="P912 P1185 P1308 P1340 P1335:P1336">
    <cfRule type="containsText" dxfId="4026" priority="25442" operator="containsText" text="em andamento">
      <formula>NOT(ISERROR(SEARCH("em andamento",P912)))</formula>
    </cfRule>
  </conditionalFormatting>
  <conditionalFormatting sqref="P912">
    <cfRule type="containsText" dxfId="4025" priority="25310" operator="containsText" text="Lançado">
      <formula>NOT(ISERROR(SEARCH("Lançado",P912)))</formula>
    </cfRule>
    <cfRule type="containsText" dxfId="4024" priority="25312" operator="containsText" text="Pendente">
      <formula>NOT(ISERROR(SEARCH("Pendente",P912)))</formula>
    </cfRule>
    <cfRule type="containsText" dxfId="4023" priority="25311" operator="containsText" text="N/A">
      <formula>NOT(ISERROR(SEARCH("N/A",P912)))</formula>
    </cfRule>
    <cfRule type="containsText" dxfId="4022" priority="25314" operator="containsText" text="em andamento">
      <formula>NOT(ISERROR(SEARCH("em andamento",P912)))</formula>
    </cfRule>
    <cfRule type="containsText" dxfId="4021" priority="25313" operator="containsText" text="Finalizado">
      <formula>NOT(ISERROR(SEARCH("Finalizado",P912)))</formula>
    </cfRule>
  </conditionalFormatting>
  <conditionalFormatting sqref="P913:P914">
    <cfRule type="containsText" dxfId="4020" priority="11307" operator="containsText" text="Finalizado">
      <formula>NOT(ISERROR(SEARCH("Finalizado",P913)))</formula>
    </cfRule>
    <cfRule type="containsText" dxfId="4019" priority="11293" operator="containsText" text="Finalizado">
      <formula>NOT(ISERROR(SEARCH("Finalizado",P913)))</formula>
    </cfRule>
    <cfRule type="containsText" dxfId="4018" priority="11294" operator="containsText" text="em andamento">
      <formula>NOT(ISERROR(SEARCH("em andamento",P913)))</formula>
    </cfRule>
    <cfRule type="expression" dxfId="4017" priority="11295">
      <formula>$H913="SUBETAPA"</formula>
    </cfRule>
    <cfRule type="expression" dxfId="4016" priority="11296">
      <formula>$H913="CÉLULA CONSTRUTIVA"</formula>
    </cfRule>
    <cfRule type="containsText" dxfId="4015" priority="11304" operator="containsText" text="Lançado">
      <formula>NOT(ISERROR(SEARCH("Lançado",P913)))</formula>
    </cfRule>
    <cfRule type="expression" dxfId="4014" priority="11303">
      <formula>$H913="ETAPA"</formula>
    </cfRule>
    <cfRule type="containsText" dxfId="4013" priority="11276" operator="containsText" text="Lançado">
      <formula>NOT(ISERROR(SEARCH("Lançado",P913)))</formula>
    </cfRule>
    <cfRule type="containsText" dxfId="4012" priority="11292" operator="containsText" text="Pendente">
      <formula>NOT(ISERROR(SEARCH("Pendente",P913)))</formula>
    </cfRule>
    <cfRule type="containsText" dxfId="4011" priority="11306" operator="containsText" text="Pendente">
      <formula>NOT(ISERROR(SEARCH("Pendente",P913)))</formula>
    </cfRule>
    <cfRule type="containsText" dxfId="4010" priority="11305" operator="containsText" text="N/A">
      <formula>NOT(ISERROR(SEARCH("N/A",P913)))</formula>
    </cfRule>
    <cfRule type="expression" dxfId="4009" priority="11297">
      <formula>$H913="ETAPA"</formula>
    </cfRule>
    <cfRule type="expression" dxfId="4008" priority="11298">
      <formula>$H913="SUBETAPA"</formula>
    </cfRule>
    <cfRule type="containsText" dxfId="4007" priority="11308" operator="containsText" text="em andamento">
      <formula>NOT(ISERROR(SEARCH("em andamento",P913)))</formula>
    </cfRule>
    <cfRule type="expression" dxfId="4006" priority="11299">
      <formula>$H913="CÉLULA CONSTRUTIVA"</formula>
    </cfRule>
    <cfRule type="expression" dxfId="4005" priority="11300">
      <formula>$H913="ETAPA"</formula>
    </cfRule>
    <cfRule type="expression" dxfId="4004" priority="11301">
      <formula>$H913="SUBETAPA"</formula>
    </cfRule>
    <cfRule type="expression" dxfId="4003" priority="11302">
      <formula>$H913="CÉLULA CONSTRUTIVA"</formula>
    </cfRule>
  </conditionalFormatting>
  <conditionalFormatting sqref="P913:P915 P983:P991 P927:P935">
    <cfRule type="containsText" dxfId="4002" priority="11247" operator="containsText" text="N/A">
      <formula>NOT(ISERROR(SEARCH("N/A",P913)))</formula>
    </cfRule>
  </conditionalFormatting>
  <conditionalFormatting sqref="P915 P935 P954 P990:P991 P1049">
    <cfRule type="containsText" dxfId="4001" priority="11234" operator="containsText" text="Pendente">
      <formula>NOT(ISERROR(SEARCH("Pendente",P915)))</formula>
    </cfRule>
    <cfRule type="containsText" dxfId="4000" priority="11237" operator="containsText" text="Lançado">
      <formula>NOT(ISERROR(SEARCH("Lançado",P915)))</formula>
    </cfRule>
    <cfRule type="containsText" dxfId="3999" priority="11227" operator="containsText" text="Lançado">
      <formula>NOT(ISERROR(SEARCH("Lançado",P915)))</formula>
    </cfRule>
    <cfRule type="containsText" dxfId="3998" priority="11232" operator="containsText" text="Lançado">
      <formula>NOT(ISERROR(SEARCH("Lançado",P915)))</formula>
    </cfRule>
    <cfRule type="containsText" dxfId="3997" priority="11231" operator="containsText" text="em andamento">
      <formula>NOT(ISERROR(SEARCH("em andamento",P915)))</formula>
    </cfRule>
    <cfRule type="expression" dxfId="3996" priority="11245">
      <formula>$H915="CÉLULA CONSTRUTIVA"</formula>
    </cfRule>
    <cfRule type="expression" dxfId="3995" priority="11244">
      <formula>$H915="SUBETAPA"</formula>
    </cfRule>
    <cfRule type="expression" dxfId="3994" priority="11243">
      <formula>$H915="ETAPA"</formula>
    </cfRule>
    <cfRule type="expression" dxfId="3993" priority="11242">
      <formula>$H915="CÉLULA CONSTRUTIVA"</formula>
    </cfRule>
    <cfRule type="expression" dxfId="3992" priority="11241">
      <formula>$H915="SUBETAPA"</formula>
    </cfRule>
    <cfRule type="containsText" dxfId="3991" priority="11240" operator="containsText" text="em andamento">
      <formula>NOT(ISERROR(SEARCH("em andamento",P915)))</formula>
    </cfRule>
    <cfRule type="containsText" dxfId="3990" priority="11238" operator="containsText" text="Pendente">
      <formula>NOT(ISERROR(SEARCH("Pendente",P915)))</formula>
    </cfRule>
    <cfRule type="expression" dxfId="3989" priority="11246">
      <formula>$H915="ETAPA"</formula>
    </cfRule>
    <cfRule type="containsText" dxfId="3988" priority="11229" operator="containsText" text="Pendente">
      <formula>NOT(ISERROR(SEARCH("Pendente",P915)))</formula>
    </cfRule>
    <cfRule type="containsText" dxfId="3987" priority="11236" operator="containsText" text="em andamento">
      <formula>NOT(ISERROR(SEARCH("em andamento",P915)))</formula>
    </cfRule>
  </conditionalFormatting>
  <conditionalFormatting sqref="P915 P935 P954 P990:P991">
    <cfRule type="containsText" dxfId="3986" priority="11235" operator="containsText" text="Finalizado">
      <formula>NOT(ISERROR(SEARCH("Finalizado",P915)))</formula>
    </cfRule>
    <cfRule type="containsText" dxfId="3985" priority="11239" operator="containsText" text="Finalizado">
      <formula>NOT(ISERROR(SEARCH("Finalizado",P915)))</formula>
    </cfRule>
    <cfRule type="containsText" dxfId="3984" priority="11230" operator="containsText" text="Finalizado">
      <formula>NOT(ISERROR(SEARCH("Finalizado",P915)))</formula>
    </cfRule>
  </conditionalFormatting>
  <conditionalFormatting sqref="P915 P935 P990:P991">
    <cfRule type="containsText" dxfId="3983" priority="11233" operator="containsText" text="N/A">
      <formula>NOT(ISERROR(SEARCH("N/A",P915)))</formula>
    </cfRule>
    <cfRule type="containsText" dxfId="3982" priority="11228" operator="containsText" text="N/A">
      <formula>NOT(ISERROR(SEARCH("N/A",P915)))</formula>
    </cfRule>
  </conditionalFormatting>
  <conditionalFormatting sqref="P916 P919 P923 P926">
    <cfRule type="containsText" dxfId="3981" priority="11342" operator="containsText" text="em andamento">
      <formula>NOT(ISERROR(SEARCH("em andamento",P916)))</formula>
    </cfRule>
  </conditionalFormatting>
  <conditionalFormatting sqref="P916 P919 P923">
    <cfRule type="containsText" dxfId="3980" priority="11335" operator="containsText" text="Pendente">
      <formula>NOT(ISERROR(SEARCH("Pendente",P916)))</formula>
    </cfRule>
  </conditionalFormatting>
  <conditionalFormatting sqref="P917:P918">
    <cfRule type="containsText" dxfId="3979" priority="2185" operator="containsText" text="Pendente">
      <formula>NOT(ISERROR(SEARCH("Pendente",P917)))</formula>
    </cfRule>
    <cfRule type="containsText" dxfId="3978" priority="2183" operator="containsText" text="em andamento">
      <formula>NOT(ISERROR(SEARCH("em andamento",P917)))</formula>
    </cfRule>
    <cfRule type="expression" dxfId="3977" priority="2193">
      <formula>$H917="ETAPA"</formula>
    </cfRule>
    <cfRule type="containsText" dxfId="3976" priority="2175" operator="containsText" text="N/A">
      <formula>NOT(ISERROR(SEARCH("N/A",P917)))</formula>
    </cfRule>
    <cfRule type="containsText" dxfId="3975" priority="2176" operator="containsText" text="Pendente">
      <formula>NOT(ISERROR(SEARCH("Pendente",P917)))</formula>
    </cfRule>
    <cfRule type="containsText" dxfId="3974" priority="2187" operator="containsText" text="em andamento">
      <formula>NOT(ISERROR(SEARCH("em andamento",P917)))</formula>
    </cfRule>
    <cfRule type="expression" dxfId="3973" priority="2192">
      <formula>$H917="CÉLULA CONSTRUTIVA"</formula>
    </cfRule>
    <cfRule type="expression" dxfId="3972" priority="2191">
      <formula>$H917="SUBETAPA"</formula>
    </cfRule>
    <cfRule type="expression" dxfId="3971" priority="2190">
      <formula>$H917="ETAPA"</formula>
    </cfRule>
    <cfRule type="expression" dxfId="3970" priority="2189">
      <formula>$H917="CÉLULA CONSTRUTIVA"</formula>
    </cfRule>
    <cfRule type="expression" dxfId="3969" priority="2188">
      <formula>$H917="SUBETAPA"</formula>
    </cfRule>
    <cfRule type="containsText" dxfId="3968" priority="2177" operator="containsText" text="Finalizado">
      <formula>NOT(ISERROR(SEARCH("Finalizado",P917)))</formula>
    </cfRule>
    <cfRule type="containsText" dxfId="3967" priority="2179" operator="containsText" text="Lançado">
      <formula>NOT(ISERROR(SEARCH("Lançado",P917)))</formula>
    </cfRule>
    <cfRule type="containsText" dxfId="3966" priority="2178" operator="containsText" text="em andamento">
      <formula>NOT(ISERROR(SEARCH("em andamento",P917)))</formula>
    </cfRule>
    <cfRule type="containsText" dxfId="3965" priority="2180" operator="containsText" text="N/A">
      <formula>NOT(ISERROR(SEARCH("N/A",P917)))</formula>
    </cfRule>
    <cfRule type="containsText" dxfId="3964" priority="2194" operator="containsText" text="N/A">
      <formula>NOT(ISERROR(SEARCH("N/A",P917)))</formula>
    </cfRule>
    <cfRule type="containsText" dxfId="3963" priority="2181" operator="containsText" text="Pendente">
      <formula>NOT(ISERROR(SEARCH("Pendente",P917)))</formula>
    </cfRule>
    <cfRule type="containsText" dxfId="3962" priority="2174" operator="containsText" text="Lançado">
      <formula>NOT(ISERROR(SEARCH("Lançado",P917)))</formula>
    </cfRule>
    <cfRule type="containsText" dxfId="3961" priority="2186" operator="containsText" text="Finalizado">
      <formula>NOT(ISERROR(SEARCH("Finalizado",P917)))</formula>
    </cfRule>
    <cfRule type="containsText" dxfId="3960" priority="2182" operator="containsText" text="Finalizado">
      <formula>NOT(ISERROR(SEARCH("Finalizado",P917)))</formula>
    </cfRule>
    <cfRule type="containsText" dxfId="3959" priority="2184" operator="containsText" text="Lançado">
      <formula>NOT(ISERROR(SEARCH("Lançado",P917)))</formula>
    </cfRule>
  </conditionalFormatting>
  <conditionalFormatting sqref="P919 P923 P916">
    <cfRule type="containsText" dxfId="3958" priority="11333" operator="containsText" text="Lançado">
      <formula>NOT(ISERROR(SEARCH("Lançado",P916)))</formula>
    </cfRule>
    <cfRule type="containsText" dxfId="3957" priority="11334" operator="containsText" text="N/A">
      <formula>NOT(ISERROR(SEARCH("N/A",P916)))</formula>
    </cfRule>
  </conditionalFormatting>
  <conditionalFormatting sqref="P919">
    <cfRule type="containsText" dxfId="3956" priority="11331" operator="containsText" text="Finalizado">
      <formula>NOT(ISERROR(SEARCH("Finalizado",P919)))</formula>
    </cfRule>
    <cfRule type="containsText" dxfId="3955" priority="11332" operator="containsText" text="em andamento">
      <formula>NOT(ISERROR(SEARCH("em andamento",P919)))</formula>
    </cfRule>
  </conditionalFormatting>
  <conditionalFormatting sqref="P920:P922">
    <cfRule type="containsText" dxfId="3954" priority="2157" operator="containsText" text="em andamento">
      <formula>NOT(ISERROR(SEARCH("em andamento",P920)))</formula>
    </cfRule>
    <cfRule type="containsText" dxfId="3953" priority="2166" operator="containsText" text="em andamento">
      <formula>NOT(ISERROR(SEARCH("em andamento",P920)))</formula>
    </cfRule>
    <cfRule type="expression" dxfId="3952" priority="2167">
      <formula>$H920="SUBETAPA"</formula>
    </cfRule>
    <cfRule type="expression" dxfId="3951" priority="2168">
      <formula>$H920="CÉLULA CONSTRUTIVA"</formula>
    </cfRule>
    <cfRule type="expression" dxfId="3950" priority="2169">
      <formula>$H920="ETAPA"</formula>
    </cfRule>
    <cfRule type="expression" dxfId="3949" priority="2171">
      <formula>$H920="CÉLULA CONSTRUTIVA"</formula>
    </cfRule>
    <cfRule type="expression" dxfId="3948" priority="2172">
      <formula>$H920="ETAPA"</formula>
    </cfRule>
    <cfRule type="containsText" dxfId="3947" priority="2165" operator="containsText" text="Finalizado">
      <formula>NOT(ISERROR(SEARCH("Finalizado",P920)))</formula>
    </cfRule>
    <cfRule type="containsText" dxfId="3946" priority="2161" operator="containsText" text="Finalizado">
      <formula>NOT(ISERROR(SEARCH("Finalizado",P920)))</formula>
    </cfRule>
    <cfRule type="containsText" dxfId="3945" priority="2160" operator="containsText" text="Pendente">
      <formula>NOT(ISERROR(SEARCH("Pendente",P920)))</formula>
    </cfRule>
    <cfRule type="containsText" dxfId="3944" priority="2153" operator="containsText" text="Lançado">
      <formula>NOT(ISERROR(SEARCH("Lançado",P920)))</formula>
    </cfRule>
    <cfRule type="containsText" dxfId="3943" priority="2173" operator="containsText" text="N/A">
      <formula>NOT(ISERROR(SEARCH("N/A",P920)))</formula>
    </cfRule>
    <cfRule type="containsText" dxfId="3942" priority="2164" operator="containsText" text="Pendente">
      <formula>NOT(ISERROR(SEARCH("Pendente",P920)))</formula>
    </cfRule>
    <cfRule type="containsText" dxfId="3941" priority="2159" operator="containsText" text="N/A">
      <formula>NOT(ISERROR(SEARCH("N/A",P920)))</formula>
    </cfRule>
    <cfRule type="expression" dxfId="3940" priority="2170">
      <formula>$H920="SUBETAPA"</formula>
    </cfRule>
    <cfRule type="containsText" dxfId="3939" priority="2163" operator="containsText" text="Lançado">
      <formula>NOT(ISERROR(SEARCH("Lançado",P920)))</formula>
    </cfRule>
    <cfRule type="containsText" dxfId="3938" priority="2158" operator="containsText" text="Lançado">
      <formula>NOT(ISERROR(SEARCH("Lançado",P920)))</formula>
    </cfRule>
    <cfRule type="containsText" dxfId="3937" priority="2154" operator="containsText" text="N/A">
      <formula>NOT(ISERROR(SEARCH("N/A",P920)))</formula>
    </cfRule>
    <cfRule type="containsText" dxfId="3936" priority="2162" operator="containsText" text="em andamento">
      <formula>NOT(ISERROR(SEARCH("em andamento",P920)))</formula>
    </cfRule>
    <cfRule type="containsText" dxfId="3935" priority="2155" operator="containsText" text="Pendente">
      <formula>NOT(ISERROR(SEARCH("Pendente",P920)))</formula>
    </cfRule>
    <cfRule type="containsText" dxfId="3934" priority="2156" operator="containsText" text="Finalizado">
      <formula>NOT(ISERROR(SEARCH("Finalizado",P920)))</formula>
    </cfRule>
  </conditionalFormatting>
  <conditionalFormatting sqref="P923">
    <cfRule type="containsText" dxfId="3933" priority="11330" operator="containsText" text="em andamento">
      <formula>NOT(ISERROR(SEARCH("em andamento",P923)))</formula>
    </cfRule>
    <cfRule type="expression" dxfId="3932" priority="11329">
      <formula>$H923="ETAPA"</formula>
    </cfRule>
    <cfRule type="expression" dxfId="3931" priority="11324">
      <formula>$H923="SUBETAPA"</formula>
    </cfRule>
    <cfRule type="expression" dxfId="3930" priority="11325">
      <formula>$H923="CÉLULA CONSTRUTIVA"</formula>
    </cfRule>
    <cfRule type="expression" dxfId="3929" priority="11326">
      <formula>$H923="ETAPA"</formula>
    </cfRule>
    <cfRule type="expression" dxfId="3928" priority="11327">
      <formula>$H923="SUBETAPA"</formula>
    </cfRule>
    <cfRule type="expression" dxfId="3927" priority="11328">
      <formula>$H923="CÉLULA CONSTRUTIVA"</formula>
    </cfRule>
  </conditionalFormatting>
  <conditionalFormatting sqref="P924:P925">
    <cfRule type="expression" dxfId="3926" priority="2151">
      <formula>$H924="ETAPA"</formula>
    </cfRule>
    <cfRule type="containsText" dxfId="3925" priority="2134" operator="containsText" text="Pendente">
      <formula>NOT(ISERROR(SEARCH("Pendente",P924)))</formula>
    </cfRule>
    <cfRule type="containsText" dxfId="3924" priority="2132" operator="containsText" text="Lançado">
      <formula>NOT(ISERROR(SEARCH("Lançado",P924)))</formula>
    </cfRule>
    <cfRule type="containsText" dxfId="3923" priority="2133" operator="containsText" text="N/A">
      <formula>NOT(ISERROR(SEARCH("N/A",P924)))</formula>
    </cfRule>
    <cfRule type="containsText" dxfId="3922" priority="2141" operator="containsText" text="em andamento">
      <formula>NOT(ISERROR(SEARCH("em andamento",P924)))</formula>
    </cfRule>
    <cfRule type="containsText" dxfId="3921" priority="2138" operator="containsText" text="N/A">
      <formula>NOT(ISERROR(SEARCH("N/A",P924)))</formula>
    </cfRule>
    <cfRule type="containsText" dxfId="3920" priority="2139" operator="containsText" text="Pendente">
      <formula>NOT(ISERROR(SEARCH("Pendente",P924)))</formula>
    </cfRule>
    <cfRule type="containsText" dxfId="3919" priority="2142" operator="containsText" text="Lançado">
      <formula>NOT(ISERROR(SEARCH("Lançado",P924)))</formula>
    </cfRule>
    <cfRule type="containsText" dxfId="3918" priority="2137" operator="containsText" text="Lançado">
      <formula>NOT(ISERROR(SEARCH("Lançado",P924)))</formula>
    </cfRule>
    <cfRule type="containsText" dxfId="3917" priority="2140" operator="containsText" text="Finalizado">
      <formula>NOT(ISERROR(SEARCH("Finalizado",P924)))</formula>
    </cfRule>
    <cfRule type="containsText" dxfId="3916" priority="2152" operator="containsText" text="N/A">
      <formula>NOT(ISERROR(SEARCH("N/A",P924)))</formula>
    </cfRule>
    <cfRule type="containsText" dxfId="3915" priority="2136" operator="containsText" text="em andamento">
      <formula>NOT(ISERROR(SEARCH("em andamento",P924)))</formula>
    </cfRule>
    <cfRule type="expression" dxfId="3914" priority="2150">
      <formula>$H924="CÉLULA CONSTRUTIVA"</formula>
    </cfRule>
    <cfRule type="expression" dxfId="3913" priority="2149">
      <formula>$H924="SUBETAPA"</formula>
    </cfRule>
    <cfRule type="expression" dxfId="3912" priority="2148">
      <formula>$H924="ETAPA"</formula>
    </cfRule>
    <cfRule type="expression" dxfId="3911" priority="2147">
      <formula>$H924="CÉLULA CONSTRUTIVA"</formula>
    </cfRule>
    <cfRule type="expression" dxfId="3910" priority="2146">
      <formula>$H924="SUBETAPA"</formula>
    </cfRule>
    <cfRule type="containsText" dxfId="3909" priority="2145" operator="containsText" text="em andamento">
      <formula>NOT(ISERROR(SEARCH("em andamento",P924)))</formula>
    </cfRule>
    <cfRule type="containsText" dxfId="3908" priority="2144" operator="containsText" text="Finalizado">
      <formula>NOT(ISERROR(SEARCH("Finalizado",P924)))</formula>
    </cfRule>
    <cfRule type="containsText" dxfId="3907" priority="2143" operator="containsText" text="Pendente">
      <formula>NOT(ISERROR(SEARCH("Pendente",P924)))</formula>
    </cfRule>
    <cfRule type="containsText" dxfId="3906" priority="2135" operator="containsText" text="Finalizado">
      <formula>NOT(ISERROR(SEARCH("Finalizado",P924)))</formula>
    </cfRule>
  </conditionalFormatting>
  <conditionalFormatting sqref="P926 P916 P919 P923">
    <cfRule type="containsText" dxfId="3905" priority="11341" operator="containsText" text="Finalizado">
      <formula>NOT(ISERROR(SEARCH("Finalizado",P916)))</formula>
    </cfRule>
  </conditionalFormatting>
  <conditionalFormatting sqref="P926">
    <cfRule type="containsText" dxfId="3904" priority="11321" operator="containsText" text="Pendente">
      <formula>NOT(ISERROR(SEARCH("Pendente",P926)))</formula>
    </cfRule>
    <cfRule type="containsText" dxfId="3903" priority="11322" operator="containsText" text="Finalizado">
      <formula>NOT(ISERROR(SEARCH("Finalizado",P926)))</formula>
    </cfRule>
    <cfRule type="containsText" dxfId="3902" priority="11323" operator="containsText" text="em andamento">
      <formula>NOT(ISERROR(SEARCH("em andamento",P926)))</formula>
    </cfRule>
    <cfRule type="containsText" dxfId="3901" priority="11318" operator="containsText" text="em andamento">
      <formula>NOT(ISERROR(SEARCH("em andamento",P926)))</formula>
    </cfRule>
    <cfRule type="containsText" dxfId="3900" priority="11314" operator="containsText" text="Lançado">
      <formula>NOT(ISERROR(SEARCH("Lançado",P926)))</formula>
    </cfRule>
    <cfRule type="containsText" dxfId="3899" priority="11315" operator="containsText" text="N/A">
      <formula>NOT(ISERROR(SEARCH("N/A",P926)))</formula>
    </cfRule>
    <cfRule type="containsText" dxfId="3898" priority="11340" operator="containsText" text="Pendente">
      <formula>NOT(ISERROR(SEARCH("Pendente",P926)))</formula>
    </cfRule>
    <cfRule type="containsText" dxfId="3897" priority="11339" operator="containsText" text="N/A">
      <formula>NOT(ISERROR(SEARCH("N/A",P926)))</formula>
    </cfRule>
    <cfRule type="containsText" dxfId="3896" priority="11320" operator="containsText" text="N/A">
      <formula>NOT(ISERROR(SEARCH("N/A",P926)))</formula>
    </cfRule>
    <cfRule type="containsText" dxfId="3895" priority="11338" operator="containsText" text="Lançado">
      <formula>NOT(ISERROR(SEARCH("Lançado",P926)))</formula>
    </cfRule>
    <cfRule type="containsText" dxfId="3894" priority="11317" operator="containsText" text="Finalizado">
      <formula>NOT(ISERROR(SEARCH("Finalizado",P926)))</formula>
    </cfRule>
    <cfRule type="containsText" dxfId="3893" priority="11316" operator="containsText" text="Pendente">
      <formula>NOT(ISERROR(SEARCH("Pendente",P926)))</formula>
    </cfRule>
    <cfRule type="containsText" dxfId="3892" priority="11319" operator="containsText" text="Lançado">
      <formula>NOT(ISERROR(SEARCH("Lançado",P926)))</formula>
    </cfRule>
  </conditionalFormatting>
  <conditionalFormatting sqref="P927:P932">
    <cfRule type="containsText" dxfId="3891" priority="2124" operator="containsText" text="Finalizado">
      <formula>NOT(ISERROR(SEARCH("Finalizado",P927)))</formula>
    </cfRule>
    <cfRule type="containsText" dxfId="3890" priority="2125" operator="containsText" text="em andamento">
      <formula>NOT(ISERROR(SEARCH("em andamento",P927)))</formula>
    </cfRule>
    <cfRule type="containsText" dxfId="3889" priority="2112" operator="containsText" text="Lançado">
      <formula>NOT(ISERROR(SEARCH("Lançado",P927)))</formula>
    </cfRule>
    <cfRule type="containsText" dxfId="3888" priority="2113" operator="containsText" text="N/A">
      <formula>NOT(ISERROR(SEARCH("N/A",P927)))</formula>
    </cfRule>
    <cfRule type="containsText" dxfId="3887" priority="2114" operator="containsText" text="Pendente">
      <formula>NOT(ISERROR(SEARCH("Pendente",P927)))</formula>
    </cfRule>
    <cfRule type="expression" dxfId="3886" priority="2126">
      <formula>$H927="SUBETAPA"</formula>
    </cfRule>
    <cfRule type="expression" dxfId="3885" priority="2129">
      <formula>$H927="SUBETAPA"</formula>
    </cfRule>
    <cfRule type="expression" dxfId="3884" priority="2131">
      <formula>$H927="ETAPA"</formula>
    </cfRule>
    <cfRule type="expression" dxfId="3883" priority="2128">
      <formula>$H927="ETAPA"</formula>
    </cfRule>
    <cfRule type="expression" dxfId="3882" priority="2127">
      <formula>$H927="CÉLULA CONSTRUTIVA"</formula>
    </cfRule>
    <cfRule type="expression" dxfId="3881" priority="2130">
      <formula>$H927="CÉLULA CONSTRUTIVA"</formula>
    </cfRule>
    <cfRule type="containsText" dxfId="3880" priority="2121" operator="containsText" text="em andamento">
      <formula>NOT(ISERROR(SEARCH("em andamento",P927)))</formula>
    </cfRule>
    <cfRule type="containsText" dxfId="3879" priority="2122" operator="containsText" text="Lançado">
      <formula>NOT(ISERROR(SEARCH("Lançado",P927)))</formula>
    </cfRule>
    <cfRule type="containsText" dxfId="3878" priority="2116" operator="containsText" text="em andamento">
      <formula>NOT(ISERROR(SEARCH("em andamento",P927)))</formula>
    </cfRule>
    <cfRule type="containsText" dxfId="3877" priority="2123" operator="containsText" text="Pendente">
      <formula>NOT(ISERROR(SEARCH("Pendente",P927)))</formula>
    </cfRule>
    <cfRule type="containsText" dxfId="3876" priority="2117" operator="containsText" text="Lançado">
      <formula>NOT(ISERROR(SEARCH("Lançado",P927)))</formula>
    </cfRule>
    <cfRule type="containsText" dxfId="3875" priority="2118" operator="containsText" text="N/A">
      <formula>NOT(ISERROR(SEARCH("N/A",P927)))</formula>
    </cfRule>
    <cfRule type="containsText" dxfId="3874" priority="2119" operator="containsText" text="Pendente">
      <formula>NOT(ISERROR(SEARCH("Pendente",P927)))</formula>
    </cfRule>
    <cfRule type="containsText" dxfId="3873" priority="2120" operator="containsText" text="Finalizado">
      <formula>NOT(ISERROR(SEARCH("Finalizado",P927)))</formula>
    </cfRule>
    <cfRule type="containsText" dxfId="3872" priority="2115" operator="containsText" text="Finalizado">
      <formula>NOT(ISERROR(SEARCH("Finalizado",P927)))</formula>
    </cfRule>
  </conditionalFormatting>
  <conditionalFormatting sqref="P933:P934">
    <cfRule type="containsText" dxfId="3871" priority="11160" operator="containsText" text="Pendente">
      <formula>NOT(ISERROR(SEARCH("Pendente",P933)))</formula>
    </cfRule>
    <cfRule type="containsText" dxfId="3870" priority="11161" operator="containsText" text="Finalizado">
      <formula>NOT(ISERROR(SEARCH("Finalizado",P933)))</formula>
    </cfRule>
    <cfRule type="containsText" dxfId="3869" priority="11162" operator="containsText" text="em andamento">
      <formula>NOT(ISERROR(SEARCH("em andamento",P933)))</formula>
    </cfRule>
    <cfRule type="expression" dxfId="3868" priority="11163">
      <formula>$H933="SUBETAPA"</formula>
    </cfRule>
    <cfRule type="expression" dxfId="3867" priority="11164">
      <formula>$H933="CÉLULA CONSTRUTIVA"</formula>
    </cfRule>
    <cfRule type="expression" dxfId="3866" priority="11166">
      <formula>$H933="SUBETAPA"</formula>
    </cfRule>
    <cfRule type="expression" dxfId="3865" priority="11167">
      <formula>$H933="CÉLULA CONSTRUTIVA"</formula>
    </cfRule>
    <cfRule type="expression" dxfId="3864" priority="11168">
      <formula>$H933="ETAPA"</formula>
    </cfRule>
    <cfRule type="expression" dxfId="3863" priority="11169">
      <formula>$H933="SUBETAPA"</formula>
    </cfRule>
    <cfRule type="expression" dxfId="3862" priority="11170">
      <formula>$H933="CÉLULA CONSTRUTIVA"</formula>
    </cfRule>
    <cfRule type="expression" dxfId="3861" priority="11171">
      <formula>$H933="ETAPA"</formula>
    </cfRule>
    <cfRule type="containsText" dxfId="3860" priority="11172" operator="containsText" text="Lançado">
      <formula>NOT(ISERROR(SEARCH("Lançado",P933)))</formula>
    </cfRule>
    <cfRule type="containsText" dxfId="3859" priority="11173" operator="containsText" text="N/A">
      <formula>NOT(ISERROR(SEARCH("N/A",P933)))</formula>
    </cfRule>
    <cfRule type="containsText" dxfId="3858" priority="11174" operator="containsText" text="Pendente">
      <formula>NOT(ISERROR(SEARCH("Pendente",P933)))</formula>
    </cfRule>
    <cfRule type="containsText" dxfId="3857" priority="11175" operator="containsText" text="Finalizado">
      <formula>NOT(ISERROR(SEARCH("Finalizado",P933)))</formula>
    </cfRule>
    <cfRule type="containsText" dxfId="3856" priority="11176" operator="containsText" text="em andamento">
      <formula>NOT(ISERROR(SEARCH("em andamento",P933)))</formula>
    </cfRule>
    <cfRule type="expression" dxfId="3855" priority="11165">
      <formula>$H933="ETAPA"</formula>
    </cfRule>
    <cfRule type="containsText" dxfId="3854" priority="11153" operator="containsText" text="Lançado">
      <formula>NOT(ISERROR(SEARCH("Lançado",P933)))</formula>
    </cfRule>
  </conditionalFormatting>
  <conditionalFormatting sqref="P936 P945">
    <cfRule type="containsText" dxfId="3853" priority="11205" operator="containsText" text="em andamento">
      <formula>NOT(ISERROR(SEARCH("em andamento",P936)))</formula>
    </cfRule>
  </conditionalFormatting>
  <conditionalFormatting sqref="P936">
    <cfRule type="containsText" dxfId="3852" priority="11197" operator="containsText" text="Lançado">
      <formula>NOT(ISERROR(SEARCH("Lançado",P936)))</formula>
    </cfRule>
    <cfRule type="containsText" dxfId="3851" priority="11199" operator="containsText" text="Pendente">
      <formula>NOT(ISERROR(SEARCH("Pendente",P936)))</formula>
    </cfRule>
    <cfRule type="containsText" dxfId="3850" priority="11198" operator="containsText" text="N/A">
      <formula>NOT(ISERROR(SEARCH("N/A",P936)))</formula>
    </cfRule>
  </conditionalFormatting>
  <conditionalFormatting sqref="P937:P938">
    <cfRule type="containsText" dxfId="3849" priority="2098" operator="containsText" text="Pendente">
      <formula>NOT(ISERROR(SEARCH("Pendente",P937)))</formula>
    </cfRule>
    <cfRule type="containsText" dxfId="3848" priority="2100" operator="containsText" text="em andamento">
      <formula>NOT(ISERROR(SEARCH("em andamento",P937)))</formula>
    </cfRule>
    <cfRule type="containsText" dxfId="3847" priority="2101" operator="containsText" text="Lançado">
      <formula>NOT(ISERROR(SEARCH("Lançado",P937)))</formula>
    </cfRule>
    <cfRule type="containsText" dxfId="3846" priority="2095" operator="containsText" text="em andamento">
      <formula>NOT(ISERROR(SEARCH("em andamento",P937)))</formula>
    </cfRule>
    <cfRule type="containsText" dxfId="3845" priority="2094" operator="containsText" text="Finalizado">
      <formula>NOT(ISERROR(SEARCH("Finalizado",P937)))</formula>
    </cfRule>
    <cfRule type="containsText" dxfId="3844" priority="2093" operator="containsText" text="Pendente">
      <formula>NOT(ISERROR(SEARCH("Pendente",P937)))</formula>
    </cfRule>
    <cfRule type="expression" dxfId="3843" priority="2105">
      <formula>$H937="SUBETAPA"</formula>
    </cfRule>
    <cfRule type="containsText" dxfId="3842" priority="2091" operator="containsText" text="Lançado">
      <formula>NOT(ISERROR(SEARCH("Lançado",P937)))</formula>
    </cfRule>
    <cfRule type="containsText" dxfId="3841" priority="2102" operator="containsText" text="Pendente">
      <formula>NOT(ISERROR(SEARCH("Pendente",P937)))</formula>
    </cfRule>
    <cfRule type="containsText" dxfId="3840" priority="2103" operator="containsText" text="Finalizado">
      <formula>NOT(ISERROR(SEARCH("Finalizado",P937)))</formula>
    </cfRule>
    <cfRule type="containsText" dxfId="3839" priority="2104" operator="containsText" text="em andamento">
      <formula>NOT(ISERROR(SEARCH("em andamento",P937)))</formula>
    </cfRule>
    <cfRule type="expression" dxfId="3838" priority="2106">
      <formula>$H937="CÉLULA CONSTRUTIVA"</formula>
    </cfRule>
    <cfRule type="expression" dxfId="3837" priority="2107">
      <formula>$H937="ETAPA"</formula>
    </cfRule>
    <cfRule type="expression" dxfId="3836" priority="2108">
      <formula>$H937="SUBETAPA"</formula>
    </cfRule>
    <cfRule type="expression" dxfId="3835" priority="2109">
      <formula>$H937="CÉLULA CONSTRUTIVA"</formula>
    </cfRule>
    <cfRule type="expression" dxfId="3834" priority="2110">
      <formula>$H937="ETAPA"</formula>
    </cfRule>
    <cfRule type="containsText" dxfId="3833" priority="2111" operator="containsText" text="N/A">
      <formula>NOT(ISERROR(SEARCH("N/A",P937)))</formula>
    </cfRule>
    <cfRule type="containsText" dxfId="3832" priority="2092" operator="containsText" text="N/A">
      <formula>NOT(ISERROR(SEARCH("N/A",P937)))</formula>
    </cfRule>
    <cfRule type="containsText" dxfId="3831" priority="2097" operator="containsText" text="N/A">
      <formula>NOT(ISERROR(SEARCH("N/A",P937)))</formula>
    </cfRule>
    <cfRule type="containsText" dxfId="3830" priority="2096" operator="containsText" text="Lançado">
      <formula>NOT(ISERROR(SEARCH("Lançado",P937)))</formula>
    </cfRule>
    <cfRule type="containsText" dxfId="3829" priority="2099" operator="containsText" text="Finalizado">
      <formula>NOT(ISERROR(SEARCH("Finalizado",P937)))</formula>
    </cfRule>
  </conditionalFormatting>
  <conditionalFormatting sqref="P939">
    <cfRule type="containsText" dxfId="3828" priority="6153" operator="containsText" text="Lançado">
      <formula>NOT(ISERROR(SEARCH("Lançado",P939)))</formula>
    </cfRule>
    <cfRule type="containsText" dxfId="3827" priority="6152" operator="containsText" text="em andamento">
      <formula>NOT(ISERROR(SEARCH("em andamento",P939)))</formula>
    </cfRule>
    <cfRule type="containsText" dxfId="3826" priority="6151" operator="containsText" text="Finalizado">
      <formula>NOT(ISERROR(SEARCH("Finalizado",P939)))</formula>
    </cfRule>
    <cfRule type="containsText" dxfId="3825" priority="6158" operator="containsText" text="em andamento">
      <formula>NOT(ISERROR(SEARCH("em andamento",P939)))</formula>
    </cfRule>
    <cfRule type="containsText" dxfId="3824" priority="6157" operator="containsText" text="Finalizado">
      <formula>NOT(ISERROR(SEARCH("Finalizado",P939)))</formula>
    </cfRule>
    <cfRule type="containsText" dxfId="3823" priority="6155" operator="containsText" text="Pendente">
      <formula>NOT(ISERROR(SEARCH("Pendente",P939)))</formula>
    </cfRule>
    <cfRule type="containsText" dxfId="3822" priority="6154" operator="containsText" text="N/A">
      <formula>NOT(ISERROR(SEARCH("N/A",P939)))</formula>
    </cfRule>
  </conditionalFormatting>
  <conditionalFormatting sqref="P940">
    <cfRule type="containsText" dxfId="3821" priority="2080" operator="containsText" text="Lançado">
      <formula>NOT(ISERROR(SEARCH("Lançado",P940)))</formula>
    </cfRule>
    <cfRule type="containsText" dxfId="3820" priority="2073" operator="containsText" text="Finalizado">
      <formula>NOT(ISERROR(SEARCH("Finalizado",P940)))</formula>
    </cfRule>
    <cfRule type="containsText" dxfId="3819" priority="2082" operator="containsText" text="Finalizado">
      <formula>NOT(ISERROR(SEARCH("Finalizado",P940)))</formula>
    </cfRule>
    <cfRule type="containsText" dxfId="3818" priority="2081" operator="containsText" text="Pendente">
      <formula>NOT(ISERROR(SEARCH("Pendente",P940)))</formula>
    </cfRule>
    <cfRule type="expression" dxfId="3817" priority="2084">
      <formula>$H940="SUBETAPA"</formula>
    </cfRule>
    <cfRule type="expression" dxfId="3816" priority="2085">
      <formula>$H940="CÉLULA CONSTRUTIVA"</formula>
    </cfRule>
    <cfRule type="containsText" dxfId="3815" priority="2078" operator="containsText" text="Finalizado">
      <formula>NOT(ISERROR(SEARCH("Finalizado",P940)))</formula>
    </cfRule>
    <cfRule type="expression" dxfId="3814" priority="2086">
      <formula>$H940="ETAPA"</formula>
    </cfRule>
    <cfRule type="containsText" dxfId="3813" priority="2077" operator="containsText" text="Pendente">
      <formula>NOT(ISERROR(SEARCH("Pendente",P940)))</formula>
    </cfRule>
    <cfRule type="expression" dxfId="3812" priority="2087">
      <formula>$H940="SUBETAPA"</formula>
    </cfRule>
    <cfRule type="expression" dxfId="3811" priority="2089">
      <formula>$H940="ETAPA"</formula>
    </cfRule>
    <cfRule type="containsText" dxfId="3810" priority="2090" operator="containsText" text="N/A">
      <formula>NOT(ISERROR(SEARCH("N/A",P940)))</formula>
    </cfRule>
    <cfRule type="containsText" dxfId="3809" priority="2075" operator="containsText" text="Lançado">
      <formula>NOT(ISERROR(SEARCH("Lançado",P940)))</formula>
    </cfRule>
    <cfRule type="containsText" dxfId="3808" priority="2074" operator="containsText" text="em andamento">
      <formula>NOT(ISERROR(SEARCH("em andamento",P940)))</formula>
    </cfRule>
    <cfRule type="containsText" dxfId="3807" priority="2076" operator="containsText" text="N/A">
      <formula>NOT(ISERROR(SEARCH("N/A",P940)))</formula>
    </cfRule>
    <cfRule type="expression" dxfId="3806" priority="2088">
      <formula>$H940="CÉLULA CONSTRUTIVA"</formula>
    </cfRule>
    <cfRule type="containsText" dxfId="3805" priority="2070" operator="containsText" text="Lançado">
      <formula>NOT(ISERROR(SEARCH("Lançado",P940)))</formula>
    </cfRule>
    <cfRule type="containsText" dxfId="3804" priority="2083" operator="containsText" text="em andamento">
      <formula>NOT(ISERROR(SEARCH("em andamento",P940)))</formula>
    </cfRule>
    <cfRule type="containsText" dxfId="3803" priority="2071" operator="containsText" text="N/A">
      <formula>NOT(ISERROR(SEARCH("N/A",P940)))</formula>
    </cfRule>
    <cfRule type="containsText" dxfId="3802" priority="2072" operator="containsText" text="Pendente">
      <formula>NOT(ISERROR(SEARCH("Pendente",P940)))</formula>
    </cfRule>
    <cfRule type="containsText" dxfId="3801" priority="2079" operator="containsText" text="em andamento">
      <formula>NOT(ISERROR(SEARCH("em andamento",P940)))</formula>
    </cfRule>
  </conditionalFormatting>
  <conditionalFormatting sqref="P941">
    <cfRule type="containsText" dxfId="3800" priority="6025" operator="containsText" text="Lançado">
      <formula>NOT(ISERROR(SEARCH("Lançado",P941)))</formula>
    </cfRule>
    <cfRule type="containsText" dxfId="3799" priority="6024" operator="containsText" text="em andamento">
      <formula>NOT(ISERROR(SEARCH("em andamento",P941)))</formula>
    </cfRule>
    <cfRule type="expression" dxfId="3798" priority="6022">
      <formula>$H941="CÉLULA CONSTRUTIVA"</formula>
    </cfRule>
    <cfRule type="expression" dxfId="3797" priority="6018">
      <formula>$H941="SUBETAPA"</formula>
    </cfRule>
    <cfRule type="containsText" dxfId="3796" priority="6027" operator="containsText" text="Pendente">
      <formula>NOT(ISERROR(SEARCH("Pendente",P941)))</formula>
    </cfRule>
    <cfRule type="containsText" dxfId="3795" priority="6028" operator="containsText" text="Finalizado">
      <formula>NOT(ISERROR(SEARCH("Finalizado",P941)))</formula>
    </cfRule>
    <cfRule type="containsText" dxfId="3794" priority="6026" operator="containsText" text="N/A">
      <formula>NOT(ISERROR(SEARCH("N/A",P941)))</formula>
    </cfRule>
    <cfRule type="containsText" dxfId="3793" priority="6029" operator="containsText" text="em andamento">
      <formula>NOT(ISERROR(SEARCH("em andamento",P941)))</formula>
    </cfRule>
    <cfRule type="expression" dxfId="3792" priority="6021">
      <formula>$H941="SUBETAPA"</formula>
    </cfRule>
    <cfRule type="expression" dxfId="3791" priority="6020">
      <formula>$H941="ETAPA"</formula>
    </cfRule>
    <cfRule type="expression" dxfId="3790" priority="6019">
      <formula>$H941="CÉLULA CONSTRUTIVA"</formula>
    </cfRule>
  </conditionalFormatting>
  <conditionalFormatting sqref="P942">
    <cfRule type="containsText" dxfId="3789" priority="2061" operator="containsText" text="Finalizado">
      <formula>NOT(ISERROR(SEARCH("Finalizado",P942)))</formula>
    </cfRule>
    <cfRule type="containsText" dxfId="3788" priority="2050" operator="containsText" text="N/A">
      <formula>NOT(ISERROR(SEARCH("N/A",P942)))</formula>
    </cfRule>
    <cfRule type="containsText" dxfId="3787" priority="2062" operator="containsText" text="em andamento">
      <formula>NOT(ISERROR(SEARCH("em andamento",P942)))</formula>
    </cfRule>
    <cfRule type="containsText" dxfId="3786" priority="2060" operator="containsText" text="Pendente">
      <formula>NOT(ISERROR(SEARCH("Pendente",P942)))</formula>
    </cfRule>
    <cfRule type="expression" dxfId="3785" priority="2063">
      <formula>$H942="SUBETAPA"</formula>
    </cfRule>
    <cfRule type="containsText" dxfId="3784" priority="2059" operator="containsText" text="Lançado">
      <formula>NOT(ISERROR(SEARCH("Lançado",P942)))</formula>
    </cfRule>
    <cfRule type="containsText" dxfId="3783" priority="2058" operator="containsText" text="em andamento">
      <formula>NOT(ISERROR(SEARCH("em andamento",P942)))</formula>
    </cfRule>
    <cfRule type="containsText" dxfId="3782" priority="2057" operator="containsText" text="Finalizado">
      <formula>NOT(ISERROR(SEARCH("Finalizado",P942)))</formula>
    </cfRule>
    <cfRule type="containsText" dxfId="3781" priority="2056" operator="containsText" text="Pendente">
      <formula>NOT(ISERROR(SEARCH("Pendente",P942)))</formula>
    </cfRule>
    <cfRule type="containsText" dxfId="3780" priority="2055" operator="containsText" text="N/A">
      <formula>NOT(ISERROR(SEARCH("N/A",P942)))</formula>
    </cfRule>
    <cfRule type="containsText" dxfId="3779" priority="2054" operator="containsText" text="Lançado">
      <formula>NOT(ISERROR(SEARCH("Lançado",P942)))</formula>
    </cfRule>
    <cfRule type="containsText" dxfId="3778" priority="2069" operator="containsText" text="N/A">
      <formula>NOT(ISERROR(SEARCH("N/A",P942)))</formula>
    </cfRule>
    <cfRule type="expression" dxfId="3777" priority="2068">
      <formula>$H942="ETAPA"</formula>
    </cfRule>
    <cfRule type="expression" dxfId="3776" priority="2067">
      <formula>$H942="CÉLULA CONSTRUTIVA"</formula>
    </cfRule>
    <cfRule type="expression" dxfId="3775" priority="2066">
      <formula>$H942="SUBETAPA"</formula>
    </cfRule>
    <cfRule type="containsText" dxfId="3774" priority="2053" operator="containsText" text="em andamento">
      <formula>NOT(ISERROR(SEARCH("em andamento",P942)))</formula>
    </cfRule>
    <cfRule type="containsText" dxfId="3773" priority="2052" operator="containsText" text="Finalizado">
      <formula>NOT(ISERROR(SEARCH("Finalizado",P942)))</formula>
    </cfRule>
    <cfRule type="containsText" dxfId="3772" priority="2051" operator="containsText" text="Pendente">
      <formula>NOT(ISERROR(SEARCH("Pendente",P942)))</formula>
    </cfRule>
    <cfRule type="containsText" dxfId="3771" priority="2049" operator="containsText" text="Lançado">
      <formula>NOT(ISERROR(SEARCH("Lançado",P942)))</formula>
    </cfRule>
    <cfRule type="expression" dxfId="3770" priority="2064">
      <formula>$H942="CÉLULA CONSTRUTIVA"</formula>
    </cfRule>
    <cfRule type="expression" dxfId="3769" priority="2065">
      <formula>$H942="ETAPA"</formula>
    </cfRule>
  </conditionalFormatting>
  <conditionalFormatting sqref="P943">
    <cfRule type="containsText" dxfId="3768" priority="5939" operator="containsText" text="em andamento">
      <formula>NOT(ISERROR(SEARCH("em andamento",P943)))</formula>
    </cfRule>
    <cfRule type="expression" dxfId="3767" priority="5938">
      <formula>$H943="CÉLULA CONSTRUTIVA"</formula>
    </cfRule>
    <cfRule type="expression" dxfId="3766" priority="5935">
      <formula>$H943="CÉLULA CONSTRUTIVA"</formula>
    </cfRule>
    <cfRule type="expression" dxfId="3765" priority="5937">
      <formula>$H943="SUBETAPA"</formula>
    </cfRule>
    <cfRule type="expression" dxfId="3764" priority="5936">
      <formula>$H943="ETAPA"</formula>
    </cfRule>
    <cfRule type="containsText" dxfId="3763" priority="5940" operator="containsText" text="Lançado">
      <formula>NOT(ISERROR(SEARCH("Lançado",P943)))</formula>
    </cfRule>
    <cfRule type="containsText" dxfId="3762" priority="5941" operator="containsText" text="N/A">
      <formula>NOT(ISERROR(SEARCH("N/A",P943)))</formula>
    </cfRule>
    <cfRule type="containsText" dxfId="3761" priority="5942" operator="containsText" text="Pendente">
      <formula>NOT(ISERROR(SEARCH("Pendente",P943)))</formula>
    </cfRule>
    <cfRule type="containsText" dxfId="3760" priority="5943" operator="containsText" text="Finalizado">
      <formula>NOT(ISERROR(SEARCH("Finalizado",P943)))</formula>
    </cfRule>
    <cfRule type="containsText" dxfId="3759" priority="5944" operator="containsText" text="em andamento">
      <formula>NOT(ISERROR(SEARCH("em andamento",P943)))</formula>
    </cfRule>
    <cfRule type="expression" dxfId="3758" priority="5934">
      <formula>$H943="SUBETAPA"</formula>
    </cfRule>
  </conditionalFormatting>
  <conditionalFormatting sqref="P944">
    <cfRule type="expression" dxfId="3757" priority="2042">
      <formula>$H944="SUBETAPA"</formula>
    </cfRule>
    <cfRule type="containsText" dxfId="3756" priority="2041" operator="containsText" text="em andamento">
      <formula>NOT(ISERROR(SEARCH("em andamento",P944)))</formula>
    </cfRule>
    <cfRule type="containsText" dxfId="3755" priority="2040" operator="containsText" text="Finalizado">
      <formula>NOT(ISERROR(SEARCH("Finalizado",P944)))</formula>
    </cfRule>
    <cfRule type="containsText" dxfId="3754" priority="2039" operator="containsText" text="Pendente">
      <formula>NOT(ISERROR(SEARCH("Pendente",P944)))</formula>
    </cfRule>
    <cfRule type="containsText" dxfId="3753" priority="2038" operator="containsText" text="Lançado">
      <formula>NOT(ISERROR(SEARCH("Lançado",P944)))</formula>
    </cfRule>
    <cfRule type="containsText" dxfId="3752" priority="2037" operator="containsText" text="em andamento">
      <formula>NOT(ISERROR(SEARCH("em andamento",P944)))</formula>
    </cfRule>
    <cfRule type="containsText" dxfId="3751" priority="2036" operator="containsText" text="Finalizado">
      <formula>NOT(ISERROR(SEARCH("Finalizado",P944)))</formula>
    </cfRule>
    <cfRule type="containsText" dxfId="3750" priority="2035" operator="containsText" text="Pendente">
      <formula>NOT(ISERROR(SEARCH("Pendente",P944)))</formula>
    </cfRule>
    <cfRule type="containsText" dxfId="3749" priority="2048" operator="containsText" text="N/A">
      <formula>NOT(ISERROR(SEARCH("N/A",P944)))</formula>
    </cfRule>
    <cfRule type="expression" dxfId="3748" priority="2047">
      <formula>$H944="ETAPA"</formula>
    </cfRule>
    <cfRule type="expression" dxfId="3747" priority="2046">
      <formula>$H944="CÉLULA CONSTRUTIVA"</formula>
    </cfRule>
    <cfRule type="expression" dxfId="3746" priority="2045">
      <formula>$H944="SUBETAPA"</formula>
    </cfRule>
    <cfRule type="expression" dxfId="3745" priority="2044">
      <formula>$H944="ETAPA"</formula>
    </cfRule>
    <cfRule type="containsText" dxfId="3744" priority="2034" operator="containsText" text="N/A">
      <formula>NOT(ISERROR(SEARCH("N/A",P944)))</formula>
    </cfRule>
    <cfRule type="containsText" dxfId="3743" priority="2032" operator="containsText" text="em andamento">
      <formula>NOT(ISERROR(SEARCH("em andamento",P944)))</formula>
    </cfRule>
    <cfRule type="containsText" dxfId="3742" priority="2031" operator="containsText" text="Finalizado">
      <formula>NOT(ISERROR(SEARCH("Finalizado",P944)))</formula>
    </cfRule>
    <cfRule type="containsText" dxfId="3741" priority="2030" operator="containsText" text="Pendente">
      <formula>NOT(ISERROR(SEARCH("Pendente",P944)))</formula>
    </cfRule>
    <cfRule type="containsText" dxfId="3740" priority="2029" operator="containsText" text="N/A">
      <formula>NOT(ISERROR(SEARCH("N/A",P944)))</formula>
    </cfRule>
    <cfRule type="containsText" dxfId="3739" priority="2028" operator="containsText" text="Lançado">
      <formula>NOT(ISERROR(SEARCH("Lançado",P944)))</formula>
    </cfRule>
    <cfRule type="expression" dxfId="3738" priority="2043">
      <formula>$H944="CÉLULA CONSTRUTIVA"</formula>
    </cfRule>
    <cfRule type="containsText" dxfId="3737" priority="2033" operator="containsText" text="Lançado">
      <formula>NOT(ISERROR(SEARCH("Lançado",P944)))</formula>
    </cfRule>
  </conditionalFormatting>
  <conditionalFormatting sqref="P945 P936">
    <cfRule type="containsText" dxfId="3736" priority="11204" operator="containsText" text="Finalizado">
      <formula>NOT(ISERROR(SEARCH("Finalizado",P936)))</formula>
    </cfRule>
  </conditionalFormatting>
  <conditionalFormatting sqref="P945">
    <cfRule type="containsText" dxfId="3735" priority="11180" operator="containsText" text="Lançado">
      <formula>NOT(ISERROR(SEARCH("Lançado",P945)))</formula>
    </cfRule>
    <cfRule type="containsText" dxfId="3734" priority="11189" operator="containsText" text="em andamento">
      <formula>NOT(ISERROR(SEARCH("em andamento",P945)))</formula>
    </cfRule>
    <cfRule type="containsText" dxfId="3733" priority="11188" operator="containsText" text="Finalizado">
      <formula>NOT(ISERROR(SEARCH("Finalizado",P945)))</formula>
    </cfRule>
    <cfRule type="containsText" dxfId="3732" priority="11202" operator="containsText" text="N/A">
      <formula>NOT(ISERROR(SEARCH("N/A",P945)))</formula>
    </cfRule>
    <cfRule type="containsText" dxfId="3731" priority="11203" operator="containsText" text="Pendente">
      <formula>NOT(ISERROR(SEARCH("Pendente",P945)))</formula>
    </cfRule>
    <cfRule type="containsText" dxfId="3730" priority="11181" operator="containsText" text="N/A">
      <formula>NOT(ISERROR(SEARCH("N/A",P945)))</formula>
    </cfRule>
    <cfRule type="containsText" dxfId="3729" priority="11187" operator="containsText" text="Pendente">
      <formula>NOT(ISERROR(SEARCH("Pendente",P945)))</formula>
    </cfRule>
    <cfRule type="containsText" dxfId="3728" priority="11185" operator="containsText" text="Lançado">
      <formula>NOT(ISERROR(SEARCH("Lançado",P945)))</formula>
    </cfRule>
    <cfRule type="containsText" dxfId="3727" priority="11184" operator="containsText" text="em andamento">
      <formula>NOT(ISERROR(SEARCH("em andamento",P945)))</formula>
    </cfRule>
    <cfRule type="containsText" dxfId="3726" priority="11183" operator="containsText" text="Finalizado">
      <formula>NOT(ISERROR(SEARCH("Finalizado",P945)))</formula>
    </cfRule>
    <cfRule type="containsText" dxfId="3725" priority="11182" operator="containsText" text="Pendente">
      <formula>NOT(ISERROR(SEARCH("Pendente",P945)))</formula>
    </cfRule>
    <cfRule type="containsText" dxfId="3724" priority="11186" operator="containsText" text="N/A">
      <formula>NOT(ISERROR(SEARCH("N/A",P945)))</formula>
    </cfRule>
    <cfRule type="containsText" dxfId="3723" priority="11201" operator="containsText" text="Lançado">
      <formula>NOT(ISERROR(SEARCH("Lançado",P945)))</formula>
    </cfRule>
  </conditionalFormatting>
  <conditionalFormatting sqref="P946:P951">
    <cfRule type="expression" dxfId="3722" priority="2025">
      <formula>$H946="CÉLULA CONSTRUTIVA"</formula>
    </cfRule>
    <cfRule type="expression" dxfId="3721" priority="2024">
      <formula>$H946="SUBETAPA"</formula>
    </cfRule>
    <cfRule type="expression" dxfId="3720" priority="2022">
      <formula>$H946="CÉLULA CONSTRUTIVA"</formula>
    </cfRule>
    <cfRule type="expression" dxfId="3719" priority="2021">
      <formula>$H946="SUBETAPA"</formula>
    </cfRule>
    <cfRule type="containsText" dxfId="3718" priority="2020" operator="containsText" text="em andamento">
      <formula>NOT(ISERROR(SEARCH("em andamento",P946)))</formula>
    </cfRule>
    <cfRule type="containsText" dxfId="3717" priority="2019" operator="containsText" text="Finalizado">
      <formula>NOT(ISERROR(SEARCH("Finalizado",P946)))</formula>
    </cfRule>
    <cfRule type="containsText" dxfId="3716" priority="2018" operator="containsText" text="Pendente">
      <formula>NOT(ISERROR(SEARCH("Pendente",P946)))</formula>
    </cfRule>
    <cfRule type="containsText" dxfId="3715" priority="2017" operator="containsText" text="Lançado">
      <formula>NOT(ISERROR(SEARCH("Lançado",P946)))</formula>
    </cfRule>
    <cfRule type="containsText" dxfId="3714" priority="2016" operator="containsText" text="em andamento">
      <formula>NOT(ISERROR(SEARCH("em andamento",P946)))</formula>
    </cfRule>
    <cfRule type="expression" dxfId="3713" priority="2023">
      <formula>$H946="ETAPA"</formula>
    </cfRule>
    <cfRule type="containsText" dxfId="3712" priority="2027" operator="containsText" text="N/A">
      <formula>NOT(ISERROR(SEARCH("N/A",P946)))</formula>
    </cfRule>
    <cfRule type="expression" dxfId="3711" priority="2026">
      <formula>$H946="ETAPA"</formula>
    </cfRule>
    <cfRule type="containsText" dxfId="3710" priority="2015" operator="containsText" text="Finalizado">
      <formula>NOT(ISERROR(SEARCH("Finalizado",P946)))</formula>
    </cfRule>
    <cfRule type="containsText" dxfId="3709" priority="2014" operator="containsText" text="Pendente">
      <formula>NOT(ISERROR(SEARCH("Pendente",P946)))</formula>
    </cfRule>
    <cfRule type="containsText" dxfId="3708" priority="2013" operator="containsText" text="N/A">
      <formula>NOT(ISERROR(SEARCH("N/A",P946)))</formula>
    </cfRule>
    <cfRule type="containsText" dxfId="3707" priority="2012" operator="containsText" text="Lançado">
      <formula>NOT(ISERROR(SEARCH("Lançado",P946)))</formula>
    </cfRule>
    <cfRule type="containsText" dxfId="3706" priority="2011" operator="containsText" text="em andamento">
      <formula>NOT(ISERROR(SEARCH("em andamento",P946)))</formula>
    </cfRule>
    <cfRule type="containsText" dxfId="3705" priority="2010" operator="containsText" text="Finalizado">
      <formula>NOT(ISERROR(SEARCH("Finalizado",P946)))</formula>
    </cfRule>
    <cfRule type="containsText" dxfId="3704" priority="2009" operator="containsText" text="Pendente">
      <formula>NOT(ISERROR(SEARCH("Pendente",P946)))</formula>
    </cfRule>
    <cfRule type="containsText" dxfId="3703" priority="2008" operator="containsText" text="N/A">
      <formula>NOT(ISERROR(SEARCH("N/A",P946)))</formula>
    </cfRule>
    <cfRule type="containsText" dxfId="3702" priority="2007" operator="containsText" text="Lançado">
      <formula>NOT(ISERROR(SEARCH("Lançado",P946)))</formula>
    </cfRule>
  </conditionalFormatting>
  <conditionalFormatting sqref="P952:P953">
    <cfRule type="expression" dxfId="3701" priority="11087">
      <formula>$H952="CÉLULA CONSTRUTIVA"</formula>
    </cfRule>
    <cfRule type="expression" dxfId="3700" priority="11086">
      <formula>$H952="SUBETAPA"</formula>
    </cfRule>
    <cfRule type="expression" dxfId="3699" priority="11085">
      <formula>$H952="ETAPA"</formula>
    </cfRule>
    <cfRule type="expression" dxfId="3698" priority="11084">
      <formula>$H952="CÉLULA CONSTRUTIVA"</formula>
    </cfRule>
    <cfRule type="containsText" dxfId="3697" priority="11082" operator="containsText" text="em andamento">
      <formula>NOT(ISERROR(SEARCH("em andamento",P952)))</formula>
    </cfRule>
    <cfRule type="containsText" dxfId="3696" priority="11081" operator="containsText" text="Finalizado">
      <formula>NOT(ISERROR(SEARCH("Finalizado",P952)))</formula>
    </cfRule>
    <cfRule type="containsText" dxfId="3695" priority="11080" operator="containsText" text="Pendente">
      <formula>NOT(ISERROR(SEARCH("Pendente",P952)))</formula>
    </cfRule>
    <cfRule type="expression" dxfId="3694" priority="11090">
      <formula>$H952="CÉLULA CONSTRUTIVA"</formula>
    </cfRule>
    <cfRule type="expression" dxfId="3693" priority="11083">
      <formula>$H952="SUBETAPA"</formula>
    </cfRule>
    <cfRule type="expression" dxfId="3692" priority="11091">
      <formula>$H952="ETAPA"</formula>
    </cfRule>
    <cfRule type="containsText" dxfId="3691" priority="11092" operator="containsText" text="Lançado">
      <formula>NOT(ISERROR(SEARCH("Lançado",P952)))</formula>
    </cfRule>
    <cfRule type="containsText" dxfId="3690" priority="11070" operator="containsText" text="Lançado">
      <formula>NOT(ISERROR(SEARCH("Lançado",P952)))</formula>
    </cfRule>
    <cfRule type="containsText" dxfId="3689" priority="11093" operator="containsText" text="N/A">
      <formula>NOT(ISERROR(SEARCH("N/A",P952)))</formula>
    </cfRule>
    <cfRule type="containsText" dxfId="3688" priority="11094" operator="containsText" text="Pendente">
      <formula>NOT(ISERROR(SEARCH("Pendente",P952)))</formula>
    </cfRule>
    <cfRule type="containsText" dxfId="3687" priority="11095" operator="containsText" text="Finalizado">
      <formula>NOT(ISERROR(SEARCH("Finalizado",P952)))</formula>
    </cfRule>
    <cfRule type="containsText" dxfId="3686" priority="11096" operator="containsText" text="em andamento">
      <formula>NOT(ISERROR(SEARCH("em andamento",P952)))</formula>
    </cfRule>
    <cfRule type="expression" dxfId="3685" priority="11088">
      <formula>$H952="ETAPA"</formula>
    </cfRule>
    <cfRule type="expression" dxfId="3684" priority="11089">
      <formula>$H952="SUBETAPA"</formula>
    </cfRule>
  </conditionalFormatting>
  <conditionalFormatting sqref="P954">
    <cfRule type="containsText" dxfId="3683" priority="2004" operator="containsText" text="N/A">
      <formula>NOT(ISERROR(SEARCH("N/A",P954)))</formula>
    </cfRule>
    <cfRule type="containsText" dxfId="3682" priority="2005" operator="containsText" text="N/A">
      <formula>NOT(ISERROR(SEARCH("N/A",P954)))</formula>
    </cfRule>
    <cfRule type="containsText" dxfId="3681" priority="2006" operator="containsText" text="N/A">
      <formula>NOT(ISERROR(SEARCH("N/A",P954)))</formula>
    </cfRule>
  </conditionalFormatting>
  <conditionalFormatting sqref="P955 P962">
    <cfRule type="containsText" dxfId="3680" priority="11125" operator="containsText" text="em andamento">
      <formula>NOT(ISERROR(SEARCH("em andamento",P955)))</formula>
    </cfRule>
  </conditionalFormatting>
  <conditionalFormatting sqref="P955">
    <cfRule type="containsText" dxfId="3679" priority="11119" operator="containsText" text="Pendente">
      <formula>NOT(ISERROR(SEARCH("Pendente",P955)))</formula>
    </cfRule>
    <cfRule type="containsText" dxfId="3678" priority="11118" operator="containsText" text="N/A">
      <formula>NOT(ISERROR(SEARCH("N/A",P955)))</formula>
    </cfRule>
    <cfRule type="containsText" dxfId="3677" priority="11117" operator="containsText" text="Lançado">
      <formula>NOT(ISERROR(SEARCH("Lançado",P955)))</formula>
    </cfRule>
  </conditionalFormatting>
  <conditionalFormatting sqref="P956:P957">
    <cfRule type="containsText" dxfId="3676" priority="1988" operator="containsText" text="Lançado">
      <formula>NOT(ISERROR(SEARCH("Lançado",P956)))</formula>
    </cfRule>
    <cfRule type="containsText" dxfId="3675" priority="1989" operator="containsText" text="N/A">
      <formula>NOT(ISERROR(SEARCH("N/A",P956)))</formula>
    </cfRule>
    <cfRule type="containsText" dxfId="3674" priority="1991" operator="containsText" text="Finalizado">
      <formula>NOT(ISERROR(SEARCH("Finalizado",P956)))</formula>
    </cfRule>
    <cfRule type="containsText" dxfId="3673" priority="1992" operator="containsText" text="em andamento">
      <formula>NOT(ISERROR(SEARCH("em andamento",P956)))</formula>
    </cfRule>
    <cfRule type="containsText" dxfId="3672" priority="1993" operator="containsText" text="Lançado">
      <formula>NOT(ISERROR(SEARCH("Lançado",P956)))</formula>
    </cfRule>
    <cfRule type="containsText" dxfId="3671" priority="1994" operator="containsText" text="Pendente">
      <formula>NOT(ISERROR(SEARCH("Pendente",P956)))</formula>
    </cfRule>
    <cfRule type="containsText" dxfId="3670" priority="1995" operator="containsText" text="Finalizado">
      <formula>NOT(ISERROR(SEARCH("Finalizado",P956)))</formula>
    </cfRule>
    <cfRule type="containsText" dxfId="3669" priority="1996" operator="containsText" text="em andamento">
      <formula>NOT(ISERROR(SEARCH("em andamento",P956)))</formula>
    </cfRule>
    <cfRule type="expression" dxfId="3668" priority="1997">
      <formula>$H956="SUBETAPA"</formula>
    </cfRule>
    <cfRule type="expression" dxfId="3667" priority="1998">
      <formula>$H956="CÉLULA CONSTRUTIVA"</formula>
    </cfRule>
    <cfRule type="expression" dxfId="3666" priority="1999">
      <formula>$H956="ETAPA"</formula>
    </cfRule>
    <cfRule type="containsText" dxfId="3665" priority="1984" operator="containsText" text="N/A">
      <formula>NOT(ISERROR(SEARCH("N/A",P956)))</formula>
    </cfRule>
    <cfRule type="containsText" dxfId="3664" priority="1990" operator="containsText" text="Pendente">
      <formula>NOT(ISERROR(SEARCH("Pendente",P956)))</formula>
    </cfRule>
    <cfRule type="containsText" dxfId="3663" priority="1983" operator="containsText" text="Lançado">
      <formula>NOT(ISERROR(SEARCH("Lançado",P956)))</formula>
    </cfRule>
    <cfRule type="containsText" dxfId="3662" priority="1985" operator="containsText" text="Pendente">
      <formula>NOT(ISERROR(SEARCH("Pendente",P956)))</formula>
    </cfRule>
    <cfRule type="containsText" dxfId="3661" priority="1986" operator="containsText" text="Finalizado">
      <formula>NOT(ISERROR(SEARCH("Finalizado",P956)))</formula>
    </cfRule>
    <cfRule type="containsText" dxfId="3660" priority="1987" operator="containsText" text="em andamento">
      <formula>NOT(ISERROR(SEARCH("em andamento",P956)))</formula>
    </cfRule>
    <cfRule type="containsText" dxfId="3659" priority="2003" operator="containsText" text="N/A">
      <formula>NOT(ISERROR(SEARCH("N/A",P956)))</formula>
    </cfRule>
    <cfRule type="expression" dxfId="3658" priority="2002">
      <formula>$H956="ETAPA"</formula>
    </cfRule>
    <cfRule type="expression" dxfId="3657" priority="2001">
      <formula>$H956="CÉLULA CONSTRUTIVA"</formula>
    </cfRule>
    <cfRule type="expression" dxfId="3656" priority="2000">
      <formula>$H956="SUBETAPA"</formula>
    </cfRule>
  </conditionalFormatting>
  <conditionalFormatting sqref="P958">
    <cfRule type="containsText" dxfId="3655" priority="6094" operator="containsText" text="Finalizado">
      <formula>NOT(ISERROR(SEARCH("Finalizado",P958)))</formula>
    </cfRule>
    <cfRule type="containsText" dxfId="3654" priority="6092" operator="containsText" text="Pendente">
      <formula>NOT(ISERROR(SEARCH("Pendente",P958)))</formula>
    </cfRule>
    <cfRule type="containsText" dxfId="3653" priority="6091" operator="containsText" text="N/A">
      <formula>NOT(ISERROR(SEARCH("N/A",P958)))</formula>
    </cfRule>
    <cfRule type="containsText" dxfId="3652" priority="6095" operator="containsText" text="em andamento">
      <formula>NOT(ISERROR(SEARCH("em andamento",P958)))</formula>
    </cfRule>
    <cfRule type="containsText" dxfId="3651" priority="6090" operator="containsText" text="Lançado">
      <formula>NOT(ISERROR(SEARCH("Lançado",P958)))</formula>
    </cfRule>
    <cfRule type="containsText" dxfId="3650" priority="6089" operator="containsText" text="em andamento">
      <formula>NOT(ISERROR(SEARCH("em andamento",P958)))</formula>
    </cfRule>
    <cfRule type="containsText" dxfId="3649" priority="6088" operator="containsText" text="Finalizado">
      <formula>NOT(ISERROR(SEARCH("Finalizado",P958)))</formula>
    </cfRule>
  </conditionalFormatting>
  <conditionalFormatting sqref="P959">
    <cfRule type="expression" dxfId="3648" priority="1976">
      <formula>$H959="SUBETAPA"</formula>
    </cfRule>
    <cfRule type="expression" dxfId="3647" priority="1978">
      <formula>$H959="ETAPA"</formula>
    </cfRule>
    <cfRule type="expression" dxfId="3646" priority="1979">
      <formula>$H959="SUBETAPA"</formula>
    </cfRule>
    <cfRule type="expression" dxfId="3645" priority="1980">
      <formula>$H959="CÉLULA CONSTRUTIVA"</formula>
    </cfRule>
    <cfRule type="containsText" dxfId="3644" priority="1966" operator="containsText" text="em andamento">
      <formula>NOT(ISERROR(SEARCH("em andamento",P959)))</formula>
    </cfRule>
    <cfRule type="containsText" dxfId="3643" priority="1974" operator="containsText" text="Finalizado">
      <formula>NOT(ISERROR(SEARCH("Finalizado",P959)))</formula>
    </cfRule>
    <cfRule type="containsText" dxfId="3642" priority="1965" operator="containsText" text="Finalizado">
      <formula>NOT(ISERROR(SEARCH("Finalizado",P959)))</formula>
    </cfRule>
    <cfRule type="containsText" dxfId="3641" priority="1964" operator="containsText" text="Pendente">
      <formula>NOT(ISERROR(SEARCH("Pendente",P959)))</formula>
    </cfRule>
    <cfRule type="containsText" dxfId="3640" priority="1973" operator="containsText" text="Pendente">
      <formula>NOT(ISERROR(SEARCH("Pendente",P959)))</formula>
    </cfRule>
    <cfRule type="containsText" dxfId="3639" priority="1972" operator="containsText" text="Lançado">
      <formula>NOT(ISERROR(SEARCH("Lançado",P959)))</formula>
    </cfRule>
    <cfRule type="containsText" dxfId="3638" priority="1971" operator="containsText" text="em andamento">
      <formula>NOT(ISERROR(SEARCH("em andamento",P959)))</formula>
    </cfRule>
    <cfRule type="containsText" dxfId="3637" priority="1970" operator="containsText" text="Finalizado">
      <formula>NOT(ISERROR(SEARCH("Finalizado",P959)))</formula>
    </cfRule>
    <cfRule type="containsText" dxfId="3636" priority="1963" operator="containsText" text="N/A">
      <formula>NOT(ISERROR(SEARCH("N/A",P959)))</formula>
    </cfRule>
    <cfRule type="containsText" dxfId="3635" priority="1969" operator="containsText" text="Pendente">
      <formula>NOT(ISERROR(SEARCH("Pendente",P959)))</formula>
    </cfRule>
    <cfRule type="containsText" dxfId="3634" priority="1968" operator="containsText" text="N/A">
      <formula>NOT(ISERROR(SEARCH("N/A",P959)))</formula>
    </cfRule>
    <cfRule type="containsText" dxfId="3633" priority="1967" operator="containsText" text="Lançado">
      <formula>NOT(ISERROR(SEARCH("Lançado",P959)))</formula>
    </cfRule>
    <cfRule type="containsText" dxfId="3632" priority="1962" operator="containsText" text="Lançado">
      <formula>NOT(ISERROR(SEARCH("Lançado",P959)))</formula>
    </cfRule>
    <cfRule type="expression" dxfId="3631" priority="1981">
      <formula>$H959="ETAPA"</formula>
    </cfRule>
    <cfRule type="containsText" dxfId="3630" priority="1982" operator="containsText" text="N/A">
      <formula>NOT(ISERROR(SEARCH("N/A",P959)))</formula>
    </cfRule>
    <cfRule type="expression" dxfId="3629" priority="1977">
      <formula>$H959="CÉLULA CONSTRUTIVA"</formula>
    </cfRule>
    <cfRule type="containsText" dxfId="3628" priority="1975" operator="containsText" text="em andamento">
      <formula>NOT(ISERROR(SEARCH("em andamento",P959)))</formula>
    </cfRule>
  </conditionalFormatting>
  <conditionalFormatting sqref="P960">
    <cfRule type="expression" dxfId="3627" priority="5954">
      <formula>$H960="SUBETAPA"</formula>
    </cfRule>
    <cfRule type="containsText" dxfId="3626" priority="5964" operator="containsText" text="em andamento">
      <formula>NOT(ISERROR(SEARCH("em andamento",P960)))</formula>
    </cfRule>
    <cfRule type="containsText" dxfId="3625" priority="5963" operator="containsText" text="Finalizado">
      <formula>NOT(ISERROR(SEARCH("Finalizado",P960)))</formula>
    </cfRule>
    <cfRule type="containsText" dxfId="3624" priority="5962" operator="containsText" text="Pendente">
      <formula>NOT(ISERROR(SEARCH("Pendente",P960)))</formula>
    </cfRule>
    <cfRule type="containsText" dxfId="3623" priority="5961" operator="containsText" text="N/A">
      <formula>NOT(ISERROR(SEARCH("N/A",P960)))</formula>
    </cfRule>
    <cfRule type="containsText" dxfId="3622" priority="5960" operator="containsText" text="Lançado">
      <formula>NOT(ISERROR(SEARCH("Lançado",P960)))</formula>
    </cfRule>
    <cfRule type="containsText" dxfId="3621" priority="5959" operator="containsText" text="em andamento">
      <formula>NOT(ISERROR(SEARCH("em andamento",P960)))</formula>
    </cfRule>
    <cfRule type="expression" dxfId="3620" priority="5958">
      <formula>$H960="CÉLULA CONSTRUTIVA"</formula>
    </cfRule>
    <cfRule type="expression" dxfId="3619" priority="5957">
      <formula>$H960="SUBETAPA"</formula>
    </cfRule>
    <cfRule type="expression" dxfId="3618" priority="5956">
      <formula>$H960="ETAPA"</formula>
    </cfRule>
    <cfRule type="expression" dxfId="3617" priority="5955">
      <formula>$H960="CÉLULA CONSTRUTIVA"</formula>
    </cfRule>
  </conditionalFormatting>
  <conditionalFormatting sqref="P961">
    <cfRule type="expression" dxfId="3616" priority="1958">
      <formula>$H961="SUBETAPA"</formula>
    </cfRule>
    <cfRule type="containsText" dxfId="3615" priority="1941" operator="containsText" text="Lançado">
      <formula>NOT(ISERROR(SEARCH("Lançado",P961)))</formula>
    </cfRule>
    <cfRule type="containsText" dxfId="3614" priority="1942" operator="containsText" text="N/A">
      <formula>NOT(ISERROR(SEARCH("N/A",P961)))</formula>
    </cfRule>
    <cfRule type="containsText" dxfId="3613" priority="1943" operator="containsText" text="Pendente">
      <formula>NOT(ISERROR(SEARCH("Pendente",P961)))</formula>
    </cfRule>
    <cfRule type="containsText" dxfId="3612" priority="1944" operator="containsText" text="Finalizado">
      <formula>NOT(ISERROR(SEARCH("Finalizado",P961)))</formula>
    </cfRule>
    <cfRule type="containsText" dxfId="3611" priority="1946" operator="containsText" text="Lançado">
      <formula>NOT(ISERROR(SEARCH("Lançado",P961)))</formula>
    </cfRule>
    <cfRule type="containsText" dxfId="3610" priority="1947" operator="containsText" text="N/A">
      <formula>NOT(ISERROR(SEARCH("N/A",P961)))</formula>
    </cfRule>
    <cfRule type="expression" dxfId="3609" priority="1959">
      <formula>$H961="CÉLULA CONSTRUTIVA"</formula>
    </cfRule>
    <cfRule type="containsText" dxfId="3608" priority="1949" operator="containsText" text="Finalizado">
      <formula>NOT(ISERROR(SEARCH("Finalizado",P961)))</formula>
    </cfRule>
    <cfRule type="containsText" dxfId="3607" priority="1950" operator="containsText" text="em andamento">
      <formula>NOT(ISERROR(SEARCH("em andamento",P961)))</formula>
    </cfRule>
    <cfRule type="containsText" dxfId="3606" priority="1961" operator="containsText" text="N/A">
      <formula>NOT(ISERROR(SEARCH("N/A",P961)))</formula>
    </cfRule>
    <cfRule type="containsText" dxfId="3605" priority="1951" operator="containsText" text="Lançado">
      <formula>NOT(ISERROR(SEARCH("Lançado",P961)))</formula>
    </cfRule>
    <cfRule type="containsText" dxfId="3604" priority="1952" operator="containsText" text="Pendente">
      <formula>NOT(ISERROR(SEARCH("Pendente",P961)))</formula>
    </cfRule>
    <cfRule type="expression" dxfId="3603" priority="1960">
      <formula>$H961="ETAPA"</formula>
    </cfRule>
    <cfRule type="containsText" dxfId="3602" priority="1953" operator="containsText" text="Finalizado">
      <formula>NOT(ISERROR(SEARCH("Finalizado",P961)))</formula>
    </cfRule>
    <cfRule type="containsText" dxfId="3601" priority="1954" operator="containsText" text="em andamento">
      <formula>NOT(ISERROR(SEARCH("em andamento",P961)))</formula>
    </cfRule>
    <cfRule type="containsText" dxfId="3600" priority="1948" operator="containsText" text="Pendente">
      <formula>NOT(ISERROR(SEARCH("Pendente",P961)))</formula>
    </cfRule>
    <cfRule type="expression" dxfId="3599" priority="1955">
      <formula>$H961="SUBETAPA"</formula>
    </cfRule>
    <cfRule type="containsText" dxfId="3598" priority="1945" operator="containsText" text="em andamento">
      <formula>NOT(ISERROR(SEARCH("em andamento",P961)))</formula>
    </cfRule>
    <cfRule type="expression" dxfId="3597" priority="1957">
      <formula>$H961="ETAPA"</formula>
    </cfRule>
    <cfRule type="expression" dxfId="3596" priority="1956">
      <formula>$H961="CÉLULA CONSTRUTIVA"</formula>
    </cfRule>
  </conditionalFormatting>
  <conditionalFormatting sqref="P962 P955">
    <cfRule type="containsText" dxfId="3595" priority="11124" operator="containsText" text="Finalizado">
      <formula>NOT(ISERROR(SEARCH("Finalizado",P955)))</formula>
    </cfRule>
  </conditionalFormatting>
  <conditionalFormatting sqref="P962">
    <cfRule type="containsText" dxfId="3594" priority="11103" operator="containsText" text="Finalizado">
      <formula>NOT(ISERROR(SEARCH("Finalizado",P962)))</formula>
    </cfRule>
    <cfRule type="containsText" dxfId="3593" priority="11104" operator="containsText" text="em andamento">
      <formula>NOT(ISERROR(SEARCH("em andamento",P962)))</formula>
    </cfRule>
    <cfRule type="containsText" dxfId="3592" priority="11106" operator="containsText" text="N/A">
      <formula>NOT(ISERROR(SEARCH("N/A",P962)))</formula>
    </cfRule>
    <cfRule type="containsText" dxfId="3591" priority="11105" operator="containsText" text="Lançado">
      <formula>NOT(ISERROR(SEARCH("Lançado",P962)))</formula>
    </cfRule>
    <cfRule type="containsText" dxfId="3590" priority="11107" operator="containsText" text="Pendente">
      <formula>NOT(ISERROR(SEARCH("Pendente",P962)))</formula>
    </cfRule>
    <cfRule type="containsText" dxfId="3589" priority="11108" operator="containsText" text="Finalizado">
      <formula>NOT(ISERROR(SEARCH("Finalizado",P962)))</formula>
    </cfRule>
    <cfRule type="containsText" dxfId="3588" priority="11123" operator="containsText" text="Pendente">
      <formula>NOT(ISERROR(SEARCH("Pendente",P962)))</formula>
    </cfRule>
    <cfRule type="containsText" dxfId="3587" priority="11109" operator="containsText" text="em andamento">
      <formula>NOT(ISERROR(SEARCH("em andamento",P962)))</formula>
    </cfRule>
    <cfRule type="containsText" dxfId="3586" priority="11100" operator="containsText" text="Lançado">
      <formula>NOT(ISERROR(SEARCH("Lançado",P962)))</formula>
    </cfRule>
    <cfRule type="containsText" dxfId="3585" priority="11122" operator="containsText" text="N/A">
      <formula>NOT(ISERROR(SEARCH("N/A",P962)))</formula>
    </cfRule>
    <cfRule type="containsText" dxfId="3584" priority="11121" operator="containsText" text="Lançado">
      <formula>NOT(ISERROR(SEARCH("Lançado",P962)))</formula>
    </cfRule>
    <cfRule type="containsText" dxfId="3583" priority="11101" operator="containsText" text="N/A">
      <formula>NOT(ISERROR(SEARCH("N/A",P962)))</formula>
    </cfRule>
    <cfRule type="containsText" dxfId="3582" priority="11102" operator="containsText" text="Pendente">
      <formula>NOT(ISERROR(SEARCH("Pendente",P962)))</formula>
    </cfRule>
  </conditionalFormatting>
  <conditionalFormatting sqref="P963:P967">
    <cfRule type="containsText" dxfId="3581" priority="1929" operator="containsText" text="em andamento">
      <formula>NOT(ISERROR(SEARCH("em andamento",P963)))</formula>
    </cfRule>
    <cfRule type="containsText" dxfId="3580" priority="1930" operator="containsText" text="Lançado">
      <formula>NOT(ISERROR(SEARCH("Lançado",P963)))</formula>
    </cfRule>
    <cfRule type="containsText" dxfId="3579" priority="1931" operator="containsText" text="Pendente">
      <formula>NOT(ISERROR(SEARCH("Pendente",P963)))</formula>
    </cfRule>
    <cfRule type="containsText" dxfId="3578" priority="1940" operator="containsText" text="N/A">
      <formula>NOT(ISERROR(SEARCH("N/A",P963)))</formula>
    </cfRule>
    <cfRule type="expression" dxfId="3577" priority="1939">
      <formula>$H963="ETAPA"</formula>
    </cfRule>
    <cfRule type="expression" dxfId="3576" priority="1937">
      <formula>$H963="SUBETAPA"</formula>
    </cfRule>
    <cfRule type="expression" dxfId="3575" priority="1936">
      <formula>$H963="ETAPA"</formula>
    </cfRule>
    <cfRule type="containsText" dxfId="3574" priority="1921" operator="containsText" text="N/A">
      <formula>NOT(ISERROR(SEARCH("N/A",P963)))</formula>
    </cfRule>
    <cfRule type="expression" dxfId="3573" priority="1935">
      <formula>$H963="CÉLULA CONSTRUTIVA"</formula>
    </cfRule>
    <cfRule type="containsText" dxfId="3572" priority="1926" operator="containsText" text="N/A">
      <formula>NOT(ISERROR(SEARCH("N/A",P963)))</formula>
    </cfRule>
    <cfRule type="containsText" dxfId="3571" priority="1925" operator="containsText" text="Lançado">
      <formula>NOT(ISERROR(SEARCH("Lançado",P963)))</formula>
    </cfRule>
    <cfRule type="containsText" dxfId="3570" priority="1924" operator="containsText" text="em andamento">
      <formula>NOT(ISERROR(SEARCH("em andamento",P963)))</formula>
    </cfRule>
    <cfRule type="containsText" dxfId="3569" priority="1923" operator="containsText" text="Finalizado">
      <formula>NOT(ISERROR(SEARCH("Finalizado",P963)))</formula>
    </cfRule>
    <cfRule type="expression" dxfId="3568" priority="1938">
      <formula>$H963="CÉLULA CONSTRUTIVA"</formula>
    </cfRule>
    <cfRule type="expression" dxfId="3567" priority="1934">
      <formula>$H963="SUBETAPA"</formula>
    </cfRule>
    <cfRule type="containsText" dxfId="3566" priority="1933" operator="containsText" text="em andamento">
      <formula>NOT(ISERROR(SEARCH("em andamento",P963)))</formula>
    </cfRule>
    <cfRule type="containsText" dxfId="3565" priority="1927" operator="containsText" text="Pendente">
      <formula>NOT(ISERROR(SEARCH("Pendente",P963)))</formula>
    </cfRule>
    <cfRule type="containsText" dxfId="3564" priority="1932" operator="containsText" text="Finalizado">
      <formula>NOT(ISERROR(SEARCH("Finalizado",P963)))</formula>
    </cfRule>
    <cfRule type="containsText" dxfId="3563" priority="1928" operator="containsText" text="Finalizado">
      <formula>NOT(ISERROR(SEARCH("Finalizado",P963)))</formula>
    </cfRule>
    <cfRule type="containsText" dxfId="3562" priority="1920" operator="containsText" text="Lançado">
      <formula>NOT(ISERROR(SEARCH("Lançado",P963)))</formula>
    </cfRule>
    <cfRule type="containsText" dxfId="3561" priority="1922" operator="containsText" text="Pendente">
      <formula>NOT(ISERROR(SEARCH("Pendente",P963)))</formula>
    </cfRule>
  </conditionalFormatting>
  <conditionalFormatting sqref="P968:P969">
    <cfRule type="expression" dxfId="3560" priority="11003">
      <formula>$H968="SUBETAPA"</formula>
    </cfRule>
    <cfRule type="expression" dxfId="3559" priority="11004">
      <formula>$H968="CÉLULA CONSTRUTIVA"</formula>
    </cfRule>
    <cfRule type="expression" dxfId="3558" priority="11005">
      <formula>$H968="ETAPA"</formula>
    </cfRule>
    <cfRule type="containsText" dxfId="3557" priority="11006" operator="containsText" text="Lançado">
      <formula>NOT(ISERROR(SEARCH("Lançado",P968)))</formula>
    </cfRule>
    <cfRule type="containsText" dxfId="3556" priority="11008" operator="containsText" text="Pendente">
      <formula>NOT(ISERROR(SEARCH("Pendente",P968)))</formula>
    </cfRule>
    <cfRule type="containsText" dxfId="3555" priority="11009" operator="containsText" text="Finalizado">
      <formula>NOT(ISERROR(SEARCH("Finalizado",P968)))</formula>
    </cfRule>
    <cfRule type="containsText" dxfId="3554" priority="11010" operator="containsText" text="em andamento">
      <formula>NOT(ISERROR(SEARCH("em andamento",P968)))</formula>
    </cfRule>
    <cfRule type="containsText" dxfId="3553" priority="11007" operator="containsText" text="N/A">
      <formula>NOT(ISERROR(SEARCH("N/A",P968)))</formula>
    </cfRule>
    <cfRule type="expression" dxfId="3552" priority="10997">
      <formula>$H968="SUBETAPA"</formula>
    </cfRule>
    <cfRule type="containsText" dxfId="3551" priority="10996" operator="containsText" text="em andamento">
      <formula>NOT(ISERROR(SEARCH("em andamento",P968)))</formula>
    </cfRule>
    <cfRule type="containsText" dxfId="3550" priority="10995" operator="containsText" text="Finalizado">
      <formula>NOT(ISERROR(SEARCH("Finalizado",P968)))</formula>
    </cfRule>
    <cfRule type="containsText" dxfId="3549" priority="10994" operator="containsText" text="Pendente">
      <formula>NOT(ISERROR(SEARCH("Pendente",P968)))</formula>
    </cfRule>
    <cfRule type="containsText" dxfId="3548" priority="10970" operator="containsText" text="Lançado">
      <formula>NOT(ISERROR(SEARCH("Lançado",P968)))</formula>
    </cfRule>
    <cfRule type="expression" dxfId="3547" priority="10998">
      <formula>$H968="CÉLULA CONSTRUTIVA"</formula>
    </cfRule>
    <cfRule type="expression" dxfId="3546" priority="10999">
      <formula>$H968="ETAPA"</formula>
    </cfRule>
    <cfRule type="expression" dxfId="3545" priority="11000">
      <formula>$H968="SUBETAPA"</formula>
    </cfRule>
    <cfRule type="expression" dxfId="3544" priority="11001">
      <formula>$H968="CÉLULA CONSTRUTIVA"</formula>
    </cfRule>
    <cfRule type="expression" dxfId="3543" priority="11002">
      <formula>$H968="ETAPA"</formula>
    </cfRule>
  </conditionalFormatting>
  <conditionalFormatting sqref="P970:P971">
    <cfRule type="containsText" dxfId="3542" priority="1899" operator="containsText" text="Lançado">
      <formula>NOT(ISERROR(SEARCH("Lançado",P970)))</formula>
    </cfRule>
    <cfRule type="containsText" dxfId="3541" priority="1903" operator="containsText" text="em andamento">
      <formula>NOT(ISERROR(SEARCH("em andamento",P970)))</formula>
    </cfRule>
    <cfRule type="containsText" dxfId="3540" priority="1906" operator="containsText" text="Pendente">
      <formula>NOT(ISERROR(SEARCH("Pendente",P970)))</formula>
    </cfRule>
    <cfRule type="containsText" dxfId="3539" priority="1905" operator="containsText" text="N/A">
      <formula>NOT(ISERROR(SEARCH("N/A",P970)))</formula>
    </cfRule>
    <cfRule type="expression" dxfId="3538" priority="1918">
      <formula>$H970="ETAPA"</formula>
    </cfRule>
    <cfRule type="containsText" dxfId="3537" priority="1902" operator="containsText" text="Finalizado">
      <formula>NOT(ISERROR(SEARCH("Finalizado",P970)))</formula>
    </cfRule>
    <cfRule type="containsText" dxfId="3536" priority="1901" operator="containsText" text="Pendente">
      <formula>NOT(ISERROR(SEARCH("Pendente",P970)))</formula>
    </cfRule>
    <cfRule type="containsText" dxfId="3535" priority="1900" operator="containsText" text="N/A">
      <formula>NOT(ISERROR(SEARCH("N/A",P970)))</formula>
    </cfRule>
    <cfRule type="expression" dxfId="3534" priority="1916">
      <formula>$H970="SUBETAPA"</formula>
    </cfRule>
    <cfRule type="expression" dxfId="3533" priority="1917">
      <formula>$H970="CÉLULA CONSTRUTIVA"</formula>
    </cfRule>
    <cfRule type="containsText" dxfId="3532" priority="1910" operator="containsText" text="Pendente">
      <formula>NOT(ISERROR(SEARCH("Pendente",P970)))</formula>
    </cfRule>
    <cfRule type="containsText" dxfId="3531" priority="1911" operator="containsText" text="Finalizado">
      <formula>NOT(ISERROR(SEARCH("Finalizado",P970)))</formula>
    </cfRule>
    <cfRule type="containsText" dxfId="3530" priority="1909" operator="containsText" text="Lançado">
      <formula>NOT(ISERROR(SEARCH("Lançado",P970)))</formula>
    </cfRule>
    <cfRule type="containsText" dxfId="3529" priority="1908" operator="containsText" text="em andamento">
      <formula>NOT(ISERROR(SEARCH("em andamento",P970)))</formula>
    </cfRule>
    <cfRule type="containsText" dxfId="3528" priority="1907" operator="containsText" text="Finalizado">
      <formula>NOT(ISERROR(SEARCH("Finalizado",P970)))</formula>
    </cfRule>
    <cfRule type="expression" dxfId="3527" priority="1915">
      <formula>$H970="ETAPA"</formula>
    </cfRule>
    <cfRule type="expression" dxfId="3526" priority="1914">
      <formula>$H970="CÉLULA CONSTRUTIVA"</formula>
    </cfRule>
    <cfRule type="expression" dxfId="3525" priority="1913">
      <formula>$H970="SUBETAPA"</formula>
    </cfRule>
    <cfRule type="containsText" dxfId="3524" priority="1904" operator="containsText" text="Lançado">
      <formula>NOT(ISERROR(SEARCH("Lançado",P970)))</formula>
    </cfRule>
    <cfRule type="containsText" dxfId="3523" priority="1912" operator="containsText" text="em andamento">
      <formula>NOT(ISERROR(SEARCH("em andamento",P970)))</formula>
    </cfRule>
    <cfRule type="containsText" dxfId="3522" priority="1919" operator="containsText" text="N/A">
      <formula>NOT(ISERROR(SEARCH("N/A",P970)))</formula>
    </cfRule>
  </conditionalFormatting>
  <conditionalFormatting sqref="P972">
    <cfRule type="containsText" dxfId="3521" priority="6365" operator="containsText" text="Pendente">
      <formula>NOT(ISERROR(SEARCH("Pendente",P972)))</formula>
    </cfRule>
    <cfRule type="containsText" dxfId="3520" priority="6366" operator="containsText" text="Finalizado">
      <formula>NOT(ISERROR(SEARCH("Finalizado",P972)))</formula>
    </cfRule>
    <cfRule type="containsText" dxfId="3519" priority="6367" operator="containsText" text="em andamento">
      <formula>NOT(ISERROR(SEARCH("em andamento",P972)))</formula>
    </cfRule>
    <cfRule type="containsText" dxfId="3518" priority="6364" operator="containsText" text="N/A">
      <formula>NOT(ISERROR(SEARCH("N/A",P972)))</formula>
    </cfRule>
    <cfRule type="containsText" dxfId="3517" priority="6363" operator="containsText" text="Lançado">
      <formula>NOT(ISERROR(SEARCH("Lançado",P972)))</formula>
    </cfRule>
  </conditionalFormatting>
  <conditionalFormatting sqref="P973">
    <cfRule type="expression" dxfId="3516" priority="1893">
      <formula>$H973="CÉLULA CONSTRUTIVA"</formula>
    </cfRule>
    <cfRule type="containsText" dxfId="3515" priority="1878" operator="containsText" text="Lançado">
      <formula>NOT(ISERROR(SEARCH("Lançado",P973)))</formula>
    </cfRule>
    <cfRule type="containsText" dxfId="3514" priority="1879" operator="containsText" text="N/A">
      <formula>NOT(ISERROR(SEARCH("N/A",P973)))</formula>
    </cfRule>
    <cfRule type="containsText" dxfId="3513" priority="1898" operator="containsText" text="N/A">
      <formula>NOT(ISERROR(SEARCH("N/A",P973)))</formula>
    </cfRule>
    <cfRule type="expression" dxfId="3512" priority="1895">
      <formula>$H973="SUBETAPA"</formula>
    </cfRule>
    <cfRule type="expression" dxfId="3511" priority="1896">
      <formula>$H973="CÉLULA CONSTRUTIVA"</formula>
    </cfRule>
    <cfRule type="expression" dxfId="3510" priority="1897">
      <formula>$H973="ETAPA"</formula>
    </cfRule>
    <cfRule type="containsText" dxfId="3509" priority="1888" operator="containsText" text="Lançado">
      <formula>NOT(ISERROR(SEARCH("Lançado",P973)))</formula>
    </cfRule>
    <cfRule type="containsText" dxfId="3508" priority="1886" operator="containsText" text="Finalizado">
      <formula>NOT(ISERROR(SEARCH("Finalizado",P973)))</formula>
    </cfRule>
    <cfRule type="containsText" dxfId="3507" priority="1887" operator="containsText" text="em andamento">
      <formula>NOT(ISERROR(SEARCH("em andamento",P973)))</formula>
    </cfRule>
    <cfRule type="containsText" dxfId="3506" priority="1891" operator="containsText" text="em andamento">
      <formula>NOT(ISERROR(SEARCH("em andamento",P973)))</formula>
    </cfRule>
    <cfRule type="containsText" dxfId="3505" priority="1889" operator="containsText" text="Pendente">
      <formula>NOT(ISERROR(SEARCH("Pendente",P973)))</formula>
    </cfRule>
    <cfRule type="containsText" dxfId="3504" priority="1881" operator="containsText" text="Finalizado">
      <formula>NOT(ISERROR(SEARCH("Finalizado",P973)))</formula>
    </cfRule>
    <cfRule type="expression" dxfId="3503" priority="1892">
      <formula>$H973="SUBETAPA"</formula>
    </cfRule>
    <cfRule type="containsText" dxfId="3502" priority="1885" operator="containsText" text="Pendente">
      <formula>NOT(ISERROR(SEARCH("Pendente",P973)))</formula>
    </cfRule>
    <cfRule type="containsText" dxfId="3501" priority="1884" operator="containsText" text="N/A">
      <formula>NOT(ISERROR(SEARCH("N/A",P973)))</formula>
    </cfRule>
    <cfRule type="containsText" dxfId="3500" priority="1883" operator="containsText" text="Lançado">
      <formula>NOT(ISERROR(SEARCH("Lançado",P973)))</formula>
    </cfRule>
    <cfRule type="containsText" dxfId="3499" priority="1882" operator="containsText" text="em andamento">
      <formula>NOT(ISERROR(SEARCH("em andamento",P973)))</formula>
    </cfRule>
    <cfRule type="containsText" dxfId="3498" priority="1890" operator="containsText" text="Finalizado">
      <formula>NOT(ISERROR(SEARCH("Finalizado",P973)))</formula>
    </cfRule>
    <cfRule type="expression" dxfId="3497" priority="1894">
      <formula>$H973="ETAPA"</formula>
    </cfRule>
    <cfRule type="containsText" dxfId="3496" priority="1880" operator="containsText" text="Pendente">
      <formula>NOT(ISERROR(SEARCH("Pendente",P973)))</formula>
    </cfRule>
  </conditionalFormatting>
  <conditionalFormatting sqref="P974 P979 P982">
    <cfRule type="containsText" dxfId="3495" priority="11041" operator="containsText" text="em andamento">
      <formula>NOT(ISERROR(SEARCH("em andamento",P974)))</formula>
    </cfRule>
  </conditionalFormatting>
  <conditionalFormatting sqref="P974 P979">
    <cfRule type="containsText" dxfId="3494" priority="11033" operator="containsText" text="Lançado">
      <formula>NOT(ISERROR(SEARCH("Lançado",P974)))</formula>
    </cfRule>
    <cfRule type="containsText" dxfId="3493" priority="11034" operator="containsText" text="N/A">
      <formula>NOT(ISERROR(SEARCH("N/A",P974)))</formula>
    </cfRule>
    <cfRule type="containsText" dxfId="3492" priority="11035" operator="containsText" text="Pendente">
      <formula>NOT(ISERROR(SEARCH("Pendente",P974)))</formula>
    </cfRule>
  </conditionalFormatting>
  <conditionalFormatting sqref="P974">
    <cfRule type="containsText" dxfId="3491" priority="11032" operator="containsText" text="em andamento">
      <formula>NOT(ISERROR(SEARCH("em andamento",P974)))</formula>
    </cfRule>
    <cfRule type="containsText" dxfId="3490" priority="11031" operator="containsText" text="Finalizado">
      <formula>NOT(ISERROR(SEARCH("Finalizado",P974)))</formula>
    </cfRule>
  </conditionalFormatting>
  <conditionalFormatting sqref="P975:P976">
    <cfRule type="expression" dxfId="3489" priority="1873">
      <formula>$H975="ETAPA"</formula>
    </cfRule>
    <cfRule type="expression" dxfId="3488" priority="1872">
      <formula>$H975="CÉLULA CONSTRUTIVA"</formula>
    </cfRule>
    <cfRule type="expression" dxfId="3487" priority="1871">
      <formula>$H975="SUBETAPA"</formula>
    </cfRule>
    <cfRule type="containsText" dxfId="3486" priority="1870" operator="containsText" text="em andamento">
      <formula>NOT(ISERROR(SEARCH("em andamento",P975)))</formula>
    </cfRule>
    <cfRule type="containsText" dxfId="3485" priority="1869" operator="containsText" text="Finalizado">
      <formula>NOT(ISERROR(SEARCH("Finalizado",P975)))</formula>
    </cfRule>
    <cfRule type="containsText" dxfId="3484" priority="1868" operator="containsText" text="Pendente">
      <formula>NOT(ISERROR(SEARCH("Pendente",P975)))</formula>
    </cfRule>
    <cfRule type="containsText" dxfId="3483" priority="1857" operator="containsText" text="Lançado">
      <formula>NOT(ISERROR(SEARCH("Lançado",P975)))</formula>
    </cfRule>
    <cfRule type="containsText" dxfId="3482" priority="1859" operator="containsText" text="Pendente">
      <formula>NOT(ISERROR(SEARCH("Pendente",P975)))</formula>
    </cfRule>
    <cfRule type="containsText" dxfId="3481" priority="1860" operator="containsText" text="Finalizado">
      <formula>NOT(ISERROR(SEARCH("Finalizado",P975)))</formula>
    </cfRule>
    <cfRule type="containsText" dxfId="3480" priority="1861" operator="containsText" text="em andamento">
      <formula>NOT(ISERROR(SEARCH("em andamento",P975)))</formula>
    </cfRule>
    <cfRule type="containsText" dxfId="3479" priority="1862" operator="containsText" text="Lançado">
      <formula>NOT(ISERROR(SEARCH("Lançado",P975)))</formula>
    </cfRule>
    <cfRule type="containsText" dxfId="3478" priority="1863" operator="containsText" text="N/A">
      <formula>NOT(ISERROR(SEARCH("N/A",P975)))</formula>
    </cfRule>
    <cfRule type="containsText" dxfId="3477" priority="1864" operator="containsText" text="Pendente">
      <formula>NOT(ISERROR(SEARCH("Pendente",P975)))</formula>
    </cfRule>
    <cfRule type="containsText" dxfId="3476" priority="1865" operator="containsText" text="Finalizado">
      <formula>NOT(ISERROR(SEARCH("Finalizado",P975)))</formula>
    </cfRule>
    <cfRule type="containsText" dxfId="3475" priority="1866" operator="containsText" text="em andamento">
      <formula>NOT(ISERROR(SEARCH("em andamento",P975)))</formula>
    </cfRule>
    <cfRule type="containsText" dxfId="3474" priority="1867" operator="containsText" text="Lançado">
      <formula>NOT(ISERROR(SEARCH("Lançado",P975)))</formula>
    </cfRule>
    <cfRule type="containsText" dxfId="3473" priority="1858" operator="containsText" text="N/A">
      <formula>NOT(ISERROR(SEARCH("N/A",P975)))</formula>
    </cfRule>
    <cfRule type="containsText" dxfId="3472" priority="1877" operator="containsText" text="N/A">
      <formula>NOT(ISERROR(SEARCH("N/A",P975)))</formula>
    </cfRule>
    <cfRule type="expression" dxfId="3471" priority="1876">
      <formula>$H975="ETAPA"</formula>
    </cfRule>
    <cfRule type="expression" dxfId="3470" priority="1875">
      <formula>$H975="CÉLULA CONSTRUTIVA"</formula>
    </cfRule>
    <cfRule type="expression" dxfId="3469" priority="1874">
      <formula>$H975="SUBETAPA"</formula>
    </cfRule>
  </conditionalFormatting>
  <conditionalFormatting sqref="P977">
    <cfRule type="containsText" dxfId="3468" priority="6075" operator="containsText" text="Lançado">
      <formula>NOT(ISERROR(SEARCH("Lançado",P977)))</formula>
    </cfRule>
    <cfRule type="containsText" dxfId="3467" priority="6074" operator="containsText" text="em andamento">
      <formula>NOT(ISERROR(SEARCH("em andamento",P977)))</formula>
    </cfRule>
    <cfRule type="containsText" dxfId="3466" priority="6072" operator="containsText" text="Pendente">
      <formula>NOT(ISERROR(SEARCH("Pendente",P977)))</formula>
    </cfRule>
    <cfRule type="containsText" dxfId="3465" priority="6064" operator="containsText" text="Pendente">
      <formula>NOT(ISERROR(SEARCH("Pendente",P977)))</formula>
    </cfRule>
    <cfRule type="containsText" dxfId="3464" priority="6065" operator="containsText" text="Finalizado">
      <formula>NOT(ISERROR(SEARCH("Finalizado",P977)))</formula>
    </cfRule>
    <cfRule type="containsText" dxfId="3463" priority="6066" operator="containsText" text="em andamento">
      <formula>NOT(ISERROR(SEARCH("em andamento",P977)))</formula>
    </cfRule>
    <cfRule type="expression" dxfId="3462" priority="6067">
      <formula>$H977="SUBETAPA"</formula>
    </cfRule>
    <cfRule type="containsText" dxfId="3461" priority="6073" operator="containsText" text="Finalizado">
      <formula>NOT(ISERROR(SEARCH("Finalizado",P977)))</formula>
    </cfRule>
    <cfRule type="expression" dxfId="3460" priority="6068">
      <formula>$H977="CÉLULA CONSTRUTIVA"</formula>
    </cfRule>
    <cfRule type="expression" dxfId="3459" priority="6069">
      <formula>$H977="ETAPA"</formula>
    </cfRule>
    <cfRule type="containsText" dxfId="3458" priority="6070" operator="containsText" text="Lançado">
      <formula>NOT(ISERROR(SEARCH("Lançado",P977)))</formula>
    </cfRule>
    <cfRule type="containsText" dxfId="3457" priority="6071" operator="containsText" text="N/A">
      <formula>NOT(ISERROR(SEARCH("N/A",P977)))</formula>
    </cfRule>
    <cfRule type="containsText" dxfId="3456" priority="6076" operator="containsText" text="N/A">
      <formula>NOT(ISERROR(SEARCH("N/A",P977)))</formula>
    </cfRule>
  </conditionalFormatting>
  <conditionalFormatting sqref="P978">
    <cfRule type="containsText" dxfId="3455" priority="1840" operator="containsText" text="em andamento">
      <formula>NOT(ISERROR(SEARCH("em andamento",P978)))</formula>
    </cfRule>
    <cfRule type="containsText" dxfId="3454" priority="1856" operator="containsText" text="N/A">
      <formula>NOT(ISERROR(SEARCH("N/A",P978)))</formula>
    </cfRule>
    <cfRule type="expression" dxfId="3453" priority="1854">
      <formula>$H978="CÉLULA CONSTRUTIVA"</formula>
    </cfRule>
    <cfRule type="expression" dxfId="3452" priority="1855">
      <formula>$H978="ETAPA"</formula>
    </cfRule>
    <cfRule type="containsText" dxfId="3451" priority="1845" operator="containsText" text="em andamento">
      <formula>NOT(ISERROR(SEARCH("em andamento",P978)))</formula>
    </cfRule>
    <cfRule type="containsText" dxfId="3450" priority="1836" operator="containsText" text="Lançado">
      <formula>NOT(ISERROR(SEARCH("Lançado",P978)))</formula>
    </cfRule>
    <cfRule type="containsText" dxfId="3449" priority="1837" operator="containsText" text="N/A">
      <formula>NOT(ISERROR(SEARCH("N/A",P978)))</formula>
    </cfRule>
    <cfRule type="containsText" dxfId="3448" priority="1838" operator="containsText" text="Pendente">
      <formula>NOT(ISERROR(SEARCH("Pendente",P978)))</formula>
    </cfRule>
    <cfRule type="containsText" dxfId="3447" priority="1839" operator="containsText" text="Finalizado">
      <formula>NOT(ISERROR(SEARCH("Finalizado",P978)))</formula>
    </cfRule>
    <cfRule type="containsText" dxfId="3446" priority="1841" operator="containsText" text="Lançado">
      <formula>NOT(ISERROR(SEARCH("Lançado",P978)))</formula>
    </cfRule>
    <cfRule type="containsText" dxfId="3445" priority="1842" operator="containsText" text="N/A">
      <formula>NOT(ISERROR(SEARCH("N/A",P978)))</formula>
    </cfRule>
    <cfRule type="containsText" dxfId="3444" priority="1843" operator="containsText" text="Pendente">
      <formula>NOT(ISERROR(SEARCH("Pendente",P978)))</formula>
    </cfRule>
    <cfRule type="containsText" dxfId="3443" priority="1844" operator="containsText" text="Finalizado">
      <formula>NOT(ISERROR(SEARCH("Finalizado",P978)))</formula>
    </cfRule>
    <cfRule type="containsText" dxfId="3442" priority="1846" operator="containsText" text="Lançado">
      <formula>NOT(ISERROR(SEARCH("Lançado",P978)))</formula>
    </cfRule>
    <cfRule type="containsText" dxfId="3441" priority="1847" operator="containsText" text="Pendente">
      <formula>NOT(ISERROR(SEARCH("Pendente",P978)))</formula>
    </cfRule>
    <cfRule type="containsText" dxfId="3440" priority="1848" operator="containsText" text="Finalizado">
      <formula>NOT(ISERROR(SEARCH("Finalizado",P978)))</formula>
    </cfRule>
    <cfRule type="containsText" dxfId="3439" priority="1849" operator="containsText" text="em andamento">
      <formula>NOT(ISERROR(SEARCH("em andamento",P978)))</formula>
    </cfRule>
    <cfRule type="expression" dxfId="3438" priority="1850">
      <formula>$H978="SUBETAPA"</formula>
    </cfRule>
    <cfRule type="expression" dxfId="3437" priority="1851">
      <formula>$H978="CÉLULA CONSTRUTIVA"</formula>
    </cfRule>
    <cfRule type="expression" dxfId="3436" priority="1852">
      <formula>$H978="ETAPA"</formula>
    </cfRule>
    <cfRule type="expression" dxfId="3435" priority="1853">
      <formula>$H978="SUBETAPA"</formula>
    </cfRule>
  </conditionalFormatting>
  <conditionalFormatting sqref="P979">
    <cfRule type="expression" dxfId="3434" priority="11024">
      <formula>$H979="SUBETAPA"</formula>
    </cfRule>
    <cfRule type="containsText" dxfId="3433" priority="11030" operator="containsText" text="em andamento">
      <formula>NOT(ISERROR(SEARCH("em andamento",P979)))</formula>
    </cfRule>
    <cfRule type="expression" dxfId="3432" priority="11029">
      <formula>$H979="ETAPA"</formula>
    </cfRule>
    <cfRule type="expression" dxfId="3431" priority="11027">
      <formula>$H979="SUBETAPA"</formula>
    </cfRule>
    <cfRule type="expression" dxfId="3430" priority="11025">
      <formula>$H979="CÉLULA CONSTRUTIVA"</formula>
    </cfRule>
    <cfRule type="expression" dxfId="3429" priority="11028">
      <formula>$H979="CÉLULA CONSTRUTIVA"</formula>
    </cfRule>
    <cfRule type="expression" dxfId="3428" priority="11026">
      <formula>$H979="ETAPA"</formula>
    </cfRule>
  </conditionalFormatting>
  <conditionalFormatting sqref="P980:P981">
    <cfRule type="containsText" dxfId="3427" priority="1820" operator="containsText" text="Lançado">
      <formula>NOT(ISERROR(SEARCH("Lançado",P980)))</formula>
    </cfRule>
    <cfRule type="containsText" dxfId="3426" priority="1821" operator="containsText" text="N/A">
      <formula>NOT(ISERROR(SEARCH("N/A",P980)))</formula>
    </cfRule>
    <cfRule type="containsText" dxfId="3425" priority="1822" operator="containsText" text="Pendente">
      <formula>NOT(ISERROR(SEARCH("Pendente",P980)))</formula>
    </cfRule>
    <cfRule type="containsText" dxfId="3424" priority="1823" operator="containsText" text="Finalizado">
      <formula>NOT(ISERROR(SEARCH("Finalizado",P980)))</formula>
    </cfRule>
    <cfRule type="containsText" dxfId="3423" priority="1824" operator="containsText" text="em andamento">
      <formula>NOT(ISERROR(SEARCH("em andamento",P980)))</formula>
    </cfRule>
    <cfRule type="containsText" dxfId="3422" priority="1825" operator="containsText" text="Lançado">
      <formula>NOT(ISERROR(SEARCH("Lançado",P980)))</formula>
    </cfRule>
    <cfRule type="containsText" dxfId="3421" priority="1826" operator="containsText" text="Pendente">
      <formula>NOT(ISERROR(SEARCH("Pendente",P980)))</formula>
    </cfRule>
    <cfRule type="containsText" dxfId="3420" priority="1827" operator="containsText" text="Finalizado">
      <formula>NOT(ISERROR(SEARCH("Finalizado",P980)))</formula>
    </cfRule>
    <cfRule type="containsText" dxfId="3419" priority="1828" operator="containsText" text="em andamento">
      <formula>NOT(ISERROR(SEARCH("em andamento",P980)))</formula>
    </cfRule>
    <cfRule type="expression" dxfId="3418" priority="1829">
      <formula>$H980="SUBETAPA"</formula>
    </cfRule>
    <cfRule type="expression" dxfId="3417" priority="1830">
      <formula>$H980="CÉLULA CONSTRUTIVA"</formula>
    </cfRule>
    <cfRule type="expression" dxfId="3416" priority="1831">
      <formula>$H980="ETAPA"</formula>
    </cfRule>
    <cfRule type="expression" dxfId="3415" priority="1833">
      <formula>$H980="CÉLULA CONSTRUTIVA"</formula>
    </cfRule>
    <cfRule type="expression" dxfId="3414" priority="1834">
      <formula>$H980="ETAPA"</formula>
    </cfRule>
    <cfRule type="containsText" dxfId="3413" priority="1835" operator="containsText" text="N/A">
      <formula>NOT(ISERROR(SEARCH("N/A",P980)))</formula>
    </cfRule>
    <cfRule type="containsText" dxfId="3412" priority="1818" operator="containsText" text="Finalizado">
      <formula>NOT(ISERROR(SEARCH("Finalizado",P980)))</formula>
    </cfRule>
    <cfRule type="containsText" dxfId="3411" priority="1815" operator="containsText" text="Lançado">
      <formula>NOT(ISERROR(SEARCH("Lançado",P980)))</formula>
    </cfRule>
    <cfRule type="containsText" dxfId="3410" priority="1816" operator="containsText" text="N/A">
      <formula>NOT(ISERROR(SEARCH("N/A",P980)))</formula>
    </cfRule>
    <cfRule type="expression" dxfId="3409" priority="1832">
      <formula>$H980="SUBETAPA"</formula>
    </cfRule>
    <cfRule type="containsText" dxfId="3408" priority="1817" operator="containsText" text="Pendente">
      <formula>NOT(ISERROR(SEARCH("Pendente",P980)))</formula>
    </cfRule>
    <cfRule type="containsText" dxfId="3407" priority="1819" operator="containsText" text="em andamento">
      <formula>NOT(ISERROR(SEARCH("em andamento",P980)))</formula>
    </cfRule>
  </conditionalFormatting>
  <conditionalFormatting sqref="P982 P974 P979">
    <cfRule type="containsText" dxfId="3406" priority="11040" operator="containsText" text="Finalizado">
      <formula>NOT(ISERROR(SEARCH("Finalizado",P974)))</formula>
    </cfRule>
  </conditionalFormatting>
  <conditionalFormatting sqref="P982">
    <cfRule type="containsText" dxfId="3405" priority="11037" operator="containsText" text="Lançado">
      <formula>NOT(ISERROR(SEARCH("Lançado",P982)))</formula>
    </cfRule>
    <cfRule type="containsText" dxfId="3404" priority="11020" operator="containsText" text="N/A">
      <formula>NOT(ISERROR(SEARCH("N/A",P982)))</formula>
    </cfRule>
    <cfRule type="containsText" dxfId="3403" priority="11019" operator="containsText" text="Lançado">
      <formula>NOT(ISERROR(SEARCH("Lançado",P982)))</formula>
    </cfRule>
    <cfRule type="containsText" dxfId="3402" priority="11023" operator="containsText" text="em andamento">
      <formula>NOT(ISERROR(SEARCH("em andamento",P982)))</formula>
    </cfRule>
    <cfRule type="containsText" dxfId="3401" priority="11016" operator="containsText" text="Pendente">
      <formula>NOT(ISERROR(SEARCH("Pendente",P982)))</formula>
    </cfRule>
    <cfRule type="containsText" dxfId="3400" priority="11014" operator="containsText" text="Lançado">
      <formula>NOT(ISERROR(SEARCH("Lançado",P982)))</formula>
    </cfRule>
    <cfRule type="containsText" dxfId="3399" priority="11015" operator="containsText" text="N/A">
      <formula>NOT(ISERROR(SEARCH("N/A",P982)))</formula>
    </cfRule>
    <cfRule type="containsText" dxfId="3398" priority="11038" operator="containsText" text="N/A">
      <formula>NOT(ISERROR(SEARCH("N/A",P982)))</formula>
    </cfRule>
    <cfRule type="containsText" dxfId="3397" priority="11039" operator="containsText" text="Pendente">
      <formula>NOT(ISERROR(SEARCH("Pendente",P982)))</formula>
    </cfRule>
    <cfRule type="containsText" dxfId="3396" priority="11017" operator="containsText" text="Finalizado">
      <formula>NOT(ISERROR(SEARCH("Finalizado",P982)))</formula>
    </cfRule>
    <cfRule type="containsText" dxfId="3395" priority="11018" operator="containsText" text="em andamento">
      <formula>NOT(ISERROR(SEARCH("em andamento",P982)))</formula>
    </cfRule>
    <cfRule type="containsText" dxfId="3394" priority="11021" operator="containsText" text="Pendente">
      <formula>NOT(ISERROR(SEARCH("Pendente",P982)))</formula>
    </cfRule>
    <cfRule type="containsText" dxfId="3393" priority="11022" operator="containsText" text="Finalizado">
      <formula>NOT(ISERROR(SEARCH("Finalizado",P982)))</formula>
    </cfRule>
  </conditionalFormatting>
  <conditionalFormatting sqref="P983:P987">
    <cfRule type="expression" dxfId="3392" priority="1811">
      <formula>$H983="ETAPA"</formula>
    </cfRule>
    <cfRule type="expression" dxfId="3391" priority="1810">
      <formula>$H983="CÉLULA CONSTRUTIVA"</formula>
    </cfRule>
    <cfRule type="expression" dxfId="3390" priority="1809">
      <formula>$H983="SUBETAPA"</formula>
    </cfRule>
    <cfRule type="containsText" dxfId="3389" priority="1807" operator="containsText" text="Finalizado">
      <formula>NOT(ISERROR(SEARCH("Finalizado",P983)))</formula>
    </cfRule>
    <cfRule type="containsText" dxfId="3388" priority="1806" operator="containsText" text="Pendente">
      <formula>NOT(ISERROR(SEARCH("Pendente",P983)))</formula>
    </cfRule>
    <cfRule type="containsText" dxfId="3387" priority="1805" operator="containsText" text="Lançado">
      <formula>NOT(ISERROR(SEARCH("Lançado",P983)))</formula>
    </cfRule>
    <cfRule type="containsText" dxfId="3386" priority="1803" operator="containsText" text="Finalizado">
      <formula>NOT(ISERROR(SEARCH("Finalizado",P983)))</formula>
    </cfRule>
    <cfRule type="containsText" dxfId="3385" priority="1802" operator="containsText" text="Pendente">
      <formula>NOT(ISERROR(SEARCH("Pendente",P983)))</formula>
    </cfRule>
    <cfRule type="containsText" dxfId="3384" priority="1800" operator="containsText" text="Lançado">
      <formula>NOT(ISERROR(SEARCH("Lançado",P983)))</formula>
    </cfRule>
    <cfRule type="containsText" dxfId="3383" priority="1799" operator="containsText" text="em andamento">
      <formula>NOT(ISERROR(SEARCH("em andamento",P983)))</formula>
    </cfRule>
    <cfRule type="containsText" dxfId="3382" priority="1798" operator="containsText" text="Finalizado">
      <formula>NOT(ISERROR(SEARCH("Finalizado",P983)))</formula>
    </cfRule>
    <cfRule type="containsText" dxfId="3381" priority="1797" operator="containsText" text="Pendente">
      <formula>NOT(ISERROR(SEARCH("Pendente",P983)))</formula>
    </cfRule>
    <cfRule type="containsText" dxfId="3380" priority="1796" operator="containsText" text="N/A">
      <formula>NOT(ISERROR(SEARCH("N/A",P983)))</formula>
    </cfRule>
    <cfRule type="containsText" dxfId="3379" priority="1795" operator="containsText" text="Lançado">
      <formula>NOT(ISERROR(SEARCH("Lançado",P983)))</formula>
    </cfRule>
    <cfRule type="containsText" dxfId="3378" priority="1801" operator="containsText" text="N/A">
      <formula>NOT(ISERROR(SEARCH("N/A",P983)))</formula>
    </cfRule>
    <cfRule type="expression" dxfId="3377" priority="1813">
      <formula>$H983="CÉLULA CONSTRUTIVA"</formula>
    </cfRule>
    <cfRule type="expression" dxfId="3376" priority="1814">
      <formula>$H983="ETAPA"</formula>
    </cfRule>
    <cfRule type="containsText" dxfId="3375" priority="1804" operator="containsText" text="em andamento">
      <formula>NOT(ISERROR(SEARCH("em andamento",P983)))</formula>
    </cfRule>
    <cfRule type="containsText" dxfId="3374" priority="1808" operator="containsText" text="em andamento">
      <formula>NOT(ISERROR(SEARCH("em andamento",P983)))</formula>
    </cfRule>
    <cfRule type="expression" dxfId="3373" priority="1812">
      <formula>$H983="SUBETAPA"</formula>
    </cfRule>
  </conditionalFormatting>
  <conditionalFormatting sqref="P988:P989">
    <cfRule type="expression" dxfId="3372" priority="10883">
      <formula>$H988="CÉLULA CONSTRUTIVA"</formula>
    </cfRule>
    <cfRule type="expression" dxfId="3371" priority="10884">
      <formula>$H988="ETAPA"</formula>
    </cfRule>
    <cfRule type="containsText" dxfId="3370" priority="10885" operator="containsText" text="Lançado">
      <formula>NOT(ISERROR(SEARCH("Lançado",P988)))</formula>
    </cfRule>
    <cfRule type="containsText" dxfId="3369" priority="10886" operator="containsText" text="N/A">
      <formula>NOT(ISERROR(SEARCH("N/A",P988)))</formula>
    </cfRule>
    <cfRule type="containsText" dxfId="3368" priority="10887" operator="containsText" text="Pendente">
      <formula>NOT(ISERROR(SEARCH("Pendente",P988)))</formula>
    </cfRule>
    <cfRule type="containsText" dxfId="3367" priority="10888" operator="containsText" text="Finalizado">
      <formula>NOT(ISERROR(SEARCH("Finalizado",P988)))</formula>
    </cfRule>
    <cfRule type="containsText" dxfId="3366" priority="10889" operator="containsText" text="em andamento">
      <formula>NOT(ISERROR(SEARCH("em andamento",P988)))</formula>
    </cfRule>
    <cfRule type="containsText" dxfId="3365" priority="10873" operator="containsText" text="Pendente">
      <formula>NOT(ISERROR(SEARCH("Pendente",P988)))</formula>
    </cfRule>
    <cfRule type="containsText" dxfId="3364" priority="10874" operator="containsText" text="Finalizado">
      <formula>NOT(ISERROR(SEARCH("Finalizado",P988)))</formula>
    </cfRule>
    <cfRule type="containsText" dxfId="3363" priority="10875" operator="containsText" text="em andamento">
      <formula>NOT(ISERROR(SEARCH("em andamento",P988)))</formula>
    </cfRule>
    <cfRule type="expression" dxfId="3362" priority="10876">
      <formula>$H988="SUBETAPA"</formula>
    </cfRule>
    <cfRule type="expression" dxfId="3361" priority="10878">
      <formula>$H988="ETAPA"</formula>
    </cfRule>
    <cfRule type="expression" dxfId="3360" priority="10879">
      <formula>$H988="SUBETAPA"</formula>
    </cfRule>
    <cfRule type="expression" dxfId="3359" priority="10880">
      <formula>$H988="CÉLULA CONSTRUTIVA"</formula>
    </cfRule>
    <cfRule type="expression" dxfId="3358" priority="10877">
      <formula>$H988="CÉLULA CONSTRUTIVA"</formula>
    </cfRule>
    <cfRule type="expression" dxfId="3357" priority="10881">
      <formula>$H988="ETAPA"</formula>
    </cfRule>
    <cfRule type="expression" dxfId="3356" priority="10882">
      <formula>$H988="SUBETAPA"</formula>
    </cfRule>
    <cfRule type="containsText" dxfId="3355" priority="10848" operator="containsText" text="Lançado">
      <formula>NOT(ISERROR(SEARCH("Lançado",P988)))</formula>
    </cfRule>
  </conditionalFormatting>
  <conditionalFormatting sqref="P992">
    <cfRule type="containsText" dxfId="3354" priority="6325" operator="containsText" text="em andamento">
      <formula>NOT(ISERROR(SEARCH("em andamento",P992)))</formula>
    </cfRule>
    <cfRule type="containsText" dxfId="3353" priority="6323" operator="containsText" text="Pendente">
      <formula>NOT(ISERROR(SEARCH("Pendente",P992)))</formula>
    </cfRule>
    <cfRule type="containsText" dxfId="3352" priority="6321" operator="containsText" text="Lançado">
      <formula>NOT(ISERROR(SEARCH("Lançado",P992)))</formula>
    </cfRule>
    <cfRule type="containsText" dxfId="3351" priority="6322" operator="containsText" text="N/A">
      <formula>NOT(ISERROR(SEARCH("N/A",P992)))</formula>
    </cfRule>
    <cfRule type="containsText" dxfId="3350" priority="6324" operator="containsText" text="Finalizado">
      <formula>NOT(ISERROR(SEARCH("Finalizado",P992)))</formula>
    </cfRule>
  </conditionalFormatting>
  <conditionalFormatting sqref="P993">
    <cfRule type="expression" dxfId="3349" priority="1788">
      <formula>$H993="SUBETAPA"</formula>
    </cfRule>
    <cfRule type="containsText" dxfId="3348" priority="1787" operator="containsText" text="em andamento">
      <formula>NOT(ISERROR(SEARCH("em andamento",P993)))</formula>
    </cfRule>
    <cfRule type="containsText" dxfId="3347" priority="1786" operator="containsText" text="Finalizado">
      <formula>NOT(ISERROR(SEARCH("Finalizado",P993)))</formula>
    </cfRule>
    <cfRule type="containsText" dxfId="3346" priority="1785" operator="containsText" text="Pendente">
      <formula>NOT(ISERROR(SEARCH("Pendente",P993)))</formula>
    </cfRule>
    <cfRule type="containsText" dxfId="3345" priority="1783" operator="containsText" text="em andamento">
      <formula>NOT(ISERROR(SEARCH("em andamento",P993)))</formula>
    </cfRule>
    <cfRule type="containsText" dxfId="3344" priority="1784" operator="containsText" text="Lançado">
      <formula>NOT(ISERROR(SEARCH("Lançado",P993)))</formula>
    </cfRule>
    <cfRule type="containsText" dxfId="3343" priority="1782" operator="containsText" text="Finalizado">
      <formula>NOT(ISERROR(SEARCH("Finalizado",P993)))</formula>
    </cfRule>
    <cfRule type="containsText" dxfId="3342" priority="1781" operator="containsText" text="Pendente">
      <formula>NOT(ISERROR(SEARCH("Pendente",P993)))</formula>
    </cfRule>
    <cfRule type="containsText" dxfId="3341" priority="1780" operator="containsText" text="N/A">
      <formula>NOT(ISERROR(SEARCH("N/A",P993)))</formula>
    </cfRule>
    <cfRule type="containsText" dxfId="3340" priority="1779" operator="containsText" text="Lançado">
      <formula>NOT(ISERROR(SEARCH("Lançado",P993)))</formula>
    </cfRule>
    <cfRule type="containsText" dxfId="3339" priority="1778" operator="containsText" text="em andamento">
      <formula>NOT(ISERROR(SEARCH("em andamento",P993)))</formula>
    </cfRule>
    <cfRule type="containsText" dxfId="3338" priority="1777" operator="containsText" text="Finalizado">
      <formula>NOT(ISERROR(SEARCH("Finalizado",P993)))</formula>
    </cfRule>
    <cfRule type="containsText" dxfId="3337" priority="1776" operator="containsText" text="Pendente">
      <formula>NOT(ISERROR(SEARCH("Pendente",P993)))</formula>
    </cfRule>
    <cfRule type="containsText" dxfId="3336" priority="1794" operator="containsText" text="N/A">
      <formula>NOT(ISERROR(SEARCH("N/A",P993)))</formula>
    </cfRule>
    <cfRule type="expression" dxfId="3335" priority="1793">
      <formula>$H993="ETAPA"</formula>
    </cfRule>
    <cfRule type="expression" dxfId="3334" priority="1792">
      <formula>$H993="CÉLULA CONSTRUTIVA"</formula>
    </cfRule>
    <cfRule type="expression" dxfId="3333" priority="1791">
      <formula>$H993="SUBETAPA"</formula>
    </cfRule>
    <cfRule type="expression" dxfId="3332" priority="1790">
      <formula>$H993="ETAPA"</formula>
    </cfRule>
    <cfRule type="expression" dxfId="3331" priority="1789">
      <formula>$H993="CÉLULA CONSTRUTIVA"</formula>
    </cfRule>
    <cfRule type="containsText" dxfId="3330" priority="1775" operator="containsText" text="N/A">
      <formula>NOT(ISERROR(SEARCH("N/A",P993)))</formula>
    </cfRule>
    <cfRule type="containsText" dxfId="3329" priority="1774" operator="containsText" text="Lançado">
      <formula>NOT(ISERROR(SEARCH("Lançado",P993)))</formula>
    </cfRule>
  </conditionalFormatting>
  <conditionalFormatting sqref="P994 P999 P1002">
    <cfRule type="containsText" dxfId="3328" priority="10920" operator="containsText" text="em andamento">
      <formula>NOT(ISERROR(SEARCH("em andamento",P994)))</formula>
    </cfRule>
  </conditionalFormatting>
  <conditionalFormatting sqref="P994 P999">
    <cfRule type="containsText" dxfId="3327" priority="10912" operator="containsText" text="Lançado">
      <formula>NOT(ISERROR(SEARCH("Lançado",P994)))</formula>
    </cfRule>
    <cfRule type="containsText" dxfId="3326" priority="10913" operator="containsText" text="N/A">
      <formula>NOT(ISERROR(SEARCH("N/A",P994)))</formula>
    </cfRule>
    <cfRule type="containsText" dxfId="3325" priority="10914" operator="containsText" text="Pendente">
      <formula>NOT(ISERROR(SEARCH("Pendente",P994)))</formula>
    </cfRule>
  </conditionalFormatting>
  <conditionalFormatting sqref="P994">
    <cfRule type="containsText" dxfId="3324" priority="10910" operator="containsText" text="Finalizado">
      <formula>NOT(ISERROR(SEARCH("Finalizado",P994)))</formula>
    </cfRule>
    <cfRule type="containsText" dxfId="3323" priority="10911" operator="containsText" text="em andamento">
      <formula>NOT(ISERROR(SEARCH("em andamento",P994)))</formula>
    </cfRule>
  </conditionalFormatting>
  <conditionalFormatting sqref="P995:P996">
    <cfRule type="expression" dxfId="3322" priority="1771">
      <formula>$H995="CÉLULA CONSTRUTIVA"</formula>
    </cfRule>
    <cfRule type="containsText" dxfId="3321" priority="1757" operator="containsText" text="em andamento">
      <formula>NOT(ISERROR(SEARCH("em andamento",P995)))</formula>
    </cfRule>
    <cfRule type="containsText" dxfId="3320" priority="1756" operator="containsText" text="Finalizado">
      <formula>NOT(ISERROR(SEARCH("Finalizado",P995)))</formula>
    </cfRule>
    <cfRule type="containsText" dxfId="3319" priority="1755" operator="containsText" text="Pendente">
      <formula>NOT(ISERROR(SEARCH("Pendente",P995)))</formula>
    </cfRule>
    <cfRule type="containsText" dxfId="3318" priority="1754" operator="containsText" text="N/A">
      <formula>NOT(ISERROR(SEARCH("N/A",P995)))</formula>
    </cfRule>
    <cfRule type="containsText" dxfId="3317" priority="1753" operator="containsText" text="Lançado">
      <formula>NOT(ISERROR(SEARCH("Lançado",P995)))</formula>
    </cfRule>
    <cfRule type="containsText" dxfId="3316" priority="1773" operator="containsText" text="N/A">
      <formula>NOT(ISERROR(SEARCH("N/A",P995)))</formula>
    </cfRule>
    <cfRule type="expression" dxfId="3315" priority="1772">
      <formula>$H995="ETAPA"</formula>
    </cfRule>
    <cfRule type="expression" dxfId="3314" priority="1770">
      <formula>$H995="SUBETAPA"</formula>
    </cfRule>
    <cfRule type="expression" dxfId="3313" priority="1769">
      <formula>$H995="ETAPA"</formula>
    </cfRule>
    <cfRule type="expression" dxfId="3312" priority="1768">
      <formula>$H995="CÉLULA CONSTRUTIVA"</formula>
    </cfRule>
    <cfRule type="expression" dxfId="3311" priority="1767">
      <formula>$H995="SUBETAPA"</formula>
    </cfRule>
    <cfRule type="containsText" dxfId="3310" priority="1766" operator="containsText" text="em andamento">
      <formula>NOT(ISERROR(SEARCH("em andamento",P995)))</formula>
    </cfRule>
    <cfRule type="containsText" dxfId="3309" priority="1765" operator="containsText" text="Finalizado">
      <formula>NOT(ISERROR(SEARCH("Finalizado",P995)))</formula>
    </cfRule>
    <cfRule type="containsText" dxfId="3308" priority="1764" operator="containsText" text="Pendente">
      <formula>NOT(ISERROR(SEARCH("Pendente",P995)))</formula>
    </cfRule>
    <cfRule type="containsText" dxfId="3307" priority="1763" operator="containsText" text="Lançado">
      <formula>NOT(ISERROR(SEARCH("Lançado",P995)))</formula>
    </cfRule>
    <cfRule type="containsText" dxfId="3306" priority="1762" operator="containsText" text="em andamento">
      <formula>NOT(ISERROR(SEARCH("em andamento",P995)))</formula>
    </cfRule>
    <cfRule type="containsText" dxfId="3305" priority="1761" operator="containsText" text="Finalizado">
      <formula>NOT(ISERROR(SEARCH("Finalizado",P995)))</formula>
    </cfRule>
    <cfRule type="containsText" dxfId="3304" priority="1760" operator="containsText" text="Pendente">
      <formula>NOT(ISERROR(SEARCH("Pendente",P995)))</formula>
    </cfRule>
    <cfRule type="containsText" dxfId="3303" priority="1759" operator="containsText" text="N/A">
      <formula>NOT(ISERROR(SEARCH("N/A",P995)))</formula>
    </cfRule>
    <cfRule type="containsText" dxfId="3302" priority="1758" operator="containsText" text="Lançado">
      <formula>NOT(ISERROR(SEARCH("Lançado",P995)))</formula>
    </cfRule>
  </conditionalFormatting>
  <conditionalFormatting sqref="P997">
    <cfRule type="expression" dxfId="3301" priority="10857">
      <formula>$H997="ETAPA"</formula>
    </cfRule>
    <cfRule type="containsText" dxfId="3300" priority="10858" operator="containsText" text="Lançado">
      <formula>NOT(ISERROR(SEARCH("Lançado",P997)))</formula>
    </cfRule>
    <cfRule type="containsText" dxfId="3299" priority="10859" operator="containsText" text="N/A">
      <formula>NOT(ISERROR(SEARCH("N/A",P997)))</formula>
    </cfRule>
    <cfRule type="containsText" dxfId="3298" priority="10860" operator="containsText" text="Pendente">
      <formula>NOT(ISERROR(SEARCH("Pendente",P997)))</formula>
    </cfRule>
    <cfRule type="expression" dxfId="3297" priority="10855">
      <formula>$H997="SUBETAPA"</formula>
    </cfRule>
    <cfRule type="containsText" dxfId="3296" priority="10864" operator="containsText" text="N/A">
      <formula>NOT(ISERROR(SEARCH("N/A",P997)))</formula>
    </cfRule>
    <cfRule type="containsText" dxfId="3295" priority="10863" operator="containsText" text="Lançado">
      <formula>NOT(ISERROR(SEARCH("Lançado",P997)))</formula>
    </cfRule>
    <cfRule type="containsText" dxfId="3294" priority="10852" operator="containsText" text="Pendente">
      <formula>NOT(ISERROR(SEARCH("Pendente",P997)))</formula>
    </cfRule>
    <cfRule type="containsText" dxfId="3293" priority="10862" operator="containsText" text="em andamento">
      <formula>NOT(ISERROR(SEARCH("em andamento",P997)))</formula>
    </cfRule>
    <cfRule type="containsText" dxfId="3292" priority="10861" operator="containsText" text="Finalizado">
      <formula>NOT(ISERROR(SEARCH("Finalizado",P997)))</formula>
    </cfRule>
    <cfRule type="containsText" dxfId="3291" priority="10853" operator="containsText" text="Finalizado">
      <formula>NOT(ISERROR(SEARCH("Finalizado",P997)))</formula>
    </cfRule>
    <cfRule type="expression" dxfId="3290" priority="10856">
      <formula>$H997="CÉLULA CONSTRUTIVA"</formula>
    </cfRule>
    <cfRule type="containsText" dxfId="3289" priority="10854" operator="containsText" text="em andamento">
      <formula>NOT(ISERROR(SEARCH("em andamento",P997)))</formula>
    </cfRule>
  </conditionalFormatting>
  <conditionalFormatting sqref="P998">
    <cfRule type="containsText" dxfId="3288" priority="1734" operator="containsText" text="Pendente">
      <formula>NOT(ISERROR(SEARCH("Pendente",P998)))</formula>
    </cfRule>
    <cfRule type="containsText" dxfId="3287" priority="1733" operator="containsText" text="N/A">
      <formula>NOT(ISERROR(SEARCH("N/A",P998)))</formula>
    </cfRule>
    <cfRule type="containsText" dxfId="3286" priority="1732" operator="containsText" text="Lançado">
      <formula>NOT(ISERROR(SEARCH("Lançado",P998)))</formula>
    </cfRule>
    <cfRule type="containsText" dxfId="3285" priority="1737" operator="containsText" text="Lançado">
      <formula>NOT(ISERROR(SEARCH("Lançado",P998)))</formula>
    </cfRule>
    <cfRule type="containsText" dxfId="3284" priority="1752" operator="containsText" text="N/A">
      <formula>NOT(ISERROR(SEARCH("N/A",P998)))</formula>
    </cfRule>
    <cfRule type="expression" dxfId="3283" priority="1751">
      <formula>$H998="ETAPA"</formula>
    </cfRule>
    <cfRule type="expression" dxfId="3282" priority="1750">
      <formula>$H998="CÉLULA CONSTRUTIVA"</formula>
    </cfRule>
    <cfRule type="expression" dxfId="3281" priority="1749">
      <formula>$H998="SUBETAPA"</formula>
    </cfRule>
    <cfRule type="expression" dxfId="3280" priority="1748">
      <formula>$H998="ETAPA"</formula>
    </cfRule>
    <cfRule type="expression" dxfId="3279" priority="1747">
      <formula>$H998="CÉLULA CONSTRUTIVA"</formula>
    </cfRule>
    <cfRule type="expression" dxfId="3278" priority="1746">
      <formula>$H998="SUBETAPA"</formula>
    </cfRule>
    <cfRule type="containsText" dxfId="3277" priority="1745" operator="containsText" text="em andamento">
      <formula>NOT(ISERROR(SEARCH("em andamento",P998)))</formula>
    </cfRule>
    <cfRule type="containsText" dxfId="3276" priority="1744" operator="containsText" text="Finalizado">
      <formula>NOT(ISERROR(SEARCH("Finalizado",P998)))</formula>
    </cfRule>
    <cfRule type="containsText" dxfId="3275" priority="1743" operator="containsText" text="Pendente">
      <formula>NOT(ISERROR(SEARCH("Pendente",P998)))</formula>
    </cfRule>
    <cfRule type="containsText" dxfId="3274" priority="1742" operator="containsText" text="Lançado">
      <formula>NOT(ISERROR(SEARCH("Lançado",P998)))</formula>
    </cfRule>
    <cfRule type="containsText" dxfId="3273" priority="1741" operator="containsText" text="em andamento">
      <formula>NOT(ISERROR(SEARCH("em andamento",P998)))</formula>
    </cfRule>
    <cfRule type="containsText" dxfId="3272" priority="1740" operator="containsText" text="Finalizado">
      <formula>NOT(ISERROR(SEARCH("Finalizado",P998)))</formula>
    </cfRule>
    <cfRule type="containsText" dxfId="3271" priority="1739" operator="containsText" text="Pendente">
      <formula>NOT(ISERROR(SEARCH("Pendente",P998)))</formula>
    </cfRule>
    <cfRule type="containsText" dxfId="3270" priority="1738" operator="containsText" text="N/A">
      <formula>NOT(ISERROR(SEARCH("N/A",P998)))</formula>
    </cfRule>
    <cfRule type="containsText" dxfId="3269" priority="1736" operator="containsText" text="em andamento">
      <formula>NOT(ISERROR(SEARCH("em andamento",P998)))</formula>
    </cfRule>
    <cfRule type="containsText" dxfId="3268" priority="1735" operator="containsText" text="Finalizado">
      <formula>NOT(ISERROR(SEARCH("Finalizado",P998)))</formula>
    </cfRule>
  </conditionalFormatting>
  <conditionalFormatting sqref="P999">
    <cfRule type="expression" dxfId="3267" priority="10904">
      <formula>$H999="CÉLULA CONSTRUTIVA"</formula>
    </cfRule>
    <cfRule type="expression" dxfId="3266" priority="10907">
      <formula>$H999="CÉLULA CONSTRUTIVA"</formula>
    </cfRule>
    <cfRule type="expression" dxfId="3265" priority="10906">
      <formula>$H999="SUBETAPA"</formula>
    </cfRule>
    <cfRule type="expression" dxfId="3264" priority="10905">
      <formula>$H999="ETAPA"</formula>
    </cfRule>
    <cfRule type="expression" dxfId="3263" priority="10903">
      <formula>$H999="SUBETAPA"</formula>
    </cfRule>
    <cfRule type="containsText" dxfId="3262" priority="10909" operator="containsText" text="em andamento">
      <formula>NOT(ISERROR(SEARCH("em andamento",P999)))</formula>
    </cfRule>
    <cfRule type="expression" dxfId="3261" priority="10908">
      <formula>$H999="ETAPA"</formula>
    </cfRule>
  </conditionalFormatting>
  <conditionalFormatting sqref="P1000:P1001">
    <cfRule type="containsText" dxfId="3260" priority="1724" operator="containsText" text="em andamento">
      <formula>NOT(ISERROR(SEARCH("em andamento",P1000)))</formula>
    </cfRule>
    <cfRule type="containsText" dxfId="3259" priority="1723" operator="containsText" text="Finalizado">
      <formula>NOT(ISERROR(SEARCH("Finalizado",P1000)))</formula>
    </cfRule>
    <cfRule type="containsText" dxfId="3258" priority="1722" operator="containsText" text="Pendente">
      <formula>NOT(ISERROR(SEARCH("Pendente",P1000)))</formula>
    </cfRule>
    <cfRule type="containsText" dxfId="3257" priority="1721" operator="containsText" text="Lançado">
      <formula>NOT(ISERROR(SEARCH("Lançado",P1000)))</formula>
    </cfRule>
    <cfRule type="expression" dxfId="3256" priority="1726">
      <formula>$H1000="CÉLULA CONSTRUTIVA"</formula>
    </cfRule>
    <cfRule type="containsText" dxfId="3255" priority="1720" operator="containsText" text="em andamento">
      <formula>NOT(ISERROR(SEARCH("em andamento",P1000)))</formula>
    </cfRule>
    <cfRule type="containsText" dxfId="3254" priority="1719" operator="containsText" text="Finalizado">
      <formula>NOT(ISERROR(SEARCH("Finalizado",P1000)))</formula>
    </cfRule>
    <cfRule type="containsText" dxfId="3253" priority="1717" operator="containsText" text="N/A">
      <formula>NOT(ISERROR(SEARCH("N/A",P1000)))</formula>
    </cfRule>
    <cfRule type="containsText" dxfId="3252" priority="1715" operator="containsText" text="em andamento">
      <formula>NOT(ISERROR(SEARCH("em andamento",P1000)))</formula>
    </cfRule>
    <cfRule type="expression" dxfId="3251" priority="1727">
      <formula>$H1000="ETAPA"</formula>
    </cfRule>
    <cfRule type="containsText" dxfId="3250" priority="1714" operator="containsText" text="Finalizado">
      <formula>NOT(ISERROR(SEARCH("Finalizado",P1000)))</formula>
    </cfRule>
    <cfRule type="containsText" dxfId="3249" priority="1713" operator="containsText" text="Pendente">
      <formula>NOT(ISERROR(SEARCH("Pendente",P1000)))</formula>
    </cfRule>
    <cfRule type="containsText" dxfId="3248" priority="1712" operator="containsText" text="N/A">
      <formula>NOT(ISERROR(SEARCH("N/A",P1000)))</formula>
    </cfRule>
    <cfRule type="containsText" dxfId="3247" priority="1711" operator="containsText" text="Lançado">
      <formula>NOT(ISERROR(SEARCH("Lançado",P1000)))</formula>
    </cfRule>
    <cfRule type="containsText" dxfId="3246" priority="1716" operator="containsText" text="Lançado">
      <formula>NOT(ISERROR(SEARCH("Lançado",P1000)))</formula>
    </cfRule>
    <cfRule type="containsText" dxfId="3245" priority="1731" operator="containsText" text="N/A">
      <formula>NOT(ISERROR(SEARCH("N/A",P1000)))</formula>
    </cfRule>
    <cfRule type="expression" dxfId="3244" priority="1730">
      <formula>$H1000="ETAPA"</formula>
    </cfRule>
    <cfRule type="expression" dxfId="3243" priority="1729">
      <formula>$H1000="CÉLULA CONSTRUTIVA"</formula>
    </cfRule>
    <cfRule type="expression" dxfId="3242" priority="1728">
      <formula>$H1000="SUBETAPA"</formula>
    </cfRule>
    <cfRule type="containsText" dxfId="3241" priority="1718" operator="containsText" text="Pendente">
      <formula>NOT(ISERROR(SEARCH("Pendente",P1000)))</formula>
    </cfRule>
    <cfRule type="expression" dxfId="3240" priority="1725">
      <formula>$H1000="SUBETAPA"</formula>
    </cfRule>
  </conditionalFormatting>
  <conditionalFormatting sqref="P1002 P994 P999">
    <cfRule type="containsText" dxfId="3239" priority="10919" operator="containsText" text="Finalizado">
      <formula>NOT(ISERROR(SEARCH("Finalizado",P994)))</formula>
    </cfRule>
  </conditionalFormatting>
  <conditionalFormatting sqref="P1002">
    <cfRule type="containsText" dxfId="3238" priority="10918" operator="containsText" text="Pendente">
      <formula>NOT(ISERROR(SEARCH("Pendente",P1002)))</formula>
    </cfRule>
    <cfRule type="containsText" dxfId="3237" priority="10917" operator="containsText" text="N/A">
      <formula>NOT(ISERROR(SEARCH("N/A",P1002)))</formula>
    </cfRule>
    <cfRule type="containsText" dxfId="3236" priority="10916" operator="containsText" text="Lançado">
      <formula>NOT(ISERROR(SEARCH("Lançado",P1002)))</formula>
    </cfRule>
    <cfRule type="containsText" dxfId="3235" priority="10902" operator="containsText" text="em andamento">
      <formula>NOT(ISERROR(SEARCH("em andamento",P1002)))</formula>
    </cfRule>
    <cfRule type="containsText" dxfId="3234" priority="10901" operator="containsText" text="Finalizado">
      <formula>NOT(ISERROR(SEARCH("Finalizado",P1002)))</formula>
    </cfRule>
    <cfRule type="containsText" dxfId="3233" priority="10900" operator="containsText" text="Pendente">
      <formula>NOT(ISERROR(SEARCH("Pendente",P1002)))</formula>
    </cfRule>
    <cfRule type="containsText" dxfId="3232" priority="10899" operator="containsText" text="N/A">
      <formula>NOT(ISERROR(SEARCH("N/A",P1002)))</formula>
    </cfRule>
    <cfRule type="containsText" dxfId="3231" priority="10897" operator="containsText" text="em andamento">
      <formula>NOT(ISERROR(SEARCH("em andamento",P1002)))</formula>
    </cfRule>
    <cfRule type="containsText" dxfId="3230" priority="10896" operator="containsText" text="Finalizado">
      <formula>NOT(ISERROR(SEARCH("Finalizado",P1002)))</formula>
    </cfRule>
    <cfRule type="containsText" dxfId="3229" priority="10895" operator="containsText" text="Pendente">
      <formula>NOT(ISERROR(SEARCH("Pendente",P1002)))</formula>
    </cfRule>
    <cfRule type="containsText" dxfId="3228" priority="10894" operator="containsText" text="N/A">
      <formula>NOT(ISERROR(SEARCH("N/A",P1002)))</formula>
    </cfRule>
    <cfRule type="containsText" dxfId="3227" priority="10898" operator="containsText" text="Lançado">
      <formula>NOT(ISERROR(SEARCH("Lançado",P1002)))</formula>
    </cfRule>
    <cfRule type="containsText" dxfId="3226" priority="10893" operator="containsText" text="Lançado">
      <formula>NOT(ISERROR(SEARCH("Lançado",P1002)))</formula>
    </cfRule>
  </conditionalFormatting>
  <conditionalFormatting sqref="P1003:P1007">
    <cfRule type="containsText" dxfId="3225" priority="1695" operator="containsText" text="Lançado">
      <formula>NOT(ISERROR(SEARCH("Lançado",P1003)))</formula>
    </cfRule>
    <cfRule type="containsText" dxfId="3224" priority="1690" operator="containsText" text="Lançado">
      <formula>NOT(ISERROR(SEARCH("Lançado",P1003)))</formula>
    </cfRule>
    <cfRule type="containsText" dxfId="3223" priority="1691" operator="containsText" text="N/A">
      <formula>NOT(ISERROR(SEARCH("N/A",P1003)))</formula>
    </cfRule>
    <cfRule type="containsText" dxfId="3222" priority="1692" operator="containsText" text="Pendente">
      <formula>NOT(ISERROR(SEARCH("Pendente",P1003)))</formula>
    </cfRule>
    <cfRule type="containsText" dxfId="3221" priority="1693" operator="containsText" text="Finalizado">
      <formula>NOT(ISERROR(SEARCH("Finalizado",P1003)))</formula>
    </cfRule>
    <cfRule type="containsText" dxfId="3220" priority="1701" operator="containsText" text="Pendente">
      <formula>NOT(ISERROR(SEARCH("Pendente",P1003)))</formula>
    </cfRule>
    <cfRule type="containsText" dxfId="3219" priority="1700" operator="containsText" text="Lançado">
      <formula>NOT(ISERROR(SEARCH("Lançado",P1003)))</formula>
    </cfRule>
    <cfRule type="containsText" dxfId="3218" priority="1699" operator="containsText" text="em andamento">
      <formula>NOT(ISERROR(SEARCH("em andamento",P1003)))</formula>
    </cfRule>
    <cfRule type="containsText" dxfId="3217" priority="1698" operator="containsText" text="Finalizado">
      <formula>NOT(ISERROR(SEARCH("Finalizado",P1003)))</formula>
    </cfRule>
    <cfRule type="containsText" dxfId="3216" priority="1697" operator="containsText" text="Pendente">
      <formula>NOT(ISERROR(SEARCH("Pendente",P1003)))</formula>
    </cfRule>
    <cfRule type="containsText" dxfId="3215" priority="1696" operator="containsText" text="N/A">
      <formula>NOT(ISERROR(SEARCH("N/A",P1003)))</formula>
    </cfRule>
    <cfRule type="expression" dxfId="3214" priority="1708">
      <formula>$H1003="CÉLULA CONSTRUTIVA"</formula>
    </cfRule>
    <cfRule type="containsText" dxfId="3213" priority="1710" operator="containsText" text="N/A">
      <formula>NOT(ISERROR(SEARCH("N/A",P1003)))</formula>
    </cfRule>
    <cfRule type="expression" dxfId="3212" priority="1709">
      <formula>$H1003="ETAPA"</formula>
    </cfRule>
    <cfRule type="expression" dxfId="3211" priority="1707">
      <formula>$H1003="SUBETAPA"</formula>
    </cfRule>
    <cfRule type="expression" dxfId="3210" priority="1706">
      <formula>$H1003="ETAPA"</formula>
    </cfRule>
    <cfRule type="expression" dxfId="3209" priority="1705">
      <formula>$H1003="CÉLULA CONSTRUTIVA"</formula>
    </cfRule>
    <cfRule type="containsText" dxfId="3208" priority="1694" operator="containsText" text="em andamento">
      <formula>NOT(ISERROR(SEARCH("em andamento",P1003)))</formula>
    </cfRule>
    <cfRule type="expression" dxfId="3207" priority="1704">
      <formula>$H1003="SUBETAPA"</formula>
    </cfRule>
    <cfRule type="containsText" dxfId="3206" priority="1703" operator="containsText" text="em andamento">
      <formula>NOT(ISERROR(SEARCH("em andamento",P1003)))</formula>
    </cfRule>
    <cfRule type="containsText" dxfId="3205" priority="1702" operator="containsText" text="Finalizado">
      <formula>NOT(ISERROR(SEARCH("Finalizado",P1003)))</formula>
    </cfRule>
  </conditionalFormatting>
  <conditionalFormatting sqref="P1008:P1009">
    <cfRule type="containsText" dxfId="3204" priority="10439" operator="containsText" text="Finalizado">
      <formula>NOT(ISERROR(SEARCH("Finalizado",P1008)))</formula>
    </cfRule>
    <cfRule type="expression" dxfId="3203" priority="10448">
      <formula>$H1008="CÉLULA CONSTRUTIVA"</formula>
    </cfRule>
    <cfRule type="containsText" dxfId="3202" priority="10440" operator="containsText" text="em andamento">
      <formula>NOT(ISERROR(SEARCH("em andamento",P1008)))</formula>
    </cfRule>
    <cfRule type="expression" dxfId="3201" priority="10441">
      <formula>$H1008="SUBETAPA"</formula>
    </cfRule>
    <cfRule type="expression" dxfId="3200" priority="10442">
      <formula>$H1008="CÉLULA CONSTRUTIVA"</formula>
    </cfRule>
    <cfRule type="expression" dxfId="3199" priority="10443">
      <formula>$H1008="ETAPA"</formula>
    </cfRule>
    <cfRule type="containsText" dxfId="3198" priority="10452" operator="containsText" text="Pendente">
      <formula>NOT(ISERROR(SEARCH("Pendente",P1008)))</formula>
    </cfRule>
    <cfRule type="containsText" dxfId="3197" priority="10454" operator="containsText" text="em andamento">
      <formula>NOT(ISERROR(SEARCH("em andamento",P1008)))</formula>
    </cfRule>
    <cfRule type="containsText" dxfId="3196" priority="10453" operator="containsText" text="Finalizado">
      <formula>NOT(ISERROR(SEARCH("Finalizado",P1008)))</formula>
    </cfRule>
    <cfRule type="expression" dxfId="3195" priority="10445">
      <formula>$H1008="CÉLULA CONSTRUTIVA"</formula>
    </cfRule>
    <cfRule type="expression" dxfId="3194" priority="10446">
      <formula>$H1008="ETAPA"</formula>
    </cfRule>
    <cfRule type="expression" dxfId="3193" priority="10449">
      <formula>$H1008="ETAPA"</formula>
    </cfRule>
    <cfRule type="expression" dxfId="3192" priority="10447">
      <formula>$H1008="SUBETAPA"</formula>
    </cfRule>
    <cfRule type="containsText" dxfId="3191" priority="10450" operator="containsText" text="Lançado">
      <formula>NOT(ISERROR(SEARCH("Lançado",P1008)))</formula>
    </cfRule>
    <cfRule type="containsText" dxfId="3190" priority="10506" operator="containsText" text="N/A">
      <formula>NOT(ISERROR(SEARCH("N/A",P1008)))</formula>
    </cfRule>
    <cfRule type="containsText" dxfId="3189" priority="10413" operator="containsText" text="Lançado">
      <formula>NOT(ISERROR(SEARCH("Lançado",P1008)))</formula>
    </cfRule>
    <cfRule type="expression" dxfId="3188" priority="10444">
      <formula>$H1008="SUBETAPA"</formula>
    </cfRule>
    <cfRule type="containsText" dxfId="3187" priority="10451" operator="containsText" text="N/A">
      <formula>NOT(ISERROR(SEARCH("N/A",P1008)))</formula>
    </cfRule>
    <cfRule type="containsText" dxfId="3186" priority="10438" operator="containsText" text="Pendente">
      <formula>NOT(ISERROR(SEARCH("Pendente",P1008)))</formula>
    </cfRule>
  </conditionalFormatting>
  <conditionalFormatting sqref="P1010:P1011">
    <cfRule type="containsText" dxfId="3185" priority="1674" operator="containsText" text="Lançado">
      <formula>NOT(ISERROR(SEARCH("Lançado",P1010)))</formula>
    </cfRule>
    <cfRule type="containsText" dxfId="3184" priority="1673" operator="containsText" text="em andamento">
      <formula>NOT(ISERROR(SEARCH("em andamento",P1010)))</formula>
    </cfRule>
    <cfRule type="containsText" dxfId="3183" priority="1672" operator="containsText" text="Finalizado">
      <formula>NOT(ISERROR(SEARCH("Finalizado",P1010)))</formula>
    </cfRule>
    <cfRule type="containsText" dxfId="3182" priority="1671" operator="containsText" text="Pendente">
      <formula>NOT(ISERROR(SEARCH("Pendente",P1010)))</formula>
    </cfRule>
    <cfRule type="containsText" dxfId="3181" priority="1670" operator="containsText" text="N/A">
      <formula>NOT(ISERROR(SEARCH("N/A",P1010)))</formula>
    </cfRule>
    <cfRule type="containsText" dxfId="3180" priority="1669" operator="containsText" text="Lançado">
      <formula>NOT(ISERROR(SEARCH("Lançado",P1010)))</formula>
    </cfRule>
    <cfRule type="containsText" dxfId="3179" priority="1675" operator="containsText" text="N/A">
      <formula>NOT(ISERROR(SEARCH("N/A",P1010)))</formula>
    </cfRule>
    <cfRule type="containsText" dxfId="3178" priority="1689" operator="containsText" text="N/A">
      <formula>NOT(ISERROR(SEARCH("N/A",P1010)))</formula>
    </cfRule>
    <cfRule type="expression" dxfId="3177" priority="1688">
      <formula>$H1010="ETAPA"</formula>
    </cfRule>
    <cfRule type="expression" dxfId="3176" priority="1687">
      <formula>$H1010="CÉLULA CONSTRUTIVA"</formula>
    </cfRule>
    <cfRule type="expression" dxfId="3175" priority="1686">
      <formula>$H1010="SUBETAPA"</formula>
    </cfRule>
    <cfRule type="expression" dxfId="3174" priority="1685">
      <formula>$H1010="ETAPA"</formula>
    </cfRule>
    <cfRule type="expression" dxfId="3173" priority="1684">
      <formula>$H1010="CÉLULA CONSTRUTIVA"</formula>
    </cfRule>
    <cfRule type="expression" dxfId="3172" priority="1683">
      <formula>$H1010="SUBETAPA"</formula>
    </cfRule>
    <cfRule type="containsText" dxfId="3171" priority="1682" operator="containsText" text="em andamento">
      <formula>NOT(ISERROR(SEARCH("em andamento",P1010)))</formula>
    </cfRule>
    <cfRule type="containsText" dxfId="3170" priority="1681" operator="containsText" text="Finalizado">
      <formula>NOT(ISERROR(SEARCH("Finalizado",P1010)))</formula>
    </cfRule>
    <cfRule type="containsText" dxfId="3169" priority="1680" operator="containsText" text="Pendente">
      <formula>NOT(ISERROR(SEARCH("Pendente",P1010)))</formula>
    </cfRule>
    <cfRule type="containsText" dxfId="3168" priority="1679" operator="containsText" text="Lançado">
      <formula>NOT(ISERROR(SEARCH("Lançado",P1010)))</formula>
    </cfRule>
    <cfRule type="containsText" dxfId="3167" priority="1678" operator="containsText" text="em andamento">
      <formula>NOT(ISERROR(SEARCH("em andamento",P1010)))</formula>
    </cfRule>
    <cfRule type="containsText" dxfId="3166" priority="1677" operator="containsText" text="Finalizado">
      <formula>NOT(ISERROR(SEARCH("Finalizado",P1010)))</formula>
    </cfRule>
    <cfRule type="containsText" dxfId="3165" priority="1676" operator="containsText" text="Pendente">
      <formula>NOT(ISERROR(SEARCH("Pendente",P1010)))</formula>
    </cfRule>
  </conditionalFormatting>
  <conditionalFormatting sqref="P1012">
    <cfRule type="containsText" dxfId="3164" priority="6280" operator="containsText" text="N/A">
      <formula>NOT(ISERROR(SEARCH("N/A",P1012)))</formula>
    </cfRule>
    <cfRule type="containsText" dxfId="3163" priority="6279" operator="containsText" text="Lançado">
      <formula>NOT(ISERROR(SEARCH("Lançado",P1012)))</formula>
    </cfRule>
    <cfRule type="containsText" dxfId="3162" priority="6281" operator="containsText" text="Pendente">
      <formula>NOT(ISERROR(SEARCH("Pendente",P1012)))</formula>
    </cfRule>
    <cfRule type="containsText" dxfId="3161" priority="6282" operator="containsText" text="Finalizado">
      <formula>NOT(ISERROR(SEARCH("Finalizado",P1012)))</formula>
    </cfRule>
    <cfRule type="containsText" dxfId="3160" priority="6283" operator="containsText" text="em andamento">
      <formula>NOT(ISERROR(SEARCH("em andamento",P1012)))</formula>
    </cfRule>
  </conditionalFormatting>
  <conditionalFormatting sqref="P1013">
    <cfRule type="expression" dxfId="3159" priority="1662">
      <formula>$H1013="SUBETAPA"</formula>
    </cfRule>
    <cfRule type="containsText" dxfId="3158" priority="1649" operator="containsText" text="N/A">
      <formula>NOT(ISERROR(SEARCH("N/A",P1013)))</formula>
    </cfRule>
    <cfRule type="expression" dxfId="3157" priority="1664">
      <formula>$H1013="ETAPA"</formula>
    </cfRule>
    <cfRule type="expression" dxfId="3156" priority="1665">
      <formula>$H1013="SUBETAPA"</formula>
    </cfRule>
    <cfRule type="expression" dxfId="3155" priority="1666">
      <formula>$H1013="CÉLULA CONSTRUTIVA"</formula>
    </cfRule>
    <cfRule type="containsText" dxfId="3154" priority="1668" operator="containsText" text="N/A">
      <formula>NOT(ISERROR(SEARCH("N/A",P1013)))</formula>
    </cfRule>
    <cfRule type="containsText" dxfId="3153" priority="1651" operator="containsText" text="Finalizado">
      <formula>NOT(ISERROR(SEARCH("Finalizado",P1013)))</formula>
    </cfRule>
    <cfRule type="containsText" dxfId="3152" priority="1648" operator="containsText" text="Lançado">
      <formula>NOT(ISERROR(SEARCH("Lançado",P1013)))</formula>
    </cfRule>
    <cfRule type="expression" dxfId="3151" priority="1667">
      <formula>$H1013="ETAPA"</formula>
    </cfRule>
    <cfRule type="containsText" dxfId="3150" priority="1650" operator="containsText" text="Pendente">
      <formula>NOT(ISERROR(SEARCH("Pendente",P1013)))</formula>
    </cfRule>
    <cfRule type="expression" dxfId="3149" priority="1663">
      <formula>$H1013="CÉLULA CONSTRUTIVA"</formula>
    </cfRule>
    <cfRule type="containsText" dxfId="3148" priority="1661" operator="containsText" text="em andamento">
      <formula>NOT(ISERROR(SEARCH("em andamento",P1013)))</formula>
    </cfRule>
    <cfRule type="containsText" dxfId="3147" priority="1660" operator="containsText" text="Finalizado">
      <formula>NOT(ISERROR(SEARCH("Finalizado",P1013)))</formula>
    </cfRule>
    <cfRule type="containsText" dxfId="3146" priority="1659" operator="containsText" text="Pendente">
      <formula>NOT(ISERROR(SEARCH("Pendente",P1013)))</formula>
    </cfRule>
    <cfRule type="containsText" dxfId="3145" priority="1658" operator="containsText" text="Lançado">
      <formula>NOT(ISERROR(SEARCH("Lançado",P1013)))</formula>
    </cfRule>
    <cfRule type="containsText" dxfId="3144" priority="1657" operator="containsText" text="em andamento">
      <formula>NOT(ISERROR(SEARCH("em andamento",P1013)))</formula>
    </cfRule>
    <cfRule type="containsText" dxfId="3143" priority="1656" operator="containsText" text="Finalizado">
      <formula>NOT(ISERROR(SEARCH("Finalizado",P1013)))</formula>
    </cfRule>
    <cfRule type="containsText" dxfId="3142" priority="1655" operator="containsText" text="Pendente">
      <formula>NOT(ISERROR(SEARCH("Pendente",P1013)))</formula>
    </cfRule>
    <cfRule type="containsText" dxfId="3141" priority="1654" operator="containsText" text="N/A">
      <formula>NOT(ISERROR(SEARCH("N/A",P1013)))</formula>
    </cfRule>
    <cfRule type="containsText" dxfId="3140" priority="1653" operator="containsText" text="Lançado">
      <formula>NOT(ISERROR(SEARCH("Lançado",P1013)))</formula>
    </cfRule>
    <cfRule type="containsText" dxfId="3139" priority="1652" operator="containsText" text="em andamento">
      <formula>NOT(ISERROR(SEARCH("em andamento",P1013)))</formula>
    </cfRule>
  </conditionalFormatting>
  <conditionalFormatting sqref="P1014 P1019 P1022">
    <cfRule type="containsText" dxfId="3138" priority="10485" operator="containsText" text="em andamento">
      <formula>NOT(ISERROR(SEARCH("em andamento",P1014)))</formula>
    </cfRule>
  </conditionalFormatting>
  <conditionalFormatting sqref="P1014 P1019">
    <cfRule type="containsText" dxfId="3137" priority="10477" operator="containsText" text="Lançado">
      <formula>NOT(ISERROR(SEARCH("Lançado",P1014)))</formula>
    </cfRule>
    <cfRule type="containsText" dxfId="3136" priority="10478" operator="containsText" text="N/A">
      <formula>NOT(ISERROR(SEARCH("N/A",P1014)))</formula>
    </cfRule>
    <cfRule type="containsText" dxfId="3135" priority="10479" operator="containsText" text="Pendente">
      <formula>NOT(ISERROR(SEARCH("Pendente",P1014)))</formula>
    </cfRule>
  </conditionalFormatting>
  <conditionalFormatting sqref="P1014">
    <cfRule type="containsText" dxfId="3134" priority="10475" operator="containsText" text="Finalizado">
      <formula>NOT(ISERROR(SEARCH("Finalizado",P1014)))</formula>
    </cfRule>
    <cfRule type="containsText" dxfId="3133" priority="10476" operator="containsText" text="em andamento">
      <formula>NOT(ISERROR(SEARCH("em andamento",P1014)))</formula>
    </cfRule>
  </conditionalFormatting>
  <conditionalFormatting sqref="P1015:P1016">
    <cfRule type="expression" dxfId="3132" priority="1646">
      <formula>$H1015="ETAPA"</formula>
    </cfRule>
    <cfRule type="containsText" dxfId="3131" priority="1640" operator="containsText" text="em andamento">
      <formula>NOT(ISERROR(SEARCH("em andamento",P1015)))</formula>
    </cfRule>
    <cfRule type="containsText" dxfId="3130" priority="1647" operator="containsText" text="N/A">
      <formula>NOT(ISERROR(SEARCH("N/A",P1015)))</formula>
    </cfRule>
    <cfRule type="containsText" dxfId="3129" priority="1635" operator="containsText" text="Finalizado">
      <formula>NOT(ISERROR(SEARCH("Finalizado",P1015)))</formula>
    </cfRule>
    <cfRule type="containsText" dxfId="3128" priority="1636" operator="containsText" text="em andamento">
      <formula>NOT(ISERROR(SEARCH("em andamento",P1015)))</formula>
    </cfRule>
    <cfRule type="containsText" dxfId="3127" priority="1637" operator="containsText" text="Lançado">
      <formula>NOT(ISERROR(SEARCH("Lançado",P1015)))</formula>
    </cfRule>
    <cfRule type="containsText" dxfId="3126" priority="1638" operator="containsText" text="Pendente">
      <formula>NOT(ISERROR(SEARCH("Pendente",P1015)))</formula>
    </cfRule>
    <cfRule type="containsText" dxfId="3125" priority="1639" operator="containsText" text="Finalizado">
      <formula>NOT(ISERROR(SEARCH("Finalizado",P1015)))</formula>
    </cfRule>
    <cfRule type="expression" dxfId="3124" priority="1641">
      <formula>$H1015="SUBETAPA"</formula>
    </cfRule>
    <cfRule type="expression" dxfId="3123" priority="1642">
      <formula>$H1015="CÉLULA CONSTRUTIVA"</formula>
    </cfRule>
    <cfRule type="expression" dxfId="3122" priority="1643">
      <formula>$H1015="ETAPA"</formula>
    </cfRule>
    <cfRule type="expression" dxfId="3121" priority="1644">
      <formula>$H1015="SUBETAPA"</formula>
    </cfRule>
    <cfRule type="expression" dxfId="3120" priority="1645">
      <formula>$H1015="CÉLULA CONSTRUTIVA"</formula>
    </cfRule>
    <cfRule type="containsText" dxfId="3119" priority="1634" operator="containsText" text="Pendente">
      <formula>NOT(ISERROR(SEARCH("Pendente",P1015)))</formula>
    </cfRule>
    <cfRule type="containsText" dxfId="3118" priority="1633" operator="containsText" text="N/A">
      <formula>NOT(ISERROR(SEARCH("N/A",P1015)))</formula>
    </cfRule>
    <cfRule type="containsText" dxfId="3117" priority="1632" operator="containsText" text="Lançado">
      <formula>NOT(ISERROR(SEARCH("Lançado",P1015)))</formula>
    </cfRule>
    <cfRule type="containsText" dxfId="3116" priority="1631" operator="containsText" text="em andamento">
      <formula>NOT(ISERROR(SEARCH("em andamento",P1015)))</formula>
    </cfRule>
    <cfRule type="containsText" dxfId="3115" priority="1630" operator="containsText" text="Finalizado">
      <formula>NOT(ISERROR(SEARCH("Finalizado",P1015)))</formula>
    </cfRule>
    <cfRule type="containsText" dxfId="3114" priority="1629" operator="containsText" text="Pendente">
      <formula>NOT(ISERROR(SEARCH("Pendente",P1015)))</formula>
    </cfRule>
    <cfRule type="containsText" dxfId="3113" priority="1628" operator="containsText" text="N/A">
      <formula>NOT(ISERROR(SEARCH("N/A",P1015)))</formula>
    </cfRule>
    <cfRule type="containsText" dxfId="3112" priority="1627" operator="containsText" text="Lançado">
      <formula>NOT(ISERROR(SEARCH("Lançado",P1015)))</formula>
    </cfRule>
  </conditionalFormatting>
  <conditionalFormatting sqref="P1017">
    <cfRule type="containsText" dxfId="3111" priority="10425" operator="containsText" text="Pendente">
      <formula>NOT(ISERROR(SEARCH("Pendente",P1017)))</formula>
    </cfRule>
    <cfRule type="expression" dxfId="3110" priority="10422">
      <formula>$H1017="ETAPA"</formula>
    </cfRule>
    <cfRule type="expression" dxfId="3109" priority="10421">
      <formula>$H1017="CÉLULA CONSTRUTIVA"</formula>
    </cfRule>
    <cfRule type="expression" dxfId="3108" priority="10420">
      <formula>$H1017="SUBETAPA"</formula>
    </cfRule>
    <cfRule type="containsText" dxfId="3107" priority="10417" operator="containsText" text="Pendente">
      <formula>NOT(ISERROR(SEARCH("Pendente",P1017)))</formula>
    </cfRule>
    <cfRule type="containsText" dxfId="3106" priority="10419" operator="containsText" text="em andamento">
      <formula>NOT(ISERROR(SEARCH("em andamento",P1017)))</formula>
    </cfRule>
    <cfRule type="containsText" dxfId="3105" priority="10418" operator="containsText" text="Finalizado">
      <formula>NOT(ISERROR(SEARCH("Finalizado",P1017)))</formula>
    </cfRule>
    <cfRule type="containsText" dxfId="3104" priority="10429" operator="containsText" text="N/A">
      <formula>NOT(ISERROR(SEARCH("N/A",P1017)))</formula>
    </cfRule>
    <cfRule type="containsText" dxfId="3103" priority="10428" operator="containsText" text="Lançado">
      <formula>NOT(ISERROR(SEARCH("Lançado",P1017)))</formula>
    </cfRule>
    <cfRule type="containsText" dxfId="3102" priority="10427" operator="containsText" text="em andamento">
      <formula>NOT(ISERROR(SEARCH("em andamento",P1017)))</formula>
    </cfRule>
    <cfRule type="containsText" dxfId="3101" priority="10426" operator="containsText" text="Finalizado">
      <formula>NOT(ISERROR(SEARCH("Finalizado",P1017)))</formula>
    </cfRule>
    <cfRule type="containsText" dxfId="3100" priority="10424" operator="containsText" text="N/A">
      <formula>NOT(ISERROR(SEARCH("N/A",P1017)))</formula>
    </cfRule>
    <cfRule type="containsText" dxfId="3099" priority="10423" operator="containsText" text="Lançado">
      <formula>NOT(ISERROR(SEARCH("Lançado",P1017)))</formula>
    </cfRule>
  </conditionalFormatting>
  <conditionalFormatting sqref="P1018">
    <cfRule type="containsText" dxfId="3098" priority="1611" operator="containsText" text="Lançado">
      <formula>NOT(ISERROR(SEARCH("Lançado",P1018)))</formula>
    </cfRule>
    <cfRule type="containsText" dxfId="3097" priority="1626" operator="containsText" text="N/A">
      <formula>NOT(ISERROR(SEARCH("N/A",P1018)))</formula>
    </cfRule>
    <cfRule type="expression" dxfId="3096" priority="1625">
      <formula>$H1018="ETAPA"</formula>
    </cfRule>
    <cfRule type="expression" dxfId="3095" priority="1624">
      <formula>$H1018="CÉLULA CONSTRUTIVA"</formula>
    </cfRule>
    <cfRule type="expression" dxfId="3094" priority="1623">
      <formula>$H1018="SUBETAPA"</formula>
    </cfRule>
    <cfRule type="expression" dxfId="3093" priority="1622">
      <formula>$H1018="ETAPA"</formula>
    </cfRule>
    <cfRule type="expression" dxfId="3092" priority="1621">
      <formula>$H1018="CÉLULA CONSTRUTIVA"</formula>
    </cfRule>
    <cfRule type="expression" dxfId="3091" priority="1620">
      <formula>$H1018="SUBETAPA"</formula>
    </cfRule>
    <cfRule type="containsText" dxfId="3090" priority="1619" operator="containsText" text="em andamento">
      <formula>NOT(ISERROR(SEARCH("em andamento",P1018)))</formula>
    </cfRule>
    <cfRule type="containsText" dxfId="3089" priority="1618" operator="containsText" text="Finalizado">
      <formula>NOT(ISERROR(SEARCH("Finalizado",P1018)))</formula>
    </cfRule>
    <cfRule type="containsText" dxfId="3088" priority="1617" operator="containsText" text="Pendente">
      <formula>NOT(ISERROR(SEARCH("Pendente",P1018)))</formula>
    </cfRule>
    <cfRule type="containsText" dxfId="3087" priority="1616" operator="containsText" text="Lançado">
      <formula>NOT(ISERROR(SEARCH("Lançado",P1018)))</formula>
    </cfRule>
    <cfRule type="containsText" dxfId="3086" priority="1615" operator="containsText" text="em andamento">
      <formula>NOT(ISERROR(SEARCH("em andamento",P1018)))</formula>
    </cfRule>
    <cfRule type="containsText" dxfId="3085" priority="1614" operator="containsText" text="Finalizado">
      <formula>NOT(ISERROR(SEARCH("Finalizado",P1018)))</formula>
    </cfRule>
    <cfRule type="containsText" dxfId="3084" priority="1613" operator="containsText" text="Pendente">
      <formula>NOT(ISERROR(SEARCH("Pendente",P1018)))</formula>
    </cfRule>
    <cfRule type="containsText" dxfId="3083" priority="1612" operator="containsText" text="N/A">
      <formula>NOT(ISERROR(SEARCH("N/A",P1018)))</formula>
    </cfRule>
    <cfRule type="containsText" dxfId="3082" priority="1610" operator="containsText" text="em andamento">
      <formula>NOT(ISERROR(SEARCH("em andamento",P1018)))</formula>
    </cfRule>
    <cfRule type="containsText" dxfId="3081" priority="1609" operator="containsText" text="Finalizado">
      <formula>NOT(ISERROR(SEARCH("Finalizado",P1018)))</formula>
    </cfRule>
    <cfRule type="containsText" dxfId="3080" priority="1608" operator="containsText" text="Pendente">
      <formula>NOT(ISERROR(SEARCH("Pendente",P1018)))</formula>
    </cfRule>
    <cfRule type="containsText" dxfId="3079" priority="1607" operator="containsText" text="N/A">
      <formula>NOT(ISERROR(SEARCH("N/A",P1018)))</formula>
    </cfRule>
    <cfRule type="containsText" dxfId="3078" priority="1606" operator="containsText" text="Lançado">
      <formula>NOT(ISERROR(SEARCH("Lançado",P1018)))</formula>
    </cfRule>
  </conditionalFormatting>
  <conditionalFormatting sqref="P1019">
    <cfRule type="expression" dxfId="3077" priority="10473">
      <formula>$H1019="ETAPA"</formula>
    </cfRule>
    <cfRule type="expression" dxfId="3076" priority="10469">
      <formula>$H1019="CÉLULA CONSTRUTIVA"</formula>
    </cfRule>
    <cfRule type="expression" dxfId="3075" priority="10472">
      <formula>$H1019="CÉLULA CONSTRUTIVA"</formula>
    </cfRule>
    <cfRule type="expression" dxfId="3074" priority="10471">
      <formula>$H1019="SUBETAPA"</formula>
    </cfRule>
    <cfRule type="expression" dxfId="3073" priority="10468">
      <formula>$H1019="SUBETAPA"</formula>
    </cfRule>
    <cfRule type="expression" dxfId="3072" priority="10470">
      <formula>$H1019="ETAPA"</formula>
    </cfRule>
    <cfRule type="containsText" dxfId="3071" priority="10474" operator="containsText" text="em andamento">
      <formula>NOT(ISERROR(SEARCH("em andamento",P1019)))</formula>
    </cfRule>
  </conditionalFormatting>
  <conditionalFormatting sqref="P1020:P1021">
    <cfRule type="containsText" dxfId="3070" priority="1587" operator="containsText" text="Pendente">
      <formula>NOT(ISERROR(SEARCH("Pendente",P1020)))</formula>
    </cfRule>
    <cfRule type="containsText" dxfId="3069" priority="1586" operator="containsText" text="N/A">
      <formula>NOT(ISERROR(SEARCH("N/A",P1020)))</formula>
    </cfRule>
    <cfRule type="containsText" dxfId="3068" priority="1585" operator="containsText" text="Lançado">
      <formula>NOT(ISERROR(SEARCH("Lançado",P1020)))</formula>
    </cfRule>
    <cfRule type="containsText" dxfId="3067" priority="1590" operator="containsText" text="Lançado">
      <formula>NOT(ISERROR(SEARCH("Lançado",P1020)))</formula>
    </cfRule>
    <cfRule type="containsText" dxfId="3066" priority="1596" operator="containsText" text="Pendente">
      <formula>NOT(ISERROR(SEARCH("Pendente",P1020)))</formula>
    </cfRule>
    <cfRule type="containsText" dxfId="3065" priority="1595" operator="containsText" text="Lançado">
      <formula>NOT(ISERROR(SEARCH("Lançado",P1020)))</formula>
    </cfRule>
    <cfRule type="containsText" dxfId="3064" priority="1591" operator="containsText" text="N/A">
      <formula>NOT(ISERROR(SEARCH("N/A",P1020)))</formula>
    </cfRule>
    <cfRule type="containsText" dxfId="3063" priority="1592" operator="containsText" text="Pendente">
      <formula>NOT(ISERROR(SEARCH("Pendente",P1020)))</formula>
    </cfRule>
    <cfRule type="containsText" dxfId="3062" priority="1593" operator="containsText" text="Finalizado">
      <formula>NOT(ISERROR(SEARCH("Finalizado",P1020)))</formula>
    </cfRule>
    <cfRule type="containsText" dxfId="3061" priority="1594" operator="containsText" text="em andamento">
      <formula>NOT(ISERROR(SEARCH("em andamento",P1020)))</formula>
    </cfRule>
    <cfRule type="containsText" dxfId="3060" priority="1589" operator="containsText" text="em andamento">
      <formula>NOT(ISERROR(SEARCH("em andamento",P1020)))</formula>
    </cfRule>
    <cfRule type="containsText" dxfId="3059" priority="1588" operator="containsText" text="Finalizado">
      <formula>NOT(ISERROR(SEARCH("Finalizado",P1020)))</formula>
    </cfRule>
    <cfRule type="containsText" dxfId="3058" priority="1605" operator="containsText" text="N/A">
      <formula>NOT(ISERROR(SEARCH("N/A",P1020)))</formula>
    </cfRule>
    <cfRule type="expression" dxfId="3057" priority="1604">
      <formula>$H1020="ETAPA"</formula>
    </cfRule>
    <cfRule type="expression" dxfId="3056" priority="1603">
      <formula>$H1020="CÉLULA CONSTRUTIVA"</formula>
    </cfRule>
    <cfRule type="expression" dxfId="3055" priority="1602">
      <formula>$H1020="SUBETAPA"</formula>
    </cfRule>
    <cfRule type="expression" dxfId="3054" priority="1601">
      <formula>$H1020="ETAPA"</formula>
    </cfRule>
    <cfRule type="expression" dxfId="3053" priority="1600">
      <formula>$H1020="CÉLULA CONSTRUTIVA"</formula>
    </cfRule>
    <cfRule type="expression" dxfId="3052" priority="1599">
      <formula>$H1020="SUBETAPA"</formula>
    </cfRule>
    <cfRule type="containsText" dxfId="3051" priority="1598" operator="containsText" text="em andamento">
      <formula>NOT(ISERROR(SEARCH("em andamento",P1020)))</formula>
    </cfRule>
    <cfRule type="containsText" dxfId="3050" priority="1597" operator="containsText" text="Finalizado">
      <formula>NOT(ISERROR(SEARCH("Finalizado",P1020)))</formula>
    </cfRule>
  </conditionalFormatting>
  <conditionalFormatting sqref="P1022 P1014 P1019">
    <cfRule type="containsText" dxfId="3049" priority="10484" operator="containsText" text="Finalizado">
      <formula>NOT(ISERROR(SEARCH("Finalizado",P1014)))</formula>
    </cfRule>
  </conditionalFormatting>
  <conditionalFormatting sqref="P1022">
    <cfRule type="containsText" dxfId="3048" priority="10483" operator="containsText" text="Pendente">
      <formula>NOT(ISERROR(SEARCH("Pendente",P1022)))</formula>
    </cfRule>
    <cfRule type="containsText" dxfId="3047" priority="10481" operator="containsText" text="Lançado">
      <formula>NOT(ISERROR(SEARCH("Lançado",P1022)))</formula>
    </cfRule>
    <cfRule type="containsText" dxfId="3046" priority="10482" operator="containsText" text="N/A">
      <formula>NOT(ISERROR(SEARCH("N/A",P1022)))</formula>
    </cfRule>
    <cfRule type="containsText" dxfId="3045" priority="10467" operator="containsText" text="em andamento">
      <formula>NOT(ISERROR(SEARCH("em andamento",P1022)))</formula>
    </cfRule>
    <cfRule type="containsText" dxfId="3044" priority="10466" operator="containsText" text="Finalizado">
      <formula>NOT(ISERROR(SEARCH("Finalizado",P1022)))</formula>
    </cfRule>
    <cfRule type="containsText" dxfId="3043" priority="10465" operator="containsText" text="Pendente">
      <formula>NOT(ISERROR(SEARCH("Pendente",P1022)))</formula>
    </cfRule>
    <cfRule type="containsText" dxfId="3042" priority="10464" operator="containsText" text="N/A">
      <formula>NOT(ISERROR(SEARCH("N/A",P1022)))</formula>
    </cfRule>
    <cfRule type="containsText" dxfId="3041" priority="10463" operator="containsText" text="Lançado">
      <formula>NOT(ISERROR(SEARCH("Lançado",P1022)))</formula>
    </cfRule>
    <cfRule type="containsText" dxfId="3040" priority="10462" operator="containsText" text="em andamento">
      <formula>NOT(ISERROR(SEARCH("em andamento",P1022)))</formula>
    </cfRule>
    <cfRule type="containsText" dxfId="3039" priority="10461" operator="containsText" text="Finalizado">
      <formula>NOT(ISERROR(SEARCH("Finalizado",P1022)))</formula>
    </cfRule>
    <cfRule type="containsText" dxfId="3038" priority="10460" operator="containsText" text="Pendente">
      <formula>NOT(ISERROR(SEARCH("Pendente",P1022)))</formula>
    </cfRule>
    <cfRule type="containsText" dxfId="3037" priority="10459" operator="containsText" text="N/A">
      <formula>NOT(ISERROR(SEARCH("N/A",P1022)))</formula>
    </cfRule>
    <cfRule type="containsText" dxfId="3036" priority="10458" operator="containsText" text="Lançado">
      <formula>NOT(ISERROR(SEARCH("Lançado",P1022)))</formula>
    </cfRule>
  </conditionalFormatting>
  <conditionalFormatting sqref="P1023:P1027">
    <cfRule type="containsText" dxfId="3035" priority="1570" operator="containsText" text="N/A">
      <formula>NOT(ISERROR(SEARCH("N/A",P1023)))</formula>
    </cfRule>
    <cfRule type="expression" dxfId="3034" priority="1583">
      <formula>$H1023="ETAPA"</formula>
    </cfRule>
    <cfRule type="expression" dxfId="3033" priority="1582">
      <formula>$H1023="CÉLULA CONSTRUTIVA"</formula>
    </cfRule>
    <cfRule type="containsText" dxfId="3032" priority="1576" operator="containsText" text="Finalizado">
      <formula>NOT(ISERROR(SEARCH("Finalizado",P1023)))</formula>
    </cfRule>
    <cfRule type="containsText" dxfId="3031" priority="1565" operator="containsText" text="N/A">
      <formula>NOT(ISERROR(SEARCH("N/A",P1023)))</formula>
    </cfRule>
    <cfRule type="expression" dxfId="3030" priority="1580">
      <formula>$H1023="ETAPA"</formula>
    </cfRule>
    <cfRule type="containsText" dxfId="3029" priority="1564" operator="containsText" text="Lançado">
      <formula>NOT(ISERROR(SEARCH("Lançado",P1023)))</formula>
    </cfRule>
    <cfRule type="expression" dxfId="3028" priority="1579">
      <formula>$H1023="CÉLULA CONSTRUTIVA"</formula>
    </cfRule>
    <cfRule type="containsText" dxfId="3027" priority="1577" operator="containsText" text="em andamento">
      <formula>NOT(ISERROR(SEARCH("em andamento",P1023)))</formula>
    </cfRule>
    <cfRule type="containsText" dxfId="3026" priority="1567" operator="containsText" text="Finalizado">
      <formula>NOT(ISERROR(SEARCH("Finalizado",P1023)))</formula>
    </cfRule>
    <cfRule type="containsText" dxfId="3025" priority="1568" operator="containsText" text="em andamento">
      <formula>NOT(ISERROR(SEARCH("em andamento",P1023)))</formula>
    </cfRule>
    <cfRule type="containsText" dxfId="3024" priority="1569" operator="containsText" text="Lançado">
      <formula>NOT(ISERROR(SEARCH("Lançado",P1023)))</formula>
    </cfRule>
    <cfRule type="expression" dxfId="3023" priority="1578">
      <formula>$H1023="SUBETAPA"</formula>
    </cfRule>
    <cfRule type="containsText" dxfId="3022" priority="1566" operator="containsText" text="Pendente">
      <formula>NOT(ISERROR(SEARCH("Pendente",P1023)))</formula>
    </cfRule>
    <cfRule type="containsText" dxfId="3021" priority="1571" operator="containsText" text="Pendente">
      <formula>NOT(ISERROR(SEARCH("Pendente",P1023)))</formula>
    </cfRule>
    <cfRule type="containsText" dxfId="3020" priority="1572" operator="containsText" text="Finalizado">
      <formula>NOT(ISERROR(SEARCH("Finalizado",P1023)))</formula>
    </cfRule>
    <cfRule type="containsText" dxfId="3019" priority="1573" operator="containsText" text="em andamento">
      <formula>NOT(ISERROR(SEARCH("em andamento",P1023)))</formula>
    </cfRule>
    <cfRule type="containsText" dxfId="3018" priority="1574" operator="containsText" text="Lançado">
      <formula>NOT(ISERROR(SEARCH("Lançado",P1023)))</formula>
    </cfRule>
    <cfRule type="containsText" dxfId="3017" priority="1575" operator="containsText" text="Pendente">
      <formula>NOT(ISERROR(SEARCH("Pendente",P1023)))</formula>
    </cfRule>
    <cfRule type="containsText" dxfId="3016" priority="1584" operator="containsText" text="N/A">
      <formula>NOT(ISERROR(SEARCH("N/A",P1023)))</formula>
    </cfRule>
    <cfRule type="expression" dxfId="3015" priority="1581">
      <formula>$H1023="SUBETAPA"</formula>
    </cfRule>
  </conditionalFormatting>
  <conditionalFormatting sqref="P1028:P1029">
    <cfRule type="containsText" dxfId="3014" priority="10339" operator="containsText" text="N/A">
      <formula>NOT(ISERROR(SEARCH("N/A",P1028)))</formula>
    </cfRule>
    <cfRule type="containsText" dxfId="3013" priority="10285" operator="containsText" text="Pendente">
      <formula>NOT(ISERROR(SEARCH("Pendente",P1028)))</formula>
    </cfRule>
    <cfRule type="containsText" dxfId="3012" priority="10284" operator="containsText" text="N/A">
      <formula>NOT(ISERROR(SEARCH("N/A",P1028)))</formula>
    </cfRule>
    <cfRule type="containsText" dxfId="3011" priority="10283" operator="containsText" text="Lançado">
      <formula>NOT(ISERROR(SEARCH("Lançado",P1028)))</formula>
    </cfRule>
    <cfRule type="expression" dxfId="3010" priority="10282">
      <formula>$H1028="ETAPA"</formula>
    </cfRule>
    <cfRule type="containsText" dxfId="3009" priority="10286" operator="containsText" text="Finalizado">
      <formula>NOT(ISERROR(SEARCH("Finalizado",P1028)))</formula>
    </cfRule>
    <cfRule type="containsText" dxfId="3008" priority="10287" operator="containsText" text="em andamento">
      <formula>NOT(ISERROR(SEARCH("em andamento",P1028)))</formula>
    </cfRule>
    <cfRule type="containsText" dxfId="3007" priority="10271" operator="containsText" text="Pendente">
      <formula>NOT(ISERROR(SEARCH("Pendente",P1028)))</formula>
    </cfRule>
    <cfRule type="containsText" dxfId="3006" priority="10272" operator="containsText" text="Finalizado">
      <formula>NOT(ISERROR(SEARCH("Finalizado",P1028)))</formula>
    </cfRule>
    <cfRule type="expression" dxfId="3005" priority="10274">
      <formula>$H1028="SUBETAPA"</formula>
    </cfRule>
    <cfRule type="expression" dxfId="3004" priority="10275">
      <formula>$H1028="CÉLULA CONSTRUTIVA"</formula>
    </cfRule>
    <cfRule type="expression" dxfId="3003" priority="10276">
      <formula>$H1028="ETAPA"</formula>
    </cfRule>
    <cfRule type="containsText" dxfId="3002" priority="10273" operator="containsText" text="em andamento">
      <formula>NOT(ISERROR(SEARCH("em andamento",P1028)))</formula>
    </cfRule>
    <cfRule type="expression" dxfId="3001" priority="10277">
      <formula>$H1028="SUBETAPA"</formula>
    </cfRule>
    <cfRule type="expression" dxfId="3000" priority="10278">
      <formula>$H1028="CÉLULA CONSTRUTIVA"</formula>
    </cfRule>
    <cfRule type="expression" dxfId="2999" priority="10279">
      <formula>$H1028="ETAPA"</formula>
    </cfRule>
    <cfRule type="expression" dxfId="2998" priority="10280">
      <formula>$H1028="SUBETAPA"</formula>
    </cfRule>
    <cfRule type="expression" dxfId="2997" priority="10281">
      <formula>$H1028="CÉLULA CONSTRUTIVA"</formula>
    </cfRule>
    <cfRule type="containsText" dxfId="2996" priority="10246" operator="containsText" text="Lançado">
      <formula>NOT(ISERROR(SEARCH("Lançado",P1028)))</formula>
    </cfRule>
  </conditionalFormatting>
  <conditionalFormatting sqref="P1030">
    <cfRule type="expression" dxfId="2995" priority="1561">
      <formula>$H1030="CÉLULA CONSTRUTIVA"</formula>
    </cfRule>
    <cfRule type="expression" dxfId="2994" priority="1562">
      <formula>$H1030="ETAPA"</formula>
    </cfRule>
    <cfRule type="expression" dxfId="2993" priority="1560">
      <formula>$H1030="SUBETAPA"</formula>
    </cfRule>
    <cfRule type="containsText" dxfId="2992" priority="1546" operator="containsText" text="Finalizado">
      <formula>NOT(ISERROR(SEARCH("Finalizado",P1030)))</formula>
    </cfRule>
    <cfRule type="containsText" dxfId="2991" priority="1545" operator="containsText" text="Pendente">
      <formula>NOT(ISERROR(SEARCH("Pendente",P1030)))</formula>
    </cfRule>
    <cfRule type="expression" dxfId="2990" priority="1559">
      <formula>$H1030="ETAPA"</formula>
    </cfRule>
    <cfRule type="containsText" dxfId="2989" priority="1555" operator="containsText" text="Finalizado">
      <formula>NOT(ISERROR(SEARCH("Finalizado",P1030)))</formula>
    </cfRule>
    <cfRule type="containsText" dxfId="2988" priority="1556" operator="containsText" text="em andamento">
      <formula>NOT(ISERROR(SEARCH("em andamento",P1030)))</formula>
    </cfRule>
    <cfRule type="expression" dxfId="2987" priority="1557">
      <formula>$H1030="SUBETAPA"</formula>
    </cfRule>
    <cfRule type="containsText" dxfId="2986" priority="1543" operator="containsText" text="Lançado">
      <formula>NOT(ISERROR(SEARCH("Lançado",P1030)))</formula>
    </cfRule>
    <cfRule type="containsText" dxfId="2985" priority="1544" operator="containsText" text="N/A">
      <formula>NOT(ISERROR(SEARCH("N/A",P1030)))</formula>
    </cfRule>
    <cfRule type="containsText" dxfId="2984" priority="1552" operator="containsText" text="em andamento">
      <formula>NOT(ISERROR(SEARCH("em andamento",P1030)))</formula>
    </cfRule>
    <cfRule type="containsText" dxfId="2983" priority="1553" operator="containsText" text="Lançado">
      <formula>NOT(ISERROR(SEARCH("Lançado",P1030)))</formula>
    </cfRule>
    <cfRule type="containsText" dxfId="2982" priority="1554" operator="containsText" text="Pendente">
      <formula>NOT(ISERROR(SEARCH("Pendente",P1030)))</formula>
    </cfRule>
    <cfRule type="expression" dxfId="2981" priority="1558">
      <formula>$H1030="CÉLULA CONSTRUTIVA"</formula>
    </cfRule>
    <cfRule type="containsText" dxfId="2980" priority="1550" operator="containsText" text="Pendente">
      <formula>NOT(ISERROR(SEARCH("Pendente",P1030)))</formula>
    </cfRule>
    <cfRule type="containsText" dxfId="2979" priority="1549" operator="containsText" text="N/A">
      <formula>NOT(ISERROR(SEARCH("N/A",P1030)))</formula>
    </cfRule>
    <cfRule type="containsText" dxfId="2978" priority="1548" operator="containsText" text="Lançado">
      <formula>NOT(ISERROR(SEARCH("Lançado",P1030)))</formula>
    </cfRule>
    <cfRule type="containsText" dxfId="2977" priority="1551" operator="containsText" text="Finalizado">
      <formula>NOT(ISERROR(SEARCH("Finalizado",P1030)))</formula>
    </cfRule>
    <cfRule type="containsText" dxfId="2976" priority="1563" operator="containsText" text="N/A">
      <formula>NOT(ISERROR(SEARCH("N/A",P1030)))</formula>
    </cfRule>
    <cfRule type="containsText" dxfId="2975" priority="1547" operator="containsText" text="em andamento">
      <formula>NOT(ISERROR(SEARCH("em andamento",P1030)))</formula>
    </cfRule>
  </conditionalFormatting>
  <conditionalFormatting sqref="P1031">
    <cfRule type="containsText" dxfId="2974" priority="6240" operator="containsText" text="Finalizado">
      <formula>NOT(ISERROR(SEARCH("Finalizado",P1031)))</formula>
    </cfRule>
    <cfRule type="containsText" dxfId="2973" priority="6239" operator="containsText" text="Pendente">
      <formula>NOT(ISERROR(SEARCH("Pendente",P1031)))</formula>
    </cfRule>
    <cfRule type="containsText" dxfId="2972" priority="6238" operator="containsText" text="N/A">
      <formula>NOT(ISERROR(SEARCH("N/A",P1031)))</formula>
    </cfRule>
    <cfRule type="containsText" dxfId="2971" priority="6237" operator="containsText" text="Lançado">
      <formula>NOT(ISERROR(SEARCH("Lançado",P1031)))</formula>
    </cfRule>
    <cfRule type="containsText" dxfId="2970" priority="6241" operator="containsText" text="em andamento">
      <formula>NOT(ISERROR(SEARCH("em andamento",P1031)))</formula>
    </cfRule>
  </conditionalFormatting>
  <conditionalFormatting sqref="P1032">
    <cfRule type="containsText" dxfId="2969" priority="1523" operator="containsText" text="N/A">
      <formula>NOT(ISERROR(SEARCH("N/A",P1032)))</formula>
    </cfRule>
    <cfRule type="containsText" dxfId="2968" priority="1530" operator="containsText" text="Finalizado">
      <formula>NOT(ISERROR(SEARCH("Finalizado",P1032)))</formula>
    </cfRule>
    <cfRule type="containsText" dxfId="2967" priority="1524" operator="containsText" text="Pendente">
      <formula>NOT(ISERROR(SEARCH("Pendente",P1032)))</formula>
    </cfRule>
    <cfRule type="containsText" dxfId="2966" priority="1525" operator="containsText" text="Finalizado">
      <formula>NOT(ISERROR(SEARCH("Finalizado",P1032)))</formula>
    </cfRule>
    <cfRule type="containsText" dxfId="2965" priority="1526" operator="containsText" text="em andamento">
      <formula>NOT(ISERROR(SEARCH("em andamento",P1032)))</formula>
    </cfRule>
    <cfRule type="containsText" dxfId="2964" priority="1527" operator="containsText" text="Lançado">
      <formula>NOT(ISERROR(SEARCH("Lançado",P1032)))</formula>
    </cfRule>
    <cfRule type="containsText" dxfId="2963" priority="1528" operator="containsText" text="N/A">
      <formula>NOT(ISERROR(SEARCH("N/A",P1032)))</formula>
    </cfRule>
    <cfRule type="containsText" dxfId="2962" priority="1529" operator="containsText" text="Pendente">
      <formula>NOT(ISERROR(SEARCH("Pendente",P1032)))</formula>
    </cfRule>
    <cfRule type="containsText" dxfId="2961" priority="1531" operator="containsText" text="em andamento">
      <formula>NOT(ISERROR(SEARCH("em andamento",P1032)))</formula>
    </cfRule>
    <cfRule type="containsText" dxfId="2960" priority="1532" operator="containsText" text="Lançado">
      <formula>NOT(ISERROR(SEARCH("Lançado",P1032)))</formula>
    </cfRule>
    <cfRule type="containsText" dxfId="2959" priority="1533" operator="containsText" text="Pendente">
      <formula>NOT(ISERROR(SEARCH("Pendente",P1032)))</formula>
    </cfRule>
    <cfRule type="containsText" dxfId="2958" priority="1534" operator="containsText" text="Finalizado">
      <formula>NOT(ISERROR(SEARCH("Finalizado",P1032)))</formula>
    </cfRule>
    <cfRule type="containsText" dxfId="2957" priority="1535" operator="containsText" text="em andamento">
      <formula>NOT(ISERROR(SEARCH("em andamento",P1032)))</formula>
    </cfRule>
    <cfRule type="expression" dxfId="2956" priority="1536">
      <formula>$H1032="SUBETAPA"</formula>
    </cfRule>
    <cfRule type="expression" dxfId="2955" priority="1537">
      <formula>$H1032="CÉLULA CONSTRUTIVA"</formula>
    </cfRule>
    <cfRule type="expression" dxfId="2954" priority="1539">
      <formula>$H1032="SUBETAPA"</formula>
    </cfRule>
    <cfRule type="expression" dxfId="2953" priority="1540">
      <formula>$H1032="CÉLULA CONSTRUTIVA"</formula>
    </cfRule>
    <cfRule type="expression" dxfId="2952" priority="1541">
      <formula>$H1032="ETAPA"</formula>
    </cfRule>
    <cfRule type="containsText" dxfId="2951" priority="1542" operator="containsText" text="N/A">
      <formula>NOT(ISERROR(SEARCH("N/A",P1032)))</formula>
    </cfRule>
    <cfRule type="expression" dxfId="2950" priority="1538">
      <formula>$H1032="ETAPA"</formula>
    </cfRule>
    <cfRule type="containsText" dxfId="2949" priority="1522" operator="containsText" text="Lançado">
      <formula>NOT(ISERROR(SEARCH("Lançado",P1032)))</formula>
    </cfRule>
  </conditionalFormatting>
  <conditionalFormatting sqref="P1033 P1038 P1041">
    <cfRule type="containsText" dxfId="2948" priority="10318" operator="containsText" text="em andamento">
      <formula>NOT(ISERROR(SEARCH("em andamento",P1033)))</formula>
    </cfRule>
  </conditionalFormatting>
  <conditionalFormatting sqref="P1033 P1038">
    <cfRule type="containsText" dxfId="2947" priority="10312" operator="containsText" text="Pendente">
      <formula>NOT(ISERROR(SEARCH("Pendente",P1033)))</formula>
    </cfRule>
    <cfRule type="containsText" dxfId="2946" priority="10310" operator="containsText" text="Lançado">
      <formula>NOT(ISERROR(SEARCH("Lançado",P1033)))</formula>
    </cfRule>
    <cfRule type="containsText" dxfId="2945" priority="10311" operator="containsText" text="N/A">
      <formula>NOT(ISERROR(SEARCH("N/A",P1033)))</formula>
    </cfRule>
  </conditionalFormatting>
  <conditionalFormatting sqref="P1033">
    <cfRule type="containsText" dxfId="2944" priority="10308" operator="containsText" text="Finalizado">
      <formula>NOT(ISERROR(SEARCH("Finalizado",P1033)))</formula>
    </cfRule>
    <cfRule type="containsText" dxfId="2943" priority="10309" operator="containsText" text="em andamento">
      <formula>NOT(ISERROR(SEARCH("em andamento",P1033)))</formula>
    </cfRule>
  </conditionalFormatting>
  <conditionalFormatting sqref="P1034:P1035">
    <cfRule type="containsText" dxfId="2942" priority="1510" operator="containsText" text="em andamento">
      <formula>NOT(ISERROR(SEARCH("em andamento",P1034)))</formula>
    </cfRule>
    <cfRule type="containsText" dxfId="2941" priority="1509" operator="containsText" text="Finalizado">
      <formula>NOT(ISERROR(SEARCH("Finalizado",P1034)))</formula>
    </cfRule>
    <cfRule type="containsText" dxfId="2940" priority="1507" operator="containsText" text="N/A">
      <formula>NOT(ISERROR(SEARCH("N/A",P1034)))</formula>
    </cfRule>
    <cfRule type="containsText" dxfId="2939" priority="1506" operator="containsText" text="Lançado">
      <formula>NOT(ISERROR(SEARCH("Lançado",P1034)))</formula>
    </cfRule>
    <cfRule type="containsText" dxfId="2938" priority="1505" operator="containsText" text="em andamento">
      <formula>NOT(ISERROR(SEARCH("em andamento",P1034)))</formula>
    </cfRule>
    <cfRule type="containsText" dxfId="2937" priority="1504" operator="containsText" text="Finalizado">
      <formula>NOT(ISERROR(SEARCH("Finalizado",P1034)))</formula>
    </cfRule>
    <cfRule type="containsText" dxfId="2936" priority="1503" operator="containsText" text="Pendente">
      <formula>NOT(ISERROR(SEARCH("Pendente",P1034)))</formula>
    </cfRule>
    <cfRule type="containsText" dxfId="2935" priority="1508" operator="containsText" text="Pendente">
      <formula>NOT(ISERROR(SEARCH("Pendente",P1034)))</formula>
    </cfRule>
    <cfRule type="expression" dxfId="2934" priority="1515">
      <formula>$H1034="SUBETAPA"</formula>
    </cfRule>
    <cfRule type="containsText" dxfId="2933" priority="1501" operator="containsText" text="Lançado">
      <formula>NOT(ISERROR(SEARCH("Lançado",P1034)))</formula>
    </cfRule>
    <cfRule type="containsText" dxfId="2932" priority="1502" operator="containsText" text="N/A">
      <formula>NOT(ISERROR(SEARCH("N/A",P1034)))</formula>
    </cfRule>
    <cfRule type="containsText" dxfId="2931" priority="1521" operator="containsText" text="N/A">
      <formula>NOT(ISERROR(SEARCH("N/A",P1034)))</formula>
    </cfRule>
    <cfRule type="containsText" dxfId="2930" priority="1512" operator="containsText" text="Pendente">
      <formula>NOT(ISERROR(SEARCH("Pendente",P1034)))</formula>
    </cfRule>
    <cfRule type="containsText" dxfId="2929" priority="1513" operator="containsText" text="Finalizado">
      <formula>NOT(ISERROR(SEARCH("Finalizado",P1034)))</formula>
    </cfRule>
    <cfRule type="containsText" dxfId="2928" priority="1514" operator="containsText" text="em andamento">
      <formula>NOT(ISERROR(SEARCH("em andamento",P1034)))</formula>
    </cfRule>
    <cfRule type="expression" dxfId="2927" priority="1516">
      <formula>$H1034="CÉLULA CONSTRUTIVA"</formula>
    </cfRule>
    <cfRule type="containsText" dxfId="2926" priority="1511" operator="containsText" text="Lançado">
      <formula>NOT(ISERROR(SEARCH("Lançado",P1034)))</formula>
    </cfRule>
    <cfRule type="expression" dxfId="2925" priority="1517">
      <formula>$H1034="ETAPA"</formula>
    </cfRule>
    <cfRule type="expression" dxfId="2924" priority="1518">
      <formula>$H1034="SUBETAPA"</formula>
    </cfRule>
    <cfRule type="expression" dxfId="2923" priority="1519">
      <formula>$H1034="CÉLULA CONSTRUTIVA"</formula>
    </cfRule>
    <cfRule type="expression" dxfId="2922" priority="1520">
      <formula>$H1034="ETAPA"</formula>
    </cfRule>
  </conditionalFormatting>
  <conditionalFormatting sqref="P1036">
    <cfRule type="containsText" dxfId="2921" priority="10252" operator="containsText" text="em andamento">
      <formula>NOT(ISERROR(SEARCH("em andamento",P1036)))</formula>
    </cfRule>
    <cfRule type="containsText" dxfId="2920" priority="10260" operator="containsText" text="em andamento">
      <formula>NOT(ISERROR(SEARCH("em andamento",P1036)))</formula>
    </cfRule>
    <cfRule type="containsText" dxfId="2919" priority="10250" operator="containsText" text="Pendente">
      <formula>NOT(ISERROR(SEARCH("Pendente",P1036)))</formula>
    </cfRule>
    <cfRule type="containsText" dxfId="2918" priority="10251" operator="containsText" text="Finalizado">
      <formula>NOT(ISERROR(SEARCH("Finalizado",P1036)))</formula>
    </cfRule>
    <cfRule type="expression" dxfId="2917" priority="10253">
      <formula>$H1036="SUBETAPA"</formula>
    </cfRule>
    <cfRule type="expression" dxfId="2916" priority="10254">
      <formula>$H1036="CÉLULA CONSTRUTIVA"</formula>
    </cfRule>
    <cfRule type="expression" dxfId="2915" priority="10255">
      <formula>$H1036="ETAPA"</formula>
    </cfRule>
    <cfRule type="containsText" dxfId="2914" priority="10256" operator="containsText" text="Lançado">
      <formula>NOT(ISERROR(SEARCH("Lançado",P1036)))</formula>
    </cfRule>
    <cfRule type="containsText" dxfId="2913" priority="10257" operator="containsText" text="N/A">
      <formula>NOT(ISERROR(SEARCH("N/A",P1036)))</formula>
    </cfRule>
    <cfRule type="containsText" dxfId="2912" priority="10258" operator="containsText" text="Pendente">
      <formula>NOT(ISERROR(SEARCH("Pendente",P1036)))</formula>
    </cfRule>
    <cfRule type="containsText" dxfId="2911" priority="10259" operator="containsText" text="Finalizado">
      <formula>NOT(ISERROR(SEARCH("Finalizado",P1036)))</formula>
    </cfRule>
    <cfRule type="containsText" dxfId="2910" priority="10261" operator="containsText" text="Lançado">
      <formula>NOT(ISERROR(SEARCH("Lançado",P1036)))</formula>
    </cfRule>
    <cfRule type="containsText" dxfId="2909" priority="10262" operator="containsText" text="N/A">
      <formula>NOT(ISERROR(SEARCH("N/A",P1036)))</formula>
    </cfRule>
  </conditionalFormatting>
  <conditionalFormatting sqref="P1037">
    <cfRule type="containsText" dxfId="2908" priority="1492" operator="containsText" text="Finalizado">
      <formula>NOT(ISERROR(SEARCH("Finalizado",P1037)))</formula>
    </cfRule>
    <cfRule type="containsText" dxfId="2907" priority="1493" operator="containsText" text="em andamento">
      <formula>NOT(ISERROR(SEARCH("em andamento",P1037)))</formula>
    </cfRule>
    <cfRule type="expression" dxfId="2906" priority="1494">
      <formula>$H1037="SUBETAPA"</formula>
    </cfRule>
    <cfRule type="expression" dxfId="2905" priority="1495">
      <formula>$H1037="CÉLULA CONSTRUTIVA"</formula>
    </cfRule>
    <cfRule type="expression" dxfId="2904" priority="1496">
      <formula>$H1037="ETAPA"</formula>
    </cfRule>
    <cfRule type="expression" dxfId="2903" priority="1497">
      <formula>$H1037="SUBETAPA"</formula>
    </cfRule>
    <cfRule type="expression" dxfId="2902" priority="1498">
      <formula>$H1037="CÉLULA CONSTRUTIVA"</formula>
    </cfRule>
    <cfRule type="containsText" dxfId="2901" priority="1491" operator="containsText" text="Pendente">
      <formula>NOT(ISERROR(SEARCH("Pendente",P1037)))</formula>
    </cfRule>
    <cfRule type="containsText" dxfId="2900" priority="1490" operator="containsText" text="Lançado">
      <formula>NOT(ISERROR(SEARCH("Lançado",P1037)))</formula>
    </cfRule>
    <cfRule type="expression" dxfId="2899" priority="1499">
      <formula>$H1037="ETAPA"</formula>
    </cfRule>
    <cfRule type="containsText" dxfId="2898" priority="1489" operator="containsText" text="em andamento">
      <formula>NOT(ISERROR(SEARCH("em andamento",P1037)))</formula>
    </cfRule>
    <cfRule type="containsText" dxfId="2897" priority="1488" operator="containsText" text="Finalizado">
      <formula>NOT(ISERROR(SEARCH("Finalizado",P1037)))</formula>
    </cfRule>
    <cfRule type="containsText" dxfId="2896" priority="1487" operator="containsText" text="Pendente">
      <formula>NOT(ISERROR(SEARCH("Pendente",P1037)))</formula>
    </cfRule>
    <cfRule type="containsText" dxfId="2895" priority="1486" operator="containsText" text="N/A">
      <formula>NOT(ISERROR(SEARCH("N/A",P1037)))</formula>
    </cfRule>
    <cfRule type="containsText" dxfId="2894" priority="1500" operator="containsText" text="N/A">
      <formula>NOT(ISERROR(SEARCH("N/A",P1037)))</formula>
    </cfRule>
    <cfRule type="containsText" dxfId="2893" priority="1485" operator="containsText" text="Lançado">
      <formula>NOT(ISERROR(SEARCH("Lançado",P1037)))</formula>
    </cfRule>
    <cfRule type="containsText" dxfId="2892" priority="1484" operator="containsText" text="em andamento">
      <formula>NOT(ISERROR(SEARCH("em andamento",P1037)))</formula>
    </cfRule>
    <cfRule type="containsText" dxfId="2891" priority="1483" operator="containsText" text="Finalizado">
      <formula>NOT(ISERROR(SEARCH("Finalizado",P1037)))</formula>
    </cfRule>
    <cfRule type="containsText" dxfId="2890" priority="1482" operator="containsText" text="Pendente">
      <formula>NOT(ISERROR(SEARCH("Pendente",P1037)))</formula>
    </cfRule>
    <cfRule type="containsText" dxfId="2889" priority="1481" operator="containsText" text="N/A">
      <formula>NOT(ISERROR(SEARCH("N/A",P1037)))</formula>
    </cfRule>
    <cfRule type="containsText" dxfId="2888" priority="1480" operator="containsText" text="Lançado">
      <formula>NOT(ISERROR(SEARCH("Lançado",P1037)))</formula>
    </cfRule>
  </conditionalFormatting>
  <conditionalFormatting sqref="P1038">
    <cfRule type="expression" dxfId="2887" priority="10305">
      <formula>$H1038="CÉLULA CONSTRUTIVA"</formula>
    </cfRule>
    <cfRule type="expression" dxfId="2886" priority="10303">
      <formula>$H1038="ETAPA"</formula>
    </cfRule>
    <cfRule type="expression" dxfId="2885" priority="10304">
      <formula>$H1038="SUBETAPA"</formula>
    </cfRule>
    <cfRule type="expression" dxfId="2884" priority="10306">
      <formula>$H1038="ETAPA"</formula>
    </cfRule>
    <cfRule type="containsText" dxfId="2883" priority="10307" operator="containsText" text="em andamento">
      <formula>NOT(ISERROR(SEARCH("em andamento",P1038)))</formula>
    </cfRule>
    <cfRule type="expression" dxfId="2882" priority="10302">
      <formula>$H1038="CÉLULA CONSTRUTIVA"</formula>
    </cfRule>
    <cfRule type="expression" dxfId="2881" priority="10301">
      <formula>$H1038="SUBETAPA"</formula>
    </cfRule>
  </conditionalFormatting>
  <conditionalFormatting sqref="P1039:P1040">
    <cfRule type="containsText" dxfId="2880" priority="1469" operator="containsText" text="Lançado">
      <formula>NOT(ISERROR(SEARCH("Lançado",P1039)))</formula>
    </cfRule>
    <cfRule type="containsText" dxfId="2879" priority="1468" operator="containsText" text="em andamento">
      <formula>NOT(ISERROR(SEARCH("em andamento",P1039)))</formula>
    </cfRule>
    <cfRule type="containsText" dxfId="2878" priority="1467" operator="containsText" text="Finalizado">
      <formula>NOT(ISERROR(SEARCH("Finalizado",P1039)))</formula>
    </cfRule>
    <cfRule type="containsText" dxfId="2877" priority="1466" operator="containsText" text="Pendente">
      <formula>NOT(ISERROR(SEARCH("Pendente",P1039)))</formula>
    </cfRule>
    <cfRule type="containsText" dxfId="2876" priority="1465" operator="containsText" text="N/A">
      <formula>NOT(ISERROR(SEARCH("N/A",P1039)))</formula>
    </cfRule>
    <cfRule type="containsText" dxfId="2875" priority="1464" operator="containsText" text="Lançado">
      <formula>NOT(ISERROR(SEARCH("Lançado",P1039)))</formula>
    </cfRule>
    <cfRule type="containsText" dxfId="2874" priority="1462" operator="containsText" text="Finalizado">
      <formula>NOT(ISERROR(SEARCH("Finalizado",P1039)))</formula>
    </cfRule>
    <cfRule type="containsText" dxfId="2873" priority="1461" operator="containsText" text="Pendente">
      <formula>NOT(ISERROR(SEARCH("Pendente",P1039)))</formula>
    </cfRule>
    <cfRule type="containsText" dxfId="2872" priority="1460" operator="containsText" text="N/A">
      <formula>NOT(ISERROR(SEARCH("N/A",P1039)))</formula>
    </cfRule>
    <cfRule type="containsText" dxfId="2871" priority="1463" operator="containsText" text="em andamento">
      <formula>NOT(ISERROR(SEARCH("em andamento",P1039)))</formula>
    </cfRule>
    <cfRule type="expression" dxfId="2870" priority="1474">
      <formula>$H1039="CÉLULA CONSTRUTIVA"</formula>
    </cfRule>
    <cfRule type="expression" dxfId="2869" priority="1473">
      <formula>$H1039="SUBETAPA"</formula>
    </cfRule>
    <cfRule type="containsText" dxfId="2868" priority="1472" operator="containsText" text="em andamento">
      <formula>NOT(ISERROR(SEARCH("em andamento",P1039)))</formula>
    </cfRule>
    <cfRule type="containsText" dxfId="2867" priority="1471" operator="containsText" text="Finalizado">
      <formula>NOT(ISERROR(SEARCH("Finalizado",P1039)))</formula>
    </cfRule>
    <cfRule type="containsText" dxfId="2866" priority="1470" operator="containsText" text="Pendente">
      <formula>NOT(ISERROR(SEARCH("Pendente",P1039)))</formula>
    </cfRule>
    <cfRule type="containsText" dxfId="2865" priority="1479" operator="containsText" text="N/A">
      <formula>NOT(ISERROR(SEARCH("N/A",P1039)))</formula>
    </cfRule>
    <cfRule type="expression" dxfId="2864" priority="1478">
      <formula>$H1039="ETAPA"</formula>
    </cfRule>
    <cfRule type="expression" dxfId="2863" priority="1477">
      <formula>$H1039="CÉLULA CONSTRUTIVA"</formula>
    </cfRule>
    <cfRule type="expression" dxfId="2862" priority="1476">
      <formula>$H1039="SUBETAPA"</formula>
    </cfRule>
    <cfRule type="containsText" dxfId="2861" priority="1459" operator="containsText" text="Lançado">
      <formula>NOT(ISERROR(SEARCH("Lançado",P1039)))</formula>
    </cfRule>
    <cfRule type="expression" dxfId="2860" priority="1475">
      <formula>$H1039="ETAPA"</formula>
    </cfRule>
  </conditionalFormatting>
  <conditionalFormatting sqref="P1041 P1033 P1038">
    <cfRule type="containsText" dxfId="2859" priority="10317" operator="containsText" text="Finalizado">
      <formula>NOT(ISERROR(SEARCH("Finalizado",P1033)))</formula>
    </cfRule>
  </conditionalFormatting>
  <conditionalFormatting sqref="P1041">
    <cfRule type="containsText" dxfId="2858" priority="10316" operator="containsText" text="Pendente">
      <formula>NOT(ISERROR(SEARCH("Pendente",P1041)))</formula>
    </cfRule>
    <cfRule type="containsText" dxfId="2857" priority="10293" operator="containsText" text="Pendente">
      <formula>NOT(ISERROR(SEARCH("Pendente",P1041)))</formula>
    </cfRule>
    <cfRule type="containsText" dxfId="2856" priority="10296" operator="containsText" text="Lançado">
      <formula>NOT(ISERROR(SEARCH("Lançado",P1041)))</formula>
    </cfRule>
    <cfRule type="containsText" dxfId="2855" priority="10294" operator="containsText" text="Finalizado">
      <formula>NOT(ISERROR(SEARCH("Finalizado",P1041)))</formula>
    </cfRule>
    <cfRule type="containsText" dxfId="2854" priority="10295" operator="containsText" text="em andamento">
      <formula>NOT(ISERROR(SEARCH("em andamento",P1041)))</formula>
    </cfRule>
    <cfRule type="containsText" dxfId="2853" priority="10297" operator="containsText" text="N/A">
      <formula>NOT(ISERROR(SEARCH("N/A",P1041)))</formula>
    </cfRule>
    <cfRule type="containsText" dxfId="2852" priority="10298" operator="containsText" text="Pendente">
      <formula>NOT(ISERROR(SEARCH("Pendente",P1041)))</formula>
    </cfRule>
    <cfRule type="containsText" dxfId="2851" priority="10299" operator="containsText" text="Finalizado">
      <formula>NOT(ISERROR(SEARCH("Finalizado",P1041)))</formula>
    </cfRule>
    <cfRule type="containsText" dxfId="2850" priority="10300" operator="containsText" text="em andamento">
      <formula>NOT(ISERROR(SEARCH("em andamento",P1041)))</formula>
    </cfRule>
    <cfRule type="containsText" dxfId="2849" priority="10292" operator="containsText" text="N/A">
      <formula>NOT(ISERROR(SEARCH("N/A",P1041)))</formula>
    </cfRule>
    <cfRule type="containsText" dxfId="2848" priority="10291" operator="containsText" text="Lançado">
      <formula>NOT(ISERROR(SEARCH("Lançado",P1041)))</formula>
    </cfRule>
    <cfRule type="containsText" dxfId="2847" priority="10314" operator="containsText" text="Lançado">
      <formula>NOT(ISERROR(SEARCH("Lançado",P1041)))</formula>
    </cfRule>
    <cfRule type="containsText" dxfId="2846" priority="10315" operator="containsText" text="N/A">
      <formula>NOT(ISERROR(SEARCH("N/A",P1041)))</formula>
    </cfRule>
  </conditionalFormatting>
  <conditionalFormatting sqref="P1042:P1046">
    <cfRule type="expression" dxfId="2845" priority="1457">
      <formula>$H1042="ETAPA"</formula>
    </cfRule>
    <cfRule type="expression" dxfId="2844" priority="1456">
      <formula>$H1042="CÉLULA CONSTRUTIVA"</formula>
    </cfRule>
    <cfRule type="expression" dxfId="2843" priority="1455">
      <formula>$H1042="SUBETAPA"</formula>
    </cfRule>
    <cfRule type="expression" dxfId="2842" priority="1454">
      <formula>$H1042="ETAPA"</formula>
    </cfRule>
    <cfRule type="expression" dxfId="2841" priority="1453">
      <formula>$H1042="CÉLULA CONSTRUTIVA"</formula>
    </cfRule>
    <cfRule type="expression" dxfId="2840" priority="1452">
      <formula>$H1042="SUBETAPA"</formula>
    </cfRule>
    <cfRule type="containsText" dxfId="2839" priority="1451" operator="containsText" text="em andamento">
      <formula>NOT(ISERROR(SEARCH("em andamento",P1042)))</formula>
    </cfRule>
    <cfRule type="containsText" dxfId="2838" priority="1450" operator="containsText" text="Finalizado">
      <formula>NOT(ISERROR(SEARCH("Finalizado",P1042)))</formula>
    </cfRule>
    <cfRule type="containsText" dxfId="2837" priority="1458" operator="containsText" text="N/A">
      <formula>NOT(ISERROR(SEARCH("N/A",P1042)))</formula>
    </cfRule>
    <cfRule type="containsText" dxfId="2836" priority="1449" operator="containsText" text="Pendente">
      <formula>NOT(ISERROR(SEARCH("Pendente",P1042)))</formula>
    </cfRule>
    <cfRule type="containsText" dxfId="2835" priority="1448" operator="containsText" text="Lançado">
      <formula>NOT(ISERROR(SEARCH("Lançado",P1042)))</formula>
    </cfRule>
    <cfRule type="containsText" dxfId="2834" priority="1447" operator="containsText" text="em andamento">
      <formula>NOT(ISERROR(SEARCH("em andamento",P1042)))</formula>
    </cfRule>
    <cfRule type="containsText" dxfId="2833" priority="1446" operator="containsText" text="Finalizado">
      <formula>NOT(ISERROR(SEARCH("Finalizado",P1042)))</formula>
    </cfRule>
    <cfRule type="containsText" dxfId="2832" priority="1445" operator="containsText" text="Pendente">
      <formula>NOT(ISERROR(SEARCH("Pendente",P1042)))</formula>
    </cfRule>
    <cfRule type="containsText" dxfId="2831" priority="1444" operator="containsText" text="N/A">
      <formula>NOT(ISERROR(SEARCH("N/A",P1042)))</formula>
    </cfRule>
    <cfRule type="containsText" dxfId="2830" priority="1443" operator="containsText" text="Lançado">
      <formula>NOT(ISERROR(SEARCH("Lançado",P1042)))</formula>
    </cfRule>
    <cfRule type="containsText" dxfId="2829" priority="1442" operator="containsText" text="em andamento">
      <formula>NOT(ISERROR(SEARCH("em andamento",P1042)))</formula>
    </cfRule>
    <cfRule type="containsText" dxfId="2828" priority="1441" operator="containsText" text="Finalizado">
      <formula>NOT(ISERROR(SEARCH("Finalizado",P1042)))</formula>
    </cfRule>
    <cfRule type="containsText" dxfId="2827" priority="1440" operator="containsText" text="Pendente">
      <formula>NOT(ISERROR(SEARCH("Pendente",P1042)))</formula>
    </cfRule>
    <cfRule type="containsText" dxfId="2826" priority="1439" operator="containsText" text="N/A">
      <formula>NOT(ISERROR(SEARCH("N/A",P1042)))</formula>
    </cfRule>
    <cfRule type="containsText" dxfId="2825" priority="1438" operator="containsText" text="Lançado">
      <formula>NOT(ISERROR(SEARCH("Lançado",P1042)))</formula>
    </cfRule>
  </conditionalFormatting>
  <conditionalFormatting sqref="P1047:P1048">
    <cfRule type="containsText" dxfId="2824" priority="10672" operator="containsText" text="Lançado">
      <formula>NOT(ISERROR(SEARCH("Lançado",P1047)))</formula>
    </cfRule>
    <cfRule type="expression" dxfId="2823" priority="10686">
      <formula>$H1047="CÉLULA CONSTRUTIVA"</formula>
    </cfRule>
    <cfRule type="containsText" dxfId="2822" priority="10695" operator="containsText" text="em andamento">
      <formula>NOT(ISERROR(SEARCH("em andamento",P1047)))</formula>
    </cfRule>
    <cfRule type="containsText" dxfId="2821" priority="10694" operator="containsText" text="Finalizado">
      <formula>NOT(ISERROR(SEARCH("Finalizado",P1047)))</formula>
    </cfRule>
    <cfRule type="containsText" dxfId="2820" priority="10693" operator="containsText" text="Pendente">
      <formula>NOT(ISERROR(SEARCH("Pendente",P1047)))</formula>
    </cfRule>
    <cfRule type="containsText" dxfId="2819" priority="10692" operator="containsText" text="N/A">
      <formula>NOT(ISERROR(SEARCH("N/A",P1047)))</formula>
    </cfRule>
    <cfRule type="containsText" dxfId="2818" priority="10691" operator="containsText" text="Lançado">
      <formula>NOT(ISERROR(SEARCH("Lançado",P1047)))</formula>
    </cfRule>
    <cfRule type="expression" dxfId="2817" priority="10690">
      <formula>$H1047="ETAPA"</formula>
    </cfRule>
    <cfRule type="expression" dxfId="2816" priority="10689">
      <formula>$H1047="CÉLULA CONSTRUTIVA"</formula>
    </cfRule>
    <cfRule type="expression" dxfId="2815" priority="10688">
      <formula>$H1047="SUBETAPA"</formula>
    </cfRule>
    <cfRule type="expression" dxfId="2814" priority="10687">
      <formula>$H1047="ETAPA"</formula>
    </cfRule>
    <cfRule type="expression" dxfId="2813" priority="10685">
      <formula>$H1047="SUBETAPA"</formula>
    </cfRule>
    <cfRule type="expression" dxfId="2812" priority="10684">
      <formula>$H1047="ETAPA"</formula>
    </cfRule>
    <cfRule type="expression" dxfId="2811" priority="10683">
      <formula>$H1047="CÉLULA CONSTRUTIVA"</formula>
    </cfRule>
    <cfRule type="expression" dxfId="2810" priority="10682">
      <formula>$H1047="SUBETAPA"</formula>
    </cfRule>
    <cfRule type="containsText" dxfId="2809" priority="10681" operator="containsText" text="em andamento">
      <formula>NOT(ISERROR(SEARCH("em andamento",P1047)))</formula>
    </cfRule>
    <cfRule type="containsText" dxfId="2808" priority="10680" operator="containsText" text="Finalizado">
      <formula>NOT(ISERROR(SEARCH("Finalizado",P1047)))</formula>
    </cfRule>
    <cfRule type="containsText" dxfId="2807" priority="10679" operator="containsText" text="Pendente">
      <formula>NOT(ISERROR(SEARCH("Pendente",P1047)))</formula>
    </cfRule>
  </conditionalFormatting>
  <conditionalFormatting sqref="P1049">
    <cfRule type="containsText" dxfId="2806" priority="1435" operator="containsText" text="Finalizado">
      <formula>NOT(ISERROR(SEARCH("Finalizado",P1049)))</formula>
    </cfRule>
    <cfRule type="containsText" dxfId="2805" priority="1437" operator="containsText" text="N/A">
      <formula>NOT(ISERROR(SEARCH("N/A",P1049)))</formula>
    </cfRule>
    <cfRule type="containsText" dxfId="2804" priority="1436" operator="containsText" text="Finalizado">
      <formula>NOT(ISERROR(SEARCH("Finalizado",P1049)))</formula>
    </cfRule>
    <cfRule type="containsText" dxfId="2803" priority="1433" operator="containsText" text="Finalizado">
      <formula>NOT(ISERROR(SEARCH("Finalizado",P1049)))</formula>
    </cfRule>
    <cfRule type="containsText" dxfId="2802" priority="1434" operator="containsText" text="N/A">
      <formula>NOT(ISERROR(SEARCH("N/A",P1049)))</formula>
    </cfRule>
    <cfRule type="containsText" dxfId="2801" priority="1432" operator="containsText" text="N/A">
      <formula>NOT(ISERROR(SEARCH("N/A",P1049)))</formula>
    </cfRule>
  </conditionalFormatting>
  <conditionalFormatting sqref="P1050">
    <cfRule type="containsText" dxfId="2800" priority="6195" operator="containsText" text="Lançado">
      <formula>NOT(ISERROR(SEARCH("Lançado",P1050)))</formula>
    </cfRule>
    <cfRule type="containsText" dxfId="2799" priority="6199" operator="containsText" text="em andamento">
      <formula>NOT(ISERROR(SEARCH("em andamento",P1050)))</formula>
    </cfRule>
    <cfRule type="containsText" dxfId="2798" priority="6198" operator="containsText" text="Finalizado">
      <formula>NOT(ISERROR(SEARCH("Finalizado",P1050)))</formula>
    </cfRule>
    <cfRule type="containsText" dxfId="2797" priority="6197" operator="containsText" text="Pendente">
      <formula>NOT(ISERROR(SEARCH("Pendente",P1050)))</formula>
    </cfRule>
    <cfRule type="containsText" dxfId="2796" priority="6196" operator="containsText" text="N/A">
      <formula>NOT(ISERROR(SEARCH("N/A",P1050)))</formula>
    </cfRule>
  </conditionalFormatting>
  <conditionalFormatting sqref="P1051">
    <cfRule type="containsText" dxfId="2795" priority="1421" operator="containsText" text="Lançado">
      <formula>NOT(ISERROR(SEARCH("Lançado",P1051)))</formula>
    </cfRule>
    <cfRule type="containsText" dxfId="2794" priority="1420" operator="containsText" text="em andamento">
      <formula>NOT(ISERROR(SEARCH("em andamento",P1051)))</formula>
    </cfRule>
    <cfRule type="containsText" dxfId="2793" priority="1419" operator="containsText" text="Finalizado">
      <formula>NOT(ISERROR(SEARCH("Finalizado",P1051)))</formula>
    </cfRule>
    <cfRule type="containsText" dxfId="2792" priority="1418" operator="containsText" text="Pendente">
      <formula>NOT(ISERROR(SEARCH("Pendente",P1051)))</formula>
    </cfRule>
    <cfRule type="containsText" dxfId="2791" priority="1417" operator="containsText" text="N/A">
      <formula>NOT(ISERROR(SEARCH("N/A",P1051)))</formula>
    </cfRule>
    <cfRule type="containsText" dxfId="2790" priority="1416" operator="containsText" text="Lançado">
      <formula>NOT(ISERROR(SEARCH("Lançado",P1051)))</formula>
    </cfRule>
    <cfRule type="containsText" dxfId="2789" priority="1415" operator="containsText" text="em andamento">
      <formula>NOT(ISERROR(SEARCH("em andamento",P1051)))</formula>
    </cfRule>
    <cfRule type="containsText" dxfId="2788" priority="1414" operator="containsText" text="Finalizado">
      <formula>NOT(ISERROR(SEARCH("Finalizado",P1051)))</formula>
    </cfRule>
    <cfRule type="containsText" dxfId="2787" priority="1412" operator="containsText" text="N/A">
      <formula>NOT(ISERROR(SEARCH("N/A",P1051)))</formula>
    </cfRule>
    <cfRule type="containsText" dxfId="2786" priority="1411" operator="containsText" text="Lançado">
      <formula>NOT(ISERROR(SEARCH("Lançado",P1051)))</formula>
    </cfRule>
    <cfRule type="containsText" dxfId="2785" priority="1413" operator="containsText" text="Pendente">
      <formula>NOT(ISERROR(SEARCH("Pendente",P1051)))</formula>
    </cfRule>
    <cfRule type="expression" dxfId="2784" priority="1429">
      <formula>$H1051="CÉLULA CONSTRUTIVA"</formula>
    </cfRule>
    <cfRule type="containsText" dxfId="2783" priority="1423" operator="containsText" text="Finalizado">
      <formula>NOT(ISERROR(SEARCH("Finalizado",P1051)))</formula>
    </cfRule>
    <cfRule type="expression" dxfId="2782" priority="1428">
      <formula>$H1051="SUBETAPA"</formula>
    </cfRule>
    <cfRule type="expression" dxfId="2781" priority="1427">
      <formula>$H1051="ETAPA"</formula>
    </cfRule>
    <cfRule type="containsText" dxfId="2780" priority="1431" operator="containsText" text="N/A">
      <formula>NOT(ISERROR(SEARCH("N/A",P1051)))</formula>
    </cfRule>
    <cfRule type="expression" dxfId="2779" priority="1430">
      <formula>$H1051="ETAPA"</formula>
    </cfRule>
    <cfRule type="expression" dxfId="2778" priority="1426">
      <formula>$H1051="CÉLULA CONSTRUTIVA"</formula>
    </cfRule>
    <cfRule type="expression" dxfId="2777" priority="1425">
      <formula>$H1051="SUBETAPA"</formula>
    </cfRule>
    <cfRule type="containsText" dxfId="2776" priority="1424" operator="containsText" text="em andamento">
      <formula>NOT(ISERROR(SEARCH("em andamento",P1051)))</formula>
    </cfRule>
    <cfRule type="containsText" dxfId="2775" priority="1422" operator="containsText" text="Pendente">
      <formula>NOT(ISERROR(SEARCH("Pendente",P1051)))</formula>
    </cfRule>
  </conditionalFormatting>
  <conditionalFormatting sqref="P1052">
    <cfRule type="containsText" dxfId="2774" priority="10698" operator="containsText" text="Pendente">
      <formula>NOT(ISERROR(SEARCH("Pendente",P1052)))</formula>
    </cfRule>
    <cfRule type="containsText" dxfId="2773" priority="10699" operator="containsText" text="Finalizado">
      <formula>NOT(ISERROR(SEARCH("Finalizado",P1052)))</formula>
    </cfRule>
    <cfRule type="containsText" dxfId="2772" priority="10700" operator="containsText" text="em andamento">
      <formula>NOT(ISERROR(SEARCH("em andamento",P1052)))</formula>
    </cfRule>
    <cfRule type="containsText" dxfId="2771" priority="10701" operator="containsText" text="Lançado">
      <formula>NOT(ISERROR(SEARCH("Lançado",P1052)))</formula>
    </cfRule>
    <cfRule type="containsText" dxfId="2770" priority="10702" operator="containsText" text="N/A">
      <formula>NOT(ISERROR(SEARCH("N/A",P1052)))</formula>
    </cfRule>
    <cfRule type="containsText" dxfId="2769" priority="10703" operator="containsText" text="Pendente">
      <formula>NOT(ISERROR(SEARCH("Pendente",P1052)))</formula>
    </cfRule>
    <cfRule type="containsText" dxfId="2768" priority="10704" operator="containsText" text="Finalizado">
      <formula>NOT(ISERROR(SEARCH("Finalizado",P1052)))</formula>
    </cfRule>
    <cfRule type="containsText" dxfId="2767" priority="10705" operator="containsText" text="em andamento">
      <formula>NOT(ISERROR(SEARCH("em andamento",P1052)))</formula>
    </cfRule>
    <cfRule type="containsText" dxfId="2766" priority="10710" operator="containsText" text="Finalizado">
      <formula>NOT(ISERROR(SEARCH("Finalizado",P1052)))</formula>
    </cfRule>
    <cfRule type="containsText" dxfId="2765" priority="10709" operator="containsText" text="Pendente">
      <formula>NOT(ISERROR(SEARCH("Pendente",P1052)))</formula>
    </cfRule>
    <cfRule type="containsText" dxfId="2764" priority="10708" operator="containsText" text="N/A">
      <formula>NOT(ISERROR(SEARCH("N/A",P1052)))</formula>
    </cfRule>
    <cfRule type="containsText" dxfId="2763" priority="10707" operator="containsText" text="Lançado">
      <formula>NOT(ISERROR(SEARCH("Lançado",P1052)))</formula>
    </cfRule>
    <cfRule type="containsText" dxfId="2762" priority="10696" operator="containsText" text="Lançado">
      <formula>NOT(ISERROR(SEARCH("Lançado",P1052)))</formula>
    </cfRule>
    <cfRule type="containsText" dxfId="2761" priority="10697" operator="containsText" text="N/A">
      <formula>NOT(ISERROR(SEARCH("N/A",P1052)))</formula>
    </cfRule>
    <cfRule type="containsText" dxfId="2760" priority="10711" operator="containsText" text="em andamento">
      <formula>NOT(ISERROR(SEARCH("em andamento",P1052)))</formula>
    </cfRule>
  </conditionalFormatting>
  <conditionalFormatting sqref="P1053">
    <cfRule type="expression" dxfId="2759" priority="1409">
      <formula>$H1053="ETAPA"</formula>
    </cfRule>
    <cfRule type="expression" dxfId="2758" priority="1408">
      <formula>$H1053="CÉLULA CONSTRUTIVA"</formula>
    </cfRule>
    <cfRule type="expression" dxfId="2757" priority="1407">
      <formula>$H1053="SUBETAPA"</formula>
    </cfRule>
    <cfRule type="expression" dxfId="2756" priority="1406">
      <formula>$H1053="ETAPA"</formula>
    </cfRule>
    <cfRule type="expression" dxfId="2755" priority="1405">
      <formula>$H1053="CÉLULA CONSTRUTIVA"</formula>
    </cfRule>
    <cfRule type="expression" dxfId="2754" priority="1404">
      <formula>$H1053="SUBETAPA"</formula>
    </cfRule>
    <cfRule type="containsText" dxfId="2753" priority="1403" operator="containsText" text="em andamento">
      <formula>NOT(ISERROR(SEARCH("em andamento",P1053)))</formula>
    </cfRule>
    <cfRule type="containsText" dxfId="2752" priority="1402" operator="containsText" text="Finalizado">
      <formula>NOT(ISERROR(SEARCH("Finalizado",P1053)))</formula>
    </cfRule>
    <cfRule type="containsText" dxfId="2751" priority="1401" operator="containsText" text="Pendente">
      <formula>NOT(ISERROR(SEARCH("Pendente",P1053)))</formula>
    </cfRule>
    <cfRule type="containsText" dxfId="2750" priority="1400" operator="containsText" text="Lançado">
      <formula>NOT(ISERROR(SEARCH("Lançado",P1053)))</formula>
    </cfRule>
    <cfRule type="containsText" dxfId="2749" priority="1399" operator="containsText" text="em andamento">
      <formula>NOT(ISERROR(SEARCH("em andamento",P1053)))</formula>
    </cfRule>
    <cfRule type="containsText" dxfId="2748" priority="1398" operator="containsText" text="Finalizado">
      <formula>NOT(ISERROR(SEARCH("Finalizado",P1053)))</formula>
    </cfRule>
    <cfRule type="containsText" dxfId="2747" priority="1397" operator="containsText" text="Pendente">
      <formula>NOT(ISERROR(SEARCH("Pendente",P1053)))</formula>
    </cfRule>
    <cfRule type="containsText" dxfId="2746" priority="1396" operator="containsText" text="N/A">
      <formula>NOT(ISERROR(SEARCH("N/A",P1053)))</formula>
    </cfRule>
    <cfRule type="containsText" dxfId="2745" priority="1395" operator="containsText" text="Lançado">
      <formula>NOT(ISERROR(SEARCH("Lançado",P1053)))</formula>
    </cfRule>
    <cfRule type="containsText" dxfId="2744" priority="1394" operator="containsText" text="em andamento">
      <formula>NOT(ISERROR(SEARCH("em andamento",P1053)))</formula>
    </cfRule>
    <cfRule type="containsText" dxfId="2743" priority="1393" operator="containsText" text="Finalizado">
      <formula>NOT(ISERROR(SEARCH("Finalizado",P1053)))</formula>
    </cfRule>
    <cfRule type="containsText" dxfId="2742" priority="1392" operator="containsText" text="Pendente">
      <formula>NOT(ISERROR(SEARCH("Pendente",P1053)))</formula>
    </cfRule>
    <cfRule type="containsText" dxfId="2741" priority="1391" operator="containsText" text="N/A">
      <formula>NOT(ISERROR(SEARCH("N/A",P1053)))</formula>
    </cfRule>
    <cfRule type="containsText" dxfId="2740" priority="1390" operator="containsText" text="Lançado">
      <formula>NOT(ISERROR(SEARCH("Lançado",P1053)))</formula>
    </cfRule>
    <cfRule type="containsText" dxfId="2739" priority="1410" operator="containsText" text="N/A">
      <formula>NOT(ISERROR(SEARCH("N/A",P1053)))</formula>
    </cfRule>
  </conditionalFormatting>
  <conditionalFormatting sqref="P1054">
    <cfRule type="containsText" dxfId="2738" priority="1389" operator="containsText" text="N/A">
      <formula>NOT(ISERROR(SEARCH("N/A",P1054)))</formula>
    </cfRule>
    <cfRule type="expression" dxfId="2737" priority="1388">
      <formula>$H1054="ETAPA"</formula>
    </cfRule>
    <cfRule type="expression" dxfId="2736" priority="1387">
      <formula>$H1054="CÉLULA CONSTRUTIVA"</formula>
    </cfRule>
    <cfRule type="expression" dxfId="2735" priority="1386">
      <formula>$H1054="SUBETAPA"</formula>
    </cfRule>
    <cfRule type="containsText" dxfId="2734" priority="1369" operator="containsText" text="Lançado">
      <formula>NOT(ISERROR(SEARCH("Lançado",P1054)))</formula>
    </cfRule>
    <cfRule type="containsText" dxfId="2733" priority="1370" operator="containsText" text="N/A">
      <formula>NOT(ISERROR(SEARCH("N/A",P1054)))</formula>
    </cfRule>
    <cfRule type="containsText" dxfId="2732" priority="1375" operator="containsText" text="N/A">
      <formula>NOT(ISERROR(SEARCH("N/A",P1054)))</formula>
    </cfRule>
    <cfRule type="containsText" dxfId="2731" priority="1376" operator="containsText" text="Pendente">
      <formula>NOT(ISERROR(SEARCH("Pendente",P1054)))</formula>
    </cfRule>
    <cfRule type="containsText" dxfId="2730" priority="1377" operator="containsText" text="Finalizado">
      <formula>NOT(ISERROR(SEARCH("Finalizado",P1054)))</formula>
    </cfRule>
    <cfRule type="containsText" dxfId="2729" priority="1372" operator="containsText" text="Finalizado">
      <formula>NOT(ISERROR(SEARCH("Finalizado",P1054)))</formula>
    </cfRule>
    <cfRule type="containsText" dxfId="2728" priority="1378" operator="containsText" text="em andamento">
      <formula>NOT(ISERROR(SEARCH("em andamento",P1054)))</formula>
    </cfRule>
    <cfRule type="containsText" dxfId="2727" priority="1382" operator="containsText" text="em andamento">
      <formula>NOT(ISERROR(SEARCH("em andamento",P1054)))</formula>
    </cfRule>
    <cfRule type="expression" dxfId="2726" priority="1383">
      <formula>$H1054="SUBETAPA"</formula>
    </cfRule>
    <cfRule type="expression" dxfId="2725" priority="1384">
      <formula>$H1054="CÉLULA CONSTRUTIVA"</formula>
    </cfRule>
    <cfRule type="containsText" dxfId="2724" priority="1380" operator="containsText" text="Pendente">
      <formula>NOT(ISERROR(SEARCH("Pendente",P1054)))</formula>
    </cfRule>
    <cfRule type="expression" dxfId="2723" priority="1385">
      <formula>$H1054="ETAPA"</formula>
    </cfRule>
    <cfRule type="containsText" dxfId="2722" priority="1379" operator="containsText" text="Lançado">
      <formula>NOT(ISERROR(SEARCH("Lançado",P1054)))</formula>
    </cfRule>
    <cfRule type="containsText" dxfId="2721" priority="1371" operator="containsText" text="Pendente">
      <formula>NOT(ISERROR(SEARCH("Pendente",P1054)))</formula>
    </cfRule>
    <cfRule type="containsText" dxfId="2720" priority="1381" operator="containsText" text="Finalizado">
      <formula>NOT(ISERROR(SEARCH("Finalizado",P1054)))</formula>
    </cfRule>
    <cfRule type="containsText" dxfId="2719" priority="1374" operator="containsText" text="Lançado">
      <formula>NOT(ISERROR(SEARCH("Lançado",P1054)))</formula>
    </cfRule>
    <cfRule type="containsText" dxfId="2718" priority="1373" operator="containsText" text="em andamento">
      <formula>NOT(ISERROR(SEARCH("em andamento",P1054)))</formula>
    </cfRule>
  </conditionalFormatting>
  <conditionalFormatting sqref="P1055">
    <cfRule type="expression" dxfId="2717" priority="25348">
      <formula>$H1055="CÉLULA CONSTRUTIVA"</formula>
    </cfRule>
    <cfRule type="containsText" dxfId="2716" priority="25354" operator="containsText" text="em andamento">
      <formula>NOT(ISERROR(SEARCH("em andamento",P1055)))</formula>
    </cfRule>
    <cfRule type="containsText" dxfId="2715" priority="25353" operator="containsText" text="Finalizado">
      <formula>NOT(ISERROR(SEARCH("Finalizado",P1055)))</formula>
    </cfRule>
    <cfRule type="containsText" dxfId="2714" priority="25351" operator="containsText" text="N/A">
      <formula>NOT(ISERROR(SEARCH("N/A",P1055)))</formula>
    </cfRule>
    <cfRule type="containsText" dxfId="2713" priority="25352" operator="containsText" text="Pendente">
      <formula>NOT(ISERROR(SEARCH("Pendente",P1055)))</formula>
    </cfRule>
    <cfRule type="containsText" dxfId="2712" priority="25350" operator="containsText" text="Lançado">
      <formula>NOT(ISERROR(SEARCH("Lançado",P1055)))</formula>
    </cfRule>
    <cfRule type="expression" dxfId="2711" priority="25349">
      <formula>$H1055="ETAPA"</formula>
    </cfRule>
    <cfRule type="expression" dxfId="2710" priority="25347">
      <formula>$H1055="SUBETAPA"</formula>
    </cfRule>
    <cfRule type="expression" dxfId="2709" priority="25346">
      <formula>$H1055="ETAPA"</formula>
    </cfRule>
    <cfRule type="expression" dxfId="2708" priority="25345">
      <formula>$H1055="CÉLULA CONSTRUTIVA"</formula>
    </cfRule>
    <cfRule type="expression" dxfId="2707" priority="25344">
      <formula>$H1055="SUBETAPA"</formula>
    </cfRule>
  </conditionalFormatting>
  <conditionalFormatting sqref="P1056:P1057 P1068">
    <cfRule type="containsText" dxfId="2706" priority="10182" operator="containsText" text="Finalizado">
      <formula>NOT(ISERROR(SEARCH("Finalizado",P1056)))</formula>
    </cfRule>
    <cfRule type="containsText" dxfId="2705" priority="10181" operator="containsText" text="Pendente">
      <formula>NOT(ISERROR(SEARCH("Pendente",P1056)))</formula>
    </cfRule>
    <cfRule type="containsText" dxfId="2704" priority="10183" operator="containsText" text="em andamento">
      <formula>NOT(ISERROR(SEARCH("em andamento",P1056)))</formula>
    </cfRule>
  </conditionalFormatting>
  <conditionalFormatting sqref="P1058:P1059 P1069:P1074 P1077:P1078 P1087:P1091 P1094:P1095 P1104:P1108 P1111 P1129 P1145 P1182:P1184">
    <cfRule type="expression" dxfId="2703" priority="10137">
      <formula>$H1058="ETAPA"</formula>
    </cfRule>
  </conditionalFormatting>
  <conditionalFormatting sqref="P1058:P1059 P1069:P1074 P1077:P1078 P1087:P1091 P1094:P1095 P1104:P1108 P1121:P1126 P1138:P1142 P1154:P1158 P1169:P1173 P1182:P1184">
    <cfRule type="expression" dxfId="2702" priority="13449">
      <formula>$H1058="CÉLULA CONSTRUTIVA"</formula>
    </cfRule>
    <cfRule type="expression" dxfId="2701" priority="13448">
      <formula>$H1058="SUBETAPA"</formula>
    </cfRule>
    <cfRule type="containsText" dxfId="2700" priority="13455" operator="containsText" text="em andamento">
      <formula>NOT(ISERROR(SEARCH("em andamento",P1058)))</formula>
    </cfRule>
    <cfRule type="containsText" dxfId="2699" priority="13447" operator="containsText" text="em andamento">
      <formula>NOT(ISERROR(SEARCH("em andamento",P1058)))</formula>
    </cfRule>
    <cfRule type="containsText" dxfId="2698" priority="13444" operator="containsText" text="N/A">
      <formula>NOT(ISERROR(SEARCH("N/A",P1058)))</formula>
    </cfRule>
    <cfRule type="containsText" dxfId="2697" priority="13443" operator="containsText" text="Lançado">
      <formula>NOT(ISERROR(SEARCH("Lançado",P1058)))</formula>
    </cfRule>
    <cfRule type="containsText" dxfId="2696" priority="13440" operator="containsText" text="Pendente">
      <formula>NOT(ISERROR(SEARCH("Pendente",P1058)))</formula>
    </cfRule>
    <cfRule type="containsText" dxfId="2695" priority="13439" operator="containsText" text="N/A">
      <formula>NOT(ISERROR(SEARCH("N/A",P1058)))</formula>
    </cfRule>
    <cfRule type="containsText" dxfId="2694" priority="13445" operator="containsText" text="Pendente">
      <formula>NOT(ISERROR(SEARCH("Pendente",P1058)))</formula>
    </cfRule>
    <cfRule type="containsText" dxfId="2693" priority="13438" operator="containsText" text="Lançado">
      <formula>NOT(ISERROR(SEARCH("Lançado",P1058)))</formula>
    </cfRule>
    <cfRule type="containsText" dxfId="2692" priority="13442" operator="containsText" text="em andamento">
      <formula>NOT(ISERROR(SEARCH("em andamento",P1058)))</formula>
    </cfRule>
    <cfRule type="expression" dxfId="2691" priority="13436">
      <formula>$H1058="CÉLULA CONSTRUTIVA"</formula>
    </cfRule>
    <cfRule type="expression" dxfId="2690" priority="13435">
      <formula>$H1058="SUBETAPA"</formula>
    </cfRule>
    <cfRule type="containsText" dxfId="2689" priority="13451" operator="containsText" text="Lançado">
      <formula>NOT(ISERROR(SEARCH("Lançado",P1058)))</formula>
    </cfRule>
    <cfRule type="containsText" dxfId="2688" priority="13453" operator="containsText" text="Pendente">
      <formula>NOT(ISERROR(SEARCH("Pendente",P1058)))</formula>
    </cfRule>
  </conditionalFormatting>
  <conditionalFormatting sqref="P1060">
    <cfRule type="containsText" dxfId="2687" priority="9791" operator="containsText" text="Lançado">
      <formula>NOT(ISERROR(SEARCH("Lançado",P1060)))</formula>
    </cfRule>
    <cfRule type="containsText" dxfId="2686" priority="9793" operator="containsText" text="Pendente">
      <formula>NOT(ISERROR(SEARCH("Pendente",P1060)))</formula>
    </cfRule>
    <cfRule type="containsText" dxfId="2685" priority="9792" operator="containsText" text="N/A">
      <formula>NOT(ISERROR(SEARCH("N/A",P1060)))</formula>
    </cfRule>
    <cfRule type="containsText" dxfId="2684" priority="9794" operator="containsText" text="Finalizado">
      <formula>NOT(ISERROR(SEARCH("Finalizado",P1060)))</formula>
    </cfRule>
    <cfRule type="containsText" dxfId="2683" priority="9795" operator="containsText" text="em andamento">
      <formula>NOT(ISERROR(SEARCH("em andamento",P1060)))</formula>
    </cfRule>
  </conditionalFormatting>
  <conditionalFormatting sqref="P1061:P1065">
    <cfRule type="expression" dxfId="2682" priority="3643">
      <formula>$H1061="ETAPA"</formula>
    </cfRule>
    <cfRule type="containsText" dxfId="2681" priority="3644" operator="containsText" text="Finalizado">
      <formula>NOT(ISERROR(SEARCH("Finalizado",P1061)))</formula>
    </cfRule>
    <cfRule type="containsText" dxfId="2680" priority="3661" operator="containsText" text="N/A">
      <formula>NOT(ISERROR(SEARCH("N/A",P1061)))</formula>
    </cfRule>
    <cfRule type="expression" dxfId="2679" priority="3660">
      <formula>$H1061="ETAPA"</formula>
    </cfRule>
    <cfRule type="containsText" dxfId="2678" priority="3659" operator="containsText" text="em andamento">
      <formula>NOT(ISERROR(SEARCH("em andamento",P1061)))</formula>
    </cfRule>
    <cfRule type="containsText" dxfId="2677" priority="3658" operator="containsText" text="Pendente">
      <formula>NOT(ISERROR(SEARCH("Pendente",P1061)))</formula>
    </cfRule>
    <cfRule type="containsText" dxfId="2676" priority="3657" operator="containsText" text="Lançado">
      <formula>NOT(ISERROR(SEARCH("Lançado",P1061)))</formula>
    </cfRule>
    <cfRule type="expression" dxfId="2675" priority="3656">
      <formula>$H1061="CÉLULA CONSTRUTIVA"</formula>
    </cfRule>
    <cfRule type="expression" dxfId="2674" priority="3655">
      <formula>$H1061="SUBETAPA"</formula>
    </cfRule>
    <cfRule type="expression" dxfId="2673" priority="3646">
      <formula>$H1061="CÉLULA CONSTRUTIVA"</formula>
    </cfRule>
    <cfRule type="containsText" dxfId="2672" priority="3653" operator="containsText" text="Pendente">
      <formula>NOT(ISERROR(SEARCH("Pendente",P1061)))</formula>
    </cfRule>
    <cfRule type="containsText" dxfId="2671" priority="3652" operator="containsText" text="N/A">
      <formula>NOT(ISERROR(SEARCH("N/A",P1061)))</formula>
    </cfRule>
    <cfRule type="containsText" dxfId="2670" priority="3651" operator="containsText" text="Lançado">
      <formula>NOT(ISERROR(SEARCH("Lançado",P1061)))</formula>
    </cfRule>
    <cfRule type="containsText" dxfId="2669" priority="3647" operator="containsText" text="Lançado">
      <formula>NOT(ISERROR(SEARCH("Lançado",P1061)))</formula>
    </cfRule>
    <cfRule type="containsText" dxfId="2668" priority="3648" operator="containsText" text="N/A">
      <formula>NOT(ISERROR(SEARCH("N/A",P1061)))</formula>
    </cfRule>
    <cfRule type="containsText" dxfId="2667" priority="3650" operator="containsText" text="em andamento">
      <formula>NOT(ISERROR(SEARCH("em andamento",P1061)))</formula>
    </cfRule>
    <cfRule type="expression" dxfId="2666" priority="3645">
      <formula>$H1061="SUBETAPA"</formula>
    </cfRule>
    <cfRule type="containsText" dxfId="2665" priority="3649" operator="containsText" text="Pendente">
      <formula>NOT(ISERROR(SEARCH("Pendente",P1061)))</formula>
    </cfRule>
    <cfRule type="containsText" dxfId="2664" priority="3654" operator="containsText" text="em andamento">
      <formula>NOT(ISERROR(SEARCH("em andamento",P1061)))</formula>
    </cfRule>
  </conditionalFormatting>
  <conditionalFormatting sqref="P1066 P1244 P1267 P1288">
    <cfRule type="expression" dxfId="2663" priority="9784">
      <formula>$H1066="CÉLULA CONSTRUTIVA"</formula>
    </cfRule>
    <cfRule type="expression" dxfId="2662" priority="9783">
      <formula>$H1066="SUBETAPA"</formula>
    </cfRule>
    <cfRule type="containsText" dxfId="2661" priority="9790" operator="containsText" text="em andamento">
      <formula>NOT(ISERROR(SEARCH("em andamento",P1066)))</formula>
    </cfRule>
    <cfRule type="containsText" dxfId="2660" priority="9789" operator="containsText" text="Finalizado">
      <formula>NOT(ISERROR(SEARCH("Finalizado",P1066)))</formula>
    </cfRule>
    <cfRule type="containsText" dxfId="2659" priority="9788" operator="containsText" text="Pendente">
      <formula>NOT(ISERROR(SEARCH("Pendente",P1066)))</formula>
    </cfRule>
    <cfRule type="containsText" dxfId="2658" priority="9787" operator="containsText" text="N/A">
      <formula>NOT(ISERROR(SEARCH("N/A",P1066)))</formula>
    </cfRule>
    <cfRule type="containsText" dxfId="2657" priority="9786" operator="containsText" text="Lançado">
      <formula>NOT(ISERROR(SEARCH("Lançado",P1066)))</formula>
    </cfRule>
  </conditionalFormatting>
  <conditionalFormatting sqref="P1067">
    <cfRule type="containsText" dxfId="2656" priority="3634" operator="containsText" text="N/A">
      <formula>NOT(ISERROR(SEARCH("N/A",P1067)))</formula>
    </cfRule>
    <cfRule type="containsText" dxfId="2655" priority="3639" operator="containsText" text="Lançado">
      <formula>NOT(ISERROR(SEARCH("Lançado",P1067)))</formula>
    </cfRule>
    <cfRule type="containsText" dxfId="2654" priority="3642" operator="containsText" text="N/A">
      <formula>NOT(ISERROR(SEARCH("N/A",P1067)))</formula>
    </cfRule>
    <cfRule type="expression" dxfId="2653" priority="3638">
      <formula>$H1067="CÉLULA CONSTRUTIVA"</formula>
    </cfRule>
    <cfRule type="expression" dxfId="2652" priority="3637">
      <formula>$H1067="SUBETAPA"</formula>
    </cfRule>
    <cfRule type="containsText" dxfId="2651" priority="3636" operator="containsText" text="em andamento">
      <formula>NOT(ISERROR(SEARCH("em andamento",P1067)))</formula>
    </cfRule>
    <cfRule type="expression" dxfId="2650" priority="3628">
      <formula>$H1067="CÉLULA CONSTRUTIVA"</formula>
    </cfRule>
    <cfRule type="containsText" dxfId="2649" priority="3635" operator="containsText" text="Pendente">
      <formula>NOT(ISERROR(SEARCH("Pendente",P1067)))</formula>
    </cfRule>
    <cfRule type="containsText" dxfId="2648" priority="3633" operator="containsText" text="Lançado">
      <formula>NOT(ISERROR(SEARCH("Lançado",P1067)))</formula>
    </cfRule>
    <cfRule type="containsText" dxfId="2647" priority="3632" operator="containsText" text="em andamento">
      <formula>NOT(ISERROR(SEARCH("em andamento",P1067)))</formula>
    </cfRule>
    <cfRule type="containsText" dxfId="2646" priority="3631" operator="containsText" text="Pendente">
      <formula>NOT(ISERROR(SEARCH("Pendente",P1067)))</formula>
    </cfRule>
    <cfRule type="containsText" dxfId="2645" priority="3630" operator="containsText" text="N/A">
      <formula>NOT(ISERROR(SEARCH("N/A",P1067)))</formula>
    </cfRule>
    <cfRule type="containsText" dxfId="2644" priority="3629" operator="containsText" text="Lançado">
      <formula>NOT(ISERROR(SEARCH("Lançado",P1067)))</formula>
    </cfRule>
    <cfRule type="containsText" dxfId="2643" priority="3641" operator="containsText" text="em andamento">
      <formula>NOT(ISERROR(SEARCH("em andamento",P1067)))</formula>
    </cfRule>
    <cfRule type="expression" dxfId="2642" priority="3627">
      <formula>$H1067="SUBETAPA"</formula>
    </cfRule>
    <cfRule type="containsText" dxfId="2641" priority="3626" operator="containsText" text="Finalizado">
      <formula>NOT(ISERROR(SEARCH("Finalizado",P1067)))</formula>
    </cfRule>
    <cfRule type="expression" dxfId="2640" priority="3625">
      <formula>$H1067="ETAPA"</formula>
    </cfRule>
    <cfRule type="containsText" dxfId="2639" priority="3640" operator="containsText" text="Pendente">
      <formula>NOT(ISERROR(SEARCH("Pendente",P1067)))</formula>
    </cfRule>
  </conditionalFormatting>
  <conditionalFormatting sqref="P1068 P1056:P1057">
    <cfRule type="containsText" dxfId="2638" priority="10180" operator="containsText" text="N/A">
      <formula>NOT(ISERROR(SEARCH("N/A",P1056)))</formula>
    </cfRule>
    <cfRule type="containsText" dxfId="2637" priority="10179" operator="containsText" text="Lançado">
      <formula>NOT(ISERROR(SEARCH("Lançado",P1056)))</formula>
    </cfRule>
  </conditionalFormatting>
  <conditionalFormatting sqref="P1075:P1076 P1079 P1086">
    <cfRule type="containsText" dxfId="2636" priority="10107" operator="containsText" text="em andamento">
      <formula>NOT(ISERROR(SEARCH("em andamento",P1075)))</formula>
    </cfRule>
  </conditionalFormatting>
  <conditionalFormatting sqref="P1075:P1076 P1086 P1079">
    <cfRule type="containsText" dxfId="2635" priority="10106" operator="containsText" text="Finalizado">
      <formula>NOT(ISERROR(SEARCH("Finalizado",P1075)))</formula>
    </cfRule>
  </conditionalFormatting>
  <conditionalFormatting sqref="P1075:P1076 P1086">
    <cfRule type="containsText" dxfId="2634" priority="10105" operator="containsText" text="Pendente">
      <formula>NOT(ISERROR(SEARCH("Pendente",P1075)))</formula>
    </cfRule>
  </conditionalFormatting>
  <conditionalFormatting sqref="P1077:P1078 P1094:P1095 P1111 P1129 P1145">
    <cfRule type="containsText" dxfId="2633" priority="10152" operator="containsText" text="N/A">
      <formula>NOT(ISERROR(SEARCH("N/A",P1077)))</formula>
    </cfRule>
  </conditionalFormatting>
  <conditionalFormatting sqref="P1077:P1078">
    <cfRule type="containsText" dxfId="2632" priority="3624" operator="containsText" text="N/A">
      <formula>NOT(ISERROR(SEARCH("N/A",P1077)))</formula>
    </cfRule>
  </conditionalFormatting>
  <conditionalFormatting sqref="P1079">
    <cfRule type="containsText" dxfId="2631" priority="10100" operator="containsText" text="Lançado">
      <formula>NOT(ISERROR(SEARCH("Lançado",P1079)))</formula>
    </cfRule>
    <cfRule type="containsText" dxfId="2630" priority="10101" operator="containsText" text="N/A">
      <formula>NOT(ISERROR(SEARCH("N/A",P1079)))</formula>
    </cfRule>
    <cfRule type="containsText" dxfId="2629" priority="10102" operator="containsText" text="Pendente">
      <formula>NOT(ISERROR(SEARCH("Pendente",P1079)))</formula>
    </cfRule>
  </conditionalFormatting>
  <conditionalFormatting sqref="P1080:P1083">
    <cfRule type="containsText" dxfId="2628" priority="3611" operator="containsText" text="Pendente">
      <formula>NOT(ISERROR(SEARCH("Pendente",P1080)))</formula>
    </cfRule>
    <cfRule type="expression" dxfId="2627" priority="3622">
      <formula>$H1080="ETAPA"</formula>
    </cfRule>
    <cfRule type="containsText" dxfId="2626" priority="3621" operator="containsText" text="em andamento">
      <formula>NOT(ISERROR(SEARCH("em andamento",P1080)))</formula>
    </cfRule>
    <cfRule type="containsText" dxfId="2625" priority="3612" operator="containsText" text="em andamento">
      <formula>NOT(ISERROR(SEARCH("em andamento",P1080)))</formula>
    </cfRule>
    <cfRule type="expression" dxfId="2624" priority="3617">
      <formula>$H1080="SUBETAPA"</formula>
    </cfRule>
    <cfRule type="containsText" dxfId="2623" priority="3616" operator="containsText" text="em andamento">
      <formula>NOT(ISERROR(SEARCH("em andamento",P1080)))</formula>
    </cfRule>
    <cfRule type="containsText" dxfId="2622" priority="3620" operator="containsText" text="Pendente">
      <formula>NOT(ISERROR(SEARCH("Pendente",P1080)))</formula>
    </cfRule>
    <cfRule type="containsText" dxfId="2621" priority="3615" operator="containsText" text="Pendente">
      <formula>NOT(ISERROR(SEARCH("Pendente",P1080)))</formula>
    </cfRule>
    <cfRule type="containsText" dxfId="2620" priority="3614" operator="containsText" text="N/A">
      <formula>NOT(ISERROR(SEARCH("N/A",P1080)))</formula>
    </cfRule>
    <cfRule type="containsText" dxfId="2619" priority="3613" operator="containsText" text="Lançado">
      <formula>NOT(ISERROR(SEARCH("Lançado",P1080)))</formula>
    </cfRule>
    <cfRule type="expression" dxfId="2618" priority="3605">
      <formula>$H1080="ETAPA"</formula>
    </cfRule>
    <cfRule type="expression" dxfId="2617" priority="3618">
      <formula>$H1080="CÉLULA CONSTRUTIVA"</formula>
    </cfRule>
    <cfRule type="containsText" dxfId="2616" priority="3623" operator="containsText" text="N/A">
      <formula>NOT(ISERROR(SEARCH("N/A",P1080)))</formula>
    </cfRule>
    <cfRule type="containsText" dxfId="2615" priority="3619" operator="containsText" text="Lançado">
      <formula>NOT(ISERROR(SEARCH("Lançado",P1080)))</formula>
    </cfRule>
    <cfRule type="containsText" dxfId="2614" priority="3606" operator="containsText" text="Finalizado">
      <formula>NOT(ISERROR(SEARCH("Finalizado",P1080)))</formula>
    </cfRule>
    <cfRule type="expression" dxfId="2613" priority="3607">
      <formula>$H1080="SUBETAPA"</formula>
    </cfRule>
    <cfRule type="expression" dxfId="2612" priority="3608">
      <formula>$H1080="CÉLULA CONSTRUTIVA"</formula>
    </cfRule>
    <cfRule type="containsText" dxfId="2611" priority="3609" operator="containsText" text="Lançado">
      <formula>NOT(ISERROR(SEARCH("Lançado",P1080)))</formula>
    </cfRule>
    <cfRule type="containsText" dxfId="2610" priority="3610" operator="containsText" text="N/A">
      <formula>NOT(ISERROR(SEARCH("N/A",P1080)))</formula>
    </cfRule>
  </conditionalFormatting>
  <conditionalFormatting sqref="P1084">
    <cfRule type="containsText" dxfId="2609" priority="10099" operator="containsText" text="em andamento">
      <formula>NOT(ISERROR(SEARCH("em andamento",P1084)))</formula>
    </cfRule>
    <cfRule type="containsText" dxfId="2608" priority="10098" operator="containsText" text="Finalizado">
      <formula>NOT(ISERROR(SEARCH("Finalizado",P1084)))</formula>
    </cfRule>
    <cfRule type="containsText" dxfId="2607" priority="10097" operator="containsText" text="Pendente">
      <formula>NOT(ISERROR(SEARCH("Pendente",P1084)))</formula>
    </cfRule>
    <cfRule type="containsText" dxfId="2606" priority="10096" operator="containsText" text="N/A">
      <formula>NOT(ISERROR(SEARCH("N/A",P1084)))</formula>
    </cfRule>
    <cfRule type="expression" dxfId="2605" priority="10093">
      <formula>$H1084="CÉLULA CONSTRUTIVA"</formula>
    </cfRule>
    <cfRule type="expression" dxfId="2604" priority="10092">
      <formula>$H1084="SUBETAPA"</formula>
    </cfRule>
    <cfRule type="containsText" dxfId="2603" priority="10095" operator="containsText" text="Lançado">
      <formula>NOT(ISERROR(SEARCH("Lançado",P1084)))</formula>
    </cfRule>
  </conditionalFormatting>
  <conditionalFormatting sqref="P1085">
    <cfRule type="containsText" dxfId="2602" priority="3598" operator="containsText" text="em andamento">
      <formula>NOT(ISERROR(SEARCH("em andamento",P1085)))</formula>
    </cfRule>
    <cfRule type="containsText" dxfId="2601" priority="3592" operator="containsText" text="N/A">
      <formula>NOT(ISERROR(SEARCH("N/A",P1085)))</formula>
    </cfRule>
    <cfRule type="containsText" dxfId="2600" priority="3597" operator="containsText" text="Pendente">
      <formula>NOT(ISERROR(SEARCH("Pendente",P1085)))</formula>
    </cfRule>
    <cfRule type="containsText" dxfId="2599" priority="3594" operator="containsText" text="em andamento">
      <formula>NOT(ISERROR(SEARCH("em andamento",P1085)))</formula>
    </cfRule>
    <cfRule type="containsText" dxfId="2598" priority="3595" operator="containsText" text="Lançado">
      <formula>NOT(ISERROR(SEARCH("Lançado",P1085)))</formula>
    </cfRule>
    <cfRule type="containsText" dxfId="2597" priority="3596" operator="containsText" text="N/A">
      <formula>NOT(ISERROR(SEARCH("N/A",P1085)))</formula>
    </cfRule>
    <cfRule type="containsText" dxfId="2596" priority="3588" operator="containsText" text="Finalizado">
      <formula>NOT(ISERROR(SEARCH("Finalizado",P1085)))</formula>
    </cfRule>
    <cfRule type="expression" dxfId="2595" priority="3587">
      <formula>$H1085="ETAPA"</formula>
    </cfRule>
    <cfRule type="expression" dxfId="2594" priority="3599">
      <formula>$H1085="SUBETAPA"</formula>
    </cfRule>
    <cfRule type="expression" dxfId="2593" priority="3600">
      <formula>$H1085="CÉLULA CONSTRUTIVA"</formula>
    </cfRule>
    <cfRule type="containsText" dxfId="2592" priority="3601" operator="containsText" text="Lançado">
      <formula>NOT(ISERROR(SEARCH("Lançado",P1085)))</formula>
    </cfRule>
    <cfRule type="containsText" dxfId="2591" priority="3593" operator="containsText" text="Pendente">
      <formula>NOT(ISERROR(SEARCH("Pendente",P1085)))</formula>
    </cfRule>
    <cfRule type="containsText" dxfId="2590" priority="3603" operator="containsText" text="em andamento">
      <formula>NOT(ISERROR(SEARCH("em andamento",P1085)))</formula>
    </cfRule>
    <cfRule type="containsText" dxfId="2589" priority="3604" operator="containsText" text="N/A">
      <formula>NOT(ISERROR(SEARCH("N/A",P1085)))</formula>
    </cfRule>
    <cfRule type="expression" dxfId="2588" priority="3590">
      <formula>$H1085="CÉLULA CONSTRUTIVA"</formula>
    </cfRule>
    <cfRule type="containsText" dxfId="2587" priority="3591" operator="containsText" text="Lançado">
      <formula>NOT(ISERROR(SEARCH("Lançado",P1085)))</formula>
    </cfRule>
    <cfRule type="expression" dxfId="2586" priority="3589">
      <formula>$H1085="SUBETAPA"</formula>
    </cfRule>
    <cfRule type="containsText" dxfId="2585" priority="3602" operator="containsText" text="Pendente">
      <formula>NOT(ISERROR(SEARCH("Pendente",P1085)))</formula>
    </cfRule>
  </conditionalFormatting>
  <conditionalFormatting sqref="P1086 P1075:P1076">
    <cfRule type="containsText" dxfId="2584" priority="10103" operator="containsText" text="Lançado">
      <formula>NOT(ISERROR(SEARCH("Lançado",P1075)))</formula>
    </cfRule>
    <cfRule type="containsText" dxfId="2583" priority="10104" operator="containsText" text="N/A">
      <formula>NOT(ISERROR(SEARCH("N/A",P1075)))</formula>
    </cfRule>
  </conditionalFormatting>
  <conditionalFormatting sqref="P1092:P1093 P1096 P1103">
    <cfRule type="containsText" dxfId="2582" priority="10051" operator="containsText" text="em andamento">
      <formula>NOT(ISERROR(SEARCH("em andamento",P1092)))</formula>
    </cfRule>
  </conditionalFormatting>
  <conditionalFormatting sqref="P1092:P1093 P1103 P1096">
    <cfRule type="containsText" dxfId="2581" priority="10050" operator="containsText" text="Finalizado">
      <formula>NOT(ISERROR(SEARCH("Finalizado",P1092)))</formula>
    </cfRule>
  </conditionalFormatting>
  <conditionalFormatting sqref="P1092:P1093 P1103">
    <cfRule type="containsText" dxfId="2580" priority="10049" operator="containsText" text="Pendente">
      <formula>NOT(ISERROR(SEARCH("Pendente",P1092)))</formula>
    </cfRule>
  </conditionalFormatting>
  <conditionalFormatting sqref="P1094:P1095">
    <cfRule type="containsText" dxfId="2579" priority="3586" operator="containsText" text="N/A">
      <formula>NOT(ISERROR(SEARCH("N/A",P1094)))</formula>
    </cfRule>
  </conditionalFormatting>
  <conditionalFormatting sqref="P1096">
    <cfRule type="containsText" dxfId="2578" priority="10044" operator="containsText" text="Lançado">
      <formula>NOT(ISERROR(SEARCH("Lançado",P1096)))</formula>
    </cfRule>
    <cfRule type="containsText" dxfId="2577" priority="10046" operator="containsText" text="Pendente">
      <formula>NOT(ISERROR(SEARCH("Pendente",P1096)))</formula>
    </cfRule>
    <cfRule type="containsText" dxfId="2576" priority="10045" operator="containsText" text="N/A">
      <formula>NOT(ISERROR(SEARCH("N/A",P1096)))</formula>
    </cfRule>
  </conditionalFormatting>
  <conditionalFormatting sqref="P1097:P1100">
    <cfRule type="containsText" dxfId="2575" priority="3573" operator="containsText" text="Pendente">
      <formula>NOT(ISERROR(SEARCH("Pendente",P1097)))</formula>
    </cfRule>
    <cfRule type="containsText" dxfId="2574" priority="3581" operator="containsText" text="Lançado">
      <formula>NOT(ISERROR(SEARCH("Lançado",P1097)))</formula>
    </cfRule>
    <cfRule type="containsText" dxfId="2573" priority="3577" operator="containsText" text="Pendente">
      <formula>NOT(ISERROR(SEARCH("Pendente",P1097)))</formula>
    </cfRule>
    <cfRule type="containsText" dxfId="2572" priority="3585" operator="containsText" text="N/A">
      <formula>NOT(ISERROR(SEARCH("N/A",P1097)))</formula>
    </cfRule>
    <cfRule type="containsText" dxfId="2571" priority="3568" operator="containsText" text="Finalizado">
      <formula>NOT(ISERROR(SEARCH("Finalizado",P1097)))</formula>
    </cfRule>
    <cfRule type="expression" dxfId="2570" priority="3569">
      <formula>$H1097="SUBETAPA"</formula>
    </cfRule>
    <cfRule type="expression" dxfId="2569" priority="3570">
      <formula>$H1097="CÉLULA CONSTRUTIVA"</formula>
    </cfRule>
    <cfRule type="expression" dxfId="2568" priority="3584">
      <formula>$H1097="ETAPA"</formula>
    </cfRule>
    <cfRule type="containsText" dxfId="2567" priority="3583" operator="containsText" text="em andamento">
      <formula>NOT(ISERROR(SEARCH("em andamento",P1097)))</formula>
    </cfRule>
    <cfRule type="containsText" dxfId="2566" priority="3582" operator="containsText" text="Pendente">
      <formula>NOT(ISERROR(SEARCH("Pendente",P1097)))</formula>
    </cfRule>
    <cfRule type="containsText" dxfId="2565" priority="3571" operator="containsText" text="Lançado">
      <formula>NOT(ISERROR(SEARCH("Lançado",P1097)))</formula>
    </cfRule>
    <cfRule type="expression" dxfId="2564" priority="3567">
      <formula>$H1097="ETAPA"</formula>
    </cfRule>
    <cfRule type="containsText" dxfId="2563" priority="3572" operator="containsText" text="N/A">
      <formula>NOT(ISERROR(SEARCH("N/A",P1097)))</formula>
    </cfRule>
    <cfRule type="containsText" dxfId="2562" priority="3574" operator="containsText" text="em andamento">
      <formula>NOT(ISERROR(SEARCH("em andamento",P1097)))</formula>
    </cfRule>
    <cfRule type="expression" dxfId="2561" priority="3579">
      <formula>$H1097="SUBETAPA"</formula>
    </cfRule>
    <cfRule type="expression" dxfId="2560" priority="3580">
      <formula>$H1097="CÉLULA CONSTRUTIVA"</formula>
    </cfRule>
    <cfRule type="containsText" dxfId="2559" priority="3575" operator="containsText" text="Lançado">
      <formula>NOT(ISERROR(SEARCH("Lançado",P1097)))</formula>
    </cfRule>
    <cfRule type="containsText" dxfId="2558" priority="3576" operator="containsText" text="N/A">
      <formula>NOT(ISERROR(SEARCH("N/A",P1097)))</formula>
    </cfRule>
    <cfRule type="containsText" dxfId="2557" priority="3578" operator="containsText" text="em andamento">
      <formula>NOT(ISERROR(SEARCH("em andamento",P1097)))</formula>
    </cfRule>
  </conditionalFormatting>
  <conditionalFormatting sqref="P1101">
    <cfRule type="containsText" dxfId="2556" priority="10040" operator="containsText" text="N/A">
      <formula>NOT(ISERROR(SEARCH("N/A",P1101)))</formula>
    </cfRule>
    <cfRule type="containsText" dxfId="2555" priority="10039" operator="containsText" text="Lançado">
      <formula>NOT(ISERROR(SEARCH("Lançado",P1101)))</formula>
    </cfRule>
    <cfRule type="expression" dxfId="2554" priority="10036">
      <formula>$H1101="SUBETAPA"</formula>
    </cfRule>
    <cfRule type="containsText" dxfId="2553" priority="10042" operator="containsText" text="Finalizado">
      <formula>NOT(ISERROR(SEARCH("Finalizado",P1101)))</formula>
    </cfRule>
    <cfRule type="containsText" dxfId="2552" priority="10043" operator="containsText" text="em andamento">
      <formula>NOT(ISERROR(SEARCH("em andamento",P1101)))</formula>
    </cfRule>
    <cfRule type="expression" dxfId="2551" priority="10037">
      <formula>$H1101="CÉLULA CONSTRUTIVA"</formula>
    </cfRule>
    <cfRule type="containsText" dxfId="2550" priority="10041" operator="containsText" text="Pendente">
      <formula>NOT(ISERROR(SEARCH("Pendente",P1101)))</formula>
    </cfRule>
  </conditionalFormatting>
  <conditionalFormatting sqref="P1102">
    <cfRule type="containsText" dxfId="2549" priority="3553" operator="containsText" text="Lançado">
      <formula>NOT(ISERROR(SEARCH("Lançado",P1102)))</formula>
    </cfRule>
    <cfRule type="containsText" dxfId="2548" priority="3554" operator="containsText" text="N/A">
      <formula>NOT(ISERROR(SEARCH("N/A",P1102)))</formula>
    </cfRule>
    <cfRule type="containsText" dxfId="2547" priority="3555" operator="containsText" text="Pendente">
      <formula>NOT(ISERROR(SEARCH("Pendente",P1102)))</formula>
    </cfRule>
    <cfRule type="containsText" dxfId="2546" priority="3566" operator="containsText" text="N/A">
      <formula>NOT(ISERROR(SEARCH("N/A",P1102)))</formula>
    </cfRule>
    <cfRule type="containsText" dxfId="2545" priority="3550" operator="containsText" text="Finalizado">
      <formula>NOT(ISERROR(SEARCH("Finalizado",P1102)))</formula>
    </cfRule>
    <cfRule type="containsText" dxfId="2544" priority="3556" operator="containsText" text="em andamento">
      <formula>NOT(ISERROR(SEARCH("em andamento",P1102)))</formula>
    </cfRule>
    <cfRule type="expression" dxfId="2543" priority="3551">
      <formula>$H1102="SUBETAPA"</formula>
    </cfRule>
    <cfRule type="containsText" dxfId="2542" priority="3559" operator="containsText" text="Pendente">
      <formula>NOT(ISERROR(SEARCH("Pendente",P1102)))</formula>
    </cfRule>
    <cfRule type="containsText" dxfId="2541" priority="3557" operator="containsText" text="Lançado">
      <formula>NOT(ISERROR(SEARCH("Lançado",P1102)))</formula>
    </cfRule>
    <cfRule type="containsText" dxfId="2540" priority="3563" operator="containsText" text="Lançado">
      <formula>NOT(ISERROR(SEARCH("Lançado",P1102)))</formula>
    </cfRule>
    <cfRule type="expression" dxfId="2539" priority="3562">
      <formula>$H1102="CÉLULA CONSTRUTIVA"</formula>
    </cfRule>
    <cfRule type="containsText" dxfId="2538" priority="3558" operator="containsText" text="N/A">
      <formula>NOT(ISERROR(SEARCH("N/A",P1102)))</formula>
    </cfRule>
    <cfRule type="containsText" dxfId="2537" priority="3565" operator="containsText" text="em andamento">
      <formula>NOT(ISERROR(SEARCH("em andamento",P1102)))</formula>
    </cfRule>
    <cfRule type="expression" dxfId="2536" priority="3561">
      <formula>$H1102="SUBETAPA"</formula>
    </cfRule>
    <cfRule type="expression" dxfId="2535" priority="3552">
      <formula>$H1102="CÉLULA CONSTRUTIVA"</formula>
    </cfRule>
    <cfRule type="expression" dxfId="2534" priority="3549">
      <formula>$H1102="ETAPA"</formula>
    </cfRule>
    <cfRule type="containsText" dxfId="2533" priority="3560" operator="containsText" text="em andamento">
      <formula>NOT(ISERROR(SEARCH("em andamento",P1102)))</formula>
    </cfRule>
    <cfRule type="containsText" dxfId="2532" priority="3564" operator="containsText" text="Pendente">
      <formula>NOT(ISERROR(SEARCH("Pendente",P1102)))</formula>
    </cfRule>
  </conditionalFormatting>
  <conditionalFormatting sqref="P1103 P1092:P1093">
    <cfRule type="containsText" dxfId="2531" priority="10048" operator="containsText" text="N/A">
      <formula>NOT(ISERROR(SEARCH("N/A",P1092)))</formula>
    </cfRule>
    <cfRule type="containsText" dxfId="2530" priority="10047" operator="containsText" text="Lançado">
      <formula>NOT(ISERROR(SEARCH("Lançado",P1092)))</formula>
    </cfRule>
  </conditionalFormatting>
  <conditionalFormatting sqref="P1104:P1108">
    <cfRule type="containsText" dxfId="2529" priority="3548" operator="containsText" text="N/A">
      <formula>NOT(ISERROR(SEARCH("N/A",P1104)))</formula>
    </cfRule>
  </conditionalFormatting>
  <conditionalFormatting sqref="P1109:P1110 P1112 P1120">
    <cfRule type="containsText" dxfId="2528" priority="9995" operator="containsText" text="em andamento">
      <formula>NOT(ISERROR(SEARCH("em andamento",P1109)))</formula>
    </cfRule>
  </conditionalFormatting>
  <conditionalFormatting sqref="P1109:P1110 P1120 P1112">
    <cfRule type="containsText" dxfId="2527" priority="9994" operator="containsText" text="Finalizado">
      <formula>NOT(ISERROR(SEARCH("Finalizado",P1109)))</formula>
    </cfRule>
  </conditionalFormatting>
  <conditionalFormatting sqref="P1109:P1110 P1120">
    <cfRule type="containsText" dxfId="2526" priority="9993" operator="containsText" text="Pendente">
      <formula>NOT(ISERROR(SEARCH("Pendente",P1109)))</formula>
    </cfRule>
  </conditionalFormatting>
  <conditionalFormatting sqref="P1111 P1129 P1145 P1058:P1059 P1069:P1074 P1077:P1078 P1087:P1091 P1094:P1095 P1104:P1108 P1182:P1184">
    <cfRule type="containsText" dxfId="2525" priority="10141" operator="containsText" text="Finalizado">
      <formula>NOT(ISERROR(SEARCH("Finalizado",P1058)))</formula>
    </cfRule>
  </conditionalFormatting>
  <conditionalFormatting sqref="P1111 P1129 P1145">
    <cfRule type="expression" dxfId="2524" priority="10136">
      <formula>$H1111="CÉLULA CONSTRUTIVA"</formula>
    </cfRule>
    <cfRule type="containsText" dxfId="2523" priority="10153" operator="containsText" text="Pendente">
      <formula>NOT(ISERROR(SEARCH("Pendente",P1111)))</formula>
    </cfRule>
    <cfRule type="containsText" dxfId="2522" priority="10138" operator="containsText" text="Lançado">
      <formula>NOT(ISERROR(SEARCH("Lançado",P1111)))</formula>
    </cfRule>
    <cfRule type="containsText" dxfId="2521" priority="10139" operator="containsText" text="N/A">
      <formula>NOT(ISERROR(SEARCH("N/A",P1111)))</formula>
    </cfRule>
    <cfRule type="containsText" dxfId="2520" priority="10140" operator="containsText" text="Pendente">
      <formula>NOT(ISERROR(SEARCH("Pendente",P1111)))</formula>
    </cfRule>
    <cfRule type="expression" dxfId="2519" priority="10149">
      <formula>$H1111="CÉLULA CONSTRUTIVA"</formula>
    </cfRule>
    <cfRule type="containsText" dxfId="2518" priority="10144" operator="containsText" text="N/A">
      <formula>NOT(ISERROR(SEARCH("N/A",P1111)))</formula>
    </cfRule>
    <cfRule type="containsText" dxfId="2517" priority="10145" operator="containsText" text="Pendente">
      <formula>NOT(ISERROR(SEARCH("Pendente",P1111)))</formula>
    </cfRule>
    <cfRule type="containsText" dxfId="2516" priority="10143" operator="containsText" text="Lançado">
      <formula>NOT(ISERROR(SEARCH("Lançado",P1111)))</formula>
    </cfRule>
    <cfRule type="containsText" dxfId="2515" priority="10146" operator="containsText" text="Finalizado">
      <formula>NOT(ISERROR(SEARCH("Finalizado",P1111)))</formula>
    </cfRule>
    <cfRule type="containsText" dxfId="2514" priority="10142" operator="containsText" text="em andamento">
      <formula>NOT(ISERROR(SEARCH("em andamento",P1111)))</formula>
    </cfRule>
    <cfRule type="containsText" dxfId="2513" priority="10147" operator="containsText" text="em andamento">
      <formula>NOT(ISERROR(SEARCH("em andamento",P1111)))</formula>
    </cfRule>
    <cfRule type="expression" dxfId="2512" priority="10148">
      <formula>$H1111="SUBETAPA"</formula>
    </cfRule>
    <cfRule type="containsText" dxfId="2511" priority="10154" operator="containsText" text="Finalizado">
      <formula>NOT(ISERROR(SEARCH("Finalizado",P1111)))</formula>
    </cfRule>
    <cfRule type="expression" dxfId="2510" priority="10135">
      <formula>$H1111="SUBETAPA"</formula>
    </cfRule>
    <cfRule type="containsText" dxfId="2509" priority="10151" operator="containsText" text="Lançado">
      <formula>NOT(ISERROR(SEARCH("Lançado",P1111)))</formula>
    </cfRule>
    <cfRule type="containsText" dxfId="2508" priority="10155" operator="containsText" text="em andamento">
      <formula>NOT(ISERROR(SEARCH("em andamento",P1111)))</formula>
    </cfRule>
  </conditionalFormatting>
  <conditionalFormatting sqref="P1111">
    <cfRule type="containsText" dxfId="2507" priority="3543" operator="containsText" text="Lançado">
      <formula>NOT(ISERROR(SEARCH("Lançado",P1111)))</formula>
    </cfRule>
    <cfRule type="containsText" dxfId="2506" priority="3544" operator="containsText" text="Pendente">
      <formula>NOT(ISERROR(SEARCH("Pendente",P1111)))</formula>
    </cfRule>
    <cfRule type="containsText" dxfId="2505" priority="3545" operator="containsText" text="em andamento">
      <formula>NOT(ISERROR(SEARCH("em andamento",P1111)))</formula>
    </cfRule>
    <cfRule type="expression" dxfId="2504" priority="3546">
      <formula>$H1111="ETAPA"</formula>
    </cfRule>
    <cfRule type="containsText" dxfId="2503" priority="3538" operator="containsText" text="N/A">
      <formula>NOT(ISERROR(SEARCH("N/A",P1111)))</formula>
    </cfRule>
    <cfRule type="containsText" dxfId="2502" priority="3537" operator="containsText" text="Lançado">
      <formula>NOT(ISERROR(SEARCH("Lançado",P1111)))</formula>
    </cfRule>
    <cfRule type="containsText" dxfId="2501" priority="3536" operator="containsText" text="em andamento">
      <formula>NOT(ISERROR(SEARCH("em andamento",P1111)))</formula>
    </cfRule>
    <cfRule type="containsText" dxfId="2500" priority="3535" operator="containsText" text="Pendente">
      <formula>NOT(ISERROR(SEARCH("Pendente",P1111)))</formula>
    </cfRule>
    <cfRule type="expression" dxfId="2499" priority="3542">
      <formula>$H1111="CÉLULA CONSTRUTIVA"</formula>
    </cfRule>
    <cfRule type="containsText" dxfId="2498" priority="3534" operator="containsText" text="N/A">
      <formula>NOT(ISERROR(SEARCH("N/A",P1111)))</formula>
    </cfRule>
    <cfRule type="containsText" dxfId="2497" priority="3533" operator="containsText" text="Lançado">
      <formula>NOT(ISERROR(SEARCH("Lançado",P1111)))</formula>
    </cfRule>
    <cfRule type="expression" dxfId="2496" priority="3532">
      <formula>$H1111="CÉLULA CONSTRUTIVA"</formula>
    </cfRule>
    <cfRule type="expression" dxfId="2495" priority="3531">
      <formula>$H1111="SUBETAPA"</formula>
    </cfRule>
    <cfRule type="containsText" dxfId="2494" priority="3539" operator="containsText" text="Pendente">
      <formula>NOT(ISERROR(SEARCH("Pendente",P1111)))</formula>
    </cfRule>
    <cfRule type="containsText" dxfId="2493" priority="3547" operator="containsText" text="N/A">
      <formula>NOT(ISERROR(SEARCH("N/A",P1111)))</formula>
    </cfRule>
    <cfRule type="containsText" dxfId="2492" priority="3540" operator="containsText" text="em andamento">
      <formula>NOT(ISERROR(SEARCH("em andamento",P1111)))</formula>
    </cfRule>
    <cfRule type="expression" dxfId="2491" priority="3541">
      <formula>$H1111="SUBETAPA"</formula>
    </cfRule>
  </conditionalFormatting>
  <conditionalFormatting sqref="P1112">
    <cfRule type="containsText" dxfId="2490" priority="9988" operator="containsText" text="Lançado">
      <formula>NOT(ISERROR(SEARCH("Lançado",P1112)))</formula>
    </cfRule>
    <cfRule type="containsText" dxfId="2489" priority="9990" operator="containsText" text="Pendente">
      <formula>NOT(ISERROR(SEARCH("Pendente",P1112)))</formula>
    </cfRule>
    <cfRule type="containsText" dxfId="2488" priority="9989" operator="containsText" text="N/A">
      <formula>NOT(ISERROR(SEARCH("N/A",P1112)))</formula>
    </cfRule>
  </conditionalFormatting>
  <conditionalFormatting sqref="P1113:P1117">
    <cfRule type="containsText" dxfId="2487" priority="3519" operator="containsText" text="em andamento">
      <formula>NOT(ISERROR(SEARCH("em andamento",P1113)))</formula>
    </cfRule>
    <cfRule type="containsText" dxfId="2486" priority="3520" operator="containsText" text="Lançado">
      <formula>NOT(ISERROR(SEARCH("Lançado",P1113)))</formula>
    </cfRule>
    <cfRule type="containsText" dxfId="2485" priority="3521" operator="containsText" text="N/A">
      <formula>NOT(ISERROR(SEARCH("N/A",P1113)))</formula>
    </cfRule>
    <cfRule type="containsText" dxfId="2484" priority="3522" operator="containsText" text="Pendente">
      <formula>NOT(ISERROR(SEARCH("Pendente",P1113)))</formula>
    </cfRule>
    <cfRule type="containsText" dxfId="2483" priority="3523" operator="containsText" text="em andamento">
      <formula>NOT(ISERROR(SEARCH("em andamento",P1113)))</formula>
    </cfRule>
    <cfRule type="expression" dxfId="2482" priority="3524">
      <formula>$H1113="SUBETAPA"</formula>
    </cfRule>
    <cfRule type="expression" dxfId="2481" priority="3525">
      <formula>$H1113="CÉLULA CONSTRUTIVA"</formula>
    </cfRule>
    <cfRule type="containsText" dxfId="2480" priority="3526" operator="containsText" text="Lançado">
      <formula>NOT(ISERROR(SEARCH("Lançado",P1113)))</formula>
    </cfRule>
    <cfRule type="containsText" dxfId="2479" priority="3527" operator="containsText" text="Pendente">
      <formula>NOT(ISERROR(SEARCH("Pendente",P1113)))</formula>
    </cfRule>
    <cfRule type="containsText" dxfId="2478" priority="3528" operator="containsText" text="em andamento">
      <formula>NOT(ISERROR(SEARCH("em andamento",P1113)))</formula>
    </cfRule>
    <cfRule type="expression" dxfId="2477" priority="3529">
      <formula>$H1113="ETAPA"</formula>
    </cfRule>
    <cfRule type="containsText" dxfId="2476" priority="3530" operator="containsText" text="N/A">
      <formula>NOT(ISERROR(SEARCH("N/A",P1113)))</formula>
    </cfRule>
    <cfRule type="expression" dxfId="2475" priority="3515">
      <formula>$H1113="CÉLULA CONSTRUTIVA"</formula>
    </cfRule>
    <cfRule type="expression" dxfId="2474" priority="3512">
      <formula>$H1113="ETAPA"</formula>
    </cfRule>
    <cfRule type="containsText" dxfId="2473" priority="3513" operator="containsText" text="Finalizado">
      <formula>NOT(ISERROR(SEARCH("Finalizado",P1113)))</formula>
    </cfRule>
    <cfRule type="expression" dxfId="2472" priority="3514">
      <formula>$H1113="SUBETAPA"</formula>
    </cfRule>
    <cfRule type="containsText" dxfId="2471" priority="3516" operator="containsText" text="Lançado">
      <formula>NOT(ISERROR(SEARCH("Lançado",P1113)))</formula>
    </cfRule>
    <cfRule type="containsText" dxfId="2470" priority="3517" operator="containsText" text="N/A">
      <formula>NOT(ISERROR(SEARCH("N/A",P1113)))</formula>
    </cfRule>
    <cfRule type="containsText" dxfId="2469" priority="3518" operator="containsText" text="Pendente">
      <formula>NOT(ISERROR(SEARCH("Pendente",P1113)))</formula>
    </cfRule>
  </conditionalFormatting>
  <conditionalFormatting sqref="P1118">
    <cfRule type="expression" dxfId="2468" priority="9980">
      <formula>$H1118="SUBETAPA"</formula>
    </cfRule>
    <cfRule type="expression" dxfId="2467" priority="9981">
      <formula>$H1118="CÉLULA CONSTRUTIVA"</formula>
    </cfRule>
    <cfRule type="containsText" dxfId="2466" priority="9984" operator="containsText" text="N/A">
      <formula>NOT(ISERROR(SEARCH("N/A",P1118)))</formula>
    </cfRule>
    <cfRule type="containsText" dxfId="2465" priority="9985" operator="containsText" text="Pendente">
      <formula>NOT(ISERROR(SEARCH("Pendente",P1118)))</formula>
    </cfRule>
    <cfRule type="containsText" dxfId="2464" priority="9987" operator="containsText" text="em andamento">
      <formula>NOT(ISERROR(SEARCH("em andamento",P1118)))</formula>
    </cfRule>
    <cfRule type="containsText" dxfId="2463" priority="9986" operator="containsText" text="Finalizado">
      <formula>NOT(ISERROR(SEARCH("Finalizado",P1118)))</formula>
    </cfRule>
    <cfRule type="containsText" dxfId="2462" priority="9983" operator="containsText" text="Lançado">
      <formula>NOT(ISERROR(SEARCH("Lançado",P1118)))</formula>
    </cfRule>
  </conditionalFormatting>
  <conditionalFormatting sqref="P1119">
    <cfRule type="containsText" dxfId="2461" priority="3509" operator="containsText" text="Pendente">
      <formula>NOT(ISERROR(SEARCH("Pendente",P1119)))</formula>
    </cfRule>
    <cfRule type="containsText" dxfId="2460" priority="3498" operator="containsText" text="Lançado">
      <formula>NOT(ISERROR(SEARCH("Lançado",P1119)))</formula>
    </cfRule>
    <cfRule type="containsText" dxfId="2459" priority="3499" operator="containsText" text="N/A">
      <formula>NOT(ISERROR(SEARCH("N/A",P1119)))</formula>
    </cfRule>
    <cfRule type="containsText" dxfId="2458" priority="3500" operator="containsText" text="Pendente">
      <formula>NOT(ISERROR(SEARCH("Pendente",P1119)))</formula>
    </cfRule>
    <cfRule type="containsText" dxfId="2457" priority="3501" operator="containsText" text="em andamento">
      <formula>NOT(ISERROR(SEARCH("em andamento",P1119)))</formula>
    </cfRule>
    <cfRule type="containsText" dxfId="2456" priority="3502" operator="containsText" text="Lançado">
      <formula>NOT(ISERROR(SEARCH("Lançado",P1119)))</formula>
    </cfRule>
    <cfRule type="containsText" dxfId="2455" priority="3495" operator="containsText" text="Finalizado">
      <formula>NOT(ISERROR(SEARCH("Finalizado",P1119)))</formula>
    </cfRule>
    <cfRule type="containsText" dxfId="2454" priority="3503" operator="containsText" text="N/A">
      <formula>NOT(ISERROR(SEARCH("N/A",P1119)))</formula>
    </cfRule>
    <cfRule type="containsText" dxfId="2453" priority="3504" operator="containsText" text="Pendente">
      <formula>NOT(ISERROR(SEARCH("Pendente",P1119)))</formula>
    </cfRule>
    <cfRule type="containsText" dxfId="2452" priority="3505" operator="containsText" text="em andamento">
      <formula>NOT(ISERROR(SEARCH("em andamento",P1119)))</formula>
    </cfRule>
    <cfRule type="expression" dxfId="2451" priority="3506">
      <formula>$H1119="SUBETAPA"</formula>
    </cfRule>
    <cfRule type="expression" dxfId="2450" priority="3507">
      <formula>$H1119="CÉLULA CONSTRUTIVA"</formula>
    </cfRule>
    <cfRule type="containsText" dxfId="2449" priority="3510" operator="containsText" text="em andamento">
      <formula>NOT(ISERROR(SEARCH("em andamento",P1119)))</formula>
    </cfRule>
    <cfRule type="containsText" dxfId="2448" priority="3508" operator="containsText" text="Lançado">
      <formula>NOT(ISERROR(SEARCH("Lançado",P1119)))</formula>
    </cfRule>
    <cfRule type="containsText" dxfId="2447" priority="3511" operator="containsText" text="N/A">
      <formula>NOT(ISERROR(SEARCH("N/A",P1119)))</formula>
    </cfRule>
    <cfRule type="expression" dxfId="2446" priority="3497">
      <formula>$H1119="CÉLULA CONSTRUTIVA"</formula>
    </cfRule>
    <cfRule type="expression" dxfId="2445" priority="3496">
      <formula>$H1119="SUBETAPA"</formula>
    </cfRule>
    <cfRule type="expression" dxfId="2444" priority="3494">
      <formula>$H1119="ETAPA"</formula>
    </cfRule>
  </conditionalFormatting>
  <conditionalFormatting sqref="P1120 P1109:P1110">
    <cfRule type="containsText" dxfId="2443" priority="9992" operator="containsText" text="N/A">
      <formula>NOT(ISERROR(SEARCH("N/A",P1109)))</formula>
    </cfRule>
    <cfRule type="containsText" dxfId="2442" priority="9991" operator="containsText" text="Lançado">
      <formula>NOT(ISERROR(SEARCH("Lançado",P1109)))</formula>
    </cfRule>
  </conditionalFormatting>
  <conditionalFormatting sqref="P1121:P1126 P1104:P1108">
    <cfRule type="containsText" dxfId="2441" priority="10165" operator="containsText" text="N/A">
      <formula>NOT(ISERROR(SEARCH("N/A",P1104)))</formula>
    </cfRule>
  </conditionalFormatting>
  <conditionalFormatting sqref="P1121:P1126 P1154:P1158 P1244">
    <cfRule type="containsText" dxfId="2440" priority="13454" operator="containsText" text="Finalizado">
      <formula>NOT(ISERROR(SEARCH("Finalizado",P1121)))</formula>
    </cfRule>
  </conditionalFormatting>
  <conditionalFormatting sqref="P1121:P1126 P1154:P1158">
    <cfRule type="containsText" dxfId="2439" priority="13446" operator="containsText" text="Finalizado">
      <formula>NOT(ISERROR(SEARCH("Finalizado",P1121)))</formula>
    </cfRule>
    <cfRule type="containsText" dxfId="2438" priority="13441" operator="containsText" text="Finalizado">
      <formula>NOT(ISERROR(SEARCH("Finalizado",P1121)))</formula>
    </cfRule>
  </conditionalFormatting>
  <conditionalFormatting sqref="P1121:P1126">
    <cfRule type="containsText" dxfId="2437" priority="3493" operator="containsText" text="N/A">
      <formula>NOT(ISERROR(SEARCH("N/A",P1121)))</formula>
    </cfRule>
    <cfRule type="containsText" dxfId="2436" priority="3492" operator="containsText" text="Finalizado">
      <formula>NOT(ISERROR(SEARCH("Finalizado",P1121)))</formula>
    </cfRule>
    <cfRule type="expression" dxfId="2435" priority="3491">
      <formula>$H1121="ETAPA"</formula>
    </cfRule>
  </conditionalFormatting>
  <conditionalFormatting sqref="P1127:P1128 P1130 P1137">
    <cfRule type="containsText" dxfId="2434" priority="9940" operator="containsText" text="em andamento">
      <formula>NOT(ISERROR(SEARCH("em andamento",P1127)))</formula>
    </cfRule>
  </conditionalFormatting>
  <conditionalFormatting sqref="P1127:P1128 P1137 P1130">
    <cfRule type="containsText" dxfId="2433" priority="9939" operator="containsText" text="Finalizado">
      <formula>NOT(ISERROR(SEARCH("Finalizado",P1127)))</formula>
    </cfRule>
  </conditionalFormatting>
  <conditionalFormatting sqref="P1127:P1128 P1137">
    <cfRule type="containsText" dxfId="2432" priority="9938" operator="containsText" text="Pendente">
      <formula>NOT(ISERROR(SEARCH("Pendente",P1127)))</formula>
    </cfRule>
  </conditionalFormatting>
  <conditionalFormatting sqref="P1129">
    <cfRule type="containsText" dxfId="2431" priority="3477" operator="containsText" text="N/A">
      <formula>NOT(ISERROR(SEARCH("N/A",P1129)))</formula>
    </cfRule>
    <cfRule type="containsText" dxfId="2430" priority="3478" operator="containsText" text="Pendente">
      <formula>NOT(ISERROR(SEARCH("Pendente",P1129)))</formula>
    </cfRule>
    <cfRule type="containsText" dxfId="2429" priority="3487" operator="containsText" text="Pendente">
      <formula>NOT(ISERROR(SEARCH("Pendente",P1129)))</formula>
    </cfRule>
    <cfRule type="expression" dxfId="2428" priority="3489">
      <formula>$H1129="ETAPA"</formula>
    </cfRule>
    <cfRule type="containsText" dxfId="2427" priority="3488" operator="containsText" text="em andamento">
      <formula>NOT(ISERROR(SEARCH("em andamento",P1129)))</formula>
    </cfRule>
    <cfRule type="containsText" dxfId="2426" priority="3486" operator="containsText" text="Lançado">
      <formula>NOT(ISERROR(SEARCH("Lançado",P1129)))</formula>
    </cfRule>
    <cfRule type="expression" dxfId="2425" priority="3485">
      <formula>$H1129="CÉLULA CONSTRUTIVA"</formula>
    </cfRule>
    <cfRule type="expression" dxfId="2424" priority="3484">
      <formula>$H1129="SUBETAPA"</formula>
    </cfRule>
    <cfRule type="containsText" dxfId="2423" priority="3483" operator="containsText" text="em andamento">
      <formula>NOT(ISERROR(SEARCH("em andamento",P1129)))</formula>
    </cfRule>
    <cfRule type="containsText" dxfId="2422" priority="3482" operator="containsText" text="Pendente">
      <formula>NOT(ISERROR(SEARCH("Pendente",P1129)))</formula>
    </cfRule>
    <cfRule type="containsText" dxfId="2421" priority="3481" operator="containsText" text="N/A">
      <formula>NOT(ISERROR(SEARCH("N/A",P1129)))</formula>
    </cfRule>
    <cfRule type="containsText" dxfId="2420" priority="3490" operator="containsText" text="N/A">
      <formula>NOT(ISERROR(SEARCH("N/A",P1129)))</formula>
    </cfRule>
    <cfRule type="expression" dxfId="2419" priority="3475">
      <formula>$H1129="CÉLULA CONSTRUTIVA"</formula>
    </cfRule>
    <cfRule type="expression" dxfId="2418" priority="3474">
      <formula>$H1129="SUBETAPA"</formula>
    </cfRule>
    <cfRule type="containsText" dxfId="2417" priority="3476" operator="containsText" text="Lançado">
      <formula>NOT(ISERROR(SEARCH("Lançado",P1129)))</formula>
    </cfRule>
    <cfRule type="containsText" dxfId="2416" priority="3479" operator="containsText" text="em andamento">
      <formula>NOT(ISERROR(SEARCH("em andamento",P1129)))</formula>
    </cfRule>
    <cfRule type="containsText" dxfId="2415" priority="3480" operator="containsText" text="Lançado">
      <formula>NOT(ISERROR(SEARCH("Lançado",P1129)))</formula>
    </cfRule>
  </conditionalFormatting>
  <conditionalFormatting sqref="P1130">
    <cfRule type="containsText" dxfId="2414" priority="9935" operator="containsText" text="Pendente">
      <formula>NOT(ISERROR(SEARCH("Pendente",P1130)))</formula>
    </cfRule>
    <cfRule type="containsText" dxfId="2413" priority="9934" operator="containsText" text="N/A">
      <formula>NOT(ISERROR(SEARCH("N/A",P1130)))</formula>
    </cfRule>
    <cfRule type="containsText" dxfId="2412" priority="9933" operator="containsText" text="Lançado">
      <formula>NOT(ISERROR(SEARCH("Lançado",P1130)))</formula>
    </cfRule>
  </conditionalFormatting>
  <conditionalFormatting sqref="P1131:P1134">
    <cfRule type="containsText" dxfId="2411" priority="3463" operator="containsText" text="Lançado">
      <formula>NOT(ISERROR(SEARCH("Lançado",P1131)))</formula>
    </cfRule>
    <cfRule type="containsText" dxfId="2410" priority="3462" operator="containsText" text="em andamento">
      <formula>NOT(ISERROR(SEARCH("em andamento",P1131)))</formula>
    </cfRule>
    <cfRule type="containsText" dxfId="2409" priority="3464" operator="containsText" text="N/A">
      <formula>NOT(ISERROR(SEARCH("N/A",P1131)))</formula>
    </cfRule>
    <cfRule type="containsText" dxfId="2408" priority="3461" operator="containsText" text="Pendente">
      <formula>NOT(ISERROR(SEARCH("Pendente",P1131)))</formula>
    </cfRule>
    <cfRule type="containsText" dxfId="2407" priority="3473" operator="containsText" text="N/A">
      <formula>NOT(ISERROR(SEARCH("N/A",P1131)))</formula>
    </cfRule>
    <cfRule type="containsText" dxfId="2406" priority="3460" operator="containsText" text="N/A">
      <formula>NOT(ISERROR(SEARCH("N/A",P1131)))</formula>
    </cfRule>
    <cfRule type="containsText" dxfId="2405" priority="3459" operator="containsText" text="Lançado">
      <formula>NOT(ISERROR(SEARCH("Lançado",P1131)))</formula>
    </cfRule>
    <cfRule type="expression" dxfId="2404" priority="3458">
      <formula>$H1131="CÉLULA CONSTRUTIVA"</formula>
    </cfRule>
    <cfRule type="expression" dxfId="2403" priority="3457">
      <formula>$H1131="SUBETAPA"</formula>
    </cfRule>
    <cfRule type="containsText" dxfId="2402" priority="3465" operator="containsText" text="Pendente">
      <formula>NOT(ISERROR(SEARCH("Pendente",P1131)))</formula>
    </cfRule>
    <cfRule type="containsText" dxfId="2401" priority="3466" operator="containsText" text="em andamento">
      <formula>NOT(ISERROR(SEARCH("em andamento",P1131)))</formula>
    </cfRule>
    <cfRule type="expression" dxfId="2400" priority="3467">
      <formula>$H1131="SUBETAPA"</formula>
    </cfRule>
    <cfRule type="expression" dxfId="2399" priority="3468">
      <formula>$H1131="CÉLULA CONSTRUTIVA"</formula>
    </cfRule>
    <cfRule type="containsText" dxfId="2398" priority="3469" operator="containsText" text="Lançado">
      <formula>NOT(ISERROR(SEARCH("Lançado",P1131)))</formula>
    </cfRule>
    <cfRule type="containsText" dxfId="2397" priority="3470" operator="containsText" text="Pendente">
      <formula>NOT(ISERROR(SEARCH("Pendente",P1131)))</formula>
    </cfRule>
    <cfRule type="containsText" dxfId="2396" priority="3456" operator="containsText" text="Finalizado">
      <formula>NOT(ISERROR(SEARCH("Finalizado",P1131)))</formula>
    </cfRule>
    <cfRule type="containsText" dxfId="2395" priority="3471" operator="containsText" text="em andamento">
      <formula>NOT(ISERROR(SEARCH("em andamento",P1131)))</formula>
    </cfRule>
    <cfRule type="expression" dxfId="2394" priority="3455">
      <formula>$H1131="ETAPA"</formula>
    </cfRule>
    <cfRule type="expression" dxfId="2393" priority="3472">
      <formula>$H1131="ETAPA"</formula>
    </cfRule>
  </conditionalFormatting>
  <conditionalFormatting sqref="P1135">
    <cfRule type="containsText" dxfId="2392" priority="9931" operator="containsText" text="Finalizado">
      <formula>NOT(ISERROR(SEARCH("Finalizado",P1135)))</formula>
    </cfRule>
    <cfRule type="containsText" dxfId="2391" priority="9932" operator="containsText" text="em andamento">
      <formula>NOT(ISERROR(SEARCH("em andamento",P1135)))</formula>
    </cfRule>
    <cfRule type="containsText" dxfId="2390" priority="9928" operator="containsText" text="Lançado">
      <formula>NOT(ISERROR(SEARCH("Lançado",P1135)))</formula>
    </cfRule>
    <cfRule type="expression" dxfId="2389" priority="9926">
      <formula>$H1135="CÉLULA CONSTRUTIVA"</formula>
    </cfRule>
    <cfRule type="expression" dxfId="2388" priority="9925">
      <formula>$H1135="SUBETAPA"</formula>
    </cfRule>
    <cfRule type="containsText" dxfId="2387" priority="9930" operator="containsText" text="Pendente">
      <formula>NOT(ISERROR(SEARCH("Pendente",P1135)))</formula>
    </cfRule>
    <cfRule type="containsText" dxfId="2386" priority="9929" operator="containsText" text="N/A">
      <formula>NOT(ISERROR(SEARCH("N/A",P1135)))</formula>
    </cfRule>
  </conditionalFormatting>
  <conditionalFormatting sqref="P1136">
    <cfRule type="expression" dxfId="2385" priority="3439">
      <formula>$H1136="SUBETAPA"</formula>
    </cfRule>
    <cfRule type="expression" dxfId="2384" priority="3440">
      <formula>$H1136="CÉLULA CONSTRUTIVA"</formula>
    </cfRule>
    <cfRule type="containsText" dxfId="2383" priority="3442" operator="containsText" text="N/A">
      <formula>NOT(ISERROR(SEARCH("N/A",P1136)))</formula>
    </cfRule>
    <cfRule type="containsText" dxfId="2382" priority="3445" operator="containsText" text="Lançado">
      <formula>NOT(ISERROR(SEARCH("Lançado",P1136)))</formula>
    </cfRule>
    <cfRule type="containsText" dxfId="2381" priority="3448" operator="containsText" text="em andamento">
      <formula>NOT(ISERROR(SEARCH("em andamento",P1136)))</formula>
    </cfRule>
    <cfRule type="containsText" dxfId="2380" priority="3446" operator="containsText" text="N/A">
      <formula>NOT(ISERROR(SEARCH("N/A",P1136)))</formula>
    </cfRule>
    <cfRule type="containsText" dxfId="2379" priority="3447" operator="containsText" text="Pendente">
      <formula>NOT(ISERROR(SEARCH("Pendente",P1136)))</formula>
    </cfRule>
    <cfRule type="expression" dxfId="2378" priority="3449">
      <formula>$H1136="SUBETAPA"</formula>
    </cfRule>
    <cfRule type="expression" dxfId="2377" priority="3450">
      <formula>$H1136="CÉLULA CONSTRUTIVA"</formula>
    </cfRule>
    <cfRule type="containsText" dxfId="2376" priority="3451" operator="containsText" text="Lançado">
      <formula>NOT(ISERROR(SEARCH("Lançado",P1136)))</formula>
    </cfRule>
    <cfRule type="containsText" dxfId="2375" priority="3444" operator="containsText" text="em andamento">
      <formula>NOT(ISERROR(SEARCH("em andamento",P1136)))</formula>
    </cfRule>
    <cfRule type="containsText" dxfId="2374" priority="3452" operator="containsText" text="Pendente">
      <formula>NOT(ISERROR(SEARCH("Pendente",P1136)))</formula>
    </cfRule>
    <cfRule type="containsText" dxfId="2373" priority="3453" operator="containsText" text="em andamento">
      <formula>NOT(ISERROR(SEARCH("em andamento",P1136)))</formula>
    </cfRule>
    <cfRule type="containsText" dxfId="2372" priority="3443" operator="containsText" text="Pendente">
      <formula>NOT(ISERROR(SEARCH("Pendente",P1136)))</formula>
    </cfRule>
    <cfRule type="containsText" dxfId="2371" priority="3454" operator="containsText" text="N/A">
      <formula>NOT(ISERROR(SEARCH("N/A",P1136)))</formula>
    </cfRule>
    <cfRule type="containsText" dxfId="2370" priority="3441" operator="containsText" text="Lançado">
      <formula>NOT(ISERROR(SEARCH("Lançado",P1136)))</formula>
    </cfRule>
    <cfRule type="expression" dxfId="2369" priority="3437">
      <formula>$H1136="ETAPA"</formula>
    </cfRule>
    <cfRule type="containsText" dxfId="2368" priority="3438" operator="containsText" text="Finalizado">
      <formula>NOT(ISERROR(SEARCH("Finalizado",P1136)))</formula>
    </cfRule>
  </conditionalFormatting>
  <conditionalFormatting sqref="P1137 P1127:P1128">
    <cfRule type="containsText" dxfId="2367" priority="9937" operator="containsText" text="N/A">
      <formula>NOT(ISERROR(SEARCH("N/A",P1127)))</formula>
    </cfRule>
    <cfRule type="containsText" dxfId="2366" priority="9936" operator="containsText" text="Lançado">
      <formula>NOT(ISERROR(SEARCH("Lançado",P1127)))</formula>
    </cfRule>
  </conditionalFormatting>
  <conditionalFormatting sqref="P1138:P1142">
    <cfRule type="expression" dxfId="2365" priority="3435">
      <formula>$H1138="ETAPA"</formula>
    </cfRule>
    <cfRule type="containsText" dxfId="2364" priority="3436" operator="containsText" text="Finalizado">
      <formula>NOT(ISERROR(SEARCH("Finalizado",P1138)))</formula>
    </cfRule>
  </conditionalFormatting>
  <conditionalFormatting sqref="P1143:P1144 P1146 P1153">
    <cfRule type="containsText" dxfId="2363" priority="9885" operator="containsText" text="em andamento">
      <formula>NOT(ISERROR(SEARCH("em andamento",P1143)))</formula>
    </cfRule>
  </conditionalFormatting>
  <conditionalFormatting sqref="P1143:P1144 P1153 P1146">
    <cfRule type="containsText" dxfId="2362" priority="9884" operator="containsText" text="Finalizado">
      <formula>NOT(ISERROR(SEARCH("Finalizado",P1143)))</formula>
    </cfRule>
  </conditionalFormatting>
  <conditionalFormatting sqref="P1143:P1144 P1153">
    <cfRule type="containsText" dxfId="2361" priority="9883" operator="containsText" text="Pendente">
      <formula>NOT(ISERROR(SEARCH("Pendente",P1143)))</formula>
    </cfRule>
  </conditionalFormatting>
  <conditionalFormatting sqref="P1145">
    <cfRule type="containsText" dxfId="2360" priority="3426" operator="containsText" text="Pendente">
      <formula>NOT(ISERROR(SEARCH("Pendente",P1145)))</formula>
    </cfRule>
    <cfRule type="containsText" dxfId="2359" priority="3423" operator="containsText" text="em andamento">
      <formula>NOT(ISERROR(SEARCH("em andamento",P1145)))</formula>
    </cfRule>
    <cfRule type="containsText" dxfId="2358" priority="3422" operator="containsText" text="Pendente">
      <formula>NOT(ISERROR(SEARCH("Pendente",P1145)))</formula>
    </cfRule>
    <cfRule type="containsText" dxfId="2357" priority="3421" operator="containsText" text="N/A">
      <formula>NOT(ISERROR(SEARCH("N/A",P1145)))</formula>
    </cfRule>
    <cfRule type="containsText" dxfId="2356" priority="3420" operator="containsText" text="Lançado">
      <formula>NOT(ISERROR(SEARCH("Lançado",P1145)))</formula>
    </cfRule>
    <cfRule type="expression" dxfId="2355" priority="3419">
      <formula>$H1145="CÉLULA CONSTRUTIVA"</formula>
    </cfRule>
    <cfRule type="expression" dxfId="2354" priority="3418">
      <formula>$H1145="SUBETAPA"</formula>
    </cfRule>
    <cfRule type="containsText" dxfId="2353" priority="3427" operator="containsText" text="em andamento">
      <formula>NOT(ISERROR(SEARCH("em andamento",P1145)))</formula>
    </cfRule>
    <cfRule type="expression" dxfId="2352" priority="3428">
      <formula>$H1145="SUBETAPA"</formula>
    </cfRule>
    <cfRule type="expression" dxfId="2351" priority="3429">
      <formula>$H1145="CÉLULA CONSTRUTIVA"</formula>
    </cfRule>
    <cfRule type="containsText" dxfId="2350" priority="3430" operator="containsText" text="Lançado">
      <formula>NOT(ISERROR(SEARCH("Lançado",P1145)))</formula>
    </cfRule>
    <cfRule type="containsText" dxfId="2349" priority="3431" operator="containsText" text="Pendente">
      <formula>NOT(ISERROR(SEARCH("Pendente",P1145)))</formula>
    </cfRule>
    <cfRule type="containsText" dxfId="2348" priority="3432" operator="containsText" text="em andamento">
      <formula>NOT(ISERROR(SEARCH("em andamento",P1145)))</formula>
    </cfRule>
    <cfRule type="containsText" dxfId="2347" priority="3424" operator="containsText" text="Lançado">
      <formula>NOT(ISERROR(SEARCH("Lançado",P1145)))</formula>
    </cfRule>
    <cfRule type="containsText" dxfId="2346" priority="3434" operator="containsText" text="N/A">
      <formula>NOT(ISERROR(SEARCH("N/A",P1145)))</formula>
    </cfRule>
    <cfRule type="containsText" dxfId="2345" priority="3425" operator="containsText" text="N/A">
      <formula>NOT(ISERROR(SEARCH("N/A",P1145)))</formula>
    </cfRule>
    <cfRule type="expression" dxfId="2344" priority="3433">
      <formula>$H1145="ETAPA"</formula>
    </cfRule>
  </conditionalFormatting>
  <conditionalFormatting sqref="P1146">
    <cfRule type="containsText" dxfId="2343" priority="9880" operator="containsText" text="Pendente">
      <formula>NOT(ISERROR(SEARCH("Pendente",P1146)))</formula>
    </cfRule>
    <cfRule type="containsText" dxfId="2342" priority="9879" operator="containsText" text="N/A">
      <formula>NOT(ISERROR(SEARCH("N/A",P1146)))</formula>
    </cfRule>
    <cfRule type="containsText" dxfId="2341" priority="9878" operator="containsText" text="Lançado">
      <formula>NOT(ISERROR(SEARCH("Lançado",P1146)))</formula>
    </cfRule>
  </conditionalFormatting>
  <conditionalFormatting sqref="P1147:P1150">
    <cfRule type="containsText" dxfId="2340" priority="3410" operator="containsText" text="em andamento">
      <formula>NOT(ISERROR(SEARCH("em andamento",P1147)))</formula>
    </cfRule>
    <cfRule type="containsText" dxfId="2339" priority="3409" operator="containsText" text="Pendente">
      <formula>NOT(ISERROR(SEARCH("Pendente",P1147)))</formula>
    </cfRule>
    <cfRule type="containsText" dxfId="2338" priority="3408" operator="containsText" text="N/A">
      <formula>NOT(ISERROR(SEARCH("N/A",P1147)))</formula>
    </cfRule>
    <cfRule type="containsText" dxfId="2337" priority="3407" operator="containsText" text="Lançado">
      <formula>NOT(ISERROR(SEARCH("Lançado",P1147)))</formula>
    </cfRule>
    <cfRule type="containsText" dxfId="2336" priority="3406" operator="containsText" text="em andamento">
      <formula>NOT(ISERROR(SEARCH("em andamento",P1147)))</formula>
    </cfRule>
    <cfRule type="containsText" dxfId="2335" priority="3404" operator="containsText" text="N/A">
      <formula>NOT(ISERROR(SEARCH("N/A",P1147)))</formula>
    </cfRule>
    <cfRule type="containsText" dxfId="2334" priority="3403" operator="containsText" text="Lançado">
      <formula>NOT(ISERROR(SEARCH("Lançado",P1147)))</formula>
    </cfRule>
    <cfRule type="expression" dxfId="2333" priority="3399">
      <formula>$H1147="ETAPA"</formula>
    </cfRule>
    <cfRule type="containsText" dxfId="2332" priority="3405" operator="containsText" text="Pendente">
      <formula>NOT(ISERROR(SEARCH("Pendente",P1147)))</formula>
    </cfRule>
    <cfRule type="expression" dxfId="2331" priority="3402">
      <formula>$H1147="CÉLULA CONSTRUTIVA"</formula>
    </cfRule>
    <cfRule type="expression" dxfId="2330" priority="3401">
      <formula>$H1147="SUBETAPA"</formula>
    </cfRule>
    <cfRule type="containsText" dxfId="2329" priority="3400" operator="containsText" text="Finalizado">
      <formula>NOT(ISERROR(SEARCH("Finalizado",P1147)))</formula>
    </cfRule>
    <cfRule type="containsText" dxfId="2328" priority="3417" operator="containsText" text="N/A">
      <formula>NOT(ISERROR(SEARCH("N/A",P1147)))</formula>
    </cfRule>
    <cfRule type="expression" dxfId="2327" priority="3416">
      <formula>$H1147="ETAPA"</formula>
    </cfRule>
    <cfRule type="containsText" dxfId="2326" priority="3415" operator="containsText" text="em andamento">
      <formula>NOT(ISERROR(SEARCH("em andamento",P1147)))</formula>
    </cfRule>
    <cfRule type="containsText" dxfId="2325" priority="3414" operator="containsText" text="Pendente">
      <formula>NOT(ISERROR(SEARCH("Pendente",P1147)))</formula>
    </cfRule>
    <cfRule type="containsText" dxfId="2324" priority="3413" operator="containsText" text="Lançado">
      <formula>NOT(ISERROR(SEARCH("Lançado",P1147)))</formula>
    </cfRule>
    <cfRule type="expression" dxfId="2323" priority="3412">
      <formula>$H1147="CÉLULA CONSTRUTIVA"</formula>
    </cfRule>
    <cfRule type="expression" dxfId="2322" priority="3411">
      <formula>$H1147="SUBETAPA"</formula>
    </cfRule>
  </conditionalFormatting>
  <conditionalFormatting sqref="P1151">
    <cfRule type="containsText" dxfId="2321" priority="9873" operator="containsText" text="Lançado">
      <formula>NOT(ISERROR(SEARCH("Lançado",P1151)))</formula>
    </cfRule>
    <cfRule type="expression" dxfId="2320" priority="9871">
      <formula>$H1151="CÉLULA CONSTRUTIVA"</formula>
    </cfRule>
    <cfRule type="expression" dxfId="2319" priority="9870">
      <formula>$H1151="SUBETAPA"</formula>
    </cfRule>
    <cfRule type="containsText" dxfId="2318" priority="9877" operator="containsText" text="em andamento">
      <formula>NOT(ISERROR(SEARCH("em andamento",P1151)))</formula>
    </cfRule>
    <cfRule type="containsText" dxfId="2317" priority="9876" operator="containsText" text="Finalizado">
      <formula>NOT(ISERROR(SEARCH("Finalizado",P1151)))</formula>
    </cfRule>
    <cfRule type="containsText" dxfId="2316" priority="9875" operator="containsText" text="Pendente">
      <formula>NOT(ISERROR(SEARCH("Pendente",P1151)))</formula>
    </cfRule>
    <cfRule type="containsText" dxfId="2315" priority="9874" operator="containsText" text="N/A">
      <formula>NOT(ISERROR(SEARCH("N/A",P1151)))</formula>
    </cfRule>
  </conditionalFormatting>
  <conditionalFormatting sqref="P1152">
    <cfRule type="containsText" dxfId="2314" priority="3391" operator="containsText" text="Pendente">
      <formula>NOT(ISERROR(SEARCH("Pendente",P1152)))</formula>
    </cfRule>
    <cfRule type="expression" dxfId="2313" priority="3393">
      <formula>$H1152="SUBETAPA"</formula>
    </cfRule>
    <cfRule type="containsText" dxfId="2312" priority="3392" operator="containsText" text="em andamento">
      <formula>NOT(ISERROR(SEARCH("em andamento",P1152)))</formula>
    </cfRule>
    <cfRule type="containsText" dxfId="2311" priority="3390" operator="containsText" text="N/A">
      <formula>NOT(ISERROR(SEARCH("N/A",P1152)))</formula>
    </cfRule>
    <cfRule type="containsText" dxfId="2310" priority="3389" operator="containsText" text="Lançado">
      <formula>NOT(ISERROR(SEARCH("Lançado",P1152)))</formula>
    </cfRule>
    <cfRule type="containsText" dxfId="2309" priority="3388" operator="containsText" text="em andamento">
      <formula>NOT(ISERROR(SEARCH("em andamento",P1152)))</formula>
    </cfRule>
    <cfRule type="containsText" dxfId="2308" priority="3387" operator="containsText" text="Pendente">
      <formula>NOT(ISERROR(SEARCH("Pendente",P1152)))</formula>
    </cfRule>
    <cfRule type="containsText" dxfId="2307" priority="3386" operator="containsText" text="N/A">
      <formula>NOT(ISERROR(SEARCH("N/A",P1152)))</formula>
    </cfRule>
    <cfRule type="containsText" dxfId="2306" priority="3385" operator="containsText" text="Lançado">
      <formula>NOT(ISERROR(SEARCH("Lançado",P1152)))</formula>
    </cfRule>
    <cfRule type="expression" dxfId="2305" priority="3384">
      <formula>$H1152="CÉLULA CONSTRUTIVA"</formula>
    </cfRule>
    <cfRule type="expression" dxfId="2304" priority="3383">
      <formula>$H1152="SUBETAPA"</formula>
    </cfRule>
    <cfRule type="expression" dxfId="2303" priority="3381">
      <formula>$H1152="ETAPA"</formula>
    </cfRule>
    <cfRule type="containsText" dxfId="2302" priority="3382" operator="containsText" text="Finalizado">
      <formula>NOT(ISERROR(SEARCH("Finalizado",P1152)))</formula>
    </cfRule>
    <cfRule type="containsText" dxfId="2301" priority="3398" operator="containsText" text="N/A">
      <formula>NOT(ISERROR(SEARCH("N/A",P1152)))</formula>
    </cfRule>
    <cfRule type="containsText" dxfId="2300" priority="3397" operator="containsText" text="em andamento">
      <formula>NOT(ISERROR(SEARCH("em andamento",P1152)))</formula>
    </cfRule>
    <cfRule type="containsText" dxfId="2299" priority="3396" operator="containsText" text="Pendente">
      <formula>NOT(ISERROR(SEARCH("Pendente",P1152)))</formula>
    </cfRule>
    <cfRule type="containsText" dxfId="2298" priority="3395" operator="containsText" text="Lançado">
      <formula>NOT(ISERROR(SEARCH("Lançado",P1152)))</formula>
    </cfRule>
    <cfRule type="expression" dxfId="2297" priority="3394">
      <formula>$H1152="CÉLULA CONSTRUTIVA"</formula>
    </cfRule>
  </conditionalFormatting>
  <conditionalFormatting sqref="P1153 P1143:P1144">
    <cfRule type="containsText" dxfId="2296" priority="9882" operator="containsText" text="N/A">
      <formula>NOT(ISERROR(SEARCH("N/A",P1143)))</formula>
    </cfRule>
    <cfRule type="containsText" dxfId="2295" priority="9881" operator="containsText" text="Lançado">
      <formula>NOT(ISERROR(SEARCH("Lançado",P1143)))</formula>
    </cfRule>
  </conditionalFormatting>
  <conditionalFormatting sqref="P1154:P1158">
    <cfRule type="containsText" dxfId="2294" priority="9621" operator="containsText" text="N/A">
      <formula>NOT(ISERROR(SEARCH("N/A",P1154)))</formula>
    </cfRule>
    <cfRule type="expression" dxfId="2293" priority="3378">
      <formula>$H1154="ETAPA"</formula>
    </cfRule>
    <cfRule type="containsText" dxfId="2292" priority="3380" operator="containsText" text="N/A">
      <formula>NOT(ISERROR(SEARCH("N/A",P1154)))</formula>
    </cfRule>
    <cfRule type="containsText" dxfId="2291" priority="3379" operator="containsText" text="Finalizado">
      <formula>NOT(ISERROR(SEARCH("Finalizado",P1154)))</formula>
    </cfRule>
  </conditionalFormatting>
  <conditionalFormatting sqref="P1159 P1168">
    <cfRule type="containsText" dxfId="2290" priority="9521" operator="containsText" text="Pendente">
      <formula>NOT(ISERROR(SEARCH("Pendente",P1159)))</formula>
    </cfRule>
  </conditionalFormatting>
  <conditionalFormatting sqref="P1159:P1160 P1168">
    <cfRule type="containsText" dxfId="2289" priority="9522" operator="containsText" text="Finalizado">
      <formula>NOT(ISERROR(SEARCH("Finalizado",P1159)))</formula>
    </cfRule>
    <cfRule type="containsText" dxfId="2288" priority="9523" operator="containsText" text="em andamento">
      <formula>NOT(ISERROR(SEARCH("em andamento",P1159)))</formula>
    </cfRule>
  </conditionalFormatting>
  <conditionalFormatting sqref="P1160">
    <cfRule type="containsText" dxfId="2287" priority="9516" operator="containsText" text="Lançado">
      <formula>NOT(ISERROR(SEARCH("Lançado",P1160)))</formula>
    </cfRule>
    <cfRule type="containsText" dxfId="2286" priority="9518" operator="containsText" text="Pendente">
      <formula>NOT(ISERROR(SEARCH("Pendente",P1160)))</formula>
    </cfRule>
    <cfRule type="containsText" dxfId="2285" priority="9517" operator="containsText" text="N/A">
      <formula>NOT(ISERROR(SEARCH("N/A",P1160)))</formula>
    </cfRule>
  </conditionalFormatting>
  <conditionalFormatting sqref="P1161:P1165">
    <cfRule type="containsText" dxfId="2284" priority="3374" operator="containsText" text="Pendente">
      <formula>NOT(ISERROR(SEARCH("Pendente",P1161)))</formula>
    </cfRule>
    <cfRule type="containsText" dxfId="2283" priority="3365" operator="containsText" text="Pendente">
      <formula>NOT(ISERROR(SEARCH("Pendente",P1161)))</formula>
    </cfRule>
    <cfRule type="expression" dxfId="2282" priority="3359">
      <formula>$H1161="ETAPA"</formula>
    </cfRule>
    <cfRule type="containsText" dxfId="2281" priority="3360" operator="containsText" text="Finalizado">
      <formula>NOT(ISERROR(SEARCH("Finalizado",P1161)))</formula>
    </cfRule>
    <cfRule type="expression" dxfId="2280" priority="3362">
      <formula>$H1161="CÉLULA CONSTRUTIVA"</formula>
    </cfRule>
    <cfRule type="containsText" dxfId="2279" priority="3363" operator="containsText" text="Lançado">
      <formula>NOT(ISERROR(SEARCH("Lançado",P1161)))</formula>
    </cfRule>
    <cfRule type="containsText" dxfId="2278" priority="3366" operator="containsText" text="em andamento">
      <formula>NOT(ISERROR(SEARCH("em andamento",P1161)))</formula>
    </cfRule>
    <cfRule type="containsText" dxfId="2277" priority="3364" operator="containsText" text="N/A">
      <formula>NOT(ISERROR(SEARCH("N/A",P1161)))</formula>
    </cfRule>
    <cfRule type="containsText" dxfId="2276" priority="3377" operator="containsText" text="N/A">
      <formula>NOT(ISERROR(SEARCH("N/A",P1161)))</formula>
    </cfRule>
    <cfRule type="expression" dxfId="2275" priority="3376">
      <formula>$H1161="ETAPA"</formula>
    </cfRule>
    <cfRule type="containsText" dxfId="2274" priority="3375" operator="containsText" text="em andamento">
      <formula>NOT(ISERROR(SEARCH("em andamento",P1161)))</formula>
    </cfRule>
    <cfRule type="containsText" dxfId="2273" priority="3373" operator="containsText" text="Lançado">
      <formula>NOT(ISERROR(SEARCH("Lançado",P1161)))</formula>
    </cfRule>
    <cfRule type="expression" dxfId="2272" priority="3372">
      <formula>$H1161="CÉLULA CONSTRUTIVA"</formula>
    </cfRule>
    <cfRule type="expression" dxfId="2271" priority="3371">
      <formula>$H1161="SUBETAPA"</formula>
    </cfRule>
    <cfRule type="containsText" dxfId="2270" priority="3370" operator="containsText" text="em andamento">
      <formula>NOT(ISERROR(SEARCH("em andamento",P1161)))</formula>
    </cfRule>
    <cfRule type="containsText" dxfId="2269" priority="3369" operator="containsText" text="Pendente">
      <formula>NOT(ISERROR(SEARCH("Pendente",P1161)))</formula>
    </cfRule>
    <cfRule type="containsText" dxfId="2268" priority="3368" operator="containsText" text="N/A">
      <formula>NOT(ISERROR(SEARCH("N/A",P1161)))</formula>
    </cfRule>
    <cfRule type="containsText" dxfId="2267" priority="3367" operator="containsText" text="Lançado">
      <formula>NOT(ISERROR(SEARCH("Lançado",P1161)))</formula>
    </cfRule>
    <cfRule type="expression" dxfId="2266" priority="3361">
      <formula>$H1161="SUBETAPA"</formula>
    </cfRule>
  </conditionalFormatting>
  <conditionalFormatting sqref="P1166">
    <cfRule type="containsText" dxfId="2265" priority="9515" operator="containsText" text="em andamento">
      <formula>NOT(ISERROR(SEARCH("em andamento",P1166)))</formula>
    </cfRule>
    <cfRule type="containsText" dxfId="2264" priority="9514" operator="containsText" text="Finalizado">
      <formula>NOT(ISERROR(SEARCH("Finalizado",P1166)))</formula>
    </cfRule>
    <cfRule type="containsText" dxfId="2263" priority="9513" operator="containsText" text="Pendente">
      <formula>NOT(ISERROR(SEARCH("Pendente",P1166)))</formula>
    </cfRule>
    <cfRule type="containsText" dxfId="2262" priority="9512" operator="containsText" text="N/A">
      <formula>NOT(ISERROR(SEARCH("N/A",P1166)))</formula>
    </cfRule>
    <cfRule type="containsText" dxfId="2261" priority="9511" operator="containsText" text="Lançado">
      <formula>NOT(ISERROR(SEARCH("Lançado",P1166)))</formula>
    </cfRule>
    <cfRule type="expression" dxfId="2260" priority="9509">
      <formula>$H1166="CÉLULA CONSTRUTIVA"</formula>
    </cfRule>
    <cfRule type="expression" dxfId="2259" priority="9508">
      <formula>$H1166="SUBETAPA"</formula>
    </cfRule>
  </conditionalFormatting>
  <conditionalFormatting sqref="P1167">
    <cfRule type="expression" dxfId="2258" priority="3354">
      <formula>$H1167="CÉLULA CONSTRUTIVA"</formula>
    </cfRule>
    <cfRule type="expression" dxfId="2257" priority="3353">
      <formula>$H1167="SUBETAPA"</formula>
    </cfRule>
    <cfRule type="containsText" dxfId="2256" priority="3352" operator="containsText" text="em andamento">
      <formula>NOT(ISERROR(SEARCH("em andamento",P1167)))</formula>
    </cfRule>
    <cfRule type="containsText" dxfId="2255" priority="3351" operator="containsText" text="Pendente">
      <formula>NOT(ISERROR(SEARCH("Pendente",P1167)))</formula>
    </cfRule>
    <cfRule type="containsText" dxfId="2254" priority="3350" operator="containsText" text="N/A">
      <formula>NOT(ISERROR(SEARCH("N/A",P1167)))</formula>
    </cfRule>
    <cfRule type="containsText" dxfId="2253" priority="3349" operator="containsText" text="Lançado">
      <formula>NOT(ISERROR(SEARCH("Lançado",P1167)))</formula>
    </cfRule>
    <cfRule type="containsText" dxfId="2252" priority="3348" operator="containsText" text="em andamento">
      <formula>NOT(ISERROR(SEARCH("em andamento",P1167)))</formula>
    </cfRule>
    <cfRule type="containsText" dxfId="2251" priority="3357" operator="containsText" text="em andamento">
      <formula>NOT(ISERROR(SEARCH("em andamento",P1167)))</formula>
    </cfRule>
    <cfRule type="expression" dxfId="2250" priority="3341">
      <formula>$H1167="ETAPA"</formula>
    </cfRule>
    <cfRule type="containsText" dxfId="2249" priority="3342" operator="containsText" text="Finalizado">
      <formula>NOT(ISERROR(SEARCH("Finalizado",P1167)))</formula>
    </cfRule>
    <cfRule type="expression" dxfId="2248" priority="3343">
      <formula>$H1167="SUBETAPA"</formula>
    </cfRule>
    <cfRule type="expression" dxfId="2247" priority="3344">
      <formula>$H1167="CÉLULA CONSTRUTIVA"</formula>
    </cfRule>
    <cfRule type="containsText" dxfId="2246" priority="3345" operator="containsText" text="Lançado">
      <formula>NOT(ISERROR(SEARCH("Lançado",P1167)))</formula>
    </cfRule>
    <cfRule type="containsText" dxfId="2245" priority="3346" operator="containsText" text="N/A">
      <formula>NOT(ISERROR(SEARCH("N/A",P1167)))</formula>
    </cfRule>
    <cfRule type="containsText" dxfId="2244" priority="3347" operator="containsText" text="Pendente">
      <formula>NOT(ISERROR(SEARCH("Pendente",P1167)))</formula>
    </cfRule>
    <cfRule type="containsText" dxfId="2243" priority="3358" operator="containsText" text="N/A">
      <formula>NOT(ISERROR(SEARCH("N/A",P1167)))</formula>
    </cfRule>
    <cfRule type="containsText" dxfId="2242" priority="3356" operator="containsText" text="Pendente">
      <formula>NOT(ISERROR(SEARCH("Pendente",P1167)))</formula>
    </cfRule>
    <cfRule type="containsText" dxfId="2241" priority="3355" operator="containsText" text="Lançado">
      <formula>NOT(ISERROR(SEARCH("Lançado",P1167)))</formula>
    </cfRule>
  </conditionalFormatting>
  <conditionalFormatting sqref="P1168 P1159">
    <cfRule type="containsText" dxfId="2240" priority="9520" operator="containsText" text="N/A">
      <formula>NOT(ISERROR(SEARCH("N/A",P1159)))</formula>
    </cfRule>
    <cfRule type="containsText" dxfId="2239" priority="9519" operator="containsText" text="Lançado">
      <formula>NOT(ISERROR(SEARCH("Lançado",P1159)))</formula>
    </cfRule>
  </conditionalFormatting>
  <conditionalFormatting sqref="P1169:P1173">
    <cfRule type="expression" dxfId="2238" priority="3339">
      <formula>$H1169="ETAPA"</formula>
    </cfRule>
    <cfRule type="containsText" dxfId="2237" priority="3340" operator="containsText" text="Finalizado">
      <formula>NOT(ISERROR(SEARCH("Finalizado",P1169)))</formula>
    </cfRule>
  </conditionalFormatting>
  <conditionalFormatting sqref="P1174 P1181">
    <cfRule type="containsText" dxfId="2236" priority="9828" operator="containsText" text="Pendente">
      <formula>NOT(ISERROR(SEARCH("Pendente",P1174)))</formula>
    </cfRule>
  </conditionalFormatting>
  <conditionalFormatting sqref="P1174:P1175 P1181">
    <cfRule type="containsText" dxfId="2235" priority="9829" operator="containsText" text="Finalizado">
      <formula>NOT(ISERROR(SEARCH("Finalizado",P1174)))</formula>
    </cfRule>
    <cfRule type="containsText" dxfId="2234" priority="9830" operator="containsText" text="em andamento">
      <formula>NOT(ISERROR(SEARCH("em andamento",P1174)))</formula>
    </cfRule>
  </conditionalFormatting>
  <conditionalFormatting sqref="P1175">
    <cfRule type="containsText" dxfId="2233" priority="9825" operator="containsText" text="Pendente">
      <formula>NOT(ISERROR(SEARCH("Pendente",P1175)))</formula>
    </cfRule>
    <cfRule type="containsText" dxfId="2232" priority="9823" operator="containsText" text="Lançado">
      <formula>NOT(ISERROR(SEARCH("Lançado",P1175)))</formula>
    </cfRule>
    <cfRule type="containsText" dxfId="2231" priority="9824" operator="containsText" text="N/A">
      <formula>NOT(ISERROR(SEARCH("N/A",P1175)))</formula>
    </cfRule>
  </conditionalFormatting>
  <conditionalFormatting sqref="P1176:P1178">
    <cfRule type="expression" dxfId="2230" priority="3320">
      <formula>$H1176="ETAPA"</formula>
    </cfRule>
    <cfRule type="containsText" dxfId="2229" priority="3334" operator="containsText" text="Lançado">
      <formula>NOT(ISERROR(SEARCH("Lançado",P1176)))</formula>
    </cfRule>
    <cfRule type="expression" dxfId="2228" priority="3333">
      <formula>$H1176="CÉLULA CONSTRUTIVA"</formula>
    </cfRule>
    <cfRule type="containsText" dxfId="2227" priority="3321" operator="containsText" text="Finalizado">
      <formula>NOT(ISERROR(SEARCH("Finalizado",P1176)))</formula>
    </cfRule>
    <cfRule type="expression" dxfId="2226" priority="3332">
      <formula>$H1176="SUBETAPA"</formula>
    </cfRule>
    <cfRule type="expression" dxfId="2225" priority="3322">
      <formula>$H1176="SUBETAPA"</formula>
    </cfRule>
    <cfRule type="expression" dxfId="2224" priority="3323">
      <formula>$H1176="CÉLULA CONSTRUTIVA"</formula>
    </cfRule>
    <cfRule type="containsText" dxfId="2223" priority="3331" operator="containsText" text="em andamento">
      <formula>NOT(ISERROR(SEARCH("em andamento",P1176)))</formula>
    </cfRule>
    <cfRule type="containsText" dxfId="2222" priority="3324" operator="containsText" text="Lançado">
      <formula>NOT(ISERROR(SEARCH("Lançado",P1176)))</formula>
    </cfRule>
    <cfRule type="containsText" dxfId="2221" priority="3325" operator="containsText" text="N/A">
      <formula>NOT(ISERROR(SEARCH("N/A",P1176)))</formula>
    </cfRule>
    <cfRule type="containsText" dxfId="2220" priority="3330" operator="containsText" text="Pendente">
      <formula>NOT(ISERROR(SEARCH("Pendente",P1176)))</formula>
    </cfRule>
    <cfRule type="containsText" dxfId="2219" priority="3329" operator="containsText" text="N/A">
      <formula>NOT(ISERROR(SEARCH("N/A",P1176)))</formula>
    </cfRule>
    <cfRule type="containsText" dxfId="2218" priority="3328" operator="containsText" text="Lançado">
      <formula>NOT(ISERROR(SEARCH("Lançado",P1176)))</formula>
    </cfRule>
    <cfRule type="containsText" dxfId="2217" priority="3327" operator="containsText" text="em andamento">
      <formula>NOT(ISERROR(SEARCH("em andamento",P1176)))</formula>
    </cfRule>
    <cfRule type="containsText" dxfId="2216" priority="3338" operator="containsText" text="N/A">
      <formula>NOT(ISERROR(SEARCH("N/A",P1176)))</formula>
    </cfRule>
    <cfRule type="containsText" dxfId="2215" priority="3326" operator="containsText" text="Pendente">
      <formula>NOT(ISERROR(SEARCH("Pendente",P1176)))</formula>
    </cfRule>
    <cfRule type="containsText" dxfId="2214" priority="3335" operator="containsText" text="Pendente">
      <formula>NOT(ISERROR(SEARCH("Pendente",P1176)))</formula>
    </cfRule>
    <cfRule type="expression" dxfId="2213" priority="3337">
      <formula>$H1176="ETAPA"</formula>
    </cfRule>
    <cfRule type="containsText" dxfId="2212" priority="3336" operator="containsText" text="em andamento">
      <formula>NOT(ISERROR(SEARCH("em andamento",P1176)))</formula>
    </cfRule>
  </conditionalFormatting>
  <conditionalFormatting sqref="P1179">
    <cfRule type="containsText" dxfId="2211" priority="9820" operator="containsText" text="Pendente">
      <formula>NOT(ISERROR(SEARCH("Pendente",P1179)))</formula>
    </cfRule>
    <cfRule type="containsText" dxfId="2210" priority="9821" operator="containsText" text="Finalizado">
      <formula>NOT(ISERROR(SEARCH("Finalizado",P1179)))</formula>
    </cfRule>
    <cfRule type="containsText" dxfId="2209" priority="9818" operator="containsText" text="Lançado">
      <formula>NOT(ISERROR(SEARCH("Lançado",P1179)))</formula>
    </cfRule>
    <cfRule type="expression" dxfId="2208" priority="9816">
      <formula>$H1179="CÉLULA CONSTRUTIVA"</formula>
    </cfRule>
    <cfRule type="expression" dxfId="2207" priority="9815">
      <formula>$H1179="SUBETAPA"</formula>
    </cfRule>
    <cfRule type="containsText" dxfId="2206" priority="9822" operator="containsText" text="em andamento">
      <formula>NOT(ISERROR(SEARCH("em andamento",P1179)))</formula>
    </cfRule>
    <cfRule type="containsText" dxfId="2205" priority="9819" operator="containsText" text="N/A">
      <formula>NOT(ISERROR(SEARCH("N/A",P1179)))</formula>
    </cfRule>
  </conditionalFormatting>
  <conditionalFormatting sqref="P1180">
    <cfRule type="containsText" dxfId="2204" priority="3307" operator="containsText" text="Pendente">
      <formula>NOT(ISERROR(SEARCH("Pendente",P1180)))</formula>
    </cfRule>
    <cfRule type="expression" dxfId="2203" priority="3314">
      <formula>$H1180="CÉLULA CONSTRUTIVA"</formula>
    </cfRule>
    <cfRule type="expression" dxfId="2202" priority="3318">
      <formula>$H1180="ETAPA"</formula>
    </cfRule>
    <cfRule type="containsText" dxfId="2201" priority="3317" operator="containsText" text="em andamento">
      <formula>NOT(ISERROR(SEARCH("em andamento",P1180)))</formula>
    </cfRule>
    <cfRule type="expression" dxfId="2200" priority="3313">
      <formula>$H1180="SUBETAPA"</formula>
    </cfRule>
    <cfRule type="containsText" dxfId="2199" priority="3312" operator="containsText" text="em andamento">
      <formula>NOT(ISERROR(SEARCH("em andamento",P1180)))</formula>
    </cfRule>
    <cfRule type="containsText" dxfId="2198" priority="3311" operator="containsText" text="Pendente">
      <formula>NOT(ISERROR(SEARCH("Pendente",P1180)))</formula>
    </cfRule>
    <cfRule type="containsText" dxfId="2197" priority="3310" operator="containsText" text="N/A">
      <formula>NOT(ISERROR(SEARCH("N/A",P1180)))</formula>
    </cfRule>
    <cfRule type="containsText" dxfId="2196" priority="3309" operator="containsText" text="Lançado">
      <formula>NOT(ISERROR(SEARCH("Lançado",P1180)))</formula>
    </cfRule>
    <cfRule type="containsText" dxfId="2195" priority="3308" operator="containsText" text="em andamento">
      <formula>NOT(ISERROR(SEARCH("em andamento",P1180)))</formula>
    </cfRule>
    <cfRule type="containsText" dxfId="2194" priority="3316" operator="containsText" text="Pendente">
      <formula>NOT(ISERROR(SEARCH("Pendente",P1180)))</formula>
    </cfRule>
    <cfRule type="containsText" dxfId="2193" priority="3319" operator="containsText" text="N/A">
      <formula>NOT(ISERROR(SEARCH("N/A",P1180)))</formula>
    </cfRule>
    <cfRule type="expression" dxfId="2192" priority="3301">
      <formula>$H1180="ETAPA"</formula>
    </cfRule>
    <cfRule type="containsText" dxfId="2191" priority="3305" operator="containsText" text="Lançado">
      <formula>NOT(ISERROR(SEARCH("Lançado",P1180)))</formula>
    </cfRule>
    <cfRule type="containsText" dxfId="2190" priority="3302" operator="containsText" text="Finalizado">
      <formula>NOT(ISERROR(SEARCH("Finalizado",P1180)))</formula>
    </cfRule>
    <cfRule type="containsText" dxfId="2189" priority="3306" operator="containsText" text="N/A">
      <formula>NOT(ISERROR(SEARCH("N/A",P1180)))</formula>
    </cfRule>
    <cfRule type="expression" dxfId="2188" priority="3303">
      <formula>$H1180="SUBETAPA"</formula>
    </cfRule>
    <cfRule type="expression" dxfId="2187" priority="3304">
      <formula>$H1180="CÉLULA CONSTRUTIVA"</formula>
    </cfRule>
    <cfRule type="containsText" dxfId="2186" priority="3315" operator="containsText" text="Lançado">
      <formula>NOT(ISERROR(SEARCH("Lançado",P1180)))</formula>
    </cfRule>
  </conditionalFormatting>
  <conditionalFormatting sqref="P1181 P1174">
    <cfRule type="containsText" dxfId="2185" priority="9827" operator="containsText" text="N/A">
      <formula>NOT(ISERROR(SEARCH("N/A",P1174)))</formula>
    </cfRule>
    <cfRule type="containsText" dxfId="2184" priority="9826" operator="containsText" text="Lançado">
      <formula>NOT(ISERROR(SEARCH("Lançado",P1174)))</formula>
    </cfRule>
  </conditionalFormatting>
  <conditionalFormatting sqref="P1185 P1340 P912 P1308 P1335:P1336 P1374:P1377">
    <cfRule type="containsText" dxfId="2183" priority="25438" operator="containsText" text="Lançado">
      <formula>NOT(ISERROR(SEARCH("Lançado",P912)))</formula>
    </cfRule>
    <cfRule type="containsText" dxfId="2182" priority="25439" operator="containsText" text="N/A">
      <formula>NOT(ISERROR(SEARCH("N/A",P912)))</formula>
    </cfRule>
  </conditionalFormatting>
  <conditionalFormatting sqref="P1185 P1340 P1308 P912 P1375 P1335:P1336 P1377">
    <cfRule type="containsText" dxfId="2181" priority="25440" operator="containsText" text="Pendente">
      <formula>NOT(ISERROR(SEARCH("Pendente",P912)))</formula>
    </cfRule>
  </conditionalFormatting>
  <conditionalFormatting sqref="P1186">
    <cfRule type="containsText" dxfId="2180" priority="9458" operator="containsText" text="em andamento">
      <formula>NOT(ISERROR(SEARCH("em andamento",P1186)))</formula>
    </cfRule>
  </conditionalFormatting>
  <conditionalFormatting sqref="P1186:P1187">
    <cfRule type="containsText" dxfId="2179" priority="9455" operator="containsText" text="N/A">
      <formula>NOT(ISERROR(SEARCH("N/A",P1186)))</formula>
    </cfRule>
    <cfRule type="containsText" dxfId="2178" priority="9454" operator="containsText" text="Lançado">
      <formula>NOT(ISERROR(SEARCH("Lançado",P1186)))</formula>
    </cfRule>
    <cfRule type="containsText" dxfId="2177" priority="9461" operator="containsText" text="Lançado">
      <formula>NOT(ISERROR(SEARCH("Lançado",P1186)))</formula>
    </cfRule>
    <cfRule type="containsText" dxfId="2176" priority="9465" operator="containsText" text="em andamento">
      <formula>NOT(ISERROR(SEARCH("em andamento",P1186)))</formula>
    </cfRule>
    <cfRule type="containsText" dxfId="2175" priority="9464" operator="containsText" text="Finalizado">
      <formula>NOT(ISERROR(SEARCH("Finalizado",P1186)))</formula>
    </cfRule>
    <cfRule type="containsText" dxfId="2174" priority="9463" operator="containsText" text="Pendente">
      <formula>NOT(ISERROR(SEARCH("Pendente",P1186)))</formula>
    </cfRule>
    <cfRule type="containsText" dxfId="2173" priority="9462" operator="containsText" text="N/A">
      <formula>NOT(ISERROR(SEARCH("N/A",P1186)))</formula>
    </cfRule>
    <cfRule type="containsText" dxfId="2172" priority="9457" operator="containsText" text="Finalizado">
      <formula>NOT(ISERROR(SEARCH("Finalizado",P1186)))</formula>
    </cfRule>
    <cfRule type="containsText" dxfId="2171" priority="9456" operator="containsText" text="Pendente">
      <formula>NOT(ISERROR(SEARCH("Pendente",P1186)))</formula>
    </cfRule>
  </conditionalFormatting>
  <conditionalFormatting sqref="P1187">
    <cfRule type="containsText" dxfId="2170" priority="9460" operator="containsText" text="em andamento">
      <formula>NOT(ISERROR(SEARCH("em andamento",P1187)))</formula>
    </cfRule>
  </conditionalFormatting>
  <conditionalFormatting sqref="P1188:P1189">
    <cfRule type="containsText" dxfId="2169" priority="9323" operator="containsText" text="Lançado">
      <formula>NOT(ISERROR(SEARCH("Lançado",P1188)))</formula>
    </cfRule>
    <cfRule type="containsText" dxfId="2168" priority="9326" operator="containsText" text="Finalizado">
      <formula>NOT(ISERROR(SEARCH("Finalizado",P1188)))</formula>
    </cfRule>
    <cfRule type="containsText" dxfId="2167" priority="9319" operator="containsText" text="em andamento">
      <formula>NOT(ISERROR(SEARCH("em andamento",P1188)))</formula>
    </cfRule>
    <cfRule type="expression" dxfId="2166" priority="9309">
      <formula>$H1188="ETAPA"</formula>
    </cfRule>
    <cfRule type="expression" dxfId="2165" priority="9320">
      <formula>$H1188="SUBETAPA"</formula>
    </cfRule>
    <cfRule type="expression" dxfId="2164" priority="9321">
      <formula>$H1188="CÉLULA CONSTRUTIVA"</formula>
    </cfRule>
    <cfRule type="expression" dxfId="2163" priority="9322">
      <formula>$H1188="ETAPA"</formula>
    </cfRule>
    <cfRule type="containsText" dxfId="2162" priority="9324" operator="containsText" text="N/A">
      <formula>NOT(ISERROR(SEARCH("N/A",P1188)))</formula>
    </cfRule>
    <cfRule type="containsText" dxfId="2161" priority="9325" operator="containsText" text="Pendente">
      <formula>NOT(ISERROR(SEARCH("Pendente",P1188)))</formula>
    </cfRule>
    <cfRule type="containsText" dxfId="2160" priority="9327" operator="containsText" text="em andamento">
      <formula>NOT(ISERROR(SEARCH("em andamento",P1188)))</formula>
    </cfRule>
    <cfRule type="expression" dxfId="2159" priority="9308">
      <formula>$H1188="CÉLULA CONSTRUTIVA"</formula>
    </cfRule>
    <cfRule type="expression" dxfId="2158" priority="9307">
      <formula>$H1188="SUBETAPA"</formula>
    </cfRule>
    <cfRule type="containsText" dxfId="2157" priority="9318" operator="containsText" text="Finalizado">
      <formula>NOT(ISERROR(SEARCH("Finalizado",P1188)))</formula>
    </cfRule>
    <cfRule type="containsText" dxfId="2156" priority="9317" operator="containsText" text="Pendente">
      <formula>NOT(ISERROR(SEARCH("Pendente",P1188)))</formula>
    </cfRule>
    <cfRule type="containsText" dxfId="2155" priority="9316" operator="containsText" text="N/A">
      <formula>NOT(ISERROR(SEARCH("N/A",P1188)))</formula>
    </cfRule>
    <cfRule type="containsText" dxfId="2154" priority="9315" operator="containsText" text="Lançado">
      <formula>NOT(ISERROR(SEARCH("Lançado",P1188)))</formula>
    </cfRule>
    <cfRule type="containsText" dxfId="2153" priority="9314" operator="containsText" text="em andamento">
      <formula>NOT(ISERROR(SEARCH("em andamento",P1188)))</formula>
    </cfRule>
    <cfRule type="containsText" dxfId="2152" priority="9313" operator="containsText" text="Finalizado">
      <formula>NOT(ISERROR(SEARCH("Finalizado",P1188)))</formula>
    </cfRule>
    <cfRule type="containsText" dxfId="2151" priority="9312" operator="containsText" text="Pendente">
      <formula>NOT(ISERROR(SEARCH("Pendente",P1188)))</formula>
    </cfRule>
    <cfRule type="containsText" dxfId="2150" priority="9311" operator="containsText" text="N/A">
      <formula>NOT(ISERROR(SEARCH("N/A",P1188)))</formula>
    </cfRule>
    <cfRule type="containsText" dxfId="2149" priority="9310" operator="containsText" text="Lançado">
      <formula>NOT(ISERROR(SEARCH("Lançado",P1188)))</formula>
    </cfRule>
  </conditionalFormatting>
  <conditionalFormatting sqref="P1190">
    <cfRule type="containsText" dxfId="2148" priority="8248" operator="containsText" text="N/A">
      <formula>NOT(ISERROR(SEARCH("N/A",P1190)))</formula>
    </cfRule>
    <cfRule type="containsText" dxfId="2147" priority="8245" operator="containsText" text="Finalizado">
      <formula>NOT(ISERROR(SEARCH("Finalizado",P1190)))</formula>
    </cfRule>
    <cfRule type="containsText" dxfId="2146" priority="8244" operator="containsText" text="Pendente">
      <formula>NOT(ISERROR(SEARCH("Pendente",P1190)))</formula>
    </cfRule>
    <cfRule type="containsText" dxfId="2145" priority="8243" operator="containsText" text="N/A">
      <formula>NOT(ISERROR(SEARCH("N/A",P1190)))</formula>
    </cfRule>
    <cfRule type="containsText" dxfId="2144" priority="8251" operator="containsText" text="em andamento">
      <formula>NOT(ISERROR(SEARCH("em andamento",P1190)))</formula>
    </cfRule>
    <cfRule type="containsText" dxfId="2143" priority="8242" operator="containsText" text="Lançado">
      <formula>NOT(ISERROR(SEARCH("Lançado",P1190)))</formula>
    </cfRule>
    <cfRule type="containsText" dxfId="2142" priority="8249" operator="containsText" text="Pendente">
      <formula>NOT(ISERROR(SEARCH("Pendente",P1190)))</formula>
    </cfRule>
    <cfRule type="containsText" dxfId="2141" priority="8250" operator="containsText" text="Finalizado">
      <formula>NOT(ISERROR(SEARCH("Finalizado",P1190)))</formula>
    </cfRule>
    <cfRule type="containsText" dxfId="2140" priority="8246" operator="containsText" text="em andamento">
      <formula>NOT(ISERROR(SEARCH("em andamento",P1190)))</formula>
    </cfRule>
    <cfRule type="containsText" dxfId="2139" priority="8247" operator="containsText" text="Lançado">
      <formula>NOT(ISERROR(SEARCH("Lançado",P1190)))</formula>
    </cfRule>
  </conditionalFormatting>
  <conditionalFormatting sqref="P1191">
    <cfRule type="containsText" dxfId="2138" priority="4623" operator="containsText" text="Pendente">
      <formula>NOT(ISERROR(SEARCH("Pendente",P1191)))</formula>
    </cfRule>
    <cfRule type="containsText" dxfId="2137" priority="4617" operator="containsText" text="N/A">
      <formula>NOT(ISERROR(SEARCH("N/A",P1191)))</formula>
    </cfRule>
    <cfRule type="expression" dxfId="2136" priority="4613">
      <formula>$H1191="SUBETAPA"</formula>
    </cfRule>
    <cfRule type="containsText" dxfId="2135" priority="4624" operator="containsText" text="Finalizado">
      <formula>NOT(ISERROR(SEARCH("Finalizado",P1191)))</formula>
    </cfRule>
    <cfRule type="containsText" dxfId="2134" priority="4629" operator="containsText" text="Lançado">
      <formula>NOT(ISERROR(SEARCH("Lançado",P1191)))</formula>
    </cfRule>
    <cfRule type="containsText" dxfId="2133" priority="4630" operator="containsText" text="N/A">
      <formula>NOT(ISERROR(SEARCH("N/A",P1191)))</formula>
    </cfRule>
    <cfRule type="containsText" dxfId="2132" priority="4622" operator="containsText" text="N/A">
      <formula>NOT(ISERROR(SEARCH("N/A",P1191)))</formula>
    </cfRule>
    <cfRule type="expression" dxfId="2131" priority="4628">
      <formula>$H1191="ETAPA"</formula>
    </cfRule>
    <cfRule type="expression" dxfId="2130" priority="4627">
      <formula>$H1191="CÉLULA CONSTRUTIVA"</formula>
    </cfRule>
    <cfRule type="containsText" dxfId="2129" priority="4621" operator="containsText" text="Lançado">
      <formula>NOT(ISERROR(SEARCH("Lançado",P1191)))</formula>
    </cfRule>
    <cfRule type="containsText" dxfId="2128" priority="4620" operator="containsText" text="em andamento">
      <formula>NOT(ISERROR(SEARCH("em andamento",P1191)))</formula>
    </cfRule>
    <cfRule type="containsText" dxfId="2127" priority="4616" operator="containsText" text="Lançado">
      <formula>NOT(ISERROR(SEARCH("Lançado",P1191)))</formula>
    </cfRule>
    <cfRule type="containsText" dxfId="2126" priority="4618" operator="containsText" text="Pendente">
      <formula>NOT(ISERROR(SEARCH("Pendente",P1191)))</formula>
    </cfRule>
    <cfRule type="expression" dxfId="2125" priority="4626">
      <formula>$H1191="SUBETAPA"</formula>
    </cfRule>
    <cfRule type="expression" dxfId="2124" priority="4614">
      <formula>$H1191="CÉLULA CONSTRUTIVA"</formula>
    </cfRule>
    <cfRule type="containsText" dxfId="2123" priority="4625" operator="containsText" text="em andamento">
      <formula>NOT(ISERROR(SEARCH("em andamento",P1191)))</formula>
    </cfRule>
    <cfRule type="containsText" dxfId="2122" priority="4619" operator="containsText" text="Finalizado">
      <formula>NOT(ISERROR(SEARCH("Finalizado",P1191)))</formula>
    </cfRule>
    <cfRule type="containsText" dxfId="2121" priority="4631" operator="containsText" text="Pendente">
      <formula>NOT(ISERROR(SEARCH("Pendente",P1191)))</formula>
    </cfRule>
    <cfRule type="containsText" dxfId="2120" priority="4632" operator="containsText" text="Finalizado">
      <formula>NOT(ISERROR(SEARCH("Finalizado",P1191)))</formula>
    </cfRule>
    <cfRule type="containsText" dxfId="2119" priority="4633" operator="containsText" text="em andamento">
      <formula>NOT(ISERROR(SEARCH("em andamento",P1191)))</formula>
    </cfRule>
    <cfRule type="expression" dxfId="2118" priority="4615">
      <formula>$H1191="ETAPA"</formula>
    </cfRule>
  </conditionalFormatting>
  <conditionalFormatting sqref="P1192">
    <cfRule type="containsText" dxfId="2117" priority="5736" operator="containsText" text="Pendente">
      <formula>NOT(ISERROR(SEARCH("Pendente",P1192)))</formula>
    </cfRule>
    <cfRule type="containsText" dxfId="2116" priority="5738" operator="containsText" text="em andamento">
      <formula>NOT(ISERROR(SEARCH("em andamento",P1192)))</formula>
    </cfRule>
    <cfRule type="containsText" dxfId="2115" priority="5737" operator="containsText" text="Finalizado">
      <formula>NOT(ISERROR(SEARCH("Finalizado",P1192)))</formula>
    </cfRule>
    <cfRule type="containsText" dxfId="2114" priority="5731" operator="containsText" text="Pendente">
      <formula>NOT(ISERROR(SEARCH("Pendente",P1192)))</formula>
    </cfRule>
    <cfRule type="containsText" dxfId="2113" priority="5730" operator="containsText" text="N/A">
      <formula>NOT(ISERROR(SEARCH("N/A",P1192)))</formula>
    </cfRule>
    <cfRule type="containsText" dxfId="2112" priority="5732" operator="containsText" text="Finalizado">
      <formula>NOT(ISERROR(SEARCH("Finalizado",P1192)))</formula>
    </cfRule>
    <cfRule type="containsText" dxfId="2111" priority="5733" operator="containsText" text="em andamento">
      <formula>NOT(ISERROR(SEARCH("em andamento",P1192)))</formula>
    </cfRule>
    <cfRule type="containsText" dxfId="2110" priority="5729" operator="containsText" text="Lançado">
      <formula>NOT(ISERROR(SEARCH("Lançado",P1192)))</formula>
    </cfRule>
    <cfRule type="containsText" dxfId="2109" priority="5734" operator="containsText" text="Lançado">
      <formula>NOT(ISERROR(SEARCH("Lançado",P1192)))</formula>
    </cfRule>
    <cfRule type="containsText" dxfId="2108" priority="5735" operator="containsText" text="N/A">
      <formula>NOT(ISERROR(SEARCH("N/A",P1192)))</formula>
    </cfRule>
  </conditionalFormatting>
  <conditionalFormatting sqref="P1193">
    <cfRule type="containsText" dxfId="2107" priority="4604" operator="containsText" text="em andamento">
      <formula>NOT(ISERROR(SEARCH("em andamento",P1193)))</formula>
    </cfRule>
    <cfRule type="expression" dxfId="2106" priority="4605">
      <formula>$H1193="SUBETAPA"</formula>
    </cfRule>
    <cfRule type="expression" dxfId="2105" priority="4607">
      <formula>$H1193="ETAPA"</formula>
    </cfRule>
    <cfRule type="containsText" dxfId="2104" priority="4608" operator="containsText" text="Lançado">
      <formula>NOT(ISERROR(SEARCH("Lançado",P1193)))</formula>
    </cfRule>
    <cfRule type="containsText" dxfId="2103" priority="4609" operator="containsText" text="N/A">
      <formula>NOT(ISERROR(SEARCH("N/A",P1193)))</formula>
    </cfRule>
    <cfRule type="containsText" dxfId="2102" priority="4610" operator="containsText" text="Pendente">
      <formula>NOT(ISERROR(SEARCH("Pendente",P1193)))</formula>
    </cfRule>
    <cfRule type="containsText" dxfId="2101" priority="4611" operator="containsText" text="Finalizado">
      <formula>NOT(ISERROR(SEARCH("Finalizado",P1193)))</formula>
    </cfRule>
    <cfRule type="containsText" dxfId="2100" priority="4612" operator="containsText" text="em andamento">
      <formula>NOT(ISERROR(SEARCH("em andamento",P1193)))</formula>
    </cfRule>
    <cfRule type="containsText" dxfId="2099" priority="4599" operator="containsText" text="em andamento">
      <formula>NOT(ISERROR(SEARCH("em andamento",P1193)))</formula>
    </cfRule>
    <cfRule type="containsText" dxfId="2098" priority="4600" operator="containsText" text="Lançado">
      <formula>NOT(ISERROR(SEARCH("Lançado",P1193)))</formula>
    </cfRule>
    <cfRule type="containsText" dxfId="2097" priority="4601" operator="containsText" text="N/A">
      <formula>NOT(ISERROR(SEARCH("N/A",P1193)))</formula>
    </cfRule>
    <cfRule type="containsText" dxfId="2096" priority="4602" operator="containsText" text="Pendente">
      <formula>NOT(ISERROR(SEARCH("Pendente",P1193)))</formula>
    </cfRule>
    <cfRule type="containsText" dxfId="2095" priority="4603" operator="containsText" text="Finalizado">
      <formula>NOT(ISERROR(SEARCH("Finalizado",P1193)))</formula>
    </cfRule>
    <cfRule type="expression" dxfId="2094" priority="4606">
      <formula>$H1193="CÉLULA CONSTRUTIVA"</formula>
    </cfRule>
    <cfRule type="expression" dxfId="2093" priority="4592">
      <formula>$H1193="SUBETAPA"</formula>
    </cfRule>
    <cfRule type="expression" dxfId="2092" priority="4593">
      <formula>$H1193="CÉLULA CONSTRUTIVA"</formula>
    </cfRule>
    <cfRule type="expression" dxfId="2091" priority="4594">
      <formula>$H1193="ETAPA"</formula>
    </cfRule>
    <cfRule type="containsText" dxfId="2090" priority="4595" operator="containsText" text="Lançado">
      <formula>NOT(ISERROR(SEARCH("Lançado",P1193)))</formula>
    </cfRule>
    <cfRule type="containsText" dxfId="2089" priority="4596" operator="containsText" text="N/A">
      <formula>NOT(ISERROR(SEARCH("N/A",P1193)))</formula>
    </cfRule>
    <cfRule type="containsText" dxfId="2088" priority="4597" operator="containsText" text="Pendente">
      <formula>NOT(ISERROR(SEARCH("Pendente",P1193)))</formula>
    </cfRule>
    <cfRule type="containsText" dxfId="2087" priority="4598" operator="containsText" text="Finalizado">
      <formula>NOT(ISERROR(SEARCH("Finalizado",P1193)))</formula>
    </cfRule>
  </conditionalFormatting>
  <conditionalFormatting sqref="P1194">
    <cfRule type="containsText" dxfId="2086" priority="9471" operator="containsText" text="Finalizado">
      <formula>NOT(ISERROR(SEARCH("Finalizado",P1194)))</formula>
    </cfRule>
    <cfRule type="containsText" dxfId="2085" priority="9472" operator="containsText" text="em andamento">
      <formula>NOT(ISERROR(SEARCH("em andamento",P1194)))</formula>
    </cfRule>
    <cfRule type="containsText" dxfId="2084" priority="9470" operator="containsText" text="Pendente">
      <formula>NOT(ISERROR(SEARCH("Pendente",P1194)))</formula>
    </cfRule>
    <cfRule type="containsText" dxfId="2083" priority="9469" operator="containsText" text="N/A">
      <formula>NOT(ISERROR(SEARCH("N/A",P1194)))</formula>
    </cfRule>
    <cfRule type="containsText" dxfId="2082" priority="9468" operator="containsText" text="Lançado">
      <formula>NOT(ISERROR(SEARCH("Lançado",P1194)))</formula>
    </cfRule>
  </conditionalFormatting>
  <conditionalFormatting sqref="P1195">
    <cfRule type="expression" dxfId="2081" priority="4571">
      <formula>$H1195="SUBETAPA"</formula>
    </cfRule>
    <cfRule type="expression" dxfId="2080" priority="4572">
      <formula>$H1195="CÉLULA CONSTRUTIVA"</formula>
    </cfRule>
    <cfRule type="expression" dxfId="2079" priority="4573">
      <formula>$H1195="ETAPA"</formula>
    </cfRule>
    <cfRule type="expression" dxfId="2078" priority="4585">
      <formula>$H1195="CÉLULA CONSTRUTIVA"</formula>
    </cfRule>
    <cfRule type="expression" dxfId="2077" priority="4584">
      <formula>$H1195="SUBETAPA"</formula>
    </cfRule>
    <cfRule type="containsText" dxfId="2076" priority="4580" operator="containsText" text="N/A">
      <formula>NOT(ISERROR(SEARCH("N/A",P1195)))</formula>
    </cfRule>
    <cfRule type="containsText" dxfId="2075" priority="4575" operator="containsText" text="N/A">
      <formula>NOT(ISERROR(SEARCH("N/A",P1195)))</formula>
    </cfRule>
    <cfRule type="containsText" dxfId="2074" priority="4576" operator="containsText" text="Pendente">
      <formula>NOT(ISERROR(SEARCH("Pendente",P1195)))</formula>
    </cfRule>
    <cfRule type="containsText" dxfId="2073" priority="4577" operator="containsText" text="Finalizado">
      <formula>NOT(ISERROR(SEARCH("Finalizado",P1195)))</formula>
    </cfRule>
    <cfRule type="containsText" dxfId="2072" priority="4578" operator="containsText" text="em andamento">
      <formula>NOT(ISERROR(SEARCH("em andamento",P1195)))</formula>
    </cfRule>
    <cfRule type="containsText" dxfId="2071" priority="4579" operator="containsText" text="Lançado">
      <formula>NOT(ISERROR(SEARCH("Lançado",P1195)))</formula>
    </cfRule>
    <cfRule type="containsText" dxfId="2070" priority="4591" operator="containsText" text="em andamento">
      <formula>NOT(ISERROR(SEARCH("em andamento",P1195)))</formula>
    </cfRule>
    <cfRule type="containsText" dxfId="2069" priority="4581" operator="containsText" text="Pendente">
      <formula>NOT(ISERROR(SEARCH("Pendente",P1195)))</formula>
    </cfRule>
    <cfRule type="containsText" dxfId="2068" priority="4590" operator="containsText" text="Finalizado">
      <formula>NOT(ISERROR(SEARCH("Finalizado",P1195)))</formula>
    </cfRule>
    <cfRule type="containsText" dxfId="2067" priority="4589" operator="containsText" text="Pendente">
      <formula>NOT(ISERROR(SEARCH("Pendente",P1195)))</formula>
    </cfRule>
    <cfRule type="containsText" dxfId="2066" priority="4574" operator="containsText" text="Lançado">
      <formula>NOT(ISERROR(SEARCH("Lançado",P1195)))</formula>
    </cfRule>
    <cfRule type="containsText" dxfId="2065" priority="4587" operator="containsText" text="Lançado">
      <formula>NOT(ISERROR(SEARCH("Lançado",P1195)))</formula>
    </cfRule>
    <cfRule type="containsText" dxfId="2064" priority="4588" operator="containsText" text="N/A">
      <formula>NOT(ISERROR(SEARCH("N/A",P1195)))</formula>
    </cfRule>
    <cfRule type="expression" dxfId="2063" priority="4586">
      <formula>$H1195="ETAPA"</formula>
    </cfRule>
    <cfRule type="containsText" dxfId="2062" priority="4583" operator="containsText" text="em andamento">
      <formula>NOT(ISERROR(SEARCH("em andamento",P1195)))</formula>
    </cfRule>
    <cfRule type="containsText" dxfId="2061" priority="4582" operator="containsText" text="Finalizado">
      <formula>NOT(ISERROR(SEARCH("Finalizado",P1195)))</formula>
    </cfRule>
  </conditionalFormatting>
  <conditionalFormatting sqref="P1196">
    <cfRule type="containsText" dxfId="2060" priority="5409" operator="containsText" text="Lançado">
      <formula>NOT(ISERROR(SEARCH("Lançado",P1196)))</formula>
    </cfRule>
    <cfRule type="containsText" dxfId="2059" priority="5384" operator="containsText" text="N/A">
      <formula>NOT(ISERROR(SEARCH("N/A",P1196)))</formula>
    </cfRule>
    <cfRule type="containsText" dxfId="2058" priority="5413" operator="containsText" text="em andamento">
      <formula>NOT(ISERROR(SEARCH("em andamento",P1196)))</formula>
    </cfRule>
    <cfRule type="containsText" dxfId="2057" priority="5418" operator="containsText" text="N/A">
      <formula>NOT(ISERROR(SEARCH("N/A",P1196)))</formula>
    </cfRule>
    <cfRule type="containsText" dxfId="2056" priority="5421" operator="containsText" text="em andamento">
      <formula>NOT(ISERROR(SEARCH("em andamento",P1196)))</formula>
    </cfRule>
    <cfRule type="containsText" dxfId="2055" priority="5420" operator="containsText" text="Finalizado">
      <formula>NOT(ISERROR(SEARCH("Finalizado",P1196)))</formula>
    </cfRule>
    <cfRule type="containsText" dxfId="2054" priority="5419" operator="containsText" text="Pendente">
      <formula>NOT(ISERROR(SEARCH("Pendente",P1196)))</formula>
    </cfRule>
    <cfRule type="containsText" dxfId="2053" priority="5417" operator="containsText" text="Lançado">
      <formula>NOT(ISERROR(SEARCH("Lançado",P1196)))</formula>
    </cfRule>
    <cfRule type="containsText" dxfId="2052" priority="5412" operator="containsText" text="Finalizado">
      <formula>NOT(ISERROR(SEARCH("Finalizado",P1196)))</formula>
    </cfRule>
    <cfRule type="containsText" dxfId="2051" priority="5411" operator="containsText" text="Pendente">
      <formula>NOT(ISERROR(SEARCH("Pendente",P1196)))</formula>
    </cfRule>
  </conditionalFormatting>
  <conditionalFormatting sqref="P1197:P1198">
    <cfRule type="containsText" dxfId="2050" priority="4558" operator="containsText" text="Lançado">
      <formula>NOT(ISERROR(SEARCH("Lançado",P1197)))</formula>
    </cfRule>
    <cfRule type="containsText" dxfId="2049" priority="4556" operator="containsText" text="Finalizado">
      <formula>NOT(ISERROR(SEARCH("Finalizado",P1197)))</formula>
    </cfRule>
    <cfRule type="containsText" dxfId="2048" priority="4559" operator="containsText" text="N/A">
      <formula>NOT(ISERROR(SEARCH("N/A",P1197)))</formula>
    </cfRule>
    <cfRule type="containsText" dxfId="2047" priority="4562" operator="containsText" text="em andamento">
      <formula>NOT(ISERROR(SEARCH("em andamento",P1197)))</formula>
    </cfRule>
    <cfRule type="containsText" dxfId="2046" priority="4553" operator="containsText" text="Lançado">
      <formula>NOT(ISERROR(SEARCH("Lançado",P1197)))</formula>
    </cfRule>
    <cfRule type="containsText" dxfId="2045" priority="4557" operator="containsText" text="em andamento">
      <formula>NOT(ISERROR(SEARCH("em andamento",P1197)))</formula>
    </cfRule>
    <cfRule type="expression" dxfId="2044" priority="4550">
      <formula>$H1197="SUBETAPA"</formula>
    </cfRule>
    <cfRule type="expression" dxfId="2043" priority="4552">
      <formula>$H1197="ETAPA"</formula>
    </cfRule>
    <cfRule type="containsText" dxfId="2042" priority="4560" operator="containsText" text="Pendente">
      <formula>NOT(ISERROR(SEARCH("Pendente",P1197)))</formula>
    </cfRule>
    <cfRule type="containsText" dxfId="2041" priority="4554" operator="containsText" text="N/A">
      <formula>NOT(ISERROR(SEARCH("N/A",P1197)))</formula>
    </cfRule>
    <cfRule type="containsText" dxfId="2040" priority="4561" operator="containsText" text="Finalizado">
      <formula>NOT(ISERROR(SEARCH("Finalizado",P1197)))</formula>
    </cfRule>
    <cfRule type="containsText" dxfId="2039" priority="4555" operator="containsText" text="Pendente">
      <formula>NOT(ISERROR(SEARCH("Pendente",P1197)))</formula>
    </cfRule>
    <cfRule type="containsText" dxfId="2038" priority="4570" operator="containsText" text="em andamento">
      <formula>NOT(ISERROR(SEARCH("em andamento",P1197)))</formula>
    </cfRule>
    <cfRule type="expression" dxfId="2037" priority="4551">
      <formula>$H1197="CÉLULA CONSTRUTIVA"</formula>
    </cfRule>
    <cfRule type="expression" dxfId="2036" priority="4564">
      <formula>$H1197="CÉLULA CONSTRUTIVA"</formula>
    </cfRule>
    <cfRule type="expression" dxfId="2035" priority="4565">
      <formula>$H1197="ETAPA"</formula>
    </cfRule>
    <cfRule type="containsText" dxfId="2034" priority="4566" operator="containsText" text="Lançado">
      <formula>NOT(ISERROR(SEARCH("Lançado",P1197)))</formula>
    </cfRule>
    <cfRule type="containsText" dxfId="2033" priority="4567" operator="containsText" text="N/A">
      <formula>NOT(ISERROR(SEARCH("N/A",P1197)))</formula>
    </cfRule>
    <cfRule type="containsText" dxfId="2032" priority="4568" operator="containsText" text="Pendente">
      <formula>NOT(ISERROR(SEARCH("Pendente",P1197)))</formula>
    </cfRule>
    <cfRule type="containsText" dxfId="2031" priority="4569" operator="containsText" text="Finalizado">
      <formula>NOT(ISERROR(SEARCH("Finalizado",P1197)))</formula>
    </cfRule>
    <cfRule type="expression" dxfId="2030" priority="4563">
      <formula>$H1197="SUBETAPA"</formula>
    </cfRule>
  </conditionalFormatting>
  <conditionalFormatting sqref="P1199">
    <cfRule type="containsText" dxfId="2029" priority="8876" operator="containsText" text="em andamento">
      <formula>NOT(ISERROR(SEARCH("em andamento",P1199)))</formula>
    </cfRule>
  </conditionalFormatting>
  <conditionalFormatting sqref="P1199:P1200">
    <cfRule type="containsText" dxfId="2028" priority="8875" operator="containsText" text="Finalizado">
      <formula>NOT(ISERROR(SEARCH("Finalizado",P1199)))</formula>
    </cfRule>
    <cfRule type="containsText" dxfId="2027" priority="8883" operator="containsText" text="em andamento">
      <formula>NOT(ISERROR(SEARCH("em andamento",P1199)))</formula>
    </cfRule>
    <cfRule type="containsText" dxfId="2026" priority="8879" operator="containsText" text="Lançado">
      <formula>NOT(ISERROR(SEARCH("Lançado",P1199)))</formula>
    </cfRule>
    <cfRule type="containsText" dxfId="2025" priority="8880" operator="containsText" text="N/A">
      <formula>NOT(ISERROR(SEARCH("N/A",P1199)))</formula>
    </cfRule>
    <cfRule type="containsText" dxfId="2024" priority="8872" operator="containsText" text="Lançado">
      <formula>NOT(ISERROR(SEARCH("Lançado",P1199)))</formula>
    </cfRule>
    <cfRule type="containsText" dxfId="2023" priority="8873" operator="containsText" text="N/A">
      <formula>NOT(ISERROR(SEARCH("N/A",P1199)))</formula>
    </cfRule>
    <cfRule type="containsText" dxfId="2022" priority="8874" operator="containsText" text="Pendente">
      <formula>NOT(ISERROR(SEARCH("Pendente",P1199)))</formula>
    </cfRule>
    <cfRule type="containsText" dxfId="2021" priority="8881" operator="containsText" text="Pendente">
      <formula>NOT(ISERROR(SEARCH("Pendente",P1199)))</formula>
    </cfRule>
    <cfRule type="containsText" dxfId="2020" priority="8882" operator="containsText" text="Finalizado">
      <formula>NOT(ISERROR(SEARCH("Finalizado",P1199)))</formula>
    </cfRule>
  </conditionalFormatting>
  <conditionalFormatting sqref="P1200">
    <cfRule type="containsText" dxfId="2019" priority="8878" operator="containsText" text="em andamento">
      <formula>NOT(ISERROR(SEARCH("em andamento",P1200)))</formula>
    </cfRule>
  </conditionalFormatting>
  <conditionalFormatting sqref="P1201">
    <cfRule type="containsText" dxfId="2018" priority="4539" operator="containsText" text="Pendente">
      <formula>NOT(ISERROR(SEARCH("Pendente",P1201)))</formula>
    </cfRule>
    <cfRule type="containsText" dxfId="2017" priority="4536" operator="containsText" text="em andamento">
      <formula>NOT(ISERROR(SEARCH("em andamento",P1201)))</formula>
    </cfRule>
    <cfRule type="expression" dxfId="2016" priority="4530">
      <formula>$H1201="CÉLULA CONSTRUTIVA"</formula>
    </cfRule>
    <cfRule type="expression" dxfId="2015" priority="4529">
      <formula>$H1201="SUBETAPA"</formula>
    </cfRule>
    <cfRule type="containsText" dxfId="2014" priority="4548" operator="containsText" text="Finalizado">
      <formula>NOT(ISERROR(SEARCH("Finalizado",P1201)))</formula>
    </cfRule>
    <cfRule type="containsText" dxfId="2013" priority="4546" operator="containsText" text="N/A">
      <formula>NOT(ISERROR(SEARCH("N/A",P1201)))</formula>
    </cfRule>
    <cfRule type="containsText" dxfId="2012" priority="4547" operator="containsText" text="Pendente">
      <formula>NOT(ISERROR(SEARCH("Pendente",P1201)))</formula>
    </cfRule>
    <cfRule type="expression" dxfId="2011" priority="4542">
      <formula>$H1201="SUBETAPA"</formula>
    </cfRule>
    <cfRule type="containsText" dxfId="2010" priority="4545" operator="containsText" text="Lançado">
      <formula>NOT(ISERROR(SEARCH("Lançado",P1201)))</formula>
    </cfRule>
    <cfRule type="expression" dxfId="2009" priority="4544">
      <formula>$H1201="ETAPA"</formula>
    </cfRule>
    <cfRule type="containsText" dxfId="2008" priority="4535" operator="containsText" text="Finalizado">
      <formula>NOT(ISERROR(SEARCH("Finalizado",P1201)))</formula>
    </cfRule>
    <cfRule type="expression" dxfId="2007" priority="4543">
      <formula>$H1201="CÉLULA CONSTRUTIVA"</formula>
    </cfRule>
    <cfRule type="containsText" dxfId="2006" priority="4549" operator="containsText" text="em andamento">
      <formula>NOT(ISERROR(SEARCH("em andamento",P1201)))</formula>
    </cfRule>
    <cfRule type="containsText" dxfId="2005" priority="4541" operator="containsText" text="em andamento">
      <formula>NOT(ISERROR(SEARCH("em andamento",P1201)))</formula>
    </cfRule>
    <cfRule type="containsText" dxfId="2004" priority="4534" operator="containsText" text="Pendente">
      <formula>NOT(ISERROR(SEARCH("Pendente",P1201)))</formula>
    </cfRule>
    <cfRule type="containsText" dxfId="2003" priority="4533" operator="containsText" text="N/A">
      <formula>NOT(ISERROR(SEARCH("N/A",P1201)))</formula>
    </cfRule>
    <cfRule type="containsText" dxfId="2002" priority="4532" operator="containsText" text="Lançado">
      <formula>NOT(ISERROR(SEARCH("Lançado",P1201)))</formula>
    </cfRule>
    <cfRule type="containsText" dxfId="2001" priority="4540" operator="containsText" text="Finalizado">
      <formula>NOT(ISERROR(SEARCH("Finalizado",P1201)))</formula>
    </cfRule>
    <cfRule type="expression" dxfId="2000" priority="4531">
      <formula>$H1201="ETAPA"</formula>
    </cfRule>
    <cfRule type="containsText" dxfId="1999" priority="4537" operator="containsText" text="Lançado">
      <formula>NOT(ISERROR(SEARCH("Lançado",P1201)))</formula>
    </cfRule>
    <cfRule type="containsText" dxfId="1998" priority="4538" operator="containsText" text="N/A">
      <formula>NOT(ISERROR(SEARCH("N/A",P1201)))</formula>
    </cfRule>
  </conditionalFormatting>
  <conditionalFormatting sqref="P1202">
    <cfRule type="containsText" dxfId="1997" priority="959" operator="containsText" text="Lançado">
      <formula>NOT(ISERROR(SEARCH("Lançado",P1202)))</formula>
    </cfRule>
    <cfRule type="containsText" dxfId="1996" priority="960" operator="containsText" text="N/A">
      <formula>NOT(ISERROR(SEARCH("N/A",P1202)))</formula>
    </cfRule>
    <cfRule type="expression" dxfId="1995" priority="970">
      <formula>$H1202="CÉLULA CONSTRUTIVA"</formula>
    </cfRule>
    <cfRule type="expression" dxfId="1994" priority="958">
      <formula>$H1202="ETAPA"</formula>
    </cfRule>
    <cfRule type="expression" dxfId="1993" priority="956">
      <formula>$H1202="SUBETAPA"</formula>
    </cfRule>
    <cfRule type="containsText" dxfId="1992" priority="965" operator="containsText" text="N/A">
      <formula>NOT(ISERROR(SEARCH("N/A",P1202)))</formula>
    </cfRule>
    <cfRule type="containsText" dxfId="1991" priority="967" operator="containsText" text="Finalizado">
      <formula>NOT(ISERROR(SEARCH("Finalizado",P1202)))</formula>
    </cfRule>
    <cfRule type="containsText" dxfId="1990" priority="976" operator="containsText" text="em andamento">
      <formula>NOT(ISERROR(SEARCH("em andamento",P1202)))</formula>
    </cfRule>
    <cfRule type="containsText" dxfId="1989" priority="966" operator="containsText" text="Pendente">
      <formula>NOT(ISERROR(SEARCH("Pendente",P1202)))</formula>
    </cfRule>
    <cfRule type="expression" dxfId="1988" priority="957">
      <formula>$H1202="CÉLULA CONSTRUTIVA"</formula>
    </cfRule>
    <cfRule type="containsText" dxfId="1987" priority="964" operator="containsText" text="Lançado">
      <formula>NOT(ISERROR(SEARCH("Lançado",P1202)))</formula>
    </cfRule>
    <cfRule type="containsText" dxfId="1986" priority="973" operator="containsText" text="N/A">
      <formula>NOT(ISERROR(SEARCH("N/A",P1202)))</formula>
    </cfRule>
    <cfRule type="containsText" dxfId="1985" priority="972" operator="containsText" text="Lançado">
      <formula>NOT(ISERROR(SEARCH("Lançado",P1202)))</formula>
    </cfRule>
    <cfRule type="expression" dxfId="1984" priority="971">
      <formula>$H1202="ETAPA"</formula>
    </cfRule>
    <cfRule type="expression" dxfId="1983" priority="969">
      <formula>$H1202="SUBETAPA"</formula>
    </cfRule>
    <cfRule type="containsText" dxfId="1982" priority="968" operator="containsText" text="em andamento">
      <formula>NOT(ISERROR(SEARCH("em andamento",P1202)))</formula>
    </cfRule>
    <cfRule type="containsText" dxfId="1981" priority="963" operator="containsText" text="em andamento">
      <formula>NOT(ISERROR(SEARCH("em andamento",P1202)))</formula>
    </cfRule>
    <cfRule type="containsText" dxfId="1980" priority="962" operator="containsText" text="Finalizado">
      <formula>NOT(ISERROR(SEARCH("Finalizado",P1202)))</formula>
    </cfRule>
    <cfRule type="containsText" dxfId="1979" priority="961" operator="containsText" text="Pendente">
      <formula>NOT(ISERROR(SEARCH("Pendente",P1202)))</formula>
    </cfRule>
    <cfRule type="containsText" dxfId="1978" priority="974" operator="containsText" text="Pendente">
      <formula>NOT(ISERROR(SEARCH("Pendente",P1202)))</formula>
    </cfRule>
    <cfRule type="containsText" dxfId="1977" priority="975" operator="containsText" text="Finalizado">
      <formula>NOT(ISERROR(SEARCH("Finalizado",P1202)))</formula>
    </cfRule>
  </conditionalFormatting>
  <conditionalFormatting sqref="P1203">
    <cfRule type="containsText" dxfId="1976" priority="5719" operator="containsText" text="N/A">
      <formula>NOT(ISERROR(SEARCH("N/A",P1203)))</formula>
    </cfRule>
    <cfRule type="containsText" dxfId="1975" priority="5718" operator="containsText" text="Lançado">
      <formula>NOT(ISERROR(SEARCH("Lançado",P1203)))</formula>
    </cfRule>
    <cfRule type="containsText" dxfId="1974" priority="5717" operator="containsText" text="em andamento">
      <formula>NOT(ISERROR(SEARCH("em andamento",P1203)))</formula>
    </cfRule>
    <cfRule type="containsText" dxfId="1973" priority="5716" operator="containsText" text="Finalizado">
      <formula>NOT(ISERROR(SEARCH("Finalizado",P1203)))</formula>
    </cfRule>
    <cfRule type="containsText" dxfId="1972" priority="5714" operator="containsText" text="N/A">
      <formula>NOT(ISERROR(SEARCH("N/A",P1203)))</formula>
    </cfRule>
    <cfRule type="containsText" dxfId="1971" priority="5713" operator="containsText" text="Lançado">
      <formula>NOT(ISERROR(SEARCH("Lançado",P1203)))</formula>
    </cfRule>
    <cfRule type="containsText" dxfId="1970" priority="5722" operator="containsText" text="em andamento">
      <formula>NOT(ISERROR(SEARCH("em andamento",P1203)))</formula>
    </cfRule>
    <cfRule type="containsText" dxfId="1969" priority="5715" operator="containsText" text="Pendente">
      <formula>NOT(ISERROR(SEARCH("Pendente",P1203)))</formula>
    </cfRule>
    <cfRule type="containsText" dxfId="1968" priority="5721" operator="containsText" text="Finalizado">
      <formula>NOT(ISERROR(SEARCH("Finalizado",P1203)))</formula>
    </cfRule>
    <cfRule type="containsText" dxfId="1967" priority="5720" operator="containsText" text="Pendente">
      <formula>NOT(ISERROR(SEARCH("Pendente",P1203)))</formula>
    </cfRule>
  </conditionalFormatting>
  <conditionalFormatting sqref="P1204">
    <cfRule type="containsText" dxfId="1966" priority="4527" operator="containsText" text="Finalizado">
      <formula>NOT(ISERROR(SEARCH("Finalizado",P1204)))</formula>
    </cfRule>
    <cfRule type="containsText" dxfId="1965" priority="4528" operator="containsText" text="em andamento">
      <formula>NOT(ISERROR(SEARCH("em andamento",P1204)))</formula>
    </cfRule>
    <cfRule type="containsText" dxfId="1964" priority="4516" operator="containsText" text="Lançado">
      <formula>NOT(ISERROR(SEARCH("Lançado",P1204)))</formula>
    </cfRule>
    <cfRule type="containsText" dxfId="1963" priority="4517" operator="containsText" text="N/A">
      <formula>NOT(ISERROR(SEARCH("N/A",P1204)))</formula>
    </cfRule>
    <cfRule type="containsText" dxfId="1962" priority="4518" operator="containsText" text="Pendente">
      <formula>NOT(ISERROR(SEARCH("Pendente",P1204)))</formula>
    </cfRule>
    <cfRule type="containsText" dxfId="1961" priority="4519" operator="containsText" text="Finalizado">
      <formula>NOT(ISERROR(SEARCH("Finalizado",P1204)))</formula>
    </cfRule>
    <cfRule type="containsText" dxfId="1960" priority="4520" operator="containsText" text="em andamento">
      <formula>NOT(ISERROR(SEARCH("em andamento",P1204)))</formula>
    </cfRule>
    <cfRule type="expression" dxfId="1959" priority="4521">
      <formula>$H1204="SUBETAPA"</formula>
    </cfRule>
    <cfRule type="expression" dxfId="1958" priority="4522">
      <formula>$H1204="CÉLULA CONSTRUTIVA"</formula>
    </cfRule>
    <cfRule type="expression" dxfId="1957" priority="4508">
      <formula>$H1204="SUBETAPA"</formula>
    </cfRule>
    <cfRule type="expression" dxfId="1956" priority="4509">
      <formula>$H1204="CÉLULA CONSTRUTIVA"</formula>
    </cfRule>
    <cfRule type="containsText" dxfId="1955" priority="4512" operator="containsText" text="N/A">
      <formula>NOT(ISERROR(SEARCH("N/A",P1204)))</formula>
    </cfRule>
    <cfRule type="containsText" dxfId="1954" priority="4511" operator="containsText" text="Lançado">
      <formula>NOT(ISERROR(SEARCH("Lançado",P1204)))</formula>
    </cfRule>
    <cfRule type="expression" dxfId="1953" priority="4523">
      <formula>$H1204="ETAPA"</formula>
    </cfRule>
    <cfRule type="containsText" dxfId="1952" priority="4513" operator="containsText" text="Pendente">
      <formula>NOT(ISERROR(SEARCH("Pendente",P1204)))</formula>
    </cfRule>
    <cfRule type="containsText" dxfId="1951" priority="4514" operator="containsText" text="Finalizado">
      <formula>NOT(ISERROR(SEARCH("Finalizado",P1204)))</formula>
    </cfRule>
    <cfRule type="containsText" dxfId="1950" priority="4515" operator="containsText" text="em andamento">
      <formula>NOT(ISERROR(SEARCH("em andamento",P1204)))</formula>
    </cfRule>
    <cfRule type="containsText" dxfId="1949" priority="4524" operator="containsText" text="Lançado">
      <formula>NOT(ISERROR(SEARCH("Lançado",P1204)))</formula>
    </cfRule>
    <cfRule type="containsText" dxfId="1948" priority="4525" operator="containsText" text="N/A">
      <formula>NOT(ISERROR(SEARCH("N/A",P1204)))</formula>
    </cfRule>
    <cfRule type="containsText" dxfId="1947" priority="4526" operator="containsText" text="Pendente">
      <formula>NOT(ISERROR(SEARCH("Pendente",P1204)))</formula>
    </cfRule>
    <cfRule type="expression" dxfId="1946" priority="4510">
      <formula>$H1204="ETAPA"</formula>
    </cfRule>
  </conditionalFormatting>
  <conditionalFormatting sqref="P1205">
    <cfRule type="containsText" dxfId="1945" priority="9197" operator="containsText" text="Lançado">
      <formula>NOT(ISERROR(SEARCH("Lançado",P1205)))</formula>
    </cfRule>
    <cfRule type="containsText" dxfId="1944" priority="9198" operator="containsText" text="N/A">
      <formula>NOT(ISERROR(SEARCH("N/A",P1205)))</formula>
    </cfRule>
    <cfRule type="containsText" dxfId="1943" priority="9199" operator="containsText" text="Pendente">
      <formula>NOT(ISERROR(SEARCH("Pendente",P1205)))</formula>
    </cfRule>
    <cfRule type="containsText" dxfId="1942" priority="9200" operator="containsText" text="Finalizado">
      <formula>NOT(ISERROR(SEARCH("Finalizado",P1205)))</formula>
    </cfRule>
    <cfRule type="containsText" dxfId="1941" priority="9201" operator="containsText" text="em andamento">
      <formula>NOT(ISERROR(SEARCH("em andamento",P1205)))</formula>
    </cfRule>
  </conditionalFormatting>
  <conditionalFormatting sqref="P1206">
    <cfRule type="expression" dxfId="1940" priority="4489">
      <formula>$H1206="ETAPA"</formula>
    </cfRule>
    <cfRule type="expression" dxfId="1939" priority="4488">
      <formula>$H1206="CÉLULA CONSTRUTIVA"</formula>
    </cfRule>
    <cfRule type="expression" dxfId="1938" priority="4487">
      <formula>$H1206="SUBETAPA"</formula>
    </cfRule>
    <cfRule type="containsText" dxfId="1937" priority="4492" operator="containsText" text="Pendente">
      <formula>NOT(ISERROR(SEARCH("Pendente",P1206)))</formula>
    </cfRule>
    <cfRule type="containsText" dxfId="1936" priority="4507" operator="containsText" text="em andamento">
      <formula>NOT(ISERROR(SEARCH("em andamento",P1206)))</formula>
    </cfRule>
    <cfRule type="containsText" dxfId="1935" priority="4506" operator="containsText" text="Finalizado">
      <formula>NOT(ISERROR(SEARCH("Finalizado",P1206)))</formula>
    </cfRule>
    <cfRule type="containsText" dxfId="1934" priority="4505" operator="containsText" text="Pendente">
      <formula>NOT(ISERROR(SEARCH("Pendente",P1206)))</formula>
    </cfRule>
    <cfRule type="containsText" dxfId="1933" priority="4504" operator="containsText" text="N/A">
      <formula>NOT(ISERROR(SEARCH("N/A",P1206)))</formula>
    </cfRule>
    <cfRule type="containsText" dxfId="1932" priority="4503" operator="containsText" text="Lançado">
      <formula>NOT(ISERROR(SEARCH("Lançado",P1206)))</formula>
    </cfRule>
    <cfRule type="expression" dxfId="1931" priority="4502">
      <formula>$H1206="ETAPA"</formula>
    </cfRule>
    <cfRule type="expression" dxfId="1930" priority="4501">
      <formula>$H1206="CÉLULA CONSTRUTIVA"</formula>
    </cfRule>
    <cfRule type="expression" dxfId="1929" priority="4500">
      <formula>$H1206="SUBETAPA"</formula>
    </cfRule>
    <cfRule type="containsText" dxfId="1928" priority="4499" operator="containsText" text="em andamento">
      <formula>NOT(ISERROR(SEARCH("em andamento",P1206)))</formula>
    </cfRule>
    <cfRule type="containsText" dxfId="1927" priority="4498" operator="containsText" text="Finalizado">
      <formula>NOT(ISERROR(SEARCH("Finalizado",P1206)))</formula>
    </cfRule>
    <cfRule type="containsText" dxfId="1926" priority="4497" operator="containsText" text="Pendente">
      <formula>NOT(ISERROR(SEARCH("Pendente",P1206)))</formula>
    </cfRule>
    <cfRule type="containsText" dxfId="1925" priority="4496" operator="containsText" text="N/A">
      <formula>NOT(ISERROR(SEARCH("N/A",P1206)))</formula>
    </cfRule>
    <cfRule type="containsText" dxfId="1924" priority="4495" operator="containsText" text="Lançado">
      <formula>NOT(ISERROR(SEARCH("Lançado",P1206)))</formula>
    </cfRule>
    <cfRule type="containsText" dxfId="1923" priority="4494" operator="containsText" text="em andamento">
      <formula>NOT(ISERROR(SEARCH("em andamento",P1206)))</formula>
    </cfRule>
    <cfRule type="containsText" dxfId="1922" priority="4493" operator="containsText" text="Finalizado">
      <formula>NOT(ISERROR(SEARCH("Finalizado",P1206)))</formula>
    </cfRule>
    <cfRule type="containsText" dxfId="1921" priority="4491" operator="containsText" text="N/A">
      <formula>NOT(ISERROR(SEARCH("N/A",P1206)))</formula>
    </cfRule>
    <cfRule type="containsText" dxfId="1920" priority="4490" operator="containsText" text="Lançado">
      <formula>NOT(ISERROR(SEARCH("Lançado",P1206)))</formula>
    </cfRule>
  </conditionalFormatting>
  <conditionalFormatting sqref="P1207">
    <cfRule type="containsText" dxfId="1919" priority="5338" operator="containsText" text="em andamento">
      <formula>NOT(ISERROR(SEARCH("em andamento",P1207)))</formula>
    </cfRule>
    <cfRule type="containsText" dxfId="1918" priority="5343" operator="containsText" text="N/A">
      <formula>NOT(ISERROR(SEARCH("N/A",P1207)))</formula>
    </cfRule>
    <cfRule type="containsText" dxfId="1917" priority="5309" operator="containsText" text="N/A">
      <formula>NOT(ISERROR(SEARCH("N/A",P1207)))</formula>
    </cfRule>
    <cfRule type="containsText" dxfId="1916" priority="5342" operator="containsText" text="Lançado">
      <formula>NOT(ISERROR(SEARCH("Lançado",P1207)))</formula>
    </cfRule>
    <cfRule type="containsText" dxfId="1915" priority="5344" operator="containsText" text="Pendente">
      <formula>NOT(ISERROR(SEARCH("Pendente",P1207)))</formula>
    </cfRule>
    <cfRule type="containsText" dxfId="1914" priority="5334" operator="containsText" text="Lançado">
      <formula>NOT(ISERROR(SEARCH("Lançado",P1207)))</formula>
    </cfRule>
    <cfRule type="containsText" dxfId="1913" priority="5336" operator="containsText" text="Pendente">
      <formula>NOT(ISERROR(SEARCH("Pendente",P1207)))</formula>
    </cfRule>
    <cfRule type="containsText" dxfId="1912" priority="5337" operator="containsText" text="Finalizado">
      <formula>NOT(ISERROR(SEARCH("Finalizado",P1207)))</formula>
    </cfRule>
    <cfRule type="containsText" dxfId="1911" priority="5346" operator="containsText" text="em andamento">
      <formula>NOT(ISERROR(SEARCH("em andamento",P1207)))</formula>
    </cfRule>
    <cfRule type="containsText" dxfId="1910" priority="5345" operator="containsText" text="Finalizado">
      <formula>NOT(ISERROR(SEARCH("Finalizado",P1207)))</formula>
    </cfRule>
  </conditionalFormatting>
  <conditionalFormatting sqref="P1208">
    <cfRule type="containsText" dxfId="1909" priority="4476" operator="containsText" text="Pendente">
      <formula>NOT(ISERROR(SEARCH("Pendente",P1208)))</formula>
    </cfRule>
    <cfRule type="containsText" dxfId="1908" priority="4475" operator="containsText" text="N/A">
      <formula>NOT(ISERROR(SEARCH("N/A",P1208)))</formula>
    </cfRule>
    <cfRule type="containsText" dxfId="1907" priority="4474" operator="containsText" text="Lançado">
      <formula>NOT(ISERROR(SEARCH("Lançado",P1208)))</formula>
    </cfRule>
    <cfRule type="containsText" dxfId="1906" priority="4473" operator="containsText" text="em andamento">
      <formula>NOT(ISERROR(SEARCH("em andamento",P1208)))</formula>
    </cfRule>
    <cfRule type="containsText" dxfId="1905" priority="4472" operator="containsText" text="Finalizado">
      <formula>NOT(ISERROR(SEARCH("Finalizado",P1208)))</formula>
    </cfRule>
    <cfRule type="containsText" dxfId="1904" priority="4471" operator="containsText" text="Pendente">
      <formula>NOT(ISERROR(SEARCH("Pendente",P1208)))</formula>
    </cfRule>
    <cfRule type="containsText" dxfId="1903" priority="4469" operator="containsText" text="Lançado">
      <formula>NOT(ISERROR(SEARCH("Lançado",P1208)))</formula>
    </cfRule>
    <cfRule type="expression" dxfId="1902" priority="4468">
      <formula>$H1208="ETAPA"</formula>
    </cfRule>
    <cfRule type="expression" dxfId="1901" priority="4467">
      <formula>$H1208="CÉLULA CONSTRUTIVA"</formula>
    </cfRule>
    <cfRule type="expression" dxfId="1900" priority="4466">
      <formula>$H1208="SUBETAPA"</formula>
    </cfRule>
    <cfRule type="containsText" dxfId="1899" priority="4470" operator="containsText" text="N/A">
      <formula>NOT(ISERROR(SEARCH("N/A",P1208)))</formula>
    </cfRule>
    <cfRule type="containsText" dxfId="1898" priority="4484" operator="containsText" text="Pendente">
      <formula>NOT(ISERROR(SEARCH("Pendente",P1208)))</formula>
    </cfRule>
    <cfRule type="containsText" dxfId="1897" priority="4486" operator="containsText" text="em andamento">
      <formula>NOT(ISERROR(SEARCH("em andamento",P1208)))</formula>
    </cfRule>
    <cfRule type="containsText" dxfId="1896" priority="4485" operator="containsText" text="Finalizado">
      <formula>NOT(ISERROR(SEARCH("Finalizado",P1208)))</formula>
    </cfRule>
    <cfRule type="containsText" dxfId="1895" priority="4478" operator="containsText" text="em andamento">
      <formula>NOT(ISERROR(SEARCH("em andamento",P1208)))</formula>
    </cfRule>
    <cfRule type="containsText" dxfId="1894" priority="4483" operator="containsText" text="N/A">
      <formula>NOT(ISERROR(SEARCH("N/A",P1208)))</formula>
    </cfRule>
    <cfRule type="expression" dxfId="1893" priority="4481">
      <formula>$H1208="ETAPA"</formula>
    </cfRule>
    <cfRule type="expression" dxfId="1892" priority="4480">
      <formula>$H1208="CÉLULA CONSTRUTIVA"</formula>
    </cfRule>
    <cfRule type="expression" dxfId="1891" priority="4479">
      <formula>$H1208="SUBETAPA"</formula>
    </cfRule>
    <cfRule type="containsText" dxfId="1890" priority="4477" operator="containsText" text="Finalizado">
      <formula>NOT(ISERROR(SEARCH("Finalizado",P1208)))</formula>
    </cfRule>
    <cfRule type="containsText" dxfId="1889" priority="4482" operator="containsText" text="Lançado">
      <formula>NOT(ISERROR(SEARCH("Lançado",P1208)))</formula>
    </cfRule>
  </conditionalFormatting>
  <conditionalFormatting sqref="P1209">
    <cfRule type="containsText" dxfId="1888" priority="8771" operator="containsText" text="em andamento">
      <formula>NOT(ISERROR(SEARCH("em andamento",P1209)))</formula>
    </cfRule>
  </conditionalFormatting>
  <conditionalFormatting sqref="P1209:P1210">
    <cfRule type="containsText" dxfId="1887" priority="8774" operator="containsText" text="Lançado">
      <formula>NOT(ISERROR(SEARCH("Lançado",P1209)))</formula>
    </cfRule>
    <cfRule type="containsText" dxfId="1886" priority="8770" operator="containsText" text="Finalizado">
      <formula>NOT(ISERROR(SEARCH("Finalizado",P1209)))</formula>
    </cfRule>
    <cfRule type="containsText" dxfId="1885" priority="8775" operator="containsText" text="N/A">
      <formula>NOT(ISERROR(SEARCH("N/A",P1209)))</formula>
    </cfRule>
    <cfRule type="containsText" dxfId="1884" priority="8778" operator="containsText" text="em andamento">
      <formula>NOT(ISERROR(SEARCH("em andamento",P1209)))</formula>
    </cfRule>
    <cfRule type="containsText" dxfId="1883" priority="8767" operator="containsText" text="Lançado">
      <formula>NOT(ISERROR(SEARCH("Lançado",P1209)))</formula>
    </cfRule>
    <cfRule type="containsText" dxfId="1882" priority="8777" operator="containsText" text="Finalizado">
      <formula>NOT(ISERROR(SEARCH("Finalizado",P1209)))</formula>
    </cfRule>
    <cfRule type="containsText" dxfId="1881" priority="8776" operator="containsText" text="Pendente">
      <formula>NOT(ISERROR(SEARCH("Pendente",P1209)))</formula>
    </cfRule>
    <cfRule type="containsText" dxfId="1880" priority="8768" operator="containsText" text="N/A">
      <formula>NOT(ISERROR(SEARCH("N/A",P1209)))</formula>
    </cfRule>
    <cfRule type="containsText" dxfId="1879" priority="8769" operator="containsText" text="Pendente">
      <formula>NOT(ISERROR(SEARCH("Pendente",P1209)))</formula>
    </cfRule>
  </conditionalFormatting>
  <conditionalFormatting sqref="P1210">
    <cfRule type="containsText" dxfId="1878" priority="8773" operator="containsText" text="em andamento">
      <formula>NOT(ISERROR(SEARCH("em andamento",P1210)))</formula>
    </cfRule>
  </conditionalFormatting>
  <conditionalFormatting sqref="P1211">
    <cfRule type="expression" dxfId="1877" priority="4460">
      <formula>$H1211="ETAPA"</formula>
    </cfRule>
    <cfRule type="expression" dxfId="1876" priority="4445">
      <formula>$H1211="SUBETAPA"</formula>
    </cfRule>
    <cfRule type="expression" dxfId="1875" priority="4446">
      <formula>$H1211="CÉLULA CONSTRUTIVA"</formula>
    </cfRule>
    <cfRule type="expression" dxfId="1874" priority="4447">
      <formula>$H1211="ETAPA"</formula>
    </cfRule>
    <cfRule type="containsText" dxfId="1873" priority="4448" operator="containsText" text="Lançado">
      <formula>NOT(ISERROR(SEARCH("Lançado",P1211)))</formula>
    </cfRule>
    <cfRule type="containsText" dxfId="1872" priority="4449" operator="containsText" text="N/A">
      <formula>NOT(ISERROR(SEARCH("N/A",P1211)))</formula>
    </cfRule>
    <cfRule type="containsText" dxfId="1871" priority="4450" operator="containsText" text="Pendente">
      <formula>NOT(ISERROR(SEARCH("Pendente",P1211)))</formula>
    </cfRule>
    <cfRule type="containsText" dxfId="1870" priority="4451" operator="containsText" text="Finalizado">
      <formula>NOT(ISERROR(SEARCH("Finalizado",P1211)))</formula>
    </cfRule>
    <cfRule type="containsText" dxfId="1869" priority="4452" operator="containsText" text="em andamento">
      <formula>NOT(ISERROR(SEARCH("em andamento",P1211)))</formula>
    </cfRule>
    <cfRule type="containsText" dxfId="1868" priority="4453" operator="containsText" text="Lançado">
      <formula>NOT(ISERROR(SEARCH("Lançado",P1211)))</formula>
    </cfRule>
    <cfRule type="containsText" dxfId="1867" priority="4454" operator="containsText" text="N/A">
      <formula>NOT(ISERROR(SEARCH("N/A",P1211)))</formula>
    </cfRule>
    <cfRule type="containsText" dxfId="1866" priority="4455" operator="containsText" text="Pendente">
      <formula>NOT(ISERROR(SEARCH("Pendente",P1211)))</formula>
    </cfRule>
    <cfRule type="containsText" dxfId="1865" priority="4456" operator="containsText" text="Finalizado">
      <formula>NOT(ISERROR(SEARCH("Finalizado",P1211)))</formula>
    </cfRule>
    <cfRule type="containsText" dxfId="1864" priority="4457" operator="containsText" text="em andamento">
      <formula>NOT(ISERROR(SEARCH("em andamento",P1211)))</formula>
    </cfRule>
    <cfRule type="expression" dxfId="1863" priority="4458">
      <formula>$H1211="SUBETAPA"</formula>
    </cfRule>
    <cfRule type="expression" dxfId="1862" priority="4459">
      <formula>$H1211="CÉLULA CONSTRUTIVA"</formula>
    </cfRule>
    <cfRule type="containsText" dxfId="1861" priority="4461" operator="containsText" text="Lançado">
      <formula>NOT(ISERROR(SEARCH("Lançado",P1211)))</formula>
    </cfRule>
    <cfRule type="containsText" dxfId="1860" priority="4462" operator="containsText" text="N/A">
      <formula>NOT(ISERROR(SEARCH("N/A",P1211)))</formula>
    </cfRule>
    <cfRule type="containsText" dxfId="1859" priority="4463" operator="containsText" text="Pendente">
      <formula>NOT(ISERROR(SEARCH("Pendente",P1211)))</formula>
    </cfRule>
    <cfRule type="containsText" dxfId="1858" priority="4464" operator="containsText" text="Finalizado">
      <formula>NOT(ISERROR(SEARCH("Finalizado",P1211)))</formula>
    </cfRule>
    <cfRule type="containsText" dxfId="1857" priority="4465" operator="containsText" text="em andamento">
      <formula>NOT(ISERROR(SEARCH("em andamento",P1211)))</formula>
    </cfRule>
  </conditionalFormatting>
  <conditionalFormatting sqref="P1212">
    <cfRule type="containsText" dxfId="1856" priority="936" operator="containsText" text="Pendente">
      <formula>NOT(ISERROR(SEARCH("Pendente",P1212)))</formula>
    </cfRule>
    <cfRule type="expression" dxfId="1855" priority="933">
      <formula>$H1212="ETAPA"</formula>
    </cfRule>
    <cfRule type="containsText" dxfId="1854" priority="934" operator="containsText" text="Lançado">
      <formula>NOT(ISERROR(SEARCH("Lançado",P1212)))</formula>
    </cfRule>
    <cfRule type="containsText" dxfId="1853" priority="935" operator="containsText" text="N/A">
      <formula>NOT(ISERROR(SEARCH("N/A",P1212)))</formula>
    </cfRule>
    <cfRule type="expression" dxfId="1852" priority="931">
      <formula>$H1212="SUBETAPA"</formula>
    </cfRule>
    <cfRule type="expression" dxfId="1851" priority="932">
      <formula>$H1212="CÉLULA CONSTRUTIVA"</formula>
    </cfRule>
    <cfRule type="containsText" dxfId="1850" priority="937" operator="containsText" text="Finalizado">
      <formula>NOT(ISERROR(SEARCH("Finalizado",P1212)))</formula>
    </cfRule>
    <cfRule type="containsText" dxfId="1849" priority="938" operator="containsText" text="em andamento">
      <formula>NOT(ISERROR(SEARCH("em andamento",P1212)))</formula>
    </cfRule>
    <cfRule type="containsText" dxfId="1848" priority="939" operator="containsText" text="Lançado">
      <formula>NOT(ISERROR(SEARCH("Lançado",P1212)))</formula>
    </cfRule>
    <cfRule type="containsText" dxfId="1847" priority="940" operator="containsText" text="N/A">
      <formula>NOT(ISERROR(SEARCH("N/A",P1212)))</formula>
    </cfRule>
    <cfRule type="containsText" dxfId="1846" priority="941" operator="containsText" text="Pendente">
      <formula>NOT(ISERROR(SEARCH("Pendente",P1212)))</formula>
    </cfRule>
    <cfRule type="containsText" dxfId="1845" priority="942" operator="containsText" text="Finalizado">
      <formula>NOT(ISERROR(SEARCH("Finalizado",P1212)))</formula>
    </cfRule>
    <cfRule type="containsText" dxfId="1844" priority="943" operator="containsText" text="em andamento">
      <formula>NOT(ISERROR(SEARCH("em andamento",P1212)))</formula>
    </cfRule>
    <cfRule type="expression" dxfId="1843" priority="944">
      <formula>$H1212="SUBETAPA"</formula>
    </cfRule>
    <cfRule type="expression" dxfId="1842" priority="945">
      <formula>$H1212="CÉLULA CONSTRUTIVA"</formula>
    </cfRule>
    <cfRule type="expression" dxfId="1841" priority="946">
      <formula>$H1212="ETAPA"</formula>
    </cfRule>
    <cfRule type="containsText" dxfId="1840" priority="947" operator="containsText" text="Lançado">
      <formula>NOT(ISERROR(SEARCH("Lançado",P1212)))</formula>
    </cfRule>
    <cfRule type="containsText" dxfId="1839" priority="948" operator="containsText" text="N/A">
      <formula>NOT(ISERROR(SEARCH("N/A",P1212)))</formula>
    </cfRule>
    <cfRule type="containsText" dxfId="1838" priority="949" operator="containsText" text="Pendente">
      <formula>NOT(ISERROR(SEARCH("Pendente",P1212)))</formula>
    </cfRule>
    <cfRule type="containsText" dxfId="1837" priority="950" operator="containsText" text="Finalizado">
      <formula>NOT(ISERROR(SEARCH("Finalizado",P1212)))</formula>
    </cfRule>
    <cfRule type="containsText" dxfId="1836" priority="951" operator="containsText" text="em andamento">
      <formula>NOT(ISERROR(SEARCH("em andamento",P1212)))</formula>
    </cfRule>
  </conditionalFormatting>
  <conditionalFormatting sqref="P1213">
    <cfRule type="containsText" dxfId="1835" priority="5703" operator="containsText" text="N/A">
      <formula>NOT(ISERROR(SEARCH("N/A",P1213)))</formula>
    </cfRule>
    <cfRule type="containsText" dxfId="1834" priority="5702" operator="containsText" text="Lançado">
      <formula>NOT(ISERROR(SEARCH("Lançado",P1213)))</formula>
    </cfRule>
    <cfRule type="containsText" dxfId="1833" priority="5701" operator="containsText" text="em andamento">
      <formula>NOT(ISERROR(SEARCH("em andamento",P1213)))</formula>
    </cfRule>
    <cfRule type="containsText" dxfId="1832" priority="5700" operator="containsText" text="Finalizado">
      <formula>NOT(ISERROR(SEARCH("Finalizado",P1213)))</formula>
    </cfRule>
    <cfRule type="containsText" dxfId="1831" priority="5699" operator="containsText" text="Pendente">
      <formula>NOT(ISERROR(SEARCH("Pendente",P1213)))</formula>
    </cfRule>
    <cfRule type="containsText" dxfId="1830" priority="5698" operator="containsText" text="N/A">
      <formula>NOT(ISERROR(SEARCH("N/A",P1213)))</formula>
    </cfRule>
    <cfRule type="containsText" dxfId="1829" priority="5697" operator="containsText" text="Lançado">
      <formula>NOT(ISERROR(SEARCH("Lançado",P1213)))</formula>
    </cfRule>
    <cfRule type="containsText" dxfId="1828" priority="5706" operator="containsText" text="em andamento">
      <formula>NOT(ISERROR(SEARCH("em andamento",P1213)))</formula>
    </cfRule>
    <cfRule type="containsText" dxfId="1827" priority="5705" operator="containsText" text="Finalizado">
      <formula>NOT(ISERROR(SEARCH("Finalizado",P1213)))</formula>
    </cfRule>
    <cfRule type="containsText" dxfId="1826" priority="5704" operator="containsText" text="Pendente">
      <formula>NOT(ISERROR(SEARCH("Pendente",P1213)))</formula>
    </cfRule>
  </conditionalFormatting>
  <conditionalFormatting sqref="P1214">
    <cfRule type="expression" dxfId="1825" priority="4439">
      <formula>$H1214="ETAPA"</formula>
    </cfRule>
    <cfRule type="containsText" dxfId="1824" priority="4429" operator="containsText" text="Pendente">
      <formula>NOT(ISERROR(SEARCH("Pendente",P1214)))</formula>
    </cfRule>
    <cfRule type="containsText" dxfId="1823" priority="4430" operator="containsText" text="Finalizado">
      <formula>NOT(ISERROR(SEARCH("Finalizado",P1214)))</formula>
    </cfRule>
    <cfRule type="containsText" dxfId="1822" priority="4431" operator="containsText" text="em andamento">
      <formula>NOT(ISERROR(SEARCH("em andamento",P1214)))</formula>
    </cfRule>
    <cfRule type="containsText" dxfId="1821" priority="4432" operator="containsText" text="Lançado">
      <formula>NOT(ISERROR(SEARCH("Lançado",P1214)))</formula>
    </cfRule>
    <cfRule type="containsText" dxfId="1820" priority="4433" operator="containsText" text="N/A">
      <formula>NOT(ISERROR(SEARCH("N/A",P1214)))</formula>
    </cfRule>
    <cfRule type="containsText" dxfId="1819" priority="4434" operator="containsText" text="Pendente">
      <formula>NOT(ISERROR(SEARCH("Pendente",P1214)))</formula>
    </cfRule>
    <cfRule type="containsText" dxfId="1818" priority="4435" operator="containsText" text="Finalizado">
      <formula>NOT(ISERROR(SEARCH("Finalizado",P1214)))</formula>
    </cfRule>
    <cfRule type="containsText" dxfId="1817" priority="4428" operator="containsText" text="N/A">
      <formula>NOT(ISERROR(SEARCH("N/A",P1214)))</formula>
    </cfRule>
    <cfRule type="expression" dxfId="1816" priority="4437">
      <formula>$H1214="SUBETAPA"</formula>
    </cfRule>
    <cfRule type="expression" dxfId="1815" priority="4438">
      <formula>$H1214="CÉLULA CONSTRUTIVA"</formula>
    </cfRule>
    <cfRule type="containsText" dxfId="1814" priority="4440" operator="containsText" text="Lançado">
      <formula>NOT(ISERROR(SEARCH("Lançado",P1214)))</formula>
    </cfRule>
    <cfRule type="containsText" dxfId="1813" priority="4441" operator="containsText" text="N/A">
      <formula>NOT(ISERROR(SEARCH("N/A",P1214)))</formula>
    </cfRule>
    <cfRule type="containsText" dxfId="1812" priority="4442" operator="containsText" text="Pendente">
      <formula>NOT(ISERROR(SEARCH("Pendente",P1214)))</formula>
    </cfRule>
    <cfRule type="containsText" dxfId="1811" priority="4443" operator="containsText" text="Finalizado">
      <formula>NOT(ISERROR(SEARCH("Finalizado",P1214)))</formula>
    </cfRule>
    <cfRule type="containsText" dxfId="1810" priority="4444" operator="containsText" text="em andamento">
      <formula>NOT(ISERROR(SEARCH("em andamento",P1214)))</formula>
    </cfRule>
    <cfRule type="containsText" dxfId="1809" priority="4427" operator="containsText" text="Lançado">
      <formula>NOT(ISERROR(SEARCH("Lançado",P1214)))</formula>
    </cfRule>
    <cfRule type="expression" dxfId="1808" priority="4426">
      <formula>$H1214="ETAPA"</formula>
    </cfRule>
    <cfRule type="containsText" dxfId="1807" priority="4436" operator="containsText" text="em andamento">
      <formula>NOT(ISERROR(SEARCH("em andamento",P1214)))</formula>
    </cfRule>
    <cfRule type="expression" dxfId="1806" priority="4425">
      <formula>$H1214="CÉLULA CONSTRUTIVA"</formula>
    </cfRule>
    <cfRule type="expression" dxfId="1805" priority="4424">
      <formula>$H1214="SUBETAPA"</formula>
    </cfRule>
  </conditionalFormatting>
  <conditionalFormatting sqref="P1215">
    <cfRule type="containsText" dxfId="1804" priority="9159" operator="containsText" text="Finalizado">
      <formula>NOT(ISERROR(SEARCH("Finalizado",P1215)))</formula>
    </cfRule>
    <cfRule type="containsText" dxfId="1803" priority="9160" operator="containsText" text="em andamento">
      <formula>NOT(ISERROR(SEARCH("em andamento",P1215)))</formula>
    </cfRule>
    <cfRule type="containsText" dxfId="1802" priority="9158" operator="containsText" text="Pendente">
      <formula>NOT(ISERROR(SEARCH("Pendente",P1215)))</formula>
    </cfRule>
    <cfRule type="containsText" dxfId="1801" priority="9157" operator="containsText" text="N/A">
      <formula>NOT(ISERROR(SEARCH("N/A",P1215)))</formula>
    </cfRule>
    <cfRule type="containsText" dxfId="1800" priority="9156" operator="containsText" text="Lançado">
      <formula>NOT(ISERROR(SEARCH("Lançado",P1215)))</formula>
    </cfRule>
  </conditionalFormatting>
  <conditionalFormatting sqref="P1216">
    <cfRule type="expression" dxfId="1799" priority="4405">
      <formula>$H1216="ETAPA"</formula>
    </cfRule>
    <cfRule type="containsText" dxfId="1798" priority="4408" operator="containsText" text="Pendente">
      <formula>NOT(ISERROR(SEARCH("Pendente",P1216)))</formula>
    </cfRule>
    <cfRule type="containsText" dxfId="1797" priority="4409" operator="containsText" text="Finalizado">
      <formula>NOT(ISERROR(SEARCH("Finalizado",P1216)))</formula>
    </cfRule>
    <cfRule type="containsText" dxfId="1796" priority="4410" operator="containsText" text="em andamento">
      <formula>NOT(ISERROR(SEARCH("em andamento",P1216)))</formula>
    </cfRule>
    <cfRule type="containsText" dxfId="1795" priority="4411" operator="containsText" text="Lançado">
      <formula>NOT(ISERROR(SEARCH("Lançado",P1216)))</formula>
    </cfRule>
    <cfRule type="containsText" dxfId="1794" priority="4407" operator="containsText" text="N/A">
      <formula>NOT(ISERROR(SEARCH("N/A",P1216)))</formula>
    </cfRule>
    <cfRule type="containsText" dxfId="1793" priority="4412" operator="containsText" text="N/A">
      <formula>NOT(ISERROR(SEARCH("N/A",P1216)))</formula>
    </cfRule>
    <cfRule type="containsText" dxfId="1792" priority="4413" operator="containsText" text="Pendente">
      <formula>NOT(ISERROR(SEARCH("Pendente",P1216)))</formula>
    </cfRule>
    <cfRule type="containsText" dxfId="1791" priority="4414" operator="containsText" text="Finalizado">
      <formula>NOT(ISERROR(SEARCH("Finalizado",P1216)))</formula>
    </cfRule>
    <cfRule type="containsText" dxfId="1790" priority="4415" operator="containsText" text="em andamento">
      <formula>NOT(ISERROR(SEARCH("em andamento",P1216)))</formula>
    </cfRule>
    <cfRule type="expression" dxfId="1789" priority="4416">
      <formula>$H1216="SUBETAPA"</formula>
    </cfRule>
    <cfRule type="expression" dxfId="1788" priority="4418">
      <formula>$H1216="ETAPA"</formula>
    </cfRule>
    <cfRule type="containsText" dxfId="1787" priority="4419" operator="containsText" text="Lançado">
      <formula>NOT(ISERROR(SEARCH("Lançado",P1216)))</formula>
    </cfRule>
    <cfRule type="containsText" dxfId="1786" priority="4420" operator="containsText" text="N/A">
      <formula>NOT(ISERROR(SEARCH("N/A",P1216)))</formula>
    </cfRule>
    <cfRule type="containsText" dxfId="1785" priority="4421" operator="containsText" text="Pendente">
      <formula>NOT(ISERROR(SEARCH("Pendente",P1216)))</formula>
    </cfRule>
    <cfRule type="containsText" dxfId="1784" priority="4422" operator="containsText" text="Finalizado">
      <formula>NOT(ISERROR(SEARCH("Finalizado",P1216)))</formula>
    </cfRule>
    <cfRule type="containsText" dxfId="1783" priority="4423" operator="containsText" text="em andamento">
      <formula>NOT(ISERROR(SEARCH("em andamento",P1216)))</formula>
    </cfRule>
    <cfRule type="expression" dxfId="1782" priority="4417">
      <formula>$H1216="CÉLULA CONSTRUTIVA"</formula>
    </cfRule>
    <cfRule type="containsText" dxfId="1781" priority="4406" operator="containsText" text="Lançado">
      <formula>NOT(ISERROR(SEARCH("Lançado",P1216)))</formula>
    </cfRule>
    <cfRule type="expression" dxfId="1780" priority="4403">
      <formula>$H1216="SUBETAPA"</formula>
    </cfRule>
    <cfRule type="expression" dxfId="1779" priority="4404">
      <formula>$H1216="CÉLULA CONSTRUTIVA"</formula>
    </cfRule>
  </conditionalFormatting>
  <conditionalFormatting sqref="P1217">
    <cfRule type="containsText" dxfId="1778" priority="5300" operator="containsText" text="Lançado">
      <formula>NOT(ISERROR(SEARCH("Lançado",P1217)))</formula>
    </cfRule>
    <cfRule type="containsText" dxfId="1777" priority="5296" operator="containsText" text="em andamento">
      <formula>NOT(ISERROR(SEARCH("em andamento",P1217)))</formula>
    </cfRule>
    <cfRule type="containsText" dxfId="1776" priority="5295" operator="containsText" text="Finalizado">
      <formula>NOT(ISERROR(SEARCH("Finalizado",P1217)))</formula>
    </cfRule>
    <cfRule type="containsText" dxfId="1775" priority="5294" operator="containsText" text="Pendente">
      <formula>NOT(ISERROR(SEARCH("Pendente",P1217)))</formula>
    </cfRule>
    <cfRule type="containsText" dxfId="1774" priority="5292" operator="containsText" text="Lançado">
      <formula>NOT(ISERROR(SEARCH("Lançado",P1217)))</formula>
    </cfRule>
    <cfRule type="containsText" dxfId="1773" priority="5302" operator="containsText" text="Pendente">
      <formula>NOT(ISERROR(SEARCH("Pendente",P1217)))</formula>
    </cfRule>
    <cfRule type="containsText" dxfId="1772" priority="5304" operator="containsText" text="em andamento">
      <formula>NOT(ISERROR(SEARCH("em andamento",P1217)))</formula>
    </cfRule>
    <cfRule type="containsText" dxfId="1771" priority="5267" operator="containsText" text="N/A">
      <formula>NOT(ISERROR(SEARCH("N/A",P1217)))</formula>
    </cfRule>
    <cfRule type="containsText" dxfId="1770" priority="5301" operator="containsText" text="N/A">
      <formula>NOT(ISERROR(SEARCH("N/A",P1217)))</formula>
    </cfRule>
    <cfRule type="containsText" dxfId="1769" priority="5303" operator="containsText" text="Finalizado">
      <formula>NOT(ISERROR(SEARCH("Finalizado",P1217)))</formula>
    </cfRule>
  </conditionalFormatting>
  <conditionalFormatting sqref="P1218">
    <cfRule type="containsText" dxfId="1768" priority="4399" operator="containsText" text="N/A">
      <formula>NOT(ISERROR(SEARCH("N/A",P1218)))</formula>
    </cfRule>
    <cfRule type="containsText" dxfId="1767" priority="4400" operator="containsText" text="Pendente">
      <formula>NOT(ISERROR(SEARCH("Pendente",P1218)))</formula>
    </cfRule>
    <cfRule type="containsText" dxfId="1766" priority="4401" operator="containsText" text="Finalizado">
      <formula>NOT(ISERROR(SEARCH("Finalizado",P1218)))</formula>
    </cfRule>
    <cfRule type="containsText" dxfId="1765" priority="4402" operator="containsText" text="em andamento">
      <formula>NOT(ISERROR(SEARCH("em andamento",P1218)))</formula>
    </cfRule>
    <cfRule type="containsText" dxfId="1764" priority="4386" operator="containsText" text="N/A">
      <formula>NOT(ISERROR(SEARCH("N/A",P1218)))</formula>
    </cfRule>
    <cfRule type="expression" dxfId="1763" priority="4383">
      <formula>$H1218="CÉLULA CONSTRUTIVA"</formula>
    </cfRule>
    <cfRule type="expression" dxfId="1762" priority="4382">
      <formula>$H1218="SUBETAPA"</formula>
    </cfRule>
    <cfRule type="containsText" dxfId="1761" priority="4387" operator="containsText" text="Pendente">
      <formula>NOT(ISERROR(SEARCH("Pendente",P1218)))</formula>
    </cfRule>
    <cfRule type="containsText" dxfId="1760" priority="4388" operator="containsText" text="Finalizado">
      <formula>NOT(ISERROR(SEARCH("Finalizado",P1218)))</formula>
    </cfRule>
    <cfRule type="expression" dxfId="1759" priority="4384">
      <formula>$H1218="ETAPA"</formula>
    </cfRule>
    <cfRule type="containsText" dxfId="1758" priority="4389" operator="containsText" text="em andamento">
      <formula>NOT(ISERROR(SEARCH("em andamento",P1218)))</formula>
    </cfRule>
    <cfRule type="containsText" dxfId="1757" priority="4390" operator="containsText" text="Lançado">
      <formula>NOT(ISERROR(SEARCH("Lançado",P1218)))</formula>
    </cfRule>
    <cfRule type="containsText" dxfId="1756" priority="4391" operator="containsText" text="N/A">
      <formula>NOT(ISERROR(SEARCH("N/A",P1218)))</formula>
    </cfRule>
    <cfRule type="containsText" dxfId="1755" priority="4392" operator="containsText" text="Pendente">
      <formula>NOT(ISERROR(SEARCH("Pendente",P1218)))</formula>
    </cfRule>
    <cfRule type="containsText" dxfId="1754" priority="4393" operator="containsText" text="Finalizado">
      <formula>NOT(ISERROR(SEARCH("Finalizado",P1218)))</formula>
    </cfRule>
    <cfRule type="containsText" dxfId="1753" priority="4394" operator="containsText" text="em andamento">
      <formula>NOT(ISERROR(SEARCH("em andamento",P1218)))</formula>
    </cfRule>
    <cfRule type="expression" dxfId="1752" priority="4395">
      <formula>$H1218="SUBETAPA"</formula>
    </cfRule>
    <cfRule type="expression" dxfId="1751" priority="4396">
      <formula>$H1218="CÉLULA CONSTRUTIVA"</formula>
    </cfRule>
    <cfRule type="expression" dxfId="1750" priority="4397">
      <formula>$H1218="ETAPA"</formula>
    </cfRule>
    <cfRule type="containsText" dxfId="1749" priority="4385" operator="containsText" text="Lançado">
      <formula>NOT(ISERROR(SEARCH("Lançado",P1218)))</formula>
    </cfRule>
    <cfRule type="containsText" dxfId="1748" priority="4398" operator="containsText" text="Lançado">
      <formula>NOT(ISERROR(SEARCH("Lançado",P1218)))</formula>
    </cfRule>
  </conditionalFormatting>
  <conditionalFormatting sqref="P1219">
    <cfRule type="containsText" dxfId="1747" priority="8666" operator="containsText" text="em andamento">
      <formula>NOT(ISERROR(SEARCH("em andamento",P1219)))</formula>
    </cfRule>
  </conditionalFormatting>
  <conditionalFormatting sqref="P1219:P1220 P1225">
    <cfRule type="containsText" dxfId="1746" priority="8669" operator="containsText" text="Lançado">
      <formula>NOT(ISERROR(SEARCH("Lançado",P1219)))</formula>
    </cfRule>
    <cfRule type="containsText" dxfId="1745" priority="8670" operator="containsText" text="N/A">
      <formula>NOT(ISERROR(SEARCH("N/A",P1219)))</formula>
    </cfRule>
    <cfRule type="containsText" dxfId="1744" priority="8672" operator="containsText" text="Finalizado">
      <formula>NOT(ISERROR(SEARCH("Finalizado",P1219)))</formula>
    </cfRule>
    <cfRule type="containsText" dxfId="1743" priority="8673" operator="containsText" text="em andamento">
      <formula>NOT(ISERROR(SEARCH("em andamento",P1219)))</formula>
    </cfRule>
  </conditionalFormatting>
  <conditionalFormatting sqref="P1219:P1220">
    <cfRule type="containsText" dxfId="1742" priority="8662" operator="containsText" text="Lançado">
      <formula>NOT(ISERROR(SEARCH("Lançado",P1219)))</formula>
    </cfRule>
    <cfRule type="containsText" dxfId="1741" priority="8663" operator="containsText" text="N/A">
      <formula>NOT(ISERROR(SEARCH("N/A",P1219)))</formula>
    </cfRule>
    <cfRule type="containsText" dxfId="1740" priority="8664" operator="containsText" text="Pendente">
      <formula>NOT(ISERROR(SEARCH("Pendente",P1219)))</formula>
    </cfRule>
    <cfRule type="containsText" dxfId="1739" priority="8665" operator="containsText" text="Finalizado">
      <formula>NOT(ISERROR(SEARCH("Finalizado",P1219)))</formula>
    </cfRule>
  </conditionalFormatting>
  <conditionalFormatting sqref="P1220">
    <cfRule type="containsText" dxfId="1738" priority="8668" operator="containsText" text="em andamento">
      <formula>NOT(ISERROR(SEARCH("em andamento",P1220)))</formula>
    </cfRule>
  </conditionalFormatting>
  <conditionalFormatting sqref="P1221:P1222">
    <cfRule type="expression" dxfId="1737" priority="4363">
      <formula>$H1221="ETAPA"</formula>
    </cfRule>
    <cfRule type="containsText" dxfId="1736" priority="4364" operator="containsText" text="Lançado">
      <formula>NOT(ISERROR(SEARCH("Lançado",P1221)))</formula>
    </cfRule>
    <cfRule type="containsText" dxfId="1735" priority="4365" operator="containsText" text="N/A">
      <formula>NOT(ISERROR(SEARCH("N/A",P1221)))</formula>
    </cfRule>
    <cfRule type="containsText" dxfId="1734" priority="4366" operator="containsText" text="Pendente">
      <formula>NOT(ISERROR(SEARCH("Pendente",P1221)))</formula>
    </cfRule>
    <cfRule type="containsText" dxfId="1733" priority="4367" operator="containsText" text="Finalizado">
      <formula>NOT(ISERROR(SEARCH("Finalizado",P1221)))</formula>
    </cfRule>
    <cfRule type="containsText" dxfId="1732" priority="4368" operator="containsText" text="em andamento">
      <formula>NOT(ISERROR(SEARCH("em andamento",P1221)))</formula>
    </cfRule>
    <cfRule type="containsText" dxfId="1731" priority="4369" operator="containsText" text="Lançado">
      <formula>NOT(ISERROR(SEARCH("Lançado",P1221)))</formula>
    </cfRule>
    <cfRule type="containsText" dxfId="1730" priority="4370" operator="containsText" text="N/A">
      <formula>NOT(ISERROR(SEARCH("N/A",P1221)))</formula>
    </cfRule>
    <cfRule type="containsText" dxfId="1729" priority="4371" operator="containsText" text="Pendente">
      <formula>NOT(ISERROR(SEARCH("Pendente",P1221)))</formula>
    </cfRule>
    <cfRule type="containsText" dxfId="1728" priority="4372" operator="containsText" text="Finalizado">
      <formula>NOT(ISERROR(SEARCH("Finalizado",P1221)))</formula>
    </cfRule>
    <cfRule type="containsText" dxfId="1727" priority="4373" operator="containsText" text="em andamento">
      <formula>NOT(ISERROR(SEARCH("em andamento",P1221)))</formula>
    </cfRule>
    <cfRule type="expression" dxfId="1726" priority="4375">
      <formula>$H1221="CÉLULA CONSTRUTIVA"</formula>
    </cfRule>
    <cfRule type="expression" dxfId="1725" priority="4376">
      <formula>$H1221="ETAPA"</formula>
    </cfRule>
    <cfRule type="containsText" dxfId="1724" priority="4377" operator="containsText" text="Lançado">
      <formula>NOT(ISERROR(SEARCH("Lançado",P1221)))</formula>
    </cfRule>
    <cfRule type="containsText" dxfId="1723" priority="4378" operator="containsText" text="N/A">
      <formula>NOT(ISERROR(SEARCH("N/A",P1221)))</formula>
    </cfRule>
    <cfRule type="containsText" dxfId="1722" priority="4379" operator="containsText" text="Pendente">
      <formula>NOT(ISERROR(SEARCH("Pendente",P1221)))</formula>
    </cfRule>
    <cfRule type="containsText" dxfId="1721" priority="4380" operator="containsText" text="Finalizado">
      <formula>NOT(ISERROR(SEARCH("Finalizado",P1221)))</formula>
    </cfRule>
    <cfRule type="containsText" dxfId="1720" priority="4381" operator="containsText" text="em andamento">
      <formula>NOT(ISERROR(SEARCH("em andamento",P1221)))</formula>
    </cfRule>
    <cfRule type="expression" dxfId="1719" priority="4374">
      <formula>$H1221="SUBETAPA"</formula>
    </cfRule>
    <cfRule type="expression" dxfId="1718" priority="4361">
      <formula>$H1221="SUBETAPA"</formula>
    </cfRule>
    <cfRule type="expression" dxfId="1717" priority="4362">
      <formula>$H1221="CÉLULA CONSTRUTIVA"</formula>
    </cfRule>
  </conditionalFormatting>
  <conditionalFormatting sqref="P1223">
    <cfRule type="containsText" dxfId="1716" priority="5660" operator="containsText" text="Pendente">
      <formula>NOT(ISERROR(SEARCH("Pendente",P1223)))</formula>
    </cfRule>
    <cfRule type="containsText" dxfId="1715" priority="5659" operator="containsText" text="N/A">
      <formula>NOT(ISERROR(SEARCH("N/A",P1223)))</formula>
    </cfRule>
    <cfRule type="containsText" dxfId="1714" priority="5658" operator="containsText" text="Lançado">
      <formula>NOT(ISERROR(SEARCH("Lançado",P1223)))</formula>
    </cfRule>
    <cfRule type="containsText" dxfId="1713" priority="5667" operator="containsText" text="em andamento">
      <formula>NOT(ISERROR(SEARCH("em andamento",P1223)))</formula>
    </cfRule>
    <cfRule type="containsText" dxfId="1712" priority="5666" operator="containsText" text="Finalizado">
      <formula>NOT(ISERROR(SEARCH("Finalizado",P1223)))</formula>
    </cfRule>
    <cfRule type="containsText" dxfId="1711" priority="5665" operator="containsText" text="Pendente">
      <formula>NOT(ISERROR(SEARCH("Pendente",P1223)))</formula>
    </cfRule>
    <cfRule type="containsText" dxfId="1710" priority="5664" operator="containsText" text="N/A">
      <formula>NOT(ISERROR(SEARCH("N/A",P1223)))</formula>
    </cfRule>
    <cfRule type="containsText" dxfId="1709" priority="5663" operator="containsText" text="Lançado">
      <formula>NOT(ISERROR(SEARCH("Lançado",P1223)))</formula>
    </cfRule>
    <cfRule type="containsText" dxfId="1708" priority="5662" operator="containsText" text="em andamento">
      <formula>NOT(ISERROR(SEARCH("em andamento",P1223)))</formula>
    </cfRule>
    <cfRule type="containsText" dxfId="1707" priority="5661" operator="containsText" text="Finalizado">
      <formula>NOT(ISERROR(SEARCH("Finalizado",P1223)))</formula>
    </cfRule>
  </conditionalFormatting>
  <conditionalFormatting sqref="P1224">
    <cfRule type="containsText" dxfId="1706" priority="4352" operator="containsText" text="em andamento">
      <formula>NOT(ISERROR(SEARCH("em andamento",P1224)))</formula>
    </cfRule>
    <cfRule type="expression" dxfId="1705" priority="4353">
      <formula>$H1224="SUBETAPA"</formula>
    </cfRule>
    <cfRule type="expression" dxfId="1704" priority="4354">
      <formula>$H1224="CÉLULA CONSTRUTIVA"</formula>
    </cfRule>
    <cfRule type="expression" dxfId="1703" priority="4355">
      <formula>$H1224="ETAPA"</formula>
    </cfRule>
    <cfRule type="containsText" dxfId="1702" priority="4356" operator="containsText" text="Lançado">
      <formula>NOT(ISERROR(SEARCH("Lançado",P1224)))</formula>
    </cfRule>
    <cfRule type="containsText" dxfId="1701" priority="4357" operator="containsText" text="N/A">
      <formula>NOT(ISERROR(SEARCH("N/A",P1224)))</formula>
    </cfRule>
    <cfRule type="containsText" dxfId="1700" priority="4358" operator="containsText" text="Pendente">
      <formula>NOT(ISERROR(SEARCH("Pendente",P1224)))</formula>
    </cfRule>
    <cfRule type="containsText" dxfId="1699" priority="4359" operator="containsText" text="Finalizado">
      <formula>NOT(ISERROR(SEARCH("Finalizado",P1224)))</formula>
    </cfRule>
    <cfRule type="expression" dxfId="1698" priority="4342">
      <formula>$H1224="ETAPA"</formula>
    </cfRule>
    <cfRule type="expression" dxfId="1697" priority="4341">
      <formula>$H1224="CÉLULA CONSTRUTIVA"</formula>
    </cfRule>
    <cfRule type="containsText" dxfId="1696" priority="4343" operator="containsText" text="Lançado">
      <formula>NOT(ISERROR(SEARCH("Lançado",P1224)))</formula>
    </cfRule>
    <cfRule type="containsText" dxfId="1695" priority="4344" operator="containsText" text="N/A">
      <formula>NOT(ISERROR(SEARCH("N/A",P1224)))</formula>
    </cfRule>
    <cfRule type="expression" dxfId="1694" priority="4340">
      <formula>$H1224="SUBETAPA"</formula>
    </cfRule>
    <cfRule type="containsText" dxfId="1693" priority="4345" operator="containsText" text="Pendente">
      <formula>NOT(ISERROR(SEARCH("Pendente",P1224)))</formula>
    </cfRule>
    <cfRule type="containsText" dxfId="1692" priority="4346" operator="containsText" text="Finalizado">
      <formula>NOT(ISERROR(SEARCH("Finalizado",P1224)))</formula>
    </cfRule>
    <cfRule type="containsText" dxfId="1691" priority="4347" operator="containsText" text="em andamento">
      <formula>NOT(ISERROR(SEARCH("em andamento",P1224)))</formula>
    </cfRule>
    <cfRule type="containsText" dxfId="1690" priority="4348" operator="containsText" text="Lançado">
      <formula>NOT(ISERROR(SEARCH("Lançado",P1224)))</formula>
    </cfRule>
    <cfRule type="containsText" dxfId="1689" priority="4349" operator="containsText" text="N/A">
      <formula>NOT(ISERROR(SEARCH("N/A",P1224)))</formula>
    </cfRule>
    <cfRule type="containsText" dxfId="1688" priority="4350" operator="containsText" text="Pendente">
      <formula>NOT(ISERROR(SEARCH("Pendente",P1224)))</formula>
    </cfRule>
    <cfRule type="containsText" dxfId="1687" priority="4351" operator="containsText" text="Finalizado">
      <formula>NOT(ISERROR(SEARCH("Finalizado",P1224)))</formula>
    </cfRule>
    <cfRule type="containsText" dxfId="1686" priority="4360" operator="containsText" text="em andamento">
      <formula>NOT(ISERROR(SEARCH("em andamento",P1224)))</formula>
    </cfRule>
  </conditionalFormatting>
  <conditionalFormatting sqref="P1225 P1219:P1220">
    <cfRule type="containsText" dxfId="1685" priority="8671" operator="containsText" text="Pendente">
      <formula>NOT(ISERROR(SEARCH("Pendente",P1219)))</formula>
    </cfRule>
  </conditionalFormatting>
  <conditionalFormatting sqref="P1225">
    <cfRule type="containsText" dxfId="1684" priority="8657" operator="containsText" text="Lançado">
      <formula>NOT(ISERROR(SEARCH("Lançado",P1225)))</formula>
    </cfRule>
    <cfRule type="containsText" dxfId="1683" priority="8658" operator="containsText" text="N/A">
      <formula>NOT(ISERROR(SEARCH("N/A",P1225)))</formula>
    </cfRule>
    <cfRule type="containsText" dxfId="1682" priority="8659" operator="containsText" text="Pendente">
      <formula>NOT(ISERROR(SEARCH("Pendente",P1225)))</formula>
    </cfRule>
    <cfRule type="containsText" dxfId="1681" priority="8661" operator="containsText" text="em andamento">
      <formula>NOT(ISERROR(SEARCH("em andamento",P1225)))</formula>
    </cfRule>
    <cfRule type="containsText" dxfId="1680" priority="8660" operator="containsText" text="Finalizado">
      <formula>NOT(ISERROR(SEARCH("Finalizado",P1225)))</formula>
    </cfRule>
  </conditionalFormatting>
  <conditionalFormatting sqref="P1226">
    <cfRule type="expression" dxfId="1679" priority="4320">
      <formula>$H1226="CÉLULA CONSTRUTIVA"</formula>
    </cfRule>
    <cfRule type="containsText" dxfId="1678" priority="4339" operator="containsText" text="em andamento">
      <formula>NOT(ISERROR(SEARCH("em andamento",P1226)))</formula>
    </cfRule>
    <cfRule type="containsText" dxfId="1677" priority="4338" operator="containsText" text="Finalizado">
      <formula>NOT(ISERROR(SEARCH("Finalizado",P1226)))</formula>
    </cfRule>
    <cfRule type="containsText" dxfId="1676" priority="4337" operator="containsText" text="Pendente">
      <formula>NOT(ISERROR(SEARCH("Pendente",P1226)))</formula>
    </cfRule>
    <cfRule type="containsText" dxfId="1675" priority="4336" operator="containsText" text="N/A">
      <formula>NOT(ISERROR(SEARCH("N/A",P1226)))</formula>
    </cfRule>
    <cfRule type="containsText" dxfId="1674" priority="4335" operator="containsText" text="Lançado">
      <formula>NOT(ISERROR(SEARCH("Lançado",P1226)))</formula>
    </cfRule>
    <cfRule type="expression" dxfId="1673" priority="4334">
      <formula>$H1226="ETAPA"</formula>
    </cfRule>
    <cfRule type="expression" dxfId="1672" priority="4333">
      <formula>$H1226="CÉLULA CONSTRUTIVA"</formula>
    </cfRule>
    <cfRule type="expression" dxfId="1671" priority="4332">
      <formula>$H1226="SUBETAPA"</formula>
    </cfRule>
    <cfRule type="containsText" dxfId="1670" priority="4331" operator="containsText" text="em andamento">
      <formula>NOT(ISERROR(SEARCH("em andamento",P1226)))</formula>
    </cfRule>
    <cfRule type="containsText" dxfId="1669" priority="4330" operator="containsText" text="Finalizado">
      <formula>NOT(ISERROR(SEARCH("Finalizado",P1226)))</formula>
    </cfRule>
    <cfRule type="containsText" dxfId="1668" priority="4329" operator="containsText" text="Pendente">
      <formula>NOT(ISERROR(SEARCH("Pendente",P1226)))</formula>
    </cfRule>
    <cfRule type="containsText" dxfId="1667" priority="4328" operator="containsText" text="N/A">
      <formula>NOT(ISERROR(SEARCH("N/A",P1226)))</formula>
    </cfRule>
    <cfRule type="containsText" dxfId="1666" priority="4327" operator="containsText" text="Lançado">
      <formula>NOT(ISERROR(SEARCH("Lançado",P1226)))</formula>
    </cfRule>
    <cfRule type="containsText" dxfId="1665" priority="4326" operator="containsText" text="em andamento">
      <formula>NOT(ISERROR(SEARCH("em andamento",P1226)))</formula>
    </cfRule>
    <cfRule type="containsText" dxfId="1664" priority="4325" operator="containsText" text="Finalizado">
      <formula>NOT(ISERROR(SEARCH("Finalizado",P1226)))</formula>
    </cfRule>
    <cfRule type="containsText" dxfId="1663" priority="4324" operator="containsText" text="Pendente">
      <formula>NOT(ISERROR(SEARCH("Pendente",P1226)))</formula>
    </cfRule>
    <cfRule type="containsText" dxfId="1662" priority="4323" operator="containsText" text="N/A">
      <formula>NOT(ISERROR(SEARCH("N/A",P1226)))</formula>
    </cfRule>
    <cfRule type="containsText" dxfId="1661" priority="4322" operator="containsText" text="Lançado">
      <formula>NOT(ISERROR(SEARCH("Lançado",P1226)))</formula>
    </cfRule>
    <cfRule type="expression" dxfId="1660" priority="4321">
      <formula>$H1226="ETAPA"</formula>
    </cfRule>
    <cfRule type="expression" dxfId="1659" priority="4319">
      <formula>$H1226="SUBETAPA"</formula>
    </cfRule>
  </conditionalFormatting>
  <conditionalFormatting sqref="P1227">
    <cfRule type="containsText" dxfId="1658" priority="5540" operator="containsText" text="Lançado">
      <formula>NOT(ISERROR(SEARCH("Lançado",P1227)))</formula>
    </cfRule>
    <cfRule type="containsText" dxfId="1657" priority="5565" operator="containsText" text="Finalizado">
      <formula>NOT(ISERROR(SEARCH("Finalizado",P1227)))</formula>
    </cfRule>
    <cfRule type="containsText" dxfId="1656" priority="5564" operator="containsText" text="N/A">
      <formula>NOT(ISERROR(SEARCH("N/A",P1227)))</formula>
    </cfRule>
    <cfRule type="containsText" dxfId="1655" priority="5563" operator="containsText" text="Lançado">
      <formula>NOT(ISERROR(SEARCH("Lançado",P1227)))</formula>
    </cfRule>
    <cfRule type="containsText" dxfId="1654" priority="5544" operator="containsText" text="em andamento">
      <formula>NOT(ISERROR(SEARCH("em andamento",P1227)))</formula>
    </cfRule>
    <cfRule type="containsText" dxfId="1653" priority="5541" operator="containsText" text="N/A">
      <formula>NOT(ISERROR(SEARCH("N/A",P1227)))</formula>
    </cfRule>
    <cfRule type="containsText" dxfId="1652" priority="5542" operator="containsText" text="Pendente">
      <formula>NOT(ISERROR(SEARCH("Pendente",P1227)))</formula>
    </cfRule>
    <cfRule type="containsText" dxfId="1651" priority="5566" operator="containsText" text="em andamento">
      <formula>NOT(ISERROR(SEARCH("em andamento",P1227)))</formula>
    </cfRule>
    <cfRule type="containsText" dxfId="1650" priority="5543" operator="containsText" text="Finalizado">
      <formula>NOT(ISERROR(SEARCH("Finalizado",P1227)))</formula>
    </cfRule>
    <cfRule type="expression" dxfId="1649" priority="5539">
      <formula>$H1227="CÉLULA CONSTRUTIVA"</formula>
    </cfRule>
    <cfRule type="expression" dxfId="1648" priority="5538">
      <formula>$H1227="SUBETAPA"</formula>
    </cfRule>
    <cfRule type="containsText" dxfId="1647" priority="5568" operator="containsText" text="Pendente">
      <formula>NOT(ISERROR(SEARCH("Pendente",P1227)))</formula>
    </cfRule>
  </conditionalFormatting>
  <conditionalFormatting sqref="P1228:P1229">
    <cfRule type="expression" dxfId="1646" priority="4300">
      <formula>$H1228="ETAPA"</formula>
    </cfRule>
    <cfRule type="expression" dxfId="1645" priority="4312">
      <formula>$H1228="CÉLULA CONSTRUTIVA"</formula>
    </cfRule>
    <cfRule type="containsText" dxfId="1644" priority="4314" operator="containsText" text="Lançado">
      <formula>NOT(ISERROR(SEARCH("Lançado",P1228)))</formula>
    </cfRule>
    <cfRule type="containsText" dxfId="1643" priority="4316" operator="containsText" text="Pendente">
      <formula>NOT(ISERROR(SEARCH("Pendente",P1228)))</formula>
    </cfRule>
    <cfRule type="containsText" dxfId="1642" priority="4317" operator="containsText" text="Finalizado">
      <formula>NOT(ISERROR(SEARCH("Finalizado",P1228)))</formula>
    </cfRule>
    <cfRule type="containsText" dxfId="1641" priority="4318" operator="containsText" text="em andamento">
      <formula>NOT(ISERROR(SEARCH("em andamento",P1228)))</formula>
    </cfRule>
    <cfRule type="expression" dxfId="1640" priority="4313">
      <formula>$H1228="ETAPA"</formula>
    </cfRule>
    <cfRule type="containsText" dxfId="1639" priority="4308" operator="containsText" text="Pendente">
      <formula>NOT(ISERROR(SEARCH("Pendente",P1228)))</formula>
    </cfRule>
    <cfRule type="expression" dxfId="1638" priority="4299">
      <formula>$H1228="CÉLULA CONSTRUTIVA"</formula>
    </cfRule>
    <cfRule type="expression" dxfId="1637" priority="4298">
      <formula>$H1228="SUBETAPA"</formula>
    </cfRule>
    <cfRule type="containsText" dxfId="1636" priority="4307" operator="containsText" text="N/A">
      <formula>NOT(ISERROR(SEARCH("N/A",P1228)))</formula>
    </cfRule>
    <cfRule type="containsText" dxfId="1635" priority="4306" operator="containsText" text="Lançado">
      <formula>NOT(ISERROR(SEARCH("Lançado",P1228)))</formula>
    </cfRule>
    <cfRule type="containsText" dxfId="1634" priority="4305" operator="containsText" text="em andamento">
      <formula>NOT(ISERROR(SEARCH("em andamento",P1228)))</formula>
    </cfRule>
    <cfRule type="containsText" dxfId="1633" priority="4304" operator="containsText" text="Finalizado">
      <formula>NOT(ISERROR(SEARCH("Finalizado",P1228)))</formula>
    </cfRule>
    <cfRule type="containsText" dxfId="1632" priority="4303" operator="containsText" text="Pendente">
      <formula>NOT(ISERROR(SEARCH("Pendente",P1228)))</formula>
    </cfRule>
    <cfRule type="containsText" dxfId="1631" priority="4302" operator="containsText" text="N/A">
      <formula>NOT(ISERROR(SEARCH("N/A",P1228)))</formula>
    </cfRule>
    <cfRule type="containsText" dxfId="1630" priority="4301" operator="containsText" text="Lançado">
      <formula>NOT(ISERROR(SEARCH("Lançado",P1228)))</formula>
    </cfRule>
    <cfRule type="containsText" dxfId="1629" priority="4315" operator="containsText" text="N/A">
      <formula>NOT(ISERROR(SEARCH("N/A",P1228)))</formula>
    </cfRule>
    <cfRule type="expression" dxfId="1628" priority="4311">
      <formula>$H1228="SUBETAPA"</formula>
    </cfRule>
    <cfRule type="containsText" dxfId="1627" priority="4310" operator="containsText" text="em andamento">
      <formula>NOT(ISERROR(SEARCH("em andamento",P1228)))</formula>
    </cfRule>
    <cfRule type="containsText" dxfId="1626" priority="4309" operator="containsText" text="Finalizado">
      <formula>NOT(ISERROR(SEARCH("Finalizado",P1228)))</formula>
    </cfRule>
  </conditionalFormatting>
  <conditionalFormatting sqref="P1230">
    <cfRule type="containsText" dxfId="1625" priority="9115" operator="containsText" text="Lançado">
      <formula>NOT(ISERROR(SEARCH("Lançado",P1230)))</formula>
    </cfRule>
    <cfRule type="containsText" dxfId="1624" priority="9116" operator="containsText" text="N/A">
      <formula>NOT(ISERROR(SEARCH("N/A",P1230)))</formula>
    </cfRule>
    <cfRule type="containsText" dxfId="1623" priority="9117" operator="containsText" text="Pendente">
      <formula>NOT(ISERROR(SEARCH("Pendente",P1230)))</formula>
    </cfRule>
    <cfRule type="containsText" dxfId="1622" priority="9118" operator="containsText" text="Finalizado">
      <formula>NOT(ISERROR(SEARCH("Finalizado",P1230)))</formula>
    </cfRule>
    <cfRule type="containsText" dxfId="1621" priority="9119" operator="containsText" text="em andamento">
      <formula>NOT(ISERROR(SEARCH("em andamento",P1230)))</formula>
    </cfRule>
  </conditionalFormatting>
  <conditionalFormatting sqref="P1231">
    <cfRule type="expression" dxfId="1620" priority="4278">
      <formula>$H1231="CÉLULA CONSTRUTIVA"</formula>
    </cfRule>
    <cfRule type="containsText" dxfId="1619" priority="4297" operator="containsText" text="em andamento">
      <formula>NOT(ISERROR(SEARCH("em andamento",P1231)))</formula>
    </cfRule>
    <cfRule type="containsText" dxfId="1618" priority="4296" operator="containsText" text="Finalizado">
      <formula>NOT(ISERROR(SEARCH("Finalizado",P1231)))</formula>
    </cfRule>
    <cfRule type="containsText" dxfId="1617" priority="4280" operator="containsText" text="Lançado">
      <formula>NOT(ISERROR(SEARCH("Lançado",P1231)))</formula>
    </cfRule>
    <cfRule type="expression" dxfId="1616" priority="4292">
      <formula>$H1231="ETAPA"</formula>
    </cfRule>
    <cfRule type="expression" dxfId="1615" priority="4279">
      <formula>$H1231="ETAPA"</formula>
    </cfRule>
    <cfRule type="containsText" dxfId="1614" priority="4293" operator="containsText" text="Lançado">
      <formula>NOT(ISERROR(SEARCH("Lançado",P1231)))</formula>
    </cfRule>
    <cfRule type="containsText" dxfId="1613" priority="4294" operator="containsText" text="N/A">
      <formula>NOT(ISERROR(SEARCH("N/A",P1231)))</formula>
    </cfRule>
    <cfRule type="containsText" dxfId="1612" priority="4295" operator="containsText" text="Pendente">
      <formula>NOT(ISERROR(SEARCH("Pendente",P1231)))</formula>
    </cfRule>
    <cfRule type="expression" dxfId="1611" priority="4277">
      <formula>$H1231="SUBETAPA"</formula>
    </cfRule>
    <cfRule type="expression" dxfId="1610" priority="4291">
      <formula>$H1231="CÉLULA CONSTRUTIVA"</formula>
    </cfRule>
    <cfRule type="expression" dxfId="1609" priority="4290">
      <formula>$H1231="SUBETAPA"</formula>
    </cfRule>
    <cfRule type="containsText" dxfId="1608" priority="4289" operator="containsText" text="em andamento">
      <formula>NOT(ISERROR(SEARCH("em andamento",P1231)))</formula>
    </cfRule>
    <cfRule type="containsText" dxfId="1607" priority="4288" operator="containsText" text="Finalizado">
      <formula>NOT(ISERROR(SEARCH("Finalizado",P1231)))</formula>
    </cfRule>
    <cfRule type="containsText" dxfId="1606" priority="4287" operator="containsText" text="Pendente">
      <formula>NOT(ISERROR(SEARCH("Pendente",P1231)))</formula>
    </cfRule>
    <cfRule type="containsText" dxfId="1605" priority="4286" operator="containsText" text="N/A">
      <formula>NOT(ISERROR(SEARCH("N/A",P1231)))</formula>
    </cfRule>
    <cfRule type="containsText" dxfId="1604" priority="4285" operator="containsText" text="Lançado">
      <formula>NOT(ISERROR(SEARCH("Lançado",P1231)))</formula>
    </cfRule>
    <cfRule type="containsText" dxfId="1603" priority="4284" operator="containsText" text="em andamento">
      <formula>NOT(ISERROR(SEARCH("em andamento",P1231)))</formula>
    </cfRule>
    <cfRule type="containsText" dxfId="1602" priority="4283" operator="containsText" text="Finalizado">
      <formula>NOT(ISERROR(SEARCH("Finalizado",P1231)))</formula>
    </cfRule>
    <cfRule type="containsText" dxfId="1601" priority="4282" operator="containsText" text="Pendente">
      <formula>NOT(ISERROR(SEARCH("Pendente",P1231)))</formula>
    </cfRule>
    <cfRule type="containsText" dxfId="1600" priority="4281" operator="containsText" text="N/A">
      <formula>NOT(ISERROR(SEARCH("N/A",P1231)))</formula>
    </cfRule>
  </conditionalFormatting>
  <conditionalFormatting sqref="P1232">
    <cfRule type="containsText" dxfId="1599" priority="5505" operator="containsText" text="Lançado">
      <formula>NOT(ISERROR(SEARCH("Lançado",P1232)))</formula>
    </cfRule>
    <cfRule type="containsText" dxfId="1598" priority="5506" operator="containsText" text="Pendente">
      <formula>NOT(ISERROR(SEARCH("Pendente",P1232)))</formula>
    </cfRule>
    <cfRule type="containsText" dxfId="1597" priority="5510" operator="containsText" text="N/A">
      <formula>NOT(ISERROR(SEARCH("N/A",P1232)))</formula>
    </cfRule>
    <cfRule type="containsText" dxfId="1596" priority="5511" operator="containsText" text="Pendente">
      <formula>NOT(ISERROR(SEARCH("Pendente",P1232)))</formula>
    </cfRule>
    <cfRule type="containsText" dxfId="1595" priority="5512" operator="containsText" text="Finalizado">
      <formula>NOT(ISERROR(SEARCH("Finalizado",P1232)))</formula>
    </cfRule>
    <cfRule type="containsText" dxfId="1594" priority="5513" operator="containsText" text="em andamento">
      <formula>NOT(ISERROR(SEARCH("em andamento",P1232)))</formula>
    </cfRule>
    <cfRule type="containsText" dxfId="1593" priority="5508" operator="containsText" text="em andamento">
      <formula>NOT(ISERROR(SEARCH("em andamento",P1232)))</formula>
    </cfRule>
    <cfRule type="containsText" dxfId="1592" priority="5507" operator="containsText" text="Finalizado">
      <formula>NOT(ISERROR(SEARCH("Finalizado",P1232)))</formula>
    </cfRule>
    <cfRule type="containsText" dxfId="1591" priority="5509" operator="containsText" text="Lançado">
      <formula>NOT(ISERROR(SEARCH("Lançado",P1232)))</formula>
    </cfRule>
    <cfRule type="containsText" dxfId="1590" priority="5504" operator="containsText" text="N/A">
      <formula>NOT(ISERROR(SEARCH("N/A",P1232)))</formula>
    </cfRule>
  </conditionalFormatting>
  <conditionalFormatting sqref="P1233">
    <cfRule type="containsText" dxfId="1589" priority="4276" operator="containsText" text="em andamento">
      <formula>NOT(ISERROR(SEARCH("em andamento",P1233)))</formula>
    </cfRule>
    <cfRule type="containsText" dxfId="1588" priority="4274" operator="containsText" text="Pendente">
      <formula>NOT(ISERROR(SEARCH("Pendente",P1233)))</formula>
    </cfRule>
    <cfRule type="containsText" dxfId="1587" priority="4273" operator="containsText" text="N/A">
      <formula>NOT(ISERROR(SEARCH("N/A",P1233)))</formula>
    </cfRule>
    <cfRule type="containsText" dxfId="1586" priority="4272" operator="containsText" text="Lançado">
      <formula>NOT(ISERROR(SEARCH("Lançado",P1233)))</formula>
    </cfRule>
    <cfRule type="expression" dxfId="1585" priority="4271">
      <formula>$H1233="ETAPA"</formula>
    </cfRule>
    <cfRule type="expression" dxfId="1584" priority="4270">
      <formula>$H1233="CÉLULA CONSTRUTIVA"</formula>
    </cfRule>
    <cfRule type="expression" dxfId="1583" priority="4269">
      <formula>$H1233="SUBETAPA"</formula>
    </cfRule>
    <cfRule type="containsText" dxfId="1582" priority="4268" operator="containsText" text="em andamento">
      <formula>NOT(ISERROR(SEARCH("em andamento",P1233)))</formula>
    </cfRule>
    <cfRule type="containsText" dxfId="1581" priority="4263" operator="containsText" text="em andamento">
      <formula>NOT(ISERROR(SEARCH("em andamento",P1233)))</formula>
    </cfRule>
    <cfRule type="containsText" dxfId="1580" priority="4267" operator="containsText" text="Finalizado">
      <formula>NOT(ISERROR(SEARCH("Finalizado",P1233)))</formula>
    </cfRule>
    <cfRule type="expression" dxfId="1579" priority="4258">
      <formula>$H1233="ETAPA"</formula>
    </cfRule>
    <cfRule type="containsText" dxfId="1578" priority="4264" operator="containsText" text="Lançado">
      <formula>NOT(ISERROR(SEARCH("Lançado",P1233)))</formula>
    </cfRule>
    <cfRule type="containsText" dxfId="1577" priority="4265" operator="containsText" text="N/A">
      <formula>NOT(ISERROR(SEARCH("N/A",P1233)))</formula>
    </cfRule>
    <cfRule type="expression" dxfId="1576" priority="4257">
      <formula>$H1233="CÉLULA CONSTRUTIVA"</formula>
    </cfRule>
    <cfRule type="containsText" dxfId="1575" priority="4275" operator="containsText" text="Finalizado">
      <formula>NOT(ISERROR(SEARCH("Finalizado",P1233)))</formula>
    </cfRule>
    <cfRule type="expression" dxfId="1574" priority="4256">
      <formula>$H1233="SUBETAPA"</formula>
    </cfRule>
    <cfRule type="containsText" dxfId="1573" priority="4259" operator="containsText" text="Lançado">
      <formula>NOT(ISERROR(SEARCH("Lançado",P1233)))</formula>
    </cfRule>
    <cfRule type="containsText" dxfId="1572" priority="4260" operator="containsText" text="N/A">
      <formula>NOT(ISERROR(SEARCH("N/A",P1233)))</formula>
    </cfRule>
    <cfRule type="containsText" dxfId="1571" priority="4266" operator="containsText" text="Pendente">
      <formula>NOT(ISERROR(SEARCH("Pendente",P1233)))</formula>
    </cfRule>
    <cfRule type="containsText" dxfId="1570" priority="4261" operator="containsText" text="Pendente">
      <formula>NOT(ISERROR(SEARCH("Pendente",P1233)))</formula>
    </cfRule>
    <cfRule type="containsText" dxfId="1569" priority="4262" operator="containsText" text="Finalizado">
      <formula>NOT(ISERROR(SEARCH("Finalizado",P1233)))</formula>
    </cfRule>
  </conditionalFormatting>
  <conditionalFormatting sqref="P1234">
    <cfRule type="containsText" dxfId="1568" priority="5250" operator="containsText" text="Lançado">
      <formula>NOT(ISERROR(SEARCH("Lançado",P1234)))</formula>
    </cfRule>
    <cfRule type="containsText" dxfId="1567" priority="5225" operator="containsText" text="N/A">
      <formula>NOT(ISERROR(SEARCH("N/A",P1234)))</formula>
    </cfRule>
    <cfRule type="containsText" dxfId="1566" priority="5253" operator="containsText" text="Finalizado">
      <formula>NOT(ISERROR(SEARCH("Finalizado",P1234)))</formula>
    </cfRule>
    <cfRule type="containsText" dxfId="1565" priority="5254" operator="containsText" text="em andamento">
      <formula>NOT(ISERROR(SEARCH("em andamento",P1234)))</formula>
    </cfRule>
    <cfRule type="containsText" dxfId="1564" priority="5258" operator="containsText" text="Lançado">
      <formula>NOT(ISERROR(SEARCH("Lançado",P1234)))</formula>
    </cfRule>
    <cfRule type="containsText" dxfId="1563" priority="5259" operator="containsText" text="N/A">
      <formula>NOT(ISERROR(SEARCH("N/A",P1234)))</formula>
    </cfRule>
    <cfRule type="containsText" dxfId="1562" priority="5260" operator="containsText" text="Pendente">
      <formula>NOT(ISERROR(SEARCH("Pendente",P1234)))</formula>
    </cfRule>
    <cfRule type="containsText" dxfId="1561" priority="5261" operator="containsText" text="Finalizado">
      <formula>NOT(ISERROR(SEARCH("Finalizado",P1234)))</formula>
    </cfRule>
    <cfRule type="containsText" dxfId="1560" priority="5262" operator="containsText" text="em andamento">
      <formula>NOT(ISERROR(SEARCH("em andamento",P1234)))</formula>
    </cfRule>
    <cfRule type="containsText" dxfId="1559" priority="5252" operator="containsText" text="Pendente">
      <formula>NOT(ISERROR(SEARCH("Pendente",P1234)))</formula>
    </cfRule>
  </conditionalFormatting>
  <conditionalFormatting sqref="P1235">
    <cfRule type="containsText" dxfId="1558" priority="4239" operator="containsText" text="N/A">
      <formula>NOT(ISERROR(SEARCH("N/A",P1235)))</formula>
    </cfRule>
    <cfRule type="containsText" dxfId="1557" priority="4240" operator="containsText" text="Pendente">
      <formula>NOT(ISERROR(SEARCH("Pendente",P1235)))</formula>
    </cfRule>
    <cfRule type="containsText" dxfId="1556" priority="4242" operator="containsText" text="em andamento">
      <formula>NOT(ISERROR(SEARCH("em andamento",P1235)))</formula>
    </cfRule>
    <cfRule type="containsText" dxfId="1555" priority="4243" operator="containsText" text="Lançado">
      <formula>NOT(ISERROR(SEARCH("Lançado",P1235)))</formula>
    </cfRule>
    <cfRule type="containsText" dxfId="1554" priority="4244" operator="containsText" text="N/A">
      <formula>NOT(ISERROR(SEARCH("N/A",P1235)))</formula>
    </cfRule>
    <cfRule type="containsText" dxfId="1553" priority="4245" operator="containsText" text="Pendente">
      <formula>NOT(ISERROR(SEARCH("Pendente",P1235)))</formula>
    </cfRule>
    <cfRule type="containsText" dxfId="1552" priority="4246" operator="containsText" text="Finalizado">
      <formula>NOT(ISERROR(SEARCH("Finalizado",P1235)))</formula>
    </cfRule>
    <cfRule type="containsText" dxfId="1551" priority="4247" operator="containsText" text="em andamento">
      <formula>NOT(ISERROR(SEARCH("em andamento",P1235)))</formula>
    </cfRule>
    <cfRule type="expression" dxfId="1550" priority="4248">
      <formula>$H1235="SUBETAPA"</formula>
    </cfRule>
    <cfRule type="expression" dxfId="1549" priority="4249">
      <formula>$H1235="CÉLULA CONSTRUTIVA"</formula>
    </cfRule>
    <cfRule type="expression" dxfId="1548" priority="4250">
      <formula>$H1235="ETAPA"</formula>
    </cfRule>
    <cfRule type="containsText" dxfId="1547" priority="4251" operator="containsText" text="Lançado">
      <formula>NOT(ISERROR(SEARCH("Lançado",P1235)))</formula>
    </cfRule>
    <cfRule type="containsText" dxfId="1546" priority="4252" operator="containsText" text="N/A">
      <formula>NOT(ISERROR(SEARCH("N/A",P1235)))</formula>
    </cfRule>
    <cfRule type="containsText" dxfId="1545" priority="4253" operator="containsText" text="Pendente">
      <formula>NOT(ISERROR(SEARCH("Pendente",P1235)))</formula>
    </cfRule>
    <cfRule type="containsText" dxfId="1544" priority="4254" operator="containsText" text="Finalizado">
      <formula>NOT(ISERROR(SEARCH("Finalizado",P1235)))</formula>
    </cfRule>
    <cfRule type="containsText" dxfId="1543" priority="4255" operator="containsText" text="em andamento">
      <formula>NOT(ISERROR(SEARCH("em andamento",P1235)))</formula>
    </cfRule>
    <cfRule type="containsText" dxfId="1542" priority="4241" operator="containsText" text="Finalizado">
      <formula>NOT(ISERROR(SEARCH("Finalizado",P1235)))</formula>
    </cfRule>
    <cfRule type="expression" dxfId="1541" priority="4235">
      <formula>$H1235="SUBETAPA"</formula>
    </cfRule>
    <cfRule type="expression" dxfId="1540" priority="4236">
      <formula>$H1235="CÉLULA CONSTRUTIVA"</formula>
    </cfRule>
    <cfRule type="expression" dxfId="1539" priority="4237">
      <formula>$H1235="ETAPA"</formula>
    </cfRule>
    <cfRule type="containsText" dxfId="1538" priority="4238" operator="containsText" text="Lançado">
      <formula>NOT(ISERROR(SEARCH("Lançado",P1235)))</formula>
    </cfRule>
  </conditionalFormatting>
  <conditionalFormatting sqref="P1236">
    <cfRule type="containsText" dxfId="1537" priority="8593" operator="containsText" text="em andamento">
      <formula>NOT(ISERROR(SEARCH("em andamento",P1236)))</formula>
    </cfRule>
  </conditionalFormatting>
  <conditionalFormatting sqref="P1236:P1237 P1242">
    <cfRule type="containsText" dxfId="1536" priority="8600" operator="containsText" text="em andamento">
      <formula>NOT(ISERROR(SEARCH("em andamento",P1236)))</formula>
    </cfRule>
    <cfRule type="containsText" dxfId="1535" priority="8596" operator="containsText" text="Lançado">
      <formula>NOT(ISERROR(SEARCH("Lançado",P1236)))</formula>
    </cfRule>
    <cfRule type="containsText" dxfId="1534" priority="8597" operator="containsText" text="N/A">
      <formula>NOT(ISERROR(SEARCH("N/A",P1236)))</formula>
    </cfRule>
    <cfRule type="containsText" dxfId="1533" priority="8599" operator="containsText" text="Finalizado">
      <formula>NOT(ISERROR(SEARCH("Finalizado",P1236)))</formula>
    </cfRule>
  </conditionalFormatting>
  <conditionalFormatting sqref="P1236:P1237">
    <cfRule type="containsText" dxfId="1532" priority="8590" operator="containsText" text="N/A">
      <formula>NOT(ISERROR(SEARCH("N/A",P1236)))</formula>
    </cfRule>
    <cfRule type="containsText" dxfId="1531" priority="8592" operator="containsText" text="Finalizado">
      <formula>NOT(ISERROR(SEARCH("Finalizado",P1236)))</formula>
    </cfRule>
    <cfRule type="containsText" dxfId="1530" priority="8589" operator="containsText" text="Lançado">
      <formula>NOT(ISERROR(SEARCH("Lançado",P1236)))</formula>
    </cfRule>
    <cfRule type="containsText" dxfId="1529" priority="8591" operator="containsText" text="Pendente">
      <formula>NOT(ISERROR(SEARCH("Pendente",P1236)))</formula>
    </cfRule>
  </conditionalFormatting>
  <conditionalFormatting sqref="P1237">
    <cfRule type="containsText" dxfId="1528" priority="8595" operator="containsText" text="em andamento">
      <formula>NOT(ISERROR(SEARCH("em andamento",P1237)))</formula>
    </cfRule>
  </conditionalFormatting>
  <conditionalFormatting sqref="P1238">
    <cfRule type="expression" dxfId="1527" priority="4201">
      <formula>$H1238="CÉLULA CONSTRUTIVA"</formula>
    </cfRule>
    <cfRule type="containsText" dxfId="1526" priority="4193" operator="containsText" text="Finalizado">
      <formula>NOT(ISERROR(SEARCH("Finalizado",P1238)))</formula>
    </cfRule>
    <cfRule type="containsText" dxfId="1525" priority="4194" operator="containsText" text="em andamento">
      <formula>NOT(ISERROR(SEARCH("em andamento",P1238)))</formula>
    </cfRule>
    <cfRule type="containsText" dxfId="1524" priority="4195" operator="containsText" text="Lançado">
      <formula>NOT(ISERROR(SEARCH("Lançado",P1238)))</formula>
    </cfRule>
    <cfRule type="containsText" dxfId="1523" priority="4196" operator="containsText" text="N/A">
      <formula>NOT(ISERROR(SEARCH("N/A",P1238)))</formula>
    </cfRule>
    <cfRule type="containsText" dxfId="1522" priority="4206" operator="containsText" text="Finalizado">
      <formula>NOT(ISERROR(SEARCH("Finalizado",P1238)))</formula>
    </cfRule>
    <cfRule type="containsText" dxfId="1521" priority="4203" operator="containsText" text="Lançado">
      <formula>NOT(ISERROR(SEARCH("Lançado",P1238)))</formula>
    </cfRule>
    <cfRule type="containsText" dxfId="1520" priority="4198" operator="containsText" text="Finalizado">
      <formula>NOT(ISERROR(SEARCH("Finalizado",P1238)))</formula>
    </cfRule>
    <cfRule type="containsText" dxfId="1519" priority="4199" operator="containsText" text="em andamento">
      <formula>NOT(ISERROR(SEARCH("em andamento",P1238)))</formula>
    </cfRule>
    <cfRule type="expression" dxfId="1518" priority="4200">
      <formula>$H1238="SUBETAPA"</formula>
    </cfRule>
    <cfRule type="expression" dxfId="1517" priority="4202">
      <formula>$H1238="ETAPA"</formula>
    </cfRule>
    <cfRule type="containsText" dxfId="1516" priority="4204" operator="containsText" text="N/A">
      <formula>NOT(ISERROR(SEARCH("N/A",P1238)))</formula>
    </cfRule>
    <cfRule type="containsText" dxfId="1515" priority="4205" operator="containsText" text="Pendente">
      <formula>NOT(ISERROR(SEARCH("Pendente",P1238)))</formula>
    </cfRule>
    <cfRule type="containsText" dxfId="1514" priority="4207" operator="containsText" text="em andamento">
      <formula>NOT(ISERROR(SEARCH("em andamento",P1238)))</formula>
    </cfRule>
    <cfRule type="containsText" dxfId="1513" priority="4190" operator="containsText" text="Lançado">
      <formula>NOT(ISERROR(SEARCH("Lançado",P1238)))</formula>
    </cfRule>
    <cfRule type="containsText" dxfId="1512" priority="4197" operator="containsText" text="Pendente">
      <formula>NOT(ISERROR(SEARCH("Pendente",P1238)))</formula>
    </cfRule>
    <cfRule type="containsText" dxfId="1511" priority="4191" operator="containsText" text="N/A">
      <formula>NOT(ISERROR(SEARCH("N/A",P1238)))</formula>
    </cfRule>
    <cfRule type="expression" dxfId="1510" priority="4189">
      <formula>$H1238="ETAPA"</formula>
    </cfRule>
    <cfRule type="expression" dxfId="1509" priority="4188">
      <formula>$H1238="CÉLULA CONSTRUTIVA"</formula>
    </cfRule>
    <cfRule type="expression" dxfId="1508" priority="4187">
      <formula>$H1238="SUBETAPA"</formula>
    </cfRule>
    <cfRule type="containsText" dxfId="1507" priority="4192" operator="containsText" text="Pendente">
      <formula>NOT(ISERROR(SEARCH("Pendente",P1238)))</formula>
    </cfRule>
  </conditionalFormatting>
  <conditionalFormatting sqref="P1239">
    <cfRule type="containsText" dxfId="1506" priority="143" operator="containsText" text="Pendente">
      <formula>NOT(ISERROR(SEARCH("Pendente",P1239)))</formula>
    </cfRule>
    <cfRule type="containsText" dxfId="1505" priority="142" operator="containsText" text="N/A">
      <formula>NOT(ISERROR(SEARCH("N/A",P1239)))</formula>
    </cfRule>
    <cfRule type="containsText" dxfId="1504" priority="141" operator="containsText" text="Lançado">
      <formula>NOT(ISERROR(SEARCH("Lançado",P1239)))</formula>
    </cfRule>
    <cfRule type="expression" dxfId="1503" priority="140">
      <formula>$H1239="ETAPA"</formula>
    </cfRule>
    <cfRule type="expression" dxfId="1502" priority="139">
      <formula>$H1239="CÉLULA CONSTRUTIVA"</formula>
    </cfRule>
    <cfRule type="containsText" dxfId="1501" priority="156" operator="containsText" text="Pendente">
      <formula>NOT(ISERROR(SEARCH("Pendente",P1239)))</formula>
    </cfRule>
    <cfRule type="containsText" dxfId="1500" priority="158" operator="containsText" text="em andamento">
      <formula>NOT(ISERROR(SEARCH("em andamento",P1239)))</formula>
    </cfRule>
    <cfRule type="containsText" dxfId="1499" priority="144" operator="containsText" text="Finalizado">
      <formula>NOT(ISERROR(SEARCH("Finalizado",P1239)))</formula>
    </cfRule>
    <cfRule type="containsText" dxfId="1498" priority="157" operator="containsText" text="Finalizado">
      <formula>NOT(ISERROR(SEARCH("Finalizado",P1239)))</formula>
    </cfRule>
    <cfRule type="containsText" dxfId="1497" priority="155" operator="containsText" text="N/A">
      <formula>NOT(ISERROR(SEARCH("N/A",P1239)))</formula>
    </cfRule>
    <cfRule type="containsText" dxfId="1496" priority="154" operator="containsText" text="Lançado">
      <formula>NOT(ISERROR(SEARCH("Lançado",P1239)))</formula>
    </cfRule>
    <cfRule type="expression" dxfId="1495" priority="152">
      <formula>$H1239="CÉLULA CONSTRUTIVA"</formula>
    </cfRule>
    <cfRule type="expression" dxfId="1494" priority="151">
      <formula>$H1239="SUBETAPA"</formula>
    </cfRule>
    <cfRule type="containsText" dxfId="1493" priority="150" operator="containsText" text="em andamento">
      <formula>NOT(ISERROR(SEARCH("em andamento",P1239)))</formula>
    </cfRule>
    <cfRule type="containsText" dxfId="1492" priority="149" operator="containsText" text="Finalizado">
      <formula>NOT(ISERROR(SEARCH("Finalizado",P1239)))</formula>
    </cfRule>
    <cfRule type="containsText" dxfId="1491" priority="148" operator="containsText" text="Pendente">
      <formula>NOT(ISERROR(SEARCH("Pendente",P1239)))</formula>
    </cfRule>
    <cfRule type="containsText" dxfId="1490" priority="147" operator="containsText" text="N/A">
      <formula>NOT(ISERROR(SEARCH("N/A",P1239)))</formula>
    </cfRule>
    <cfRule type="containsText" dxfId="1489" priority="146" operator="containsText" text="Lançado">
      <formula>NOT(ISERROR(SEARCH("Lançado",P1239)))</formula>
    </cfRule>
    <cfRule type="containsText" dxfId="1488" priority="145" operator="containsText" text="em andamento">
      <formula>NOT(ISERROR(SEARCH("em andamento",P1239)))</formula>
    </cfRule>
    <cfRule type="expression" dxfId="1487" priority="138">
      <formula>$H1239="SUBETAPA"</formula>
    </cfRule>
    <cfRule type="expression" dxfId="1486" priority="153">
      <formula>$H1239="ETAPA"</formula>
    </cfRule>
  </conditionalFormatting>
  <conditionalFormatting sqref="P1240">
    <cfRule type="containsText" dxfId="1485" priority="5620" operator="containsText" text="em andamento">
      <formula>NOT(ISERROR(SEARCH("em andamento",P1240)))</formula>
    </cfRule>
    <cfRule type="containsText" dxfId="1484" priority="5622" operator="containsText" text="N/A">
      <formula>NOT(ISERROR(SEARCH("N/A",P1240)))</formula>
    </cfRule>
    <cfRule type="containsText" dxfId="1483" priority="5623" operator="containsText" text="Pendente">
      <formula>NOT(ISERROR(SEARCH("Pendente",P1240)))</formula>
    </cfRule>
    <cfRule type="containsText" dxfId="1482" priority="5624" operator="containsText" text="Finalizado">
      <formula>NOT(ISERROR(SEARCH("Finalizado",P1240)))</formula>
    </cfRule>
    <cfRule type="containsText" dxfId="1481" priority="5625" operator="containsText" text="em andamento">
      <formula>NOT(ISERROR(SEARCH("em andamento",P1240)))</formula>
    </cfRule>
    <cfRule type="containsText" dxfId="1480" priority="5616" operator="containsText" text="Lançado">
      <formula>NOT(ISERROR(SEARCH("Lançado",P1240)))</formula>
    </cfRule>
    <cfRule type="containsText" dxfId="1479" priority="5617" operator="containsText" text="N/A">
      <formula>NOT(ISERROR(SEARCH("N/A",P1240)))</formula>
    </cfRule>
    <cfRule type="containsText" dxfId="1478" priority="5618" operator="containsText" text="Pendente">
      <formula>NOT(ISERROR(SEARCH("Pendente",P1240)))</formula>
    </cfRule>
    <cfRule type="containsText" dxfId="1477" priority="5619" operator="containsText" text="Finalizado">
      <formula>NOT(ISERROR(SEARCH("Finalizado",P1240)))</formula>
    </cfRule>
    <cfRule type="containsText" dxfId="1476" priority="5621" operator="containsText" text="Lançado">
      <formula>NOT(ISERROR(SEARCH("Lançado",P1240)))</formula>
    </cfRule>
  </conditionalFormatting>
  <conditionalFormatting sqref="P1241">
    <cfRule type="containsText" dxfId="1475" priority="4170" operator="containsText" text="N/A">
      <formula>NOT(ISERROR(SEARCH("N/A",P1241)))</formula>
    </cfRule>
    <cfRule type="containsText" dxfId="1474" priority="4169" operator="containsText" text="Lançado">
      <formula>NOT(ISERROR(SEARCH("Lançado",P1241)))</formula>
    </cfRule>
    <cfRule type="expression" dxfId="1473" priority="4168">
      <formula>$H1241="ETAPA"</formula>
    </cfRule>
    <cfRule type="expression" dxfId="1472" priority="4167">
      <formula>$H1241="CÉLULA CONSTRUTIVA"</formula>
    </cfRule>
    <cfRule type="expression" dxfId="1471" priority="4166">
      <formula>$H1241="SUBETAPA"</formula>
    </cfRule>
    <cfRule type="containsText" dxfId="1470" priority="4186" operator="containsText" text="em andamento">
      <formula>NOT(ISERROR(SEARCH("em andamento",P1241)))</formula>
    </cfRule>
    <cfRule type="expression" dxfId="1469" priority="4181">
      <formula>$H1241="ETAPA"</formula>
    </cfRule>
    <cfRule type="expression" dxfId="1468" priority="4180">
      <formula>$H1241="CÉLULA CONSTRUTIVA"</formula>
    </cfRule>
    <cfRule type="expression" dxfId="1467" priority="4179">
      <formula>$H1241="SUBETAPA"</formula>
    </cfRule>
    <cfRule type="containsText" dxfId="1466" priority="4178" operator="containsText" text="em andamento">
      <formula>NOT(ISERROR(SEARCH("em andamento",P1241)))</formula>
    </cfRule>
    <cfRule type="containsText" dxfId="1465" priority="4177" operator="containsText" text="Finalizado">
      <formula>NOT(ISERROR(SEARCH("Finalizado",P1241)))</formula>
    </cfRule>
    <cfRule type="containsText" dxfId="1464" priority="4175" operator="containsText" text="N/A">
      <formula>NOT(ISERROR(SEARCH("N/A",P1241)))</formula>
    </cfRule>
    <cfRule type="containsText" dxfId="1463" priority="4185" operator="containsText" text="Finalizado">
      <formula>NOT(ISERROR(SEARCH("Finalizado",P1241)))</formula>
    </cfRule>
    <cfRule type="containsText" dxfId="1462" priority="4176" operator="containsText" text="Pendente">
      <formula>NOT(ISERROR(SEARCH("Pendente",P1241)))</formula>
    </cfRule>
    <cfRule type="containsText" dxfId="1461" priority="4174" operator="containsText" text="Lançado">
      <formula>NOT(ISERROR(SEARCH("Lançado",P1241)))</formula>
    </cfRule>
    <cfRule type="containsText" dxfId="1460" priority="4184" operator="containsText" text="Pendente">
      <formula>NOT(ISERROR(SEARCH("Pendente",P1241)))</formula>
    </cfRule>
    <cfRule type="containsText" dxfId="1459" priority="4183" operator="containsText" text="N/A">
      <formula>NOT(ISERROR(SEARCH("N/A",P1241)))</formula>
    </cfRule>
    <cfRule type="containsText" dxfId="1458" priority="4182" operator="containsText" text="Lançado">
      <formula>NOT(ISERROR(SEARCH("Lançado",P1241)))</formula>
    </cfRule>
    <cfRule type="containsText" dxfId="1457" priority="4173" operator="containsText" text="em andamento">
      <formula>NOT(ISERROR(SEARCH("em andamento",P1241)))</formula>
    </cfRule>
    <cfRule type="containsText" dxfId="1456" priority="4172" operator="containsText" text="Finalizado">
      <formula>NOT(ISERROR(SEARCH("Finalizado",P1241)))</formula>
    </cfRule>
    <cfRule type="containsText" dxfId="1455" priority="4171" operator="containsText" text="Pendente">
      <formula>NOT(ISERROR(SEARCH("Pendente",P1241)))</formula>
    </cfRule>
  </conditionalFormatting>
  <conditionalFormatting sqref="P1242 P1236:P1237">
    <cfRule type="containsText" dxfId="1454" priority="8598" operator="containsText" text="Pendente">
      <formula>NOT(ISERROR(SEARCH("Pendente",P1236)))</formula>
    </cfRule>
  </conditionalFormatting>
  <conditionalFormatting sqref="P1242">
    <cfRule type="containsText" dxfId="1453" priority="8588" operator="containsText" text="em andamento">
      <formula>NOT(ISERROR(SEARCH("em andamento",P1242)))</formula>
    </cfRule>
    <cfRule type="containsText" dxfId="1452" priority="8587" operator="containsText" text="Finalizado">
      <formula>NOT(ISERROR(SEARCH("Finalizado",P1242)))</formula>
    </cfRule>
    <cfRule type="containsText" dxfId="1451" priority="8586" operator="containsText" text="Pendente">
      <formula>NOT(ISERROR(SEARCH("Pendente",P1242)))</formula>
    </cfRule>
    <cfRule type="containsText" dxfId="1450" priority="8585" operator="containsText" text="N/A">
      <formula>NOT(ISERROR(SEARCH("N/A",P1242)))</formula>
    </cfRule>
    <cfRule type="containsText" dxfId="1449" priority="8584" operator="containsText" text="Lançado">
      <formula>NOT(ISERROR(SEARCH("Lançado",P1242)))</formula>
    </cfRule>
  </conditionalFormatting>
  <conditionalFormatting sqref="P1243">
    <cfRule type="expression" dxfId="1448" priority="4146">
      <formula>$H1243="CÉLULA CONSTRUTIVA"</formula>
    </cfRule>
    <cfRule type="containsText" dxfId="1447" priority="4161" operator="containsText" text="Lançado">
      <formula>NOT(ISERROR(SEARCH("Lançado",P1243)))</formula>
    </cfRule>
    <cfRule type="expression" dxfId="1446" priority="4160">
      <formula>$H1243="ETAPA"</formula>
    </cfRule>
    <cfRule type="expression" dxfId="1445" priority="4159">
      <formula>$H1243="CÉLULA CONSTRUTIVA"</formula>
    </cfRule>
    <cfRule type="expression" dxfId="1444" priority="4147">
      <formula>$H1243="ETAPA"</formula>
    </cfRule>
    <cfRule type="containsText" dxfId="1443" priority="4148" operator="containsText" text="Lançado">
      <formula>NOT(ISERROR(SEARCH("Lançado",P1243)))</formula>
    </cfRule>
    <cfRule type="containsText" dxfId="1442" priority="4149" operator="containsText" text="N/A">
      <formula>NOT(ISERROR(SEARCH("N/A",P1243)))</formula>
    </cfRule>
    <cfRule type="expression" dxfId="1441" priority="4145">
      <formula>$H1243="SUBETAPA"</formula>
    </cfRule>
    <cfRule type="containsText" dxfId="1440" priority="4150" operator="containsText" text="Pendente">
      <formula>NOT(ISERROR(SEARCH("Pendente",P1243)))</formula>
    </cfRule>
    <cfRule type="expression" dxfId="1439" priority="4158">
      <formula>$H1243="SUBETAPA"</formula>
    </cfRule>
    <cfRule type="containsText" dxfId="1438" priority="4151" operator="containsText" text="Finalizado">
      <formula>NOT(ISERROR(SEARCH("Finalizado",P1243)))</formula>
    </cfRule>
    <cfRule type="containsText" dxfId="1437" priority="4152" operator="containsText" text="em andamento">
      <formula>NOT(ISERROR(SEARCH("em andamento",P1243)))</formula>
    </cfRule>
    <cfRule type="containsText" dxfId="1436" priority="4153" operator="containsText" text="Lançado">
      <formula>NOT(ISERROR(SEARCH("Lançado",P1243)))</formula>
    </cfRule>
    <cfRule type="containsText" dxfId="1435" priority="4154" operator="containsText" text="N/A">
      <formula>NOT(ISERROR(SEARCH("N/A",P1243)))</formula>
    </cfRule>
    <cfRule type="containsText" dxfId="1434" priority="4155" operator="containsText" text="Pendente">
      <formula>NOT(ISERROR(SEARCH("Pendente",P1243)))</formula>
    </cfRule>
    <cfRule type="containsText" dxfId="1433" priority="4156" operator="containsText" text="Finalizado">
      <formula>NOT(ISERROR(SEARCH("Finalizado",P1243)))</formula>
    </cfRule>
    <cfRule type="containsText" dxfId="1432" priority="4157" operator="containsText" text="em andamento">
      <formula>NOT(ISERROR(SEARCH("em andamento",P1243)))</formula>
    </cfRule>
    <cfRule type="containsText" dxfId="1431" priority="4165" operator="containsText" text="em andamento">
      <formula>NOT(ISERROR(SEARCH("em andamento",P1243)))</formula>
    </cfRule>
    <cfRule type="containsText" dxfId="1430" priority="4164" operator="containsText" text="Finalizado">
      <formula>NOT(ISERROR(SEARCH("Finalizado",P1243)))</formula>
    </cfRule>
    <cfRule type="containsText" dxfId="1429" priority="4163" operator="containsText" text="Pendente">
      <formula>NOT(ISERROR(SEARCH("Pendente",P1243)))</formula>
    </cfRule>
    <cfRule type="containsText" dxfId="1428" priority="4162" operator="containsText" text="N/A">
      <formula>NOT(ISERROR(SEARCH("N/A",P1243)))</formula>
    </cfRule>
  </conditionalFormatting>
  <conditionalFormatting sqref="P1245:P1248">
    <cfRule type="containsText" dxfId="1427" priority="4133" operator="containsText" text="N/A">
      <formula>NOT(ISERROR(SEARCH("N/A",P1245)))</formula>
    </cfRule>
    <cfRule type="expression" dxfId="1426" priority="4138">
      <formula>$H1245="CÉLULA CONSTRUTIVA"</formula>
    </cfRule>
    <cfRule type="containsText" dxfId="1425" priority="4140" operator="containsText" text="Lançado">
      <formula>NOT(ISERROR(SEARCH("Lançado",P1245)))</formula>
    </cfRule>
    <cfRule type="containsText" dxfId="1424" priority="4141" operator="containsText" text="N/A">
      <formula>NOT(ISERROR(SEARCH("N/A",P1245)))</formula>
    </cfRule>
    <cfRule type="containsText" dxfId="1423" priority="4142" operator="containsText" text="Pendente">
      <formula>NOT(ISERROR(SEARCH("Pendente",P1245)))</formula>
    </cfRule>
    <cfRule type="containsText" dxfId="1422" priority="4143" operator="containsText" text="Finalizado">
      <formula>NOT(ISERROR(SEARCH("Finalizado",P1245)))</formula>
    </cfRule>
    <cfRule type="containsText" dxfId="1421" priority="4144" operator="containsText" text="em andamento">
      <formula>NOT(ISERROR(SEARCH("em andamento",P1245)))</formula>
    </cfRule>
    <cfRule type="containsText" dxfId="1420" priority="4131" operator="containsText" text="em andamento">
      <formula>NOT(ISERROR(SEARCH("em andamento",P1245)))</formula>
    </cfRule>
    <cfRule type="containsText" dxfId="1419" priority="4130" operator="containsText" text="Finalizado">
      <formula>NOT(ISERROR(SEARCH("Finalizado",P1245)))</formula>
    </cfRule>
    <cfRule type="containsText" dxfId="1418" priority="4129" operator="containsText" text="Pendente">
      <formula>NOT(ISERROR(SEARCH("Pendente",P1245)))</formula>
    </cfRule>
    <cfRule type="containsText" dxfId="1417" priority="4128" operator="containsText" text="N/A">
      <formula>NOT(ISERROR(SEARCH("N/A",P1245)))</formula>
    </cfRule>
    <cfRule type="containsText" dxfId="1416" priority="4127" operator="containsText" text="Lançado">
      <formula>NOT(ISERROR(SEARCH("Lançado",P1245)))</formula>
    </cfRule>
    <cfRule type="expression" dxfId="1415" priority="4126">
      <formula>$H1245="ETAPA"</formula>
    </cfRule>
    <cfRule type="expression" dxfId="1414" priority="4125">
      <formula>$H1245="CÉLULA CONSTRUTIVA"</formula>
    </cfRule>
    <cfRule type="expression" dxfId="1413" priority="4139">
      <formula>$H1245="ETAPA"</formula>
    </cfRule>
    <cfRule type="expression" dxfId="1412" priority="4124">
      <formula>$H1245="SUBETAPA"</formula>
    </cfRule>
    <cfRule type="containsText" dxfId="1411" priority="4132" operator="containsText" text="Lançado">
      <formula>NOT(ISERROR(SEARCH("Lançado",P1245)))</formula>
    </cfRule>
    <cfRule type="expression" dxfId="1410" priority="4137">
      <formula>$H1245="SUBETAPA"</formula>
    </cfRule>
    <cfRule type="containsText" dxfId="1409" priority="4136" operator="containsText" text="em andamento">
      <formula>NOT(ISERROR(SEARCH("em andamento",P1245)))</formula>
    </cfRule>
    <cfRule type="containsText" dxfId="1408" priority="4135" operator="containsText" text="Finalizado">
      <formula>NOT(ISERROR(SEARCH("Finalizado",P1245)))</formula>
    </cfRule>
    <cfRule type="containsText" dxfId="1407" priority="4134" operator="containsText" text="Pendente">
      <formula>NOT(ISERROR(SEARCH("Pendente",P1245)))</formula>
    </cfRule>
  </conditionalFormatting>
  <conditionalFormatting sqref="P1249 P1251 P1253">
    <cfRule type="containsText" dxfId="1406" priority="9035" operator="containsText" text="Lançado">
      <formula>NOT(ISERROR(SEARCH("Lançado",P1249)))</formula>
    </cfRule>
    <cfRule type="containsText" dxfId="1405" priority="9036" operator="containsText" text="N/A">
      <formula>NOT(ISERROR(SEARCH("N/A",P1249)))</formula>
    </cfRule>
    <cfRule type="containsText" dxfId="1404" priority="9038" operator="containsText" text="Finalizado">
      <formula>NOT(ISERROR(SEARCH("Finalizado",P1249)))</formula>
    </cfRule>
    <cfRule type="containsText" dxfId="1403" priority="9039" operator="containsText" text="em andamento">
      <formula>NOT(ISERROR(SEARCH("em andamento",P1249)))</formula>
    </cfRule>
  </conditionalFormatting>
  <conditionalFormatting sqref="P1249 P1251">
    <cfRule type="containsText" dxfId="1402" priority="9044" operator="containsText" text="em andamento">
      <formula>NOT(ISERROR(SEARCH("em andamento",P1249)))</formula>
    </cfRule>
    <cfRule type="containsText" dxfId="1401" priority="9043" operator="containsText" text="Finalizado">
      <formula>NOT(ISERROR(SEARCH("Finalizado",P1249)))</formula>
    </cfRule>
    <cfRule type="containsText" dxfId="1400" priority="9042" operator="containsText" text="Pendente">
      <formula>NOT(ISERROR(SEARCH("Pendente",P1249)))</formula>
    </cfRule>
    <cfRule type="containsText" dxfId="1399" priority="9040" operator="containsText" text="Lançado">
      <formula>NOT(ISERROR(SEARCH("Lançado",P1249)))</formula>
    </cfRule>
    <cfRule type="containsText" dxfId="1398" priority="9041" operator="containsText" text="N/A">
      <formula>NOT(ISERROR(SEARCH("N/A",P1249)))</formula>
    </cfRule>
  </conditionalFormatting>
  <conditionalFormatting sqref="P1250">
    <cfRule type="containsText" dxfId="1397" priority="4113" operator="containsText" text="Pendente">
      <formula>NOT(ISERROR(SEARCH("Pendente",P1250)))</formula>
    </cfRule>
    <cfRule type="containsText" dxfId="1396" priority="4123" operator="containsText" text="em andamento">
      <formula>NOT(ISERROR(SEARCH("em andamento",P1250)))</formula>
    </cfRule>
    <cfRule type="containsText" dxfId="1395" priority="4121" operator="containsText" text="Pendente">
      <formula>NOT(ISERROR(SEARCH("Pendente",P1250)))</formula>
    </cfRule>
    <cfRule type="containsText" dxfId="1394" priority="4120" operator="containsText" text="N/A">
      <formula>NOT(ISERROR(SEARCH("N/A",P1250)))</formula>
    </cfRule>
    <cfRule type="containsText" dxfId="1393" priority="4119" operator="containsText" text="Lançado">
      <formula>NOT(ISERROR(SEARCH("Lançado",P1250)))</formula>
    </cfRule>
    <cfRule type="expression" dxfId="1392" priority="4116">
      <formula>$H1250="SUBETAPA"</formula>
    </cfRule>
    <cfRule type="containsText" dxfId="1391" priority="4115" operator="containsText" text="em andamento">
      <formula>NOT(ISERROR(SEARCH("em andamento",P1250)))</formula>
    </cfRule>
    <cfRule type="containsText" dxfId="1390" priority="4114" operator="containsText" text="Finalizado">
      <formula>NOT(ISERROR(SEARCH("Finalizado",P1250)))</formula>
    </cfRule>
    <cfRule type="containsText" dxfId="1389" priority="4112" operator="containsText" text="N/A">
      <formula>NOT(ISERROR(SEARCH("N/A",P1250)))</formula>
    </cfRule>
    <cfRule type="containsText" dxfId="1388" priority="4109" operator="containsText" text="Finalizado">
      <formula>NOT(ISERROR(SEARCH("Finalizado",P1250)))</formula>
    </cfRule>
    <cfRule type="containsText" dxfId="1387" priority="4108" operator="containsText" text="Pendente">
      <formula>NOT(ISERROR(SEARCH("Pendente",P1250)))</formula>
    </cfRule>
    <cfRule type="containsText" dxfId="1386" priority="4106" operator="containsText" text="Lançado">
      <formula>NOT(ISERROR(SEARCH("Lançado",P1250)))</formula>
    </cfRule>
    <cfRule type="expression" dxfId="1385" priority="4105">
      <formula>$H1250="ETAPA"</formula>
    </cfRule>
    <cfRule type="expression" dxfId="1384" priority="4104">
      <formula>$H1250="CÉLULA CONSTRUTIVA"</formula>
    </cfRule>
    <cfRule type="containsText" dxfId="1383" priority="4122" operator="containsText" text="Finalizado">
      <formula>NOT(ISERROR(SEARCH("Finalizado",P1250)))</formula>
    </cfRule>
    <cfRule type="containsText" dxfId="1382" priority="4110" operator="containsText" text="em andamento">
      <formula>NOT(ISERROR(SEARCH("em andamento",P1250)))</formula>
    </cfRule>
    <cfRule type="expression" dxfId="1381" priority="4118">
      <formula>$H1250="ETAPA"</formula>
    </cfRule>
    <cfRule type="expression" dxfId="1380" priority="4117">
      <formula>$H1250="CÉLULA CONSTRUTIVA"</formula>
    </cfRule>
    <cfRule type="containsText" dxfId="1379" priority="4111" operator="containsText" text="Lançado">
      <formula>NOT(ISERROR(SEARCH("Lançado",P1250)))</formula>
    </cfRule>
    <cfRule type="expression" dxfId="1378" priority="4103">
      <formula>$H1250="SUBETAPA"</formula>
    </cfRule>
    <cfRule type="containsText" dxfId="1377" priority="4107" operator="containsText" text="N/A">
      <formula>NOT(ISERROR(SEARCH("N/A",P1250)))</formula>
    </cfRule>
  </conditionalFormatting>
  <conditionalFormatting sqref="P1252">
    <cfRule type="expression" dxfId="1376" priority="4097">
      <formula>$H1252="ETAPA"</formula>
    </cfRule>
    <cfRule type="containsText" dxfId="1375" priority="4098" operator="containsText" text="Lançado">
      <formula>NOT(ISERROR(SEARCH("Lançado",P1252)))</formula>
    </cfRule>
    <cfRule type="containsText" dxfId="1374" priority="4099" operator="containsText" text="N/A">
      <formula>NOT(ISERROR(SEARCH("N/A",P1252)))</formula>
    </cfRule>
    <cfRule type="containsText" dxfId="1373" priority="4100" operator="containsText" text="Pendente">
      <formula>NOT(ISERROR(SEARCH("Pendente",P1252)))</formula>
    </cfRule>
    <cfRule type="containsText" dxfId="1372" priority="4101" operator="containsText" text="Finalizado">
      <formula>NOT(ISERROR(SEARCH("Finalizado",P1252)))</formula>
    </cfRule>
    <cfRule type="containsText" dxfId="1371" priority="4102" operator="containsText" text="em andamento">
      <formula>NOT(ISERROR(SEARCH("em andamento",P1252)))</formula>
    </cfRule>
    <cfRule type="containsText" dxfId="1370" priority="4093" operator="containsText" text="Finalizado">
      <formula>NOT(ISERROR(SEARCH("Finalizado",P1252)))</formula>
    </cfRule>
    <cfRule type="expression" dxfId="1369" priority="4082">
      <formula>$H1252="SUBETAPA"</formula>
    </cfRule>
    <cfRule type="expression" dxfId="1368" priority="4083">
      <formula>$H1252="CÉLULA CONSTRUTIVA"</formula>
    </cfRule>
    <cfRule type="expression" dxfId="1367" priority="4084">
      <formula>$H1252="ETAPA"</formula>
    </cfRule>
    <cfRule type="containsText" dxfId="1366" priority="4085" operator="containsText" text="Lançado">
      <formula>NOT(ISERROR(SEARCH("Lançado",P1252)))</formula>
    </cfRule>
    <cfRule type="containsText" dxfId="1365" priority="4086" operator="containsText" text="N/A">
      <formula>NOT(ISERROR(SEARCH("N/A",P1252)))</formula>
    </cfRule>
    <cfRule type="containsText" dxfId="1364" priority="4087" operator="containsText" text="Pendente">
      <formula>NOT(ISERROR(SEARCH("Pendente",P1252)))</formula>
    </cfRule>
    <cfRule type="containsText" dxfId="1363" priority="4088" operator="containsText" text="Finalizado">
      <formula>NOT(ISERROR(SEARCH("Finalizado",P1252)))</formula>
    </cfRule>
    <cfRule type="containsText" dxfId="1362" priority="4089" operator="containsText" text="em andamento">
      <formula>NOT(ISERROR(SEARCH("em andamento",P1252)))</formula>
    </cfRule>
    <cfRule type="containsText" dxfId="1361" priority="4090" operator="containsText" text="Lançado">
      <formula>NOT(ISERROR(SEARCH("Lançado",P1252)))</formula>
    </cfRule>
    <cfRule type="containsText" dxfId="1360" priority="4091" operator="containsText" text="N/A">
      <formula>NOT(ISERROR(SEARCH("N/A",P1252)))</formula>
    </cfRule>
    <cfRule type="containsText" dxfId="1359" priority="4092" operator="containsText" text="Pendente">
      <formula>NOT(ISERROR(SEARCH("Pendente",P1252)))</formula>
    </cfRule>
    <cfRule type="containsText" dxfId="1358" priority="4094" operator="containsText" text="em andamento">
      <formula>NOT(ISERROR(SEARCH("em andamento",P1252)))</formula>
    </cfRule>
    <cfRule type="expression" dxfId="1357" priority="4095">
      <formula>$H1252="SUBETAPA"</formula>
    </cfRule>
    <cfRule type="expression" dxfId="1356" priority="4096">
      <formula>$H1252="CÉLULA CONSTRUTIVA"</formula>
    </cfRule>
  </conditionalFormatting>
  <conditionalFormatting sqref="P1253 P1249 P1251">
    <cfRule type="containsText" dxfId="1355" priority="9037" operator="containsText" text="Pendente">
      <formula>NOT(ISERROR(SEARCH("Pendente",P1249)))</formula>
    </cfRule>
  </conditionalFormatting>
  <conditionalFormatting sqref="P1253">
    <cfRule type="containsText" dxfId="1354" priority="9023" operator="containsText" text="Pendente">
      <formula>NOT(ISERROR(SEARCH("Pendente",P1253)))</formula>
    </cfRule>
    <cfRule type="containsText" dxfId="1353" priority="9024" operator="containsText" text="Finalizado">
      <formula>NOT(ISERROR(SEARCH("Finalizado",P1253)))</formula>
    </cfRule>
    <cfRule type="containsText" dxfId="1352" priority="9020" operator="containsText" text="Lançado">
      <formula>NOT(ISERROR(SEARCH("Lançado",P1253)))</formula>
    </cfRule>
    <cfRule type="containsText" dxfId="1351" priority="8987" operator="containsText" text="N/A">
      <formula>NOT(ISERROR(SEARCH("N/A",P1253)))</formula>
    </cfRule>
    <cfRule type="containsText" dxfId="1350" priority="9025" operator="containsText" text="em andamento">
      <formula>NOT(ISERROR(SEARCH("em andamento",P1253)))</formula>
    </cfRule>
  </conditionalFormatting>
  <conditionalFormatting sqref="P1254">
    <cfRule type="containsText" dxfId="1349" priority="4070" operator="containsText" text="N/A">
      <formula>NOT(ISERROR(SEARCH("N/A",P1254)))</formula>
    </cfRule>
    <cfRule type="containsText" dxfId="1348" priority="4069" operator="containsText" text="Lançado">
      <formula>NOT(ISERROR(SEARCH("Lançado",P1254)))</formula>
    </cfRule>
    <cfRule type="containsText" dxfId="1347" priority="4068" operator="containsText" text="em andamento">
      <formula>NOT(ISERROR(SEARCH("em andamento",P1254)))</formula>
    </cfRule>
    <cfRule type="containsText" dxfId="1346" priority="4067" operator="containsText" text="Finalizado">
      <formula>NOT(ISERROR(SEARCH("Finalizado",P1254)))</formula>
    </cfRule>
    <cfRule type="containsText" dxfId="1345" priority="4073" operator="containsText" text="em andamento">
      <formula>NOT(ISERROR(SEARCH("em andamento",P1254)))</formula>
    </cfRule>
    <cfRule type="containsText" dxfId="1344" priority="4066" operator="containsText" text="Pendente">
      <formula>NOT(ISERROR(SEARCH("Pendente",P1254)))</formula>
    </cfRule>
    <cfRule type="containsText" dxfId="1343" priority="4065" operator="containsText" text="N/A">
      <formula>NOT(ISERROR(SEARCH("N/A",P1254)))</formula>
    </cfRule>
    <cfRule type="containsText" dxfId="1342" priority="4064" operator="containsText" text="Lançado">
      <formula>NOT(ISERROR(SEARCH("Lançado",P1254)))</formula>
    </cfRule>
    <cfRule type="expression" dxfId="1341" priority="4063">
      <formula>$H1254="ETAPA"</formula>
    </cfRule>
    <cfRule type="expression" dxfId="1340" priority="4062">
      <formula>$H1254="CÉLULA CONSTRUTIVA"</formula>
    </cfRule>
    <cfRule type="expression" dxfId="1339" priority="4061">
      <formula>$H1254="SUBETAPA"</formula>
    </cfRule>
    <cfRule type="containsText" dxfId="1338" priority="4072" operator="containsText" text="Finalizado">
      <formula>NOT(ISERROR(SEARCH("Finalizado",P1254)))</formula>
    </cfRule>
    <cfRule type="containsText" dxfId="1337" priority="4071" operator="containsText" text="Pendente">
      <formula>NOT(ISERROR(SEARCH("Pendente",P1254)))</formula>
    </cfRule>
    <cfRule type="containsText" dxfId="1336" priority="4081" operator="containsText" text="em andamento">
      <formula>NOT(ISERROR(SEARCH("em andamento",P1254)))</formula>
    </cfRule>
    <cfRule type="expression" dxfId="1335" priority="4074">
      <formula>$H1254="SUBETAPA"</formula>
    </cfRule>
    <cfRule type="containsText" dxfId="1334" priority="4080" operator="containsText" text="Finalizado">
      <formula>NOT(ISERROR(SEARCH("Finalizado",P1254)))</formula>
    </cfRule>
    <cfRule type="containsText" dxfId="1333" priority="4079" operator="containsText" text="Pendente">
      <formula>NOT(ISERROR(SEARCH("Pendente",P1254)))</formula>
    </cfRule>
    <cfRule type="containsText" dxfId="1332" priority="4078" operator="containsText" text="N/A">
      <formula>NOT(ISERROR(SEARCH("N/A",P1254)))</formula>
    </cfRule>
    <cfRule type="containsText" dxfId="1331" priority="4077" operator="containsText" text="Lançado">
      <formula>NOT(ISERROR(SEARCH("Lançado",P1254)))</formula>
    </cfRule>
    <cfRule type="expression" dxfId="1330" priority="4076">
      <formula>$H1254="ETAPA"</formula>
    </cfRule>
    <cfRule type="expression" dxfId="1329" priority="4075">
      <formula>$H1254="CÉLULA CONSTRUTIVA"</formula>
    </cfRule>
  </conditionalFormatting>
  <conditionalFormatting sqref="P1255">
    <cfRule type="containsText" dxfId="1328" priority="5220" operator="containsText" text="em andamento">
      <formula>NOT(ISERROR(SEARCH("em andamento",P1255)))</formula>
    </cfRule>
    <cfRule type="containsText" dxfId="1327" priority="5210" operator="containsText" text="Pendente">
      <formula>NOT(ISERROR(SEARCH("Pendente",P1255)))</formula>
    </cfRule>
    <cfRule type="containsText" dxfId="1326" priority="5211" operator="containsText" text="Finalizado">
      <formula>NOT(ISERROR(SEARCH("Finalizado",P1255)))</formula>
    </cfRule>
    <cfRule type="containsText" dxfId="1325" priority="5216" operator="containsText" text="Lançado">
      <formula>NOT(ISERROR(SEARCH("Lançado",P1255)))</formula>
    </cfRule>
    <cfRule type="containsText" dxfId="1324" priority="5219" operator="containsText" text="Finalizado">
      <formula>NOT(ISERROR(SEARCH("Finalizado",P1255)))</formula>
    </cfRule>
    <cfRule type="containsText" dxfId="1323" priority="5183" operator="containsText" text="N/A">
      <formula>NOT(ISERROR(SEARCH("N/A",P1255)))</formula>
    </cfRule>
    <cfRule type="containsText" dxfId="1322" priority="5208" operator="containsText" text="Lançado">
      <formula>NOT(ISERROR(SEARCH("Lançado",P1255)))</formula>
    </cfRule>
    <cfRule type="containsText" dxfId="1321" priority="5218" operator="containsText" text="Pendente">
      <formula>NOT(ISERROR(SEARCH("Pendente",P1255)))</formula>
    </cfRule>
    <cfRule type="containsText" dxfId="1320" priority="5212" operator="containsText" text="em andamento">
      <formula>NOT(ISERROR(SEARCH("em andamento",P1255)))</formula>
    </cfRule>
    <cfRule type="containsText" dxfId="1319" priority="5217" operator="containsText" text="N/A">
      <formula>NOT(ISERROR(SEARCH("N/A",P1255)))</formula>
    </cfRule>
  </conditionalFormatting>
  <conditionalFormatting sqref="P1256">
    <cfRule type="expression" dxfId="1318" priority="4042">
      <formula>$H1256="ETAPA"</formula>
    </cfRule>
    <cfRule type="containsText" dxfId="1317" priority="4043" operator="containsText" text="Lançado">
      <formula>NOT(ISERROR(SEARCH("Lançado",P1256)))</formula>
    </cfRule>
    <cfRule type="containsText" dxfId="1316" priority="4044" operator="containsText" text="N/A">
      <formula>NOT(ISERROR(SEARCH("N/A",P1256)))</formula>
    </cfRule>
    <cfRule type="containsText" dxfId="1315" priority="4045" operator="containsText" text="Pendente">
      <formula>NOT(ISERROR(SEARCH("Pendente",P1256)))</formula>
    </cfRule>
    <cfRule type="containsText" dxfId="1314" priority="4046" operator="containsText" text="Finalizado">
      <formula>NOT(ISERROR(SEARCH("Finalizado",P1256)))</formula>
    </cfRule>
    <cfRule type="containsText" dxfId="1313" priority="4047" operator="containsText" text="em andamento">
      <formula>NOT(ISERROR(SEARCH("em andamento",P1256)))</formula>
    </cfRule>
    <cfRule type="containsText" dxfId="1312" priority="4048" operator="containsText" text="Lançado">
      <formula>NOT(ISERROR(SEARCH("Lançado",P1256)))</formula>
    </cfRule>
    <cfRule type="containsText" dxfId="1311" priority="4049" operator="containsText" text="N/A">
      <formula>NOT(ISERROR(SEARCH("N/A",P1256)))</formula>
    </cfRule>
    <cfRule type="containsText" dxfId="1310" priority="4050" operator="containsText" text="Pendente">
      <formula>NOT(ISERROR(SEARCH("Pendente",P1256)))</formula>
    </cfRule>
    <cfRule type="containsText" dxfId="1309" priority="4051" operator="containsText" text="Finalizado">
      <formula>NOT(ISERROR(SEARCH("Finalizado",P1256)))</formula>
    </cfRule>
    <cfRule type="containsText" dxfId="1308" priority="4052" operator="containsText" text="em andamento">
      <formula>NOT(ISERROR(SEARCH("em andamento",P1256)))</formula>
    </cfRule>
    <cfRule type="expression" dxfId="1307" priority="4053">
      <formula>$H1256="SUBETAPA"</formula>
    </cfRule>
    <cfRule type="expression" dxfId="1306" priority="4054">
      <formula>$H1256="CÉLULA CONSTRUTIVA"</formula>
    </cfRule>
    <cfRule type="expression" dxfId="1305" priority="4055">
      <formula>$H1256="ETAPA"</formula>
    </cfRule>
    <cfRule type="containsText" dxfId="1304" priority="4056" operator="containsText" text="Lançado">
      <formula>NOT(ISERROR(SEARCH("Lançado",P1256)))</formula>
    </cfRule>
    <cfRule type="containsText" dxfId="1303" priority="4057" operator="containsText" text="N/A">
      <formula>NOT(ISERROR(SEARCH("N/A",P1256)))</formula>
    </cfRule>
    <cfRule type="containsText" dxfId="1302" priority="4058" operator="containsText" text="Pendente">
      <formula>NOT(ISERROR(SEARCH("Pendente",P1256)))</formula>
    </cfRule>
    <cfRule type="containsText" dxfId="1301" priority="4059" operator="containsText" text="Finalizado">
      <formula>NOT(ISERROR(SEARCH("Finalizado",P1256)))</formula>
    </cfRule>
    <cfRule type="containsText" dxfId="1300" priority="4060" operator="containsText" text="em andamento">
      <formula>NOT(ISERROR(SEARCH("em andamento",P1256)))</formula>
    </cfRule>
    <cfRule type="expression" dxfId="1299" priority="4040">
      <formula>$H1256="SUBETAPA"</formula>
    </cfRule>
    <cfRule type="expression" dxfId="1298" priority="4041">
      <formula>$H1256="CÉLULA CONSTRUTIVA"</formula>
    </cfRule>
  </conditionalFormatting>
  <conditionalFormatting sqref="P1257">
    <cfRule type="containsText" dxfId="1297" priority="5167" operator="containsText" text="N/A">
      <formula>NOT(ISERROR(SEARCH("N/A",P1257)))</formula>
    </cfRule>
    <cfRule type="containsText" dxfId="1296" priority="5171" operator="containsText" text="Lançado">
      <formula>NOT(ISERROR(SEARCH("Lançado",P1257)))</formula>
    </cfRule>
    <cfRule type="containsText" dxfId="1295" priority="5172" operator="containsText" text="Pendente">
      <formula>NOT(ISERROR(SEARCH("Pendente",P1257)))</formula>
    </cfRule>
    <cfRule type="containsText" dxfId="1294" priority="5173" operator="containsText" text="Finalizado">
      <formula>NOT(ISERROR(SEARCH("Finalizado",P1257)))</formula>
    </cfRule>
    <cfRule type="containsText" dxfId="1293" priority="5174" operator="containsText" text="em andamento">
      <formula>NOT(ISERROR(SEARCH("em andamento",P1257)))</formula>
    </cfRule>
    <cfRule type="containsText" dxfId="1292" priority="5178" operator="containsText" text="Lançado">
      <formula>NOT(ISERROR(SEARCH("Lançado",P1257)))</formula>
    </cfRule>
    <cfRule type="containsText" dxfId="1291" priority="5179" operator="containsText" text="N/A">
      <formula>NOT(ISERROR(SEARCH("N/A",P1257)))</formula>
    </cfRule>
    <cfRule type="containsText" dxfId="1290" priority="5180" operator="containsText" text="Pendente">
      <formula>NOT(ISERROR(SEARCH("Pendente",P1257)))</formula>
    </cfRule>
    <cfRule type="containsText" dxfId="1289" priority="5181" operator="containsText" text="Finalizado">
      <formula>NOT(ISERROR(SEARCH("Finalizado",P1257)))</formula>
    </cfRule>
    <cfRule type="containsText" dxfId="1288" priority="5182" operator="containsText" text="em andamento">
      <formula>NOT(ISERROR(SEARCH("em andamento",P1257)))</formula>
    </cfRule>
  </conditionalFormatting>
  <conditionalFormatting sqref="P1258">
    <cfRule type="expression" dxfId="1287" priority="4019">
      <formula>$H1258="SUBETAPA"</formula>
    </cfRule>
    <cfRule type="expression" dxfId="1286" priority="4020">
      <formula>$H1258="CÉLULA CONSTRUTIVA"</formula>
    </cfRule>
    <cfRule type="expression" dxfId="1285" priority="4021">
      <formula>$H1258="ETAPA"</formula>
    </cfRule>
    <cfRule type="containsText" dxfId="1284" priority="4022" operator="containsText" text="Lançado">
      <formula>NOT(ISERROR(SEARCH("Lançado",P1258)))</formula>
    </cfRule>
    <cfRule type="containsText" dxfId="1283" priority="4030" operator="containsText" text="Finalizado">
      <formula>NOT(ISERROR(SEARCH("Finalizado",P1258)))</formula>
    </cfRule>
    <cfRule type="containsText" dxfId="1282" priority="4023" operator="containsText" text="N/A">
      <formula>NOT(ISERROR(SEARCH("N/A",P1258)))</formula>
    </cfRule>
    <cfRule type="containsText" dxfId="1281" priority="4024" operator="containsText" text="Pendente">
      <formula>NOT(ISERROR(SEARCH("Pendente",P1258)))</formula>
    </cfRule>
    <cfRule type="containsText" dxfId="1280" priority="4025" operator="containsText" text="Finalizado">
      <formula>NOT(ISERROR(SEARCH("Finalizado",P1258)))</formula>
    </cfRule>
    <cfRule type="containsText" dxfId="1279" priority="4026" operator="containsText" text="em andamento">
      <formula>NOT(ISERROR(SEARCH("em andamento",P1258)))</formula>
    </cfRule>
    <cfRule type="containsText" dxfId="1278" priority="4027" operator="containsText" text="Lançado">
      <formula>NOT(ISERROR(SEARCH("Lançado",P1258)))</formula>
    </cfRule>
    <cfRule type="containsText" dxfId="1277" priority="4039" operator="containsText" text="em andamento">
      <formula>NOT(ISERROR(SEARCH("em andamento",P1258)))</formula>
    </cfRule>
    <cfRule type="containsText" dxfId="1276" priority="4038" operator="containsText" text="Finalizado">
      <formula>NOT(ISERROR(SEARCH("Finalizado",P1258)))</formula>
    </cfRule>
    <cfRule type="containsText" dxfId="1275" priority="4037" operator="containsText" text="Pendente">
      <formula>NOT(ISERROR(SEARCH("Pendente",P1258)))</formula>
    </cfRule>
    <cfRule type="containsText" dxfId="1274" priority="4036" operator="containsText" text="N/A">
      <formula>NOT(ISERROR(SEARCH("N/A",P1258)))</formula>
    </cfRule>
    <cfRule type="containsText" dxfId="1273" priority="4035" operator="containsText" text="Lançado">
      <formula>NOT(ISERROR(SEARCH("Lançado",P1258)))</formula>
    </cfRule>
    <cfRule type="expression" dxfId="1272" priority="4034">
      <formula>$H1258="ETAPA"</formula>
    </cfRule>
    <cfRule type="expression" dxfId="1271" priority="4033">
      <formula>$H1258="CÉLULA CONSTRUTIVA"</formula>
    </cfRule>
    <cfRule type="expression" dxfId="1270" priority="4032">
      <formula>$H1258="SUBETAPA"</formula>
    </cfRule>
    <cfRule type="containsText" dxfId="1269" priority="4031" operator="containsText" text="em andamento">
      <formula>NOT(ISERROR(SEARCH("em andamento",P1258)))</formula>
    </cfRule>
    <cfRule type="containsText" dxfId="1268" priority="4028" operator="containsText" text="N/A">
      <formula>NOT(ISERROR(SEARCH("N/A",P1258)))</formula>
    </cfRule>
    <cfRule type="containsText" dxfId="1267" priority="4029" operator="containsText" text="Pendente">
      <formula>NOT(ISERROR(SEARCH("Pendente",P1258)))</formula>
    </cfRule>
  </conditionalFormatting>
  <conditionalFormatting sqref="P1259">
    <cfRule type="containsText" dxfId="1266" priority="8480" operator="containsText" text="em andamento">
      <formula>NOT(ISERROR(SEARCH("em andamento",P1259)))</formula>
    </cfRule>
  </conditionalFormatting>
  <conditionalFormatting sqref="P1259:P1260 P1265">
    <cfRule type="containsText" dxfId="1265" priority="8487" operator="containsText" text="em andamento">
      <formula>NOT(ISERROR(SEARCH("em andamento",P1259)))</formula>
    </cfRule>
    <cfRule type="containsText" dxfId="1264" priority="8486" operator="containsText" text="Finalizado">
      <formula>NOT(ISERROR(SEARCH("Finalizado",P1259)))</formula>
    </cfRule>
    <cfRule type="containsText" dxfId="1263" priority="8483" operator="containsText" text="Lançado">
      <formula>NOT(ISERROR(SEARCH("Lançado",P1259)))</formula>
    </cfRule>
    <cfRule type="containsText" dxfId="1262" priority="8484" operator="containsText" text="N/A">
      <formula>NOT(ISERROR(SEARCH("N/A",P1259)))</formula>
    </cfRule>
  </conditionalFormatting>
  <conditionalFormatting sqref="P1259:P1260">
    <cfRule type="containsText" dxfId="1261" priority="8478" operator="containsText" text="Pendente">
      <formula>NOT(ISERROR(SEARCH("Pendente",P1259)))</formula>
    </cfRule>
    <cfRule type="containsText" dxfId="1260" priority="8476" operator="containsText" text="Lançado">
      <formula>NOT(ISERROR(SEARCH("Lançado",P1259)))</formula>
    </cfRule>
    <cfRule type="containsText" dxfId="1259" priority="8477" operator="containsText" text="N/A">
      <formula>NOT(ISERROR(SEARCH("N/A",P1259)))</formula>
    </cfRule>
    <cfRule type="containsText" dxfId="1258" priority="8479" operator="containsText" text="Finalizado">
      <formula>NOT(ISERROR(SEARCH("Finalizado",P1259)))</formula>
    </cfRule>
  </conditionalFormatting>
  <conditionalFormatting sqref="P1260">
    <cfRule type="containsText" dxfId="1257" priority="8482" operator="containsText" text="em andamento">
      <formula>NOT(ISERROR(SEARCH("em andamento",P1260)))</formula>
    </cfRule>
  </conditionalFormatting>
  <conditionalFormatting sqref="P1261">
    <cfRule type="containsText" dxfId="1256" priority="4004" operator="containsText" text="Finalizado">
      <formula>NOT(ISERROR(SEARCH("Finalizado",P1261)))</formula>
    </cfRule>
    <cfRule type="containsText" dxfId="1255" priority="4003" operator="containsText" text="Pendente">
      <formula>NOT(ISERROR(SEARCH("Pendente",P1261)))</formula>
    </cfRule>
    <cfRule type="containsText" dxfId="1254" priority="4002" operator="containsText" text="N/A">
      <formula>NOT(ISERROR(SEARCH("N/A",P1261)))</formula>
    </cfRule>
    <cfRule type="containsText" dxfId="1253" priority="4001" operator="containsText" text="Lançado">
      <formula>NOT(ISERROR(SEARCH("Lançado",P1261)))</formula>
    </cfRule>
    <cfRule type="expression" dxfId="1252" priority="4000">
      <formula>$H1261="ETAPA"</formula>
    </cfRule>
    <cfRule type="expression" dxfId="1251" priority="3999">
      <formula>$H1261="CÉLULA CONSTRUTIVA"</formula>
    </cfRule>
    <cfRule type="expression" dxfId="1250" priority="3998">
      <formula>$H1261="SUBETAPA"</formula>
    </cfRule>
    <cfRule type="containsText" dxfId="1249" priority="4009" operator="containsText" text="Finalizado">
      <formula>NOT(ISERROR(SEARCH("Finalizado",P1261)))</formula>
    </cfRule>
    <cfRule type="expression" dxfId="1248" priority="4013">
      <formula>$H1261="ETAPA"</formula>
    </cfRule>
    <cfRule type="containsText" dxfId="1247" priority="4017" operator="containsText" text="Finalizado">
      <formula>NOT(ISERROR(SEARCH("Finalizado",P1261)))</formula>
    </cfRule>
    <cfRule type="containsText" dxfId="1246" priority="4016" operator="containsText" text="Pendente">
      <formula>NOT(ISERROR(SEARCH("Pendente",P1261)))</formula>
    </cfRule>
    <cfRule type="containsText" dxfId="1245" priority="4015" operator="containsText" text="N/A">
      <formula>NOT(ISERROR(SEARCH("N/A",P1261)))</formula>
    </cfRule>
    <cfRule type="containsText" dxfId="1244" priority="4014" operator="containsText" text="Lançado">
      <formula>NOT(ISERROR(SEARCH("Lançado",P1261)))</formula>
    </cfRule>
    <cfRule type="expression" dxfId="1243" priority="4012">
      <formula>$H1261="CÉLULA CONSTRUTIVA"</formula>
    </cfRule>
    <cfRule type="expression" dxfId="1242" priority="4011">
      <formula>$H1261="SUBETAPA"</formula>
    </cfRule>
    <cfRule type="containsText" dxfId="1241" priority="4010" operator="containsText" text="em andamento">
      <formula>NOT(ISERROR(SEARCH("em andamento",P1261)))</formula>
    </cfRule>
    <cfRule type="containsText" dxfId="1240" priority="4018" operator="containsText" text="em andamento">
      <formula>NOT(ISERROR(SEARCH("em andamento",P1261)))</formula>
    </cfRule>
    <cfRule type="containsText" dxfId="1239" priority="4008" operator="containsText" text="Pendente">
      <formula>NOT(ISERROR(SEARCH("Pendente",P1261)))</formula>
    </cfRule>
    <cfRule type="containsText" dxfId="1238" priority="4007" operator="containsText" text="N/A">
      <formula>NOT(ISERROR(SEARCH("N/A",P1261)))</formula>
    </cfRule>
    <cfRule type="containsText" dxfId="1237" priority="4006" operator="containsText" text="Lançado">
      <formula>NOT(ISERROR(SEARCH("Lançado",P1261)))</formula>
    </cfRule>
    <cfRule type="containsText" dxfId="1236" priority="4005" operator="containsText" text="em andamento">
      <formula>NOT(ISERROR(SEARCH("em andamento",P1261)))</formula>
    </cfRule>
  </conditionalFormatting>
  <conditionalFormatting sqref="P1262">
    <cfRule type="expression" dxfId="1235" priority="110">
      <formula>$H1262="SUBETAPA"</formula>
    </cfRule>
    <cfRule type="containsText" dxfId="1234" priority="114" operator="containsText" text="N/A">
      <formula>NOT(ISERROR(SEARCH("N/A",P1262)))</formula>
    </cfRule>
    <cfRule type="containsText" dxfId="1233" priority="113" operator="containsText" text="Lançado">
      <formula>NOT(ISERROR(SEARCH("Lançado",P1262)))</formula>
    </cfRule>
    <cfRule type="expression" dxfId="1232" priority="112">
      <formula>$H1262="ETAPA"</formula>
    </cfRule>
    <cfRule type="expression" dxfId="1231" priority="111">
      <formula>$H1262="CÉLULA CONSTRUTIVA"</formula>
    </cfRule>
    <cfRule type="containsText" dxfId="1230" priority="122" operator="containsText" text="em andamento">
      <formula>NOT(ISERROR(SEARCH("em andamento",P1262)))</formula>
    </cfRule>
    <cfRule type="expression" dxfId="1229" priority="124">
      <formula>$H1262="CÉLULA CONSTRUTIVA"</formula>
    </cfRule>
    <cfRule type="containsText" dxfId="1228" priority="130" operator="containsText" text="em andamento">
      <formula>NOT(ISERROR(SEARCH("em andamento",P1262)))</formula>
    </cfRule>
    <cfRule type="containsText" dxfId="1227" priority="129" operator="containsText" text="Finalizado">
      <formula>NOT(ISERROR(SEARCH("Finalizado",P1262)))</formula>
    </cfRule>
    <cfRule type="containsText" dxfId="1226" priority="118" operator="containsText" text="Lançado">
      <formula>NOT(ISERROR(SEARCH("Lançado",P1262)))</formula>
    </cfRule>
    <cfRule type="containsText" dxfId="1225" priority="128" operator="containsText" text="Pendente">
      <formula>NOT(ISERROR(SEARCH("Pendente",P1262)))</formula>
    </cfRule>
    <cfRule type="containsText" dxfId="1224" priority="127" operator="containsText" text="N/A">
      <formula>NOT(ISERROR(SEARCH("N/A",P1262)))</formula>
    </cfRule>
    <cfRule type="containsText" dxfId="1223" priority="126" operator="containsText" text="Lançado">
      <formula>NOT(ISERROR(SEARCH("Lançado",P1262)))</formula>
    </cfRule>
    <cfRule type="containsText" dxfId="1222" priority="121" operator="containsText" text="Finalizado">
      <formula>NOT(ISERROR(SEARCH("Finalizado",P1262)))</formula>
    </cfRule>
    <cfRule type="containsText" dxfId="1221" priority="120" operator="containsText" text="Pendente">
      <formula>NOT(ISERROR(SEARCH("Pendente",P1262)))</formula>
    </cfRule>
    <cfRule type="containsText" dxfId="1220" priority="119" operator="containsText" text="N/A">
      <formula>NOT(ISERROR(SEARCH("N/A",P1262)))</formula>
    </cfRule>
    <cfRule type="containsText" dxfId="1219" priority="117" operator="containsText" text="em andamento">
      <formula>NOT(ISERROR(SEARCH("em andamento",P1262)))</formula>
    </cfRule>
    <cfRule type="expression" dxfId="1218" priority="123">
      <formula>$H1262="SUBETAPA"</formula>
    </cfRule>
    <cfRule type="containsText" dxfId="1217" priority="115" operator="containsText" text="Pendente">
      <formula>NOT(ISERROR(SEARCH("Pendente",P1262)))</formula>
    </cfRule>
    <cfRule type="expression" dxfId="1216" priority="125">
      <formula>$H1262="ETAPA"</formula>
    </cfRule>
    <cfRule type="containsText" dxfId="1215" priority="116" operator="containsText" text="Finalizado">
      <formula>NOT(ISERROR(SEARCH("Finalizado",P1262)))</formula>
    </cfRule>
  </conditionalFormatting>
  <conditionalFormatting sqref="P1263">
    <cfRule type="containsText" dxfId="1214" priority="5582" operator="containsText" text="Finalizado">
      <formula>NOT(ISERROR(SEARCH("Finalizado",P1263)))</formula>
    </cfRule>
    <cfRule type="containsText" dxfId="1213" priority="5580" operator="containsText" text="N/A">
      <formula>NOT(ISERROR(SEARCH("N/A",P1263)))</formula>
    </cfRule>
    <cfRule type="containsText" dxfId="1212" priority="5579" operator="containsText" text="Lançado">
      <formula>NOT(ISERROR(SEARCH("Lançado",P1263)))</formula>
    </cfRule>
    <cfRule type="containsText" dxfId="1211" priority="5578" operator="containsText" text="em andamento">
      <formula>NOT(ISERROR(SEARCH("em andamento",P1263)))</formula>
    </cfRule>
    <cfRule type="containsText" dxfId="1210" priority="5577" operator="containsText" text="Finalizado">
      <formula>NOT(ISERROR(SEARCH("Finalizado",P1263)))</formula>
    </cfRule>
    <cfRule type="containsText" dxfId="1209" priority="5581" operator="containsText" text="Pendente">
      <formula>NOT(ISERROR(SEARCH("Pendente",P1263)))</formula>
    </cfRule>
    <cfRule type="containsText" dxfId="1208" priority="5575" operator="containsText" text="N/A">
      <formula>NOT(ISERROR(SEARCH("N/A",P1263)))</formula>
    </cfRule>
    <cfRule type="containsText" dxfId="1207" priority="5576" operator="containsText" text="Pendente">
      <formula>NOT(ISERROR(SEARCH("Pendente",P1263)))</formula>
    </cfRule>
    <cfRule type="containsText" dxfId="1206" priority="5583" operator="containsText" text="em andamento">
      <formula>NOT(ISERROR(SEARCH("em andamento",P1263)))</formula>
    </cfRule>
    <cfRule type="containsText" dxfId="1205" priority="5574" operator="containsText" text="Lançado">
      <formula>NOT(ISERROR(SEARCH("Lançado",P1263)))</formula>
    </cfRule>
  </conditionalFormatting>
  <conditionalFormatting sqref="P1264">
    <cfRule type="containsText" dxfId="1204" priority="3994" operator="containsText" text="N/A">
      <formula>NOT(ISERROR(SEARCH("N/A",P1264)))</formula>
    </cfRule>
    <cfRule type="containsText" dxfId="1203" priority="3993" operator="containsText" text="Lançado">
      <formula>NOT(ISERROR(SEARCH("Lançado",P1264)))</formula>
    </cfRule>
    <cfRule type="expression" dxfId="1202" priority="3992">
      <formula>$H1264="ETAPA"</formula>
    </cfRule>
    <cfRule type="containsText" dxfId="1201" priority="3996" operator="containsText" text="Finalizado">
      <formula>NOT(ISERROR(SEARCH("Finalizado",P1264)))</formula>
    </cfRule>
    <cfRule type="expression" dxfId="1200" priority="3991">
      <formula>$H1264="CÉLULA CONSTRUTIVA"</formula>
    </cfRule>
    <cfRule type="expression" dxfId="1199" priority="3990">
      <formula>$H1264="SUBETAPA"</formula>
    </cfRule>
    <cfRule type="containsText" dxfId="1198" priority="3989" operator="containsText" text="em andamento">
      <formula>NOT(ISERROR(SEARCH("em andamento",P1264)))</formula>
    </cfRule>
    <cfRule type="containsText" dxfId="1197" priority="3988" operator="containsText" text="Finalizado">
      <formula>NOT(ISERROR(SEARCH("Finalizado",P1264)))</formula>
    </cfRule>
    <cfRule type="containsText" dxfId="1196" priority="3997" operator="containsText" text="em andamento">
      <formula>NOT(ISERROR(SEARCH("em andamento",P1264)))</formula>
    </cfRule>
    <cfRule type="containsText" dxfId="1195" priority="3986" operator="containsText" text="N/A">
      <formula>NOT(ISERROR(SEARCH("N/A",P1264)))</formula>
    </cfRule>
    <cfRule type="containsText" dxfId="1194" priority="3985" operator="containsText" text="Lançado">
      <formula>NOT(ISERROR(SEARCH("Lançado",P1264)))</formula>
    </cfRule>
    <cfRule type="containsText" dxfId="1193" priority="3984" operator="containsText" text="em andamento">
      <formula>NOT(ISERROR(SEARCH("em andamento",P1264)))</formula>
    </cfRule>
    <cfRule type="containsText" dxfId="1192" priority="3995" operator="containsText" text="Pendente">
      <formula>NOT(ISERROR(SEARCH("Pendente",P1264)))</formula>
    </cfRule>
    <cfRule type="containsText" dxfId="1191" priority="3983" operator="containsText" text="Finalizado">
      <formula>NOT(ISERROR(SEARCH("Finalizado",P1264)))</formula>
    </cfRule>
    <cfRule type="containsText" dxfId="1190" priority="3987" operator="containsText" text="Pendente">
      <formula>NOT(ISERROR(SEARCH("Pendente",P1264)))</formula>
    </cfRule>
    <cfRule type="containsText" dxfId="1189" priority="3981" operator="containsText" text="N/A">
      <formula>NOT(ISERROR(SEARCH("N/A",P1264)))</formula>
    </cfRule>
    <cfRule type="containsText" dxfId="1188" priority="3980" operator="containsText" text="Lançado">
      <formula>NOT(ISERROR(SEARCH("Lançado",P1264)))</formula>
    </cfRule>
    <cfRule type="expression" dxfId="1187" priority="3979">
      <formula>$H1264="ETAPA"</formula>
    </cfRule>
    <cfRule type="expression" dxfId="1186" priority="3978">
      <formula>$H1264="CÉLULA CONSTRUTIVA"</formula>
    </cfRule>
    <cfRule type="expression" dxfId="1185" priority="3977">
      <formula>$H1264="SUBETAPA"</formula>
    </cfRule>
    <cfRule type="containsText" dxfId="1184" priority="3982" operator="containsText" text="Pendente">
      <formula>NOT(ISERROR(SEARCH("Pendente",P1264)))</formula>
    </cfRule>
  </conditionalFormatting>
  <conditionalFormatting sqref="P1265 P1259:P1260">
    <cfRule type="containsText" dxfId="1183" priority="8485" operator="containsText" text="Pendente">
      <formula>NOT(ISERROR(SEARCH("Pendente",P1259)))</formula>
    </cfRule>
  </conditionalFormatting>
  <conditionalFormatting sqref="P1265">
    <cfRule type="containsText" dxfId="1182" priority="8475" operator="containsText" text="em andamento">
      <formula>NOT(ISERROR(SEARCH("em andamento",P1265)))</formula>
    </cfRule>
    <cfRule type="containsText" dxfId="1181" priority="8473" operator="containsText" text="Pendente">
      <formula>NOT(ISERROR(SEARCH("Pendente",P1265)))</formula>
    </cfRule>
    <cfRule type="containsText" dxfId="1180" priority="8472" operator="containsText" text="N/A">
      <formula>NOT(ISERROR(SEARCH("N/A",P1265)))</formula>
    </cfRule>
    <cfRule type="containsText" dxfId="1179" priority="8471" operator="containsText" text="Lançado">
      <formula>NOT(ISERROR(SEARCH("Lançado",P1265)))</formula>
    </cfRule>
    <cfRule type="containsText" dxfId="1178" priority="8474" operator="containsText" text="Finalizado">
      <formula>NOT(ISERROR(SEARCH("Finalizado",P1265)))</formula>
    </cfRule>
  </conditionalFormatting>
  <conditionalFormatting sqref="P1266">
    <cfRule type="containsText" dxfId="1177" priority="3975" operator="containsText" text="Finalizado">
      <formula>NOT(ISERROR(SEARCH("Finalizado",P1266)))</formula>
    </cfRule>
    <cfRule type="expression" dxfId="1176" priority="3956">
      <formula>$H1266="SUBETAPA"</formula>
    </cfRule>
    <cfRule type="expression" dxfId="1175" priority="3957">
      <formula>$H1266="CÉLULA CONSTRUTIVA"</formula>
    </cfRule>
    <cfRule type="expression" dxfId="1174" priority="3958">
      <formula>$H1266="ETAPA"</formula>
    </cfRule>
    <cfRule type="containsText" dxfId="1173" priority="3959" operator="containsText" text="Lançado">
      <formula>NOT(ISERROR(SEARCH("Lançado",P1266)))</formula>
    </cfRule>
    <cfRule type="containsText" dxfId="1172" priority="3960" operator="containsText" text="N/A">
      <formula>NOT(ISERROR(SEARCH("N/A",P1266)))</formula>
    </cfRule>
    <cfRule type="containsText" dxfId="1171" priority="3961" operator="containsText" text="Pendente">
      <formula>NOT(ISERROR(SEARCH("Pendente",P1266)))</formula>
    </cfRule>
    <cfRule type="containsText" dxfId="1170" priority="3976" operator="containsText" text="em andamento">
      <formula>NOT(ISERROR(SEARCH("em andamento",P1266)))</formula>
    </cfRule>
    <cfRule type="containsText" dxfId="1169" priority="3974" operator="containsText" text="Pendente">
      <formula>NOT(ISERROR(SEARCH("Pendente",P1266)))</formula>
    </cfRule>
    <cfRule type="containsText" dxfId="1168" priority="3973" operator="containsText" text="N/A">
      <formula>NOT(ISERROR(SEARCH("N/A",P1266)))</formula>
    </cfRule>
    <cfRule type="containsText" dxfId="1167" priority="3972" operator="containsText" text="Lançado">
      <formula>NOT(ISERROR(SEARCH("Lançado",P1266)))</formula>
    </cfRule>
    <cfRule type="expression" dxfId="1166" priority="3971">
      <formula>$H1266="ETAPA"</formula>
    </cfRule>
    <cfRule type="expression" dxfId="1165" priority="3970">
      <formula>$H1266="CÉLULA CONSTRUTIVA"</formula>
    </cfRule>
    <cfRule type="expression" dxfId="1164" priority="3969">
      <formula>$H1266="SUBETAPA"</formula>
    </cfRule>
    <cfRule type="containsText" dxfId="1163" priority="3968" operator="containsText" text="em andamento">
      <formula>NOT(ISERROR(SEARCH("em andamento",P1266)))</formula>
    </cfRule>
    <cfRule type="containsText" dxfId="1162" priority="3967" operator="containsText" text="Finalizado">
      <formula>NOT(ISERROR(SEARCH("Finalizado",P1266)))</formula>
    </cfRule>
    <cfRule type="containsText" dxfId="1161" priority="3966" operator="containsText" text="Pendente">
      <formula>NOT(ISERROR(SEARCH("Pendente",P1266)))</formula>
    </cfRule>
    <cfRule type="containsText" dxfId="1160" priority="3965" operator="containsText" text="N/A">
      <formula>NOT(ISERROR(SEARCH("N/A",P1266)))</formula>
    </cfRule>
    <cfRule type="containsText" dxfId="1159" priority="3964" operator="containsText" text="Lançado">
      <formula>NOT(ISERROR(SEARCH("Lançado",P1266)))</formula>
    </cfRule>
    <cfRule type="containsText" dxfId="1158" priority="3963" operator="containsText" text="em andamento">
      <formula>NOT(ISERROR(SEARCH("em andamento",P1266)))</formula>
    </cfRule>
    <cfRule type="containsText" dxfId="1157" priority="3962" operator="containsText" text="Finalizado">
      <formula>NOT(ISERROR(SEARCH("Finalizado",P1266)))</formula>
    </cfRule>
  </conditionalFormatting>
  <conditionalFormatting sqref="P1268:P1271">
    <cfRule type="containsText" dxfId="1156" priority="3940" operator="containsText" text="Pendente">
      <formula>NOT(ISERROR(SEARCH("Pendente",P1268)))</formula>
    </cfRule>
    <cfRule type="containsText" dxfId="1155" priority="3939" operator="containsText" text="N/A">
      <formula>NOT(ISERROR(SEARCH("N/A",P1268)))</formula>
    </cfRule>
    <cfRule type="containsText" dxfId="1154" priority="3938" operator="containsText" text="Lançado">
      <formula>NOT(ISERROR(SEARCH("Lançado",P1268)))</formula>
    </cfRule>
    <cfRule type="expression" dxfId="1153" priority="3937">
      <formula>$H1268="ETAPA"</formula>
    </cfRule>
    <cfRule type="expression" dxfId="1152" priority="3936">
      <formula>$H1268="CÉLULA CONSTRUTIVA"</formula>
    </cfRule>
    <cfRule type="expression" dxfId="1151" priority="3935">
      <formula>$H1268="SUBETAPA"</formula>
    </cfRule>
    <cfRule type="containsText" dxfId="1150" priority="3955" operator="containsText" text="em andamento">
      <formula>NOT(ISERROR(SEARCH("em andamento",P1268)))</formula>
    </cfRule>
    <cfRule type="containsText" dxfId="1149" priority="3954" operator="containsText" text="Finalizado">
      <formula>NOT(ISERROR(SEARCH("Finalizado",P1268)))</formula>
    </cfRule>
    <cfRule type="containsText" dxfId="1148" priority="3953" operator="containsText" text="Pendente">
      <formula>NOT(ISERROR(SEARCH("Pendente",P1268)))</formula>
    </cfRule>
    <cfRule type="containsText" dxfId="1147" priority="3952" operator="containsText" text="N/A">
      <formula>NOT(ISERROR(SEARCH("N/A",P1268)))</formula>
    </cfRule>
    <cfRule type="containsText" dxfId="1146" priority="3951" operator="containsText" text="Lançado">
      <formula>NOT(ISERROR(SEARCH("Lançado",P1268)))</formula>
    </cfRule>
    <cfRule type="expression" dxfId="1145" priority="3950">
      <formula>$H1268="ETAPA"</formula>
    </cfRule>
    <cfRule type="expression" dxfId="1144" priority="3949">
      <formula>$H1268="CÉLULA CONSTRUTIVA"</formula>
    </cfRule>
    <cfRule type="expression" dxfId="1143" priority="3948">
      <formula>$H1268="SUBETAPA"</formula>
    </cfRule>
    <cfRule type="containsText" dxfId="1142" priority="3947" operator="containsText" text="em andamento">
      <formula>NOT(ISERROR(SEARCH("em andamento",P1268)))</formula>
    </cfRule>
    <cfRule type="containsText" dxfId="1141" priority="3946" operator="containsText" text="Finalizado">
      <formula>NOT(ISERROR(SEARCH("Finalizado",P1268)))</formula>
    </cfRule>
    <cfRule type="containsText" dxfId="1140" priority="3945" operator="containsText" text="Pendente">
      <formula>NOT(ISERROR(SEARCH("Pendente",P1268)))</formula>
    </cfRule>
    <cfRule type="containsText" dxfId="1139" priority="3944" operator="containsText" text="N/A">
      <formula>NOT(ISERROR(SEARCH("N/A",P1268)))</formula>
    </cfRule>
    <cfRule type="containsText" dxfId="1138" priority="3943" operator="containsText" text="Lançado">
      <formula>NOT(ISERROR(SEARCH("Lançado",P1268)))</formula>
    </cfRule>
    <cfRule type="containsText" dxfId="1137" priority="3942" operator="containsText" text="em andamento">
      <formula>NOT(ISERROR(SEARCH("em andamento",P1268)))</formula>
    </cfRule>
    <cfRule type="containsText" dxfId="1136" priority="3941" operator="containsText" text="Finalizado">
      <formula>NOT(ISERROR(SEARCH("Finalizado",P1268)))</formula>
    </cfRule>
  </conditionalFormatting>
  <conditionalFormatting sqref="P1272 P1274 P1276">
    <cfRule type="containsText" dxfId="1135" priority="8958" operator="containsText" text="N/A">
      <formula>NOT(ISERROR(SEARCH("N/A",P1272)))</formula>
    </cfRule>
    <cfRule type="containsText" dxfId="1134" priority="8957" operator="containsText" text="Lançado">
      <formula>NOT(ISERROR(SEARCH("Lançado",P1272)))</formula>
    </cfRule>
    <cfRule type="containsText" dxfId="1133" priority="8960" operator="containsText" text="Finalizado">
      <formula>NOT(ISERROR(SEARCH("Finalizado",P1272)))</formula>
    </cfRule>
    <cfRule type="containsText" dxfId="1132" priority="8961" operator="containsText" text="em andamento">
      <formula>NOT(ISERROR(SEARCH("em andamento",P1272)))</formula>
    </cfRule>
  </conditionalFormatting>
  <conditionalFormatting sqref="P1272 P1274">
    <cfRule type="containsText" dxfId="1131" priority="8963" operator="containsText" text="N/A">
      <formula>NOT(ISERROR(SEARCH("N/A",P1272)))</formula>
    </cfRule>
    <cfRule type="containsText" dxfId="1130" priority="8964" operator="containsText" text="Pendente">
      <formula>NOT(ISERROR(SEARCH("Pendente",P1272)))</formula>
    </cfRule>
    <cfRule type="containsText" dxfId="1129" priority="8965" operator="containsText" text="Finalizado">
      <formula>NOT(ISERROR(SEARCH("Finalizado",P1272)))</formula>
    </cfRule>
    <cfRule type="containsText" dxfId="1128" priority="8966" operator="containsText" text="em andamento">
      <formula>NOT(ISERROR(SEARCH("em andamento",P1272)))</formula>
    </cfRule>
    <cfRule type="containsText" dxfId="1127" priority="8962" operator="containsText" text="Lançado">
      <formula>NOT(ISERROR(SEARCH("Lançado",P1272)))</formula>
    </cfRule>
  </conditionalFormatting>
  <conditionalFormatting sqref="P1273">
    <cfRule type="expression" dxfId="1126" priority="3929">
      <formula>$H1273="ETAPA"</formula>
    </cfRule>
    <cfRule type="expression" dxfId="1125" priority="3914">
      <formula>$H1273="SUBETAPA"</formula>
    </cfRule>
    <cfRule type="containsText" dxfId="1124" priority="3934" operator="containsText" text="em andamento">
      <formula>NOT(ISERROR(SEARCH("em andamento",P1273)))</formula>
    </cfRule>
    <cfRule type="containsText" dxfId="1123" priority="3933" operator="containsText" text="Finalizado">
      <formula>NOT(ISERROR(SEARCH("Finalizado",P1273)))</formula>
    </cfRule>
    <cfRule type="containsText" dxfId="1122" priority="3932" operator="containsText" text="Pendente">
      <formula>NOT(ISERROR(SEARCH("Pendente",P1273)))</formula>
    </cfRule>
    <cfRule type="containsText" dxfId="1121" priority="3931" operator="containsText" text="N/A">
      <formula>NOT(ISERROR(SEARCH("N/A",P1273)))</formula>
    </cfRule>
    <cfRule type="containsText" dxfId="1120" priority="3930" operator="containsText" text="Lançado">
      <formula>NOT(ISERROR(SEARCH("Lançado",P1273)))</formula>
    </cfRule>
    <cfRule type="containsText" dxfId="1119" priority="3922" operator="containsText" text="Lançado">
      <formula>NOT(ISERROR(SEARCH("Lançado",P1273)))</formula>
    </cfRule>
    <cfRule type="expression" dxfId="1118" priority="3928">
      <formula>$H1273="CÉLULA CONSTRUTIVA"</formula>
    </cfRule>
    <cfRule type="expression" dxfId="1117" priority="3927">
      <formula>$H1273="SUBETAPA"</formula>
    </cfRule>
    <cfRule type="containsText" dxfId="1116" priority="3926" operator="containsText" text="em andamento">
      <formula>NOT(ISERROR(SEARCH("em andamento",P1273)))</formula>
    </cfRule>
    <cfRule type="containsText" dxfId="1115" priority="3925" operator="containsText" text="Finalizado">
      <formula>NOT(ISERROR(SEARCH("Finalizado",P1273)))</formula>
    </cfRule>
    <cfRule type="containsText" dxfId="1114" priority="3924" operator="containsText" text="Pendente">
      <formula>NOT(ISERROR(SEARCH("Pendente",P1273)))</formula>
    </cfRule>
    <cfRule type="containsText" dxfId="1113" priority="3919" operator="containsText" text="Pendente">
      <formula>NOT(ISERROR(SEARCH("Pendente",P1273)))</formula>
    </cfRule>
    <cfRule type="containsText" dxfId="1112" priority="3918" operator="containsText" text="N/A">
      <formula>NOT(ISERROR(SEARCH("N/A",P1273)))</formula>
    </cfRule>
    <cfRule type="containsText" dxfId="1111" priority="3917" operator="containsText" text="Lançado">
      <formula>NOT(ISERROR(SEARCH("Lançado",P1273)))</formula>
    </cfRule>
    <cfRule type="expression" dxfId="1110" priority="3916">
      <formula>$H1273="ETAPA"</formula>
    </cfRule>
    <cfRule type="expression" dxfId="1109" priority="3915">
      <formula>$H1273="CÉLULA CONSTRUTIVA"</formula>
    </cfRule>
    <cfRule type="containsText" dxfId="1108" priority="3923" operator="containsText" text="N/A">
      <formula>NOT(ISERROR(SEARCH("N/A",P1273)))</formula>
    </cfRule>
    <cfRule type="containsText" dxfId="1107" priority="3921" operator="containsText" text="em andamento">
      <formula>NOT(ISERROR(SEARCH("em andamento",P1273)))</formula>
    </cfRule>
    <cfRule type="containsText" dxfId="1106" priority="3920" operator="containsText" text="Finalizado">
      <formula>NOT(ISERROR(SEARCH("Finalizado",P1273)))</formula>
    </cfRule>
  </conditionalFormatting>
  <conditionalFormatting sqref="P1275">
    <cfRule type="containsText" dxfId="1105" priority="3909" operator="containsText" text="Lançado">
      <formula>NOT(ISERROR(SEARCH("Lançado",P1275)))</formula>
    </cfRule>
    <cfRule type="containsText" dxfId="1104" priority="3903" operator="containsText" text="Pendente">
      <formula>NOT(ISERROR(SEARCH("Pendente",P1275)))</formula>
    </cfRule>
    <cfRule type="containsText" dxfId="1103" priority="3910" operator="containsText" text="N/A">
      <formula>NOT(ISERROR(SEARCH("N/A",P1275)))</formula>
    </cfRule>
    <cfRule type="containsText" dxfId="1102" priority="3912" operator="containsText" text="Finalizado">
      <formula>NOT(ISERROR(SEARCH("Finalizado",P1275)))</formula>
    </cfRule>
    <cfRule type="expression" dxfId="1101" priority="3893">
      <formula>$H1275="SUBETAPA"</formula>
    </cfRule>
    <cfRule type="containsText" dxfId="1100" priority="3913" operator="containsText" text="em andamento">
      <formula>NOT(ISERROR(SEARCH("em andamento",P1275)))</formula>
    </cfRule>
    <cfRule type="expression" dxfId="1099" priority="3894">
      <formula>$H1275="CÉLULA CONSTRUTIVA"</formula>
    </cfRule>
    <cfRule type="containsText" dxfId="1098" priority="3911" operator="containsText" text="Pendente">
      <formula>NOT(ISERROR(SEARCH("Pendente",P1275)))</formula>
    </cfRule>
    <cfRule type="containsText" dxfId="1097" priority="3902" operator="containsText" text="N/A">
      <formula>NOT(ISERROR(SEARCH("N/A",P1275)))</formula>
    </cfRule>
    <cfRule type="containsText" dxfId="1096" priority="3900" operator="containsText" text="em andamento">
      <formula>NOT(ISERROR(SEARCH("em andamento",P1275)))</formula>
    </cfRule>
    <cfRule type="containsText" dxfId="1095" priority="3899" operator="containsText" text="Finalizado">
      <formula>NOT(ISERROR(SEARCH("Finalizado",P1275)))</formula>
    </cfRule>
    <cfRule type="containsText" dxfId="1094" priority="3898" operator="containsText" text="Pendente">
      <formula>NOT(ISERROR(SEARCH("Pendente",P1275)))</formula>
    </cfRule>
    <cfRule type="containsText" dxfId="1093" priority="3897" operator="containsText" text="N/A">
      <formula>NOT(ISERROR(SEARCH("N/A",P1275)))</formula>
    </cfRule>
    <cfRule type="containsText" dxfId="1092" priority="3896" operator="containsText" text="Lançado">
      <formula>NOT(ISERROR(SEARCH("Lançado",P1275)))</formula>
    </cfRule>
    <cfRule type="expression" dxfId="1091" priority="3895">
      <formula>$H1275="ETAPA"</formula>
    </cfRule>
    <cfRule type="containsText" dxfId="1090" priority="3901" operator="containsText" text="Lançado">
      <formula>NOT(ISERROR(SEARCH("Lançado",P1275)))</formula>
    </cfRule>
    <cfRule type="containsText" dxfId="1089" priority="3904" operator="containsText" text="Finalizado">
      <formula>NOT(ISERROR(SEARCH("Finalizado",P1275)))</formula>
    </cfRule>
    <cfRule type="containsText" dxfId="1088" priority="3905" operator="containsText" text="em andamento">
      <formula>NOT(ISERROR(SEARCH("em andamento",P1275)))</formula>
    </cfRule>
    <cfRule type="expression" dxfId="1087" priority="3906">
      <formula>$H1275="SUBETAPA"</formula>
    </cfRule>
    <cfRule type="expression" dxfId="1086" priority="3907">
      <formula>$H1275="CÉLULA CONSTRUTIVA"</formula>
    </cfRule>
    <cfRule type="expression" dxfId="1085" priority="3908">
      <formula>$H1275="ETAPA"</formula>
    </cfRule>
  </conditionalFormatting>
  <conditionalFormatting sqref="P1276 P1272 P1274">
    <cfRule type="containsText" dxfId="1084" priority="8959" operator="containsText" text="Pendente">
      <formula>NOT(ISERROR(SEARCH("Pendente",P1272)))</formula>
    </cfRule>
  </conditionalFormatting>
  <conditionalFormatting sqref="P1276">
    <cfRule type="containsText" dxfId="1083" priority="8946" operator="containsText" text="Finalizado">
      <formula>NOT(ISERROR(SEARCH("Finalizado",P1276)))</formula>
    </cfRule>
    <cfRule type="containsText" dxfId="1082" priority="8909" operator="containsText" text="N/A">
      <formula>NOT(ISERROR(SEARCH("N/A",P1276)))</formula>
    </cfRule>
    <cfRule type="containsText" dxfId="1081" priority="8942" operator="containsText" text="Lançado">
      <formula>NOT(ISERROR(SEARCH("Lançado",P1276)))</formula>
    </cfRule>
    <cfRule type="containsText" dxfId="1080" priority="8945" operator="containsText" text="Pendente">
      <formula>NOT(ISERROR(SEARCH("Pendente",P1276)))</formula>
    </cfRule>
    <cfRule type="containsText" dxfId="1079" priority="8947" operator="containsText" text="em andamento">
      <formula>NOT(ISERROR(SEARCH("em andamento",P1276)))</formula>
    </cfRule>
  </conditionalFormatting>
  <conditionalFormatting sqref="P1277">
    <cfRule type="containsText" dxfId="1078" priority="3890" operator="containsText" text="Pendente">
      <formula>NOT(ISERROR(SEARCH("Pendente",P1277)))</formula>
    </cfRule>
    <cfRule type="containsText" dxfId="1077" priority="3880" operator="containsText" text="Lançado">
      <formula>NOT(ISERROR(SEARCH("Lançado",P1277)))</formula>
    </cfRule>
    <cfRule type="containsText" dxfId="1076" priority="3882" operator="containsText" text="Pendente">
      <formula>NOT(ISERROR(SEARCH("Pendente",P1277)))</formula>
    </cfRule>
    <cfRule type="containsText" dxfId="1075" priority="3883" operator="containsText" text="Finalizado">
      <formula>NOT(ISERROR(SEARCH("Finalizado",P1277)))</formula>
    </cfRule>
    <cfRule type="containsText" dxfId="1074" priority="3884" operator="containsText" text="em andamento">
      <formula>NOT(ISERROR(SEARCH("em andamento",P1277)))</formula>
    </cfRule>
    <cfRule type="expression" dxfId="1073" priority="3885">
      <formula>$H1277="SUBETAPA"</formula>
    </cfRule>
    <cfRule type="expression" dxfId="1072" priority="3886">
      <formula>$H1277="CÉLULA CONSTRUTIVA"</formula>
    </cfRule>
    <cfRule type="expression" dxfId="1071" priority="3887">
      <formula>$H1277="ETAPA"</formula>
    </cfRule>
    <cfRule type="containsText" dxfId="1070" priority="3877" operator="containsText" text="Pendente">
      <formula>NOT(ISERROR(SEARCH("Pendente",P1277)))</formula>
    </cfRule>
    <cfRule type="containsText" dxfId="1069" priority="3888" operator="containsText" text="Lançado">
      <formula>NOT(ISERROR(SEARCH("Lançado",P1277)))</formula>
    </cfRule>
    <cfRule type="containsText" dxfId="1068" priority="3889" operator="containsText" text="N/A">
      <formula>NOT(ISERROR(SEARCH("N/A",P1277)))</formula>
    </cfRule>
    <cfRule type="containsText" dxfId="1067" priority="3876" operator="containsText" text="N/A">
      <formula>NOT(ISERROR(SEARCH("N/A",P1277)))</formula>
    </cfRule>
    <cfRule type="containsText" dxfId="1066" priority="3879" operator="containsText" text="em andamento">
      <formula>NOT(ISERROR(SEARCH("em andamento",P1277)))</formula>
    </cfRule>
    <cfRule type="containsText" dxfId="1065" priority="3875" operator="containsText" text="Lançado">
      <formula>NOT(ISERROR(SEARCH("Lançado",P1277)))</formula>
    </cfRule>
    <cfRule type="expression" dxfId="1064" priority="3874">
      <formula>$H1277="ETAPA"</formula>
    </cfRule>
    <cfRule type="expression" dxfId="1063" priority="3873">
      <formula>$H1277="CÉLULA CONSTRUTIVA"</formula>
    </cfRule>
    <cfRule type="containsText" dxfId="1062" priority="3878" operator="containsText" text="Finalizado">
      <formula>NOT(ISERROR(SEARCH("Finalizado",P1277)))</formula>
    </cfRule>
    <cfRule type="containsText" dxfId="1061" priority="3891" operator="containsText" text="Finalizado">
      <formula>NOT(ISERROR(SEARCH("Finalizado",P1277)))</formula>
    </cfRule>
    <cfRule type="containsText" dxfId="1060" priority="3892" operator="containsText" text="em andamento">
      <formula>NOT(ISERROR(SEARCH("em andamento",P1277)))</formula>
    </cfRule>
    <cfRule type="expression" dxfId="1059" priority="3872">
      <formula>$H1277="SUBETAPA"</formula>
    </cfRule>
    <cfRule type="containsText" dxfId="1058" priority="3881" operator="containsText" text="N/A">
      <formula>NOT(ISERROR(SEARCH("N/A",P1277)))</formula>
    </cfRule>
  </conditionalFormatting>
  <conditionalFormatting sqref="P1278">
    <cfRule type="containsText" dxfId="1057" priority="5125" operator="containsText" text="N/A">
      <formula>NOT(ISERROR(SEARCH("N/A",P1278)))</formula>
    </cfRule>
    <cfRule type="containsText" dxfId="1056" priority="5162" operator="containsText" text="em andamento">
      <formula>NOT(ISERROR(SEARCH("em andamento",P1278)))</formula>
    </cfRule>
    <cfRule type="containsText" dxfId="1055" priority="5161" operator="containsText" text="Finalizado">
      <formula>NOT(ISERROR(SEARCH("Finalizado",P1278)))</formula>
    </cfRule>
    <cfRule type="containsText" dxfId="1054" priority="5160" operator="containsText" text="Pendente">
      <formula>NOT(ISERROR(SEARCH("Pendente",P1278)))</formula>
    </cfRule>
    <cfRule type="containsText" dxfId="1053" priority="5150" operator="containsText" text="Lançado">
      <formula>NOT(ISERROR(SEARCH("Lançado",P1278)))</formula>
    </cfRule>
    <cfRule type="containsText" dxfId="1052" priority="5159" operator="containsText" text="N/A">
      <formula>NOT(ISERROR(SEARCH("N/A",P1278)))</formula>
    </cfRule>
    <cfRule type="containsText" dxfId="1051" priority="5158" operator="containsText" text="Lançado">
      <formula>NOT(ISERROR(SEARCH("Lançado",P1278)))</formula>
    </cfRule>
    <cfRule type="containsText" dxfId="1050" priority="5153" operator="containsText" text="Finalizado">
      <formula>NOT(ISERROR(SEARCH("Finalizado",P1278)))</formula>
    </cfRule>
    <cfRule type="containsText" dxfId="1049" priority="5152" operator="containsText" text="Pendente">
      <formula>NOT(ISERROR(SEARCH("Pendente",P1278)))</formula>
    </cfRule>
    <cfRule type="containsText" dxfId="1048" priority="5154" operator="containsText" text="em andamento">
      <formula>NOT(ISERROR(SEARCH("em andamento",P1278)))</formula>
    </cfRule>
  </conditionalFormatting>
  <conditionalFormatting sqref="P1279">
    <cfRule type="containsText" dxfId="1047" priority="3869" operator="containsText" text="Pendente">
      <formula>NOT(ISERROR(SEARCH("Pendente",P1279)))</formula>
    </cfRule>
    <cfRule type="containsText" dxfId="1046" priority="3868" operator="containsText" text="N/A">
      <formula>NOT(ISERROR(SEARCH("N/A",P1279)))</formula>
    </cfRule>
    <cfRule type="containsText" dxfId="1045" priority="3867" operator="containsText" text="Lançado">
      <formula>NOT(ISERROR(SEARCH("Lançado",P1279)))</formula>
    </cfRule>
    <cfRule type="expression" dxfId="1044" priority="3866">
      <formula>$H1279="ETAPA"</formula>
    </cfRule>
    <cfRule type="expression" dxfId="1043" priority="3865">
      <formula>$H1279="CÉLULA CONSTRUTIVA"</formula>
    </cfRule>
    <cfRule type="expression" dxfId="1042" priority="3864">
      <formula>$H1279="SUBETAPA"</formula>
    </cfRule>
    <cfRule type="containsText" dxfId="1041" priority="3863" operator="containsText" text="em andamento">
      <formula>NOT(ISERROR(SEARCH("em andamento",P1279)))</formula>
    </cfRule>
    <cfRule type="containsText" dxfId="1040" priority="3861" operator="containsText" text="Pendente">
      <formula>NOT(ISERROR(SEARCH("Pendente",P1279)))</formula>
    </cfRule>
    <cfRule type="containsText" dxfId="1039" priority="3860" operator="containsText" text="N/A">
      <formula>NOT(ISERROR(SEARCH("N/A",P1279)))</formula>
    </cfRule>
    <cfRule type="containsText" dxfId="1038" priority="3859" operator="containsText" text="Lançado">
      <formula>NOT(ISERROR(SEARCH("Lançado",P1279)))</formula>
    </cfRule>
    <cfRule type="containsText" dxfId="1037" priority="3858" operator="containsText" text="em andamento">
      <formula>NOT(ISERROR(SEARCH("em andamento",P1279)))</formula>
    </cfRule>
    <cfRule type="containsText" dxfId="1036" priority="3857" operator="containsText" text="Finalizado">
      <formula>NOT(ISERROR(SEARCH("Finalizado",P1279)))</formula>
    </cfRule>
    <cfRule type="containsText" dxfId="1035" priority="3856" operator="containsText" text="Pendente">
      <formula>NOT(ISERROR(SEARCH("Pendente",P1279)))</formula>
    </cfRule>
    <cfRule type="containsText" dxfId="1034" priority="3855" operator="containsText" text="N/A">
      <formula>NOT(ISERROR(SEARCH("N/A",P1279)))</formula>
    </cfRule>
    <cfRule type="containsText" dxfId="1033" priority="3854" operator="containsText" text="Lançado">
      <formula>NOT(ISERROR(SEARCH("Lançado",P1279)))</formula>
    </cfRule>
    <cfRule type="expression" dxfId="1032" priority="3853">
      <formula>$H1279="ETAPA"</formula>
    </cfRule>
    <cfRule type="expression" dxfId="1031" priority="3852">
      <formula>$H1279="CÉLULA CONSTRUTIVA"</formula>
    </cfRule>
    <cfRule type="expression" dxfId="1030" priority="3851">
      <formula>$H1279="SUBETAPA"</formula>
    </cfRule>
    <cfRule type="containsText" dxfId="1029" priority="3862" operator="containsText" text="Finalizado">
      <formula>NOT(ISERROR(SEARCH("Finalizado",P1279)))</formula>
    </cfRule>
    <cfRule type="containsText" dxfId="1028" priority="3871" operator="containsText" text="em andamento">
      <formula>NOT(ISERROR(SEARCH("em andamento",P1279)))</formula>
    </cfRule>
    <cfRule type="containsText" dxfId="1027" priority="3870" operator="containsText" text="Finalizado">
      <formula>NOT(ISERROR(SEARCH("Finalizado",P1279)))</formula>
    </cfRule>
  </conditionalFormatting>
  <conditionalFormatting sqref="P1280">
    <cfRule type="containsText" dxfId="1026" priority="5123" operator="containsText" text="Finalizado">
      <formula>NOT(ISERROR(SEARCH("Finalizado",P1280)))</formula>
    </cfRule>
    <cfRule type="containsText" dxfId="1025" priority="5116" operator="containsText" text="em andamento">
      <formula>NOT(ISERROR(SEARCH("em andamento",P1280)))</formula>
    </cfRule>
    <cfRule type="containsText" dxfId="1024" priority="5120" operator="containsText" text="Lançado">
      <formula>NOT(ISERROR(SEARCH("Lançado",P1280)))</formula>
    </cfRule>
    <cfRule type="containsText" dxfId="1023" priority="5115" operator="containsText" text="Finalizado">
      <formula>NOT(ISERROR(SEARCH("Finalizado",P1280)))</formula>
    </cfRule>
    <cfRule type="containsText" dxfId="1022" priority="5113" operator="containsText" text="Lançado">
      <formula>NOT(ISERROR(SEARCH("Lançado",P1280)))</formula>
    </cfRule>
    <cfRule type="containsText" dxfId="1021" priority="5122" operator="containsText" text="Pendente">
      <formula>NOT(ISERROR(SEARCH("Pendente",P1280)))</formula>
    </cfRule>
    <cfRule type="containsText" dxfId="1020" priority="5121" operator="containsText" text="N/A">
      <formula>NOT(ISERROR(SEARCH("N/A",P1280)))</formula>
    </cfRule>
    <cfRule type="containsText" dxfId="1019" priority="5114" operator="containsText" text="Pendente">
      <formula>NOT(ISERROR(SEARCH("Pendente",P1280)))</formula>
    </cfRule>
    <cfRule type="containsText" dxfId="1018" priority="5109" operator="containsText" text="N/A">
      <formula>NOT(ISERROR(SEARCH("N/A",P1280)))</formula>
    </cfRule>
    <cfRule type="containsText" dxfId="1017" priority="5124" operator="containsText" text="em andamento">
      <formula>NOT(ISERROR(SEARCH("em andamento",P1280)))</formula>
    </cfRule>
  </conditionalFormatting>
  <conditionalFormatting sqref="P1281">
    <cfRule type="containsText" dxfId="1016" priority="3849" operator="containsText" text="Finalizado">
      <formula>NOT(ISERROR(SEARCH("Finalizado",P1281)))</formula>
    </cfRule>
    <cfRule type="containsText" dxfId="1015" priority="3836" operator="containsText" text="Finalizado">
      <formula>NOT(ISERROR(SEARCH("Finalizado",P1281)))</formula>
    </cfRule>
    <cfRule type="containsText" dxfId="1014" priority="3835" operator="containsText" text="Pendente">
      <formula>NOT(ISERROR(SEARCH("Pendente",P1281)))</formula>
    </cfRule>
    <cfRule type="containsText" dxfId="1013" priority="3834" operator="containsText" text="N/A">
      <formula>NOT(ISERROR(SEARCH("N/A",P1281)))</formula>
    </cfRule>
    <cfRule type="containsText" dxfId="1012" priority="3833" operator="containsText" text="Lançado">
      <formula>NOT(ISERROR(SEARCH("Lançado",P1281)))</formula>
    </cfRule>
    <cfRule type="expression" dxfId="1011" priority="3832">
      <formula>$H1281="ETAPA"</formula>
    </cfRule>
    <cfRule type="expression" dxfId="1010" priority="3831">
      <formula>$H1281="CÉLULA CONSTRUTIVA"</formula>
    </cfRule>
    <cfRule type="containsText" dxfId="1009" priority="3847" operator="containsText" text="N/A">
      <formula>NOT(ISERROR(SEARCH("N/A",P1281)))</formula>
    </cfRule>
    <cfRule type="expression" dxfId="1008" priority="3830">
      <formula>$H1281="SUBETAPA"</formula>
    </cfRule>
    <cfRule type="containsText" dxfId="1007" priority="3850" operator="containsText" text="em andamento">
      <formula>NOT(ISERROR(SEARCH("em andamento",P1281)))</formula>
    </cfRule>
    <cfRule type="expression" dxfId="1006" priority="3845">
      <formula>$H1281="ETAPA"</formula>
    </cfRule>
    <cfRule type="containsText" dxfId="1005" priority="3848" operator="containsText" text="Pendente">
      <formula>NOT(ISERROR(SEARCH("Pendente",P1281)))</formula>
    </cfRule>
    <cfRule type="containsText" dxfId="1004" priority="3846" operator="containsText" text="Lançado">
      <formula>NOT(ISERROR(SEARCH("Lançado",P1281)))</formula>
    </cfRule>
    <cfRule type="expression" dxfId="1003" priority="3844">
      <formula>$H1281="CÉLULA CONSTRUTIVA"</formula>
    </cfRule>
    <cfRule type="expression" dxfId="1002" priority="3843">
      <formula>$H1281="SUBETAPA"</formula>
    </cfRule>
    <cfRule type="containsText" dxfId="1001" priority="3842" operator="containsText" text="em andamento">
      <formula>NOT(ISERROR(SEARCH("em andamento",P1281)))</formula>
    </cfRule>
    <cfRule type="containsText" dxfId="1000" priority="3841" operator="containsText" text="Finalizado">
      <formula>NOT(ISERROR(SEARCH("Finalizado",P1281)))</formula>
    </cfRule>
    <cfRule type="containsText" dxfId="999" priority="3840" operator="containsText" text="Pendente">
      <formula>NOT(ISERROR(SEARCH("Pendente",P1281)))</formula>
    </cfRule>
    <cfRule type="containsText" dxfId="998" priority="3839" operator="containsText" text="N/A">
      <formula>NOT(ISERROR(SEARCH("N/A",P1281)))</formula>
    </cfRule>
    <cfRule type="containsText" dxfId="997" priority="3838" operator="containsText" text="Lançado">
      <formula>NOT(ISERROR(SEARCH("Lançado",P1281)))</formula>
    </cfRule>
    <cfRule type="containsText" dxfId="996" priority="3837" operator="containsText" text="em andamento">
      <formula>NOT(ISERROR(SEARCH("em andamento",P1281)))</formula>
    </cfRule>
  </conditionalFormatting>
  <conditionalFormatting sqref="P1282">
    <cfRule type="containsText" dxfId="995" priority="8066" operator="containsText" text="em andamento">
      <formula>NOT(ISERROR(SEARCH("em andamento",P1282)))</formula>
    </cfRule>
  </conditionalFormatting>
  <conditionalFormatting sqref="P1282:P1283 P1286">
    <cfRule type="containsText" dxfId="994" priority="8072" operator="containsText" text="Finalizado">
      <formula>NOT(ISERROR(SEARCH("Finalizado",P1282)))</formula>
    </cfRule>
    <cfRule type="containsText" dxfId="993" priority="8070" operator="containsText" text="N/A">
      <formula>NOT(ISERROR(SEARCH("N/A",P1282)))</formula>
    </cfRule>
    <cfRule type="containsText" dxfId="992" priority="8069" operator="containsText" text="Lançado">
      <formula>NOT(ISERROR(SEARCH("Lançado",P1282)))</formula>
    </cfRule>
    <cfRule type="containsText" dxfId="991" priority="8073" operator="containsText" text="em andamento">
      <formula>NOT(ISERROR(SEARCH("em andamento",P1282)))</formula>
    </cfRule>
  </conditionalFormatting>
  <conditionalFormatting sqref="P1282:P1283">
    <cfRule type="containsText" dxfId="990" priority="8062" operator="containsText" text="Lançado">
      <formula>NOT(ISERROR(SEARCH("Lançado",P1282)))</formula>
    </cfRule>
    <cfRule type="containsText" dxfId="989" priority="8064" operator="containsText" text="Pendente">
      <formula>NOT(ISERROR(SEARCH("Pendente",P1282)))</formula>
    </cfRule>
    <cfRule type="containsText" dxfId="988" priority="8063" operator="containsText" text="N/A">
      <formula>NOT(ISERROR(SEARCH("N/A",P1282)))</formula>
    </cfRule>
    <cfRule type="containsText" dxfId="987" priority="8065" operator="containsText" text="Finalizado">
      <formula>NOT(ISERROR(SEARCH("Finalizado",P1282)))</formula>
    </cfRule>
  </conditionalFormatting>
  <conditionalFormatting sqref="P1283">
    <cfRule type="containsText" dxfId="986" priority="8068" operator="containsText" text="em andamento">
      <formula>NOT(ISERROR(SEARCH("em andamento",P1283)))</formula>
    </cfRule>
  </conditionalFormatting>
  <conditionalFormatting sqref="P1284">
    <cfRule type="containsText" dxfId="985" priority="3828" operator="containsText" text="Finalizado">
      <formula>NOT(ISERROR(SEARCH("Finalizado",P1284)))</formula>
    </cfRule>
    <cfRule type="containsText" dxfId="984" priority="3829" operator="containsText" text="em andamento">
      <formula>NOT(ISERROR(SEARCH("em andamento",P1284)))</formula>
    </cfRule>
    <cfRule type="expression" dxfId="983" priority="3809">
      <formula>$H1284="SUBETAPA"</formula>
    </cfRule>
    <cfRule type="containsText" dxfId="982" priority="3818" operator="containsText" text="N/A">
      <formula>NOT(ISERROR(SEARCH("N/A",P1284)))</formula>
    </cfRule>
    <cfRule type="expression" dxfId="981" priority="3811">
      <formula>$H1284="ETAPA"</formula>
    </cfRule>
    <cfRule type="containsText" dxfId="980" priority="3813" operator="containsText" text="N/A">
      <formula>NOT(ISERROR(SEARCH("N/A",P1284)))</formula>
    </cfRule>
    <cfRule type="containsText" dxfId="979" priority="3814" operator="containsText" text="Pendente">
      <formula>NOT(ISERROR(SEARCH("Pendente",P1284)))</formula>
    </cfRule>
    <cfRule type="expression" dxfId="978" priority="3824">
      <formula>$H1284="ETAPA"</formula>
    </cfRule>
    <cfRule type="containsText" dxfId="977" priority="3815" operator="containsText" text="Finalizado">
      <formula>NOT(ISERROR(SEARCH("Finalizado",P1284)))</formula>
    </cfRule>
    <cfRule type="containsText" dxfId="976" priority="3816" operator="containsText" text="em andamento">
      <formula>NOT(ISERROR(SEARCH("em andamento",P1284)))</formula>
    </cfRule>
    <cfRule type="containsText" dxfId="975" priority="3817" operator="containsText" text="Lançado">
      <formula>NOT(ISERROR(SEARCH("Lançado",P1284)))</formula>
    </cfRule>
    <cfRule type="expression" dxfId="974" priority="3822">
      <formula>$H1284="SUBETAPA"</formula>
    </cfRule>
    <cfRule type="expression" dxfId="973" priority="3823">
      <formula>$H1284="CÉLULA CONSTRUTIVA"</formula>
    </cfRule>
    <cfRule type="containsText" dxfId="972" priority="3812" operator="containsText" text="Lançado">
      <formula>NOT(ISERROR(SEARCH("Lançado",P1284)))</formula>
    </cfRule>
    <cfRule type="containsText" dxfId="971" priority="3825" operator="containsText" text="Lançado">
      <formula>NOT(ISERROR(SEARCH("Lançado",P1284)))</formula>
    </cfRule>
    <cfRule type="containsText" dxfId="970" priority="3827" operator="containsText" text="Pendente">
      <formula>NOT(ISERROR(SEARCH("Pendente",P1284)))</formula>
    </cfRule>
    <cfRule type="expression" dxfId="969" priority="3810">
      <formula>$H1284="CÉLULA CONSTRUTIVA"</formula>
    </cfRule>
    <cfRule type="containsText" dxfId="968" priority="3819" operator="containsText" text="Pendente">
      <formula>NOT(ISERROR(SEARCH("Pendente",P1284)))</formula>
    </cfRule>
    <cfRule type="containsText" dxfId="967" priority="3820" operator="containsText" text="Finalizado">
      <formula>NOT(ISERROR(SEARCH("Finalizado",P1284)))</formula>
    </cfRule>
    <cfRule type="containsText" dxfId="966" priority="3821" operator="containsText" text="em andamento">
      <formula>NOT(ISERROR(SEARCH("em andamento",P1284)))</formula>
    </cfRule>
    <cfRule type="containsText" dxfId="965" priority="3826" operator="containsText" text="N/A">
      <formula>NOT(ISERROR(SEARCH("N/A",P1284)))</formula>
    </cfRule>
  </conditionalFormatting>
  <conditionalFormatting sqref="P1285">
    <cfRule type="containsText" dxfId="964" priority="97" operator="containsText" text="N/A">
      <formula>NOT(ISERROR(SEARCH("N/A",P1285)))</formula>
    </cfRule>
    <cfRule type="containsText" dxfId="963" priority="98" operator="containsText" text="Pendente">
      <formula>NOT(ISERROR(SEARCH("Pendente",P1285)))</formula>
    </cfRule>
    <cfRule type="containsText" dxfId="962" priority="99" operator="containsText" text="Finalizado">
      <formula>NOT(ISERROR(SEARCH("Finalizado",P1285)))</formula>
    </cfRule>
    <cfRule type="containsText" dxfId="961" priority="100" operator="containsText" text="em andamento">
      <formula>NOT(ISERROR(SEARCH("em andamento",P1285)))</formula>
    </cfRule>
    <cfRule type="expression" dxfId="960" priority="80">
      <formula>$H1285="SUBETAPA"</formula>
    </cfRule>
    <cfRule type="expression" dxfId="959" priority="81">
      <formula>$H1285="CÉLULA CONSTRUTIVA"</formula>
    </cfRule>
    <cfRule type="expression" dxfId="958" priority="82">
      <formula>$H1285="ETAPA"</formula>
    </cfRule>
    <cfRule type="containsText" dxfId="957" priority="83" operator="containsText" text="Lançado">
      <formula>NOT(ISERROR(SEARCH("Lançado",P1285)))</formula>
    </cfRule>
    <cfRule type="containsText" dxfId="956" priority="84" operator="containsText" text="N/A">
      <formula>NOT(ISERROR(SEARCH("N/A",P1285)))</formula>
    </cfRule>
    <cfRule type="containsText" dxfId="955" priority="85" operator="containsText" text="Pendente">
      <formula>NOT(ISERROR(SEARCH("Pendente",P1285)))</formula>
    </cfRule>
    <cfRule type="containsText" dxfId="954" priority="86" operator="containsText" text="Finalizado">
      <formula>NOT(ISERROR(SEARCH("Finalizado",P1285)))</formula>
    </cfRule>
    <cfRule type="containsText" dxfId="953" priority="87" operator="containsText" text="em andamento">
      <formula>NOT(ISERROR(SEARCH("em andamento",P1285)))</formula>
    </cfRule>
    <cfRule type="containsText" dxfId="952" priority="88" operator="containsText" text="Lançado">
      <formula>NOT(ISERROR(SEARCH("Lançado",P1285)))</formula>
    </cfRule>
    <cfRule type="containsText" dxfId="951" priority="89" operator="containsText" text="N/A">
      <formula>NOT(ISERROR(SEARCH("N/A",P1285)))</formula>
    </cfRule>
    <cfRule type="containsText" dxfId="950" priority="90" operator="containsText" text="Pendente">
      <formula>NOT(ISERROR(SEARCH("Pendente",P1285)))</formula>
    </cfRule>
    <cfRule type="containsText" dxfId="949" priority="91" operator="containsText" text="Finalizado">
      <formula>NOT(ISERROR(SEARCH("Finalizado",P1285)))</formula>
    </cfRule>
    <cfRule type="containsText" dxfId="948" priority="92" operator="containsText" text="em andamento">
      <formula>NOT(ISERROR(SEARCH("em andamento",P1285)))</formula>
    </cfRule>
    <cfRule type="expression" dxfId="947" priority="93">
      <formula>$H1285="SUBETAPA"</formula>
    </cfRule>
    <cfRule type="expression" dxfId="946" priority="94">
      <formula>$H1285="CÉLULA CONSTRUTIVA"</formula>
    </cfRule>
    <cfRule type="expression" dxfId="945" priority="95">
      <formula>$H1285="ETAPA"</formula>
    </cfRule>
    <cfRule type="containsText" dxfId="944" priority="96" operator="containsText" text="Lançado">
      <formula>NOT(ISERROR(SEARCH("Lançado",P1285)))</formula>
    </cfRule>
  </conditionalFormatting>
  <conditionalFormatting sqref="P1286 P1282:P1283">
    <cfRule type="containsText" dxfId="943" priority="8071" operator="containsText" text="Pendente">
      <formula>NOT(ISERROR(SEARCH("Pendente",P1282)))</formula>
    </cfRule>
  </conditionalFormatting>
  <conditionalFormatting sqref="P1286">
    <cfRule type="containsText" dxfId="942" priority="8058" operator="containsText" text="N/A">
      <formula>NOT(ISERROR(SEARCH("N/A",P1286)))</formula>
    </cfRule>
    <cfRule type="containsText" dxfId="941" priority="8059" operator="containsText" text="Pendente">
      <formula>NOT(ISERROR(SEARCH("Pendente",P1286)))</formula>
    </cfRule>
    <cfRule type="containsText" dxfId="940" priority="8057" operator="containsText" text="Lançado">
      <formula>NOT(ISERROR(SEARCH("Lançado",P1286)))</formula>
    </cfRule>
    <cfRule type="containsText" dxfId="939" priority="8060" operator="containsText" text="Finalizado">
      <formula>NOT(ISERROR(SEARCH("Finalizado",P1286)))</formula>
    </cfRule>
    <cfRule type="containsText" dxfId="938" priority="8061" operator="containsText" text="em andamento">
      <formula>NOT(ISERROR(SEARCH("em andamento",P1286)))</formula>
    </cfRule>
  </conditionalFormatting>
  <conditionalFormatting sqref="P1287">
    <cfRule type="expression" dxfId="937" priority="3803">
      <formula>$H1287="ETAPA"</formula>
    </cfRule>
    <cfRule type="containsText" dxfId="936" priority="3804" operator="containsText" text="Lançado">
      <formula>NOT(ISERROR(SEARCH("Lançado",P1287)))</formula>
    </cfRule>
    <cfRule type="containsText" dxfId="935" priority="3791" operator="containsText" text="Lançado">
      <formula>NOT(ISERROR(SEARCH("Lançado",P1287)))</formula>
    </cfRule>
    <cfRule type="containsText" dxfId="934" priority="3798" operator="containsText" text="Pendente">
      <formula>NOT(ISERROR(SEARCH("Pendente",P1287)))</formula>
    </cfRule>
    <cfRule type="containsText" dxfId="933" priority="3807" operator="containsText" text="Finalizado">
      <formula>NOT(ISERROR(SEARCH("Finalizado",P1287)))</formula>
    </cfRule>
    <cfRule type="expression" dxfId="932" priority="3802">
      <formula>$H1287="CÉLULA CONSTRUTIVA"</formula>
    </cfRule>
    <cfRule type="expression" dxfId="931" priority="3801">
      <formula>$H1287="SUBETAPA"</formula>
    </cfRule>
    <cfRule type="containsText" dxfId="930" priority="3800" operator="containsText" text="em andamento">
      <formula>NOT(ISERROR(SEARCH("em andamento",P1287)))</formula>
    </cfRule>
    <cfRule type="containsText" dxfId="929" priority="3799" operator="containsText" text="Finalizado">
      <formula>NOT(ISERROR(SEARCH("Finalizado",P1287)))</formula>
    </cfRule>
    <cfRule type="containsText" dxfId="928" priority="3792" operator="containsText" text="N/A">
      <formula>NOT(ISERROR(SEARCH("N/A",P1287)))</formula>
    </cfRule>
    <cfRule type="containsText" dxfId="927" priority="3793" operator="containsText" text="Pendente">
      <formula>NOT(ISERROR(SEARCH("Pendente",P1287)))</formula>
    </cfRule>
    <cfRule type="containsText" dxfId="926" priority="3797" operator="containsText" text="N/A">
      <formula>NOT(ISERROR(SEARCH("N/A",P1287)))</formula>
    </cfRule>
    <cfRule type="containsText" dxfId="925" priority="3794" operator="containsText" text="Finalizado">
      <formula>NOT(ISERROR(SEARCH("Finalizado",P1287)))</formula>
    </cfRule>
    <cfRule type="containsText" dxfId="924" priority="3795" operator="containsText" text="em andamento">
      <formula>NOT(ISERROR(SEARCH("em andamento",P1287)))</formula>
    </cfRule>
    <cfRule type="containsText" dxfId="923" priority="3808" operator="containsText" text="em andamento">
      <formula>NOT(ISERROR(SEARCH("em andamento",P1287)))</formula>
    </cfRule>
    <cfRule type="containsText" dxfId="922" priority="3806" operator="containsText" text="Pendente">
      <formula>NOT(ISERROR(SEARCH("Pendente",P1287)))</formula>
    </cfRule>
    <cfRule type="containsText" dxfId="921" priority="3805" operator="containsText" text="N/A">
      <formula>NOT(ISERROR(SEARCH("N/A",P1287)))</formula>
    </cfRule>
    <cfRule type="containsText" dxfId="920" priority="3796" operator="containsText" text="Lançado">
      <formula>NOT(ISERROR(SEARCH("Lançado",P1287)))</formula>
    </cfRule>
    <cfRule type="expression" dxfId="919" priority="3790">
      <formula>$H1287="ETAPA"</formula>
    </cfRule>
    <cfRule type="expression" dxfId="918" priority="3788">
      <formula>$H1287="SUBETAPA"</formula>
    </cfRule>
    <cfRule type="expression" dxfId="917" priority="3789">
      <formula>$H1287="CÉLULA CONSTRUTIVA"</formula>
    </cfRule>
  </conditionalFormatting>
  <conditionalFormatting sqref="P1289:P1292">
    <cfRule type="containsText" dxfId="916" priority="3770" operator="containsText" text="Lançado">
      <formula>NOT(ISERROR(SEARCH("Lançado",P1289)))</formula>
    </cfRule>
    <cfRule type="containsText" dxfId="915" priority="3771" operator="containsText" text="N/A">
      <formula>NOT(ISERROR(SEARCH("N/A",P1289)))</formula>
    </cfRule>
    <cfRule type="containsText" dxfId="914" priority="3787" operator="containsText" text="em andamento">
      <formula>NOT(ISERROR(SEARCH("em andamento",P1289)))</formula>
    </cfRule>
    <cfRule type="containsText" dxfId="913" priority="3772" operator="containsText" text="Pendente">
      <formula>NOT(ISERROR(SEARCH("Pendente",P1289)))</formula>
    </cfRule>
    <cfRule type="containsText" dxfId="912" priority="3773" operator="containsText" text="Finalizado">
      <formula>NOT(ISERROR(SEARCH("Finalizado",P1289)))</formula>
    </cfRule>
    <cfRule type="expression" dxfId="911" priority="3767">
      <formula>$H1289="SUBETAPA"</formula>
    </cfRule>
    <cfRule type="containsText" dxfId="910" priority="3774" operator="containsText" text="em andamento">
      <formula>NOT(ISERROR(SEARCH("em andamento",P1289)))</formula>
    </cfRule>
    <cfRule type="containsText" dxfId="909" priority="3775" operator="containsText" text="Lançado">
      <formula>NOT(ISERROR(SEARCH("Lançado",P1289)))</formula>
    </cfRule>
    <cfRule type="containsText" dxfId="908" priority="3776" operator="containsText" text="N/A">
      <formula>NOT(ISERROR(SEARCH("N/A",P1289)))</formula>
    </cfRule>
    <cfRule type="expression" dxfId="907" priority="3781">
      <formula>$H1289="CÉLULA CONSTRUTIVA"</formula>
    </cfRule>
    <cfRule type="expression" dxfId="906" priority="3782">
      <formula>$H1289="ETAPA"</formula>
    </cfRule>
    <cfRule type="expression" dxfId="905" priority="3769">
      <formula>$H1289="ETAPA"</formula>
    </cfRule>
    <cfRule type="containsText" dxfId="904" priority="3783" operator="containsText" text="Lançado">
      <formula>NOT(ISERROR(SEARCH("Lançado",P1289)))</formula>
    </cfRule>
    <cfRule type="containsText" dxfId="903" priority="3784" operator="containsText" text="N/A">
      <formula>NOT(ISERROR(SEARCH("N/A",P1289)))</formula>
    </cfRule>
    <cfRule type="containsText" dxfId="902" priority="3778" operator="containsText" text="Finalizado">
      <formula>NOT(ISERROR(SEARCH("Finalizado",P1289)))</formula>
    </cfRule>
    <cfRule type="containsText" dxfId="901" priority="3785" operator="containsText" text="Pendente">
      <formula>NOT(ISERROR(SEARCH("Pendente",P1289)))</formula>
    </cfRule>
    <cfRule type="containsText" dxfId="900" priority="3786" operator="containsText" text="Finalizado">
      <formula>NOT(ISERROR(SEARCH("Finalizado",P1289)))</formula>
    </cfRule>
    <cfRule type="containsText" dxfId="899" priority="3779" operator="containsText" text="em andamento">
      <formula>NOT(ISERROR(SEARCH("em andamento",P1289)))</formula>
    </cfRule>
    <cfRule type="expression" dxfId="898" priority="3780">
      <formula>$H1289="SUBETAPA"</formula>
    </cfRule>
    <cfRule type="expression" dxfId="897" priority="3768">
      <formula>$H1289="CÉLULA CONSTRUTIVA"</formula>
    </cfRule>
    <cfRule type="containsText" dxfId="896" priority="3777" operator="containsText" text="Pendente">
      <formula>NOT(ISERROR(SEARCH("Pendente",P1289)))</formula>
    </cfRule>
  </conditionalFormatting>
  <conditionalFormatting sqref="P1293">
    <cfRule type="containsText" dxfId="895" priority="5428" operator="containsText" text="N/A">
      <formula>NOT(ISERROR(SEARCH("N/A",P1293)))</formula>
    </cfRule>
    <cfRule type="containsText" dxfId="894" priority="5429" operator="containsText" text="Pendente">
      <formula>NOT(ISERROR(SEARCH("Pendente",P1293)))</formula>
    </cfRule>
    <cfRule type="containsText" dxfId="893" priority="5430" operator="containsText" text="Finalizado">
      <formula>NOT(ISERROR(SEARCH("Finalizado",P1293)))</formula>
    </cfRule>
    <cfRule type="containsText" dxfId="892" priority="5431" operator="containsText" text="em andamento">
      <formula>NOT(ISERROR(SEARCH("em andamento",P1293)))</formula>
    </cfRule>
    <cfRule type="containsText" dxfId="891" priority="5432" operator="containsText" text="Lançado">
      <formula>NOT(ISERROR(SEARCH("Lançado",P1293)))</formula>
    </cfRule>
    <cfRule type="containsText" dxfId="890" priority="5434" operator="containsText" text="Pendente">
      <formula>NOT(ISERROR(SEARCH("Pendente",P1293)))</formula>
    </cfRule>
    <cfRule type="containsText" dxfId="889" priority="5433" operator="containsText" text="N/A">
      <formula>NOT(ISERROR(SEARCH("N/A",P1293)))</formula>
    </cfRule>
    <cfRule type="containsText" dxfId="888" priority="5436" operator="containsText" text="em andamento">
      <formula>NOT(ISERROR(SEARCH("em andamento",P1293)))</formula>
    </cfRule>
    <cfRule type="containsText" dxfId="887" priority="5435" operator="containsText" text="Finalizado">
      <formula>NOT(ISERROR(SEARCH("Finalizado",P1293)))</formula>
    </cfRule>
    <cfRule type="containsText" dxfId="886" priority="5427" operator="containsText" text="Lançado">
      <formula>NOT(ISERROR(SEARCH("Lançado",P1293)))</formula>
    </cfRule>
  </conditionalFormatting>
  <conditionalFormatting sqref="P1294">
    <cfRule type="containsText" dxfId="885" priority="3763" operator="containsText" text="N/A">
      <formula>NOT(ISERROR(SEARCH("N/A",P1294)))</formula>
    </cfRule>
    <cfRule type="containsText" dxfId="884" priority="3762" operator="containsText" text="Lançado">
      <formula>NOT(ISERROR(SEARCH("Lançado",P1294)))</formula>
    </cfRule>
    <cfRule type="containsText" dxfId="883" priority="3766" operator="containsText" text="em andamento">
      <formula>NOT(ISERROR(SEARCH("em andamento",P1294)))</formula>
    </cfRule>
    <cfRule type="containsText" dxfId="882" priority="3755" operator="containsText" text="N/A">
      <formula>NOT(ISERROR(SEARCH("N/A",P1294)))</formula>
    </cfRule>
    <cfRule type="expression" dxfId="881" priority="3746">
      <formula>$H1294="SUBETAPA"</formula>
    </cfRule>
    <cfRule type="containsText" dxfId="880" priority="3756" operator="containsText" text="Pendente">
      <formula>NOT(ISERROR(SEARCH("Pendente",P1294)))</formula>
    </cfRule>
    <cfRule type="expression" dxfId="879" priority="3761">
      <formula>$H1294="ETAPA"</formula>
    </cfRule>
    <cfRule type="containsText" dxfId="878" priority="3749" operator="containsText" text="Lançado">
      <formula>NOT(ISERROR(SEARCH("Lançado",P1294)))</formula>
    </cfRule>
    <cfRule type="expression" dxfId="877" priority="3760">
      <formula>$H1294="CÉLULA CONSTRUTIVA"</formula>
    </cfRule>
    <cfRule type="expression" dxfId="876" priority="3759">
      <formula>$H1294="SUBETAPA"</formula>
    </cfRule>
    <cfRule type="containsText" dxfId="875" priority="3750" operator="containsText" text="N/A">
      <formula>NOT(ISERROR(SEARCH("N/A",P1294)))</formula>
    </cfRule>
    <cfRule type="containsText" dxfId="874" priority="3751" operator="containsText" text="Pendente">
      <formula>NOT(ISERROR(SEARCH("Pendente",P1294)))</formula>
    </cfRule>
    <cfRule type="containsText" dxfId="873" priority="3752" operator="containsText" text="Finalizado">
      <formula>NOT(ISERROR(SEARCH("Finalizado",P1294)))</formula>
    </cfRule>
    <cfRule type="containsText" dxfId="872" priority="3753" operator="containsText" text="em andamento">
      <formula>NOT(ISERROR(SEARCH("em andamento",P1294)))</formula>
    </cfRule>
    <cfRule type="containsText" dxfId="871" priority="3758" operator="containsText" text="em andamento">
      <formula>NOT(ISERROR(SEARCH("em andamento",P1294)))</formula>
    </cfRule>
    <cfRule type="containsText" dxfId="870" priority="3765" operator="containsText" text="Finalizado">
      <formula>NOT(ISERROR(SEARCH("Finalizado",P1294)))</formula>
    </cfRule>
    <cfRule type="containsText" dxfId="869" priority="3764" operator="containsText" text="Pendente">
      <formula>NOT(ISERROR(SEARCH("Pendente",P1294)))</formula>
    </cfRule>
    <cfRule type="containsText" dxfId="868" priority="3754" operator="containsText" text="Lançado">
      <formula>NOT(ISERROR(SEARCH("Lançado",P1294)))</formula>
    </cfRule>
    <cfRule type="containsText" dxfId="867" priority="3757" operator="containsText" text="Finalizado">
      <formula>NOT(ISERROR(SEARCH("Finalizado",P1294)))</formula>
    </cfRule>
    <cfRule type="expression" dxfId="866" priority="3747">
      <formula>$H1294="CÉLULA CONSTRUTIVA"</formula>
    </cfRule>
    <cfRule type="expression" dxfId="865" priority="3748">
      <formula>$H1294="ETAPA"</formula>
    </cfRule>
  </conditionalFormatting>
  <conditionalFormatting sqref="P1295">
    <cfRule type="containsText" dxfId="864" priority="7901" operator="containsText" text="em andamento">
      <formula>NOT(ISERROR(SEARCH("em andamento",P1295)))</formula>
    </cfRule>
    <cfRule type="containsText" dxfId="863" priority="7899" operator="containsText" text="Pendente">
      <formula>NOT(ISERROR(SEARCH("Pendente",P1295)))</formula>
    </cfRule>
    <cfRule type="containsText" dxfId="862" priority="7900" operator="containsText" text="Finalizado">
      <formula>NOT(ISERROR(SEARCH("Finalizado",P1295)))</formula>
    </cfRule>
    <cfRule type="containsText" dxfId="861" priority="7911" operator="containsText" text="Lançado">
      <formula>NOT(ISERROR(SEARCH("Lançado",P1295)))</formula>
    </cfRule>
    <cfRule type="containsText" dxfId="860" priority="7896" operator="containsText" text="Lançado">
      <formula>NOT(ISERROR(SEARCH("Lançado",P1295)))</formula>
    </cfRule>
    <cfRule type="containsText" dxfId="859" priority="7912" operator="containsText" text="N/A">
      <formula>NOT(ISERROR(SEARCH("N/A",P1295)))</formula>
    </cfRule>
    <cfRule type="containsText" dxfId="858" priority="7914" operator="containsText" text="Finalizado">
      <formula>NOT(ISERROR(SEARCH("Finalizado",P1295)))</formula>
    </cfRule>
    <cfRule type="containsText" dxfId="857" priority="7913" operator="containsText" text="Pendente">
      <formula>NOT(ISERROR(SEARCH("Pendente",P1295)))</formula>
    </cfRule>
    <cfRule type="containsText" dxfId="856" priority="7915" operator="containsText" text="em andamento">
      <formula>NOT(ISERROR(SEARCH("em andamento",P1295)))</formula>
    </cfRule>
  </conditionalFormatting>
  <conditionalFormatting sqref="P1296">
    <cfRule type="containsText" dxfId="855" priority="3744" operator="containsText" text="Finalizado">
      <formula>NOT(ISERROR(SEARCH("Finalizado",P1296)))</formula>
    </cfRule>
    <cfRule type="containsText" dxfId="854" priority="3745" operator="containsText" text="em andamento">
      <formula>NOT(ISERROR(SEARCH("em andamento",P1296)))</formula>
    </cfRule>
    <cfRule type="expression" dxfId="853" priority="3739">
      <formula>$H1296="CÉLULA CONSTRUTIVA"</formula>
    </cfRule>
    <cfRule type="containsText" dxfId="852" priority="3742" operator="containsText" text="N/A">
      <formula>NOT(ISERROR(SEARCH("N/A",P1296)))</formula>
    </cfRule>
    <cfRule type="expression" dxfId="851" priority="3738">
      <formula>$H1296="SUBETAPA"</formula>
    </cfRule>
    <cfRule type="containsText" dxfId="850" priority="3737" operator="containsText" text="em andamento">
      <formula>NOT(ISERROR(SEARCH("em andamento",P1296)))</formula>
    </cfRule>
    <cfRule type="containsText" dxfId="849" priority="3736" operator="containsText" text="Finalizado">
      <formula>NOT(ISERROR(SEARCH("Finalizado",P1296)))</formula>
    </cfRule>
    <cfRule type="containsText" dxfId="848" priority="3735" operator="containsText" text="Pendente">
      <formula>NOT(ISERROR(SEARCH("Pendente",P1296)))</formula>
    </cfRule>
    <cfRule type="containsText" dxfId="847" priority="3734" operator="containsText" text="N/A">
      <formula>NOT(ISERROR(SEARCH("N/A",P1296)))</formula>
    </cfRule>
    <cfRule type="containsText" dxfId="846" priority="3733" operator="containsText" text="Lançado">
      <formula>NOT(ISERROR(SEARCH("Lançado",P1296)))</formula>
    </cfRule>
    <cfRule type="containsText" dxfId="845" priority="3732" operator="containsText" text="em andamento">
      <formula>NOT(ISERROR(SEARCH("em andamento",P1296)))</formula>
    </cfRule>
    <cfRule type="containsText" dxfId="844" priority="3731" operator="containsText" text="Finalizado">
      <formula>NOT(ISERROR(SEARCH("Finalizado",P1296)))</formula>
    </cfRule>
    <cfRule type="containsText" dxfId="843" priority="3730" operator="containsText" text="Pendente">
      <formula>NOT(ISERROR(SEARCH("Pendente",P1296)))</formula>
    </cfRule>
    <cfRule type="containsText" dxfId="842" priority="3729" operator="containsText" text="N/A">
      <formula>NOT(ISERROR(SEARCH("N/A",P1296)))</formula>
    </cfRule>
    <cfRule type="containsText" dxfId="841" priority="3728" operator="containsText" text="Lançado">
      <formula>NOT(ISERROR(SEARCH("Lançado",P1296)))</formula>
    </cfRule>
    <cfRule type="containsText" dxfId="840" priority="3743" operator="containsText" text="Pendente">
      <formula>NOT(ISERROR(SEARCH("Pendente",P1296)))</formula>
    </cfRule>
    <cfRule type="expression" dxfId="839" priority="3740">
      <formula>$H1296="ETAPA"</formula>
    </cfRule>
    <cfRule type="expression" dxfId="838" priority="3727">
      <formula>$H1296="ETAPA"</formula>
    </cfRule>
    <cfRule type="expression" dxfId="837" priority="3726">
      <formula>$H1296="CÉLULA CONSTRUTIVA"</formula>
    </cfRule>
    <cfRule type="expression" dxfId="836" priority="3725">
      <formula>$H1296="SUBETAPA"</formula>
    </cfRule>
    <cfRule type="containsText" dxfId="835" priority="3741" operator="containsText" text="Lançado">
      <formula>NOT(ISERROR(SEARCH("Lançado",P1296)))</formula>
    </cfRule>
  </conditionalFormatting>
  <conditionalFormatting sqref="P1297">
    <cfRule type="containsText" dxfId="834" priority="5100" operator="containsText" text="Lançado">
      <formula>NOT(ISERROR(SEARCH("Lançado",P1297)))</formula>
    </cfRule>
    <cfRule type="containsText" dxfId="833" priority="5101" operator="containsText" text="N/A">
      <formula>NOT(ISERROR(SEARCH("N/A",P1297)))</formula>
    </cfRule>
    <cfRule type="containsText" dxfId="832" priority="5102" operator="containsText" text="Pendente">
      <formula>NOT(ISERROR(SEARCH("Pendente",P1297)))</formula>
    </cfRule>
    <cfRule type="containsText" dxfId="831" priority="5103" operator="containsText" text="Finalizado">
      <formula>NOT(ISERROR(SEARCH("Finalizado",P1297)))</formula>
    </cfRule>
    <cfRule type="containsText" dxfId="830" priority="5104" operator="containsText" text="em andamento">
      <formula>NOT(ISERROR(SEARCH("em andamento",P1297)))</formula>
    </cfRule>
    <cfRule type="containsText" dxfId="829" priority="5067" operator="containsText" text="N/A">
      <formula>NOT(ISERROR(SEARCH("N/A",P1297)))</formula>
    </cfRule>
    <cfRule type="containsText" dxfId="828" priority="5092" operator="containsText" text="Lançado">
      <formula>NOT(ISERROR(SEARCH("Lançado",P1297)))</formula>
    </cfRule>
    <cfRule type="containsText" dxfId="827" priority="5094" operator="containsText" text="Pendente">
      <formula>NOT(ISERROR(SEARCH("Pendente",P1297)))</formula>
    </cfRule>
    <cfRule type="containsText" dxfId="826" priority="5095" operator="containsText" text="Finalizado">
      <formula>NOT(ISERROR(SEARCH("Finalizado",P1297)))</formula>
    </cfRule>
    <cfRule type="containsText" dxfId="825" priority="5096" operator="containsText" text="em andamento">
      <formula>NOT(ISERROR(SEARCH("em andamento",P1297)))</formula>
    </cfRule>
  </conditionalFormatting>
  <conditionalFormatting sqref="P1298">
    <cfRule type="expression" dxfId="824" priority="3719">
      <formula>$H1298="ETAPA"</formula>
    </cfRule>
    <cfRule type="containsText" dxfId="823" priority="3720" operator="containsText" text="Lançado">
      <formula>NOT(ISERROR(SEARCH("Lançado",P1298)))</formula>
    </cfRule>
    <cfRule type="containsText" dxfId="822" priority="3721" operator="containsText" text="N/A">
      <formula>NOT(ISERROR(SEARCH("N/A",P1298)))</formula>
    </cfRule>
    <cfRule type="containsText" dxfId="821" priority="3722" operator="containsText" text="Pendente">
      <formula>NOT(ISERROR(SEARCH("Pendente",P1298)))</formula>
    </cfRule>
    <cfRule type="containsText" dxfId="820" priority="3715" operator="containsText" text="Finalizado">
      <formula>NOT(ISERROR(SEARCH("Finalizado",P1298)))</formula>
    </cfRule>
    <cfRule type="expression" dxfId="819" priority="3706">
      <formula>$H1298="ETAPA"</formula>
    </cfRule>
    <cfRule type="containsText" dxfId="818" priority="3712" operator="containsText" text="Lançado">
      <formula>NOT(ISERROR(SEARCH("Lançado",P1298)))</formula>
    </cfRule>
    <cfRule type="containsText" dxfId="817" priority="3714" operator="containsText" text="Pendente">
      <formula>NOT(ISERROR(SEARCH("Pendente",P1298)))</formula>
    </cfRule>
    <cfRule type="containsText" dxfId="816" priority="3713" operator="containsText" text="N/A">
      <formula>NOT(ISERROR(SEARCH("N/A",P1298)))</formula>
    </cfRule>
    <cfRule type="containsText" dxfId="815" priority="3711" operator="containsText" text="em andamento">
      <formula>NOT(ISERROR(SEARCH("em andamento",P1298)))</formula>
    </cfRule>
    <cfRule type="expression" dxfId="814" priority="3705">
      <formula>$H1298="CÉLULA CONSTRUTIVA"</formula>
    </cfRule>
    <cfRule type="containsText" dxfId="813" priority="3723" operator="containsText" text="Finalizado">
      <formula>NOT(ISERROR(SEARCH("Finalizado",P1298)))</formula>
    </cfRule>
    <cfRule type="containsText" dxfId="812" priority="3710" operator="containsText" text="Finalizado">
      <formula>NOT(ISERROR(SEARCH("Finalizado",P1298)))</formula>
    </cfRule>
    <cfRule type="expression" dxfId="811" priority="3704">
      <formula>$H1298="SUBETAPA"</formula>
    </cfRule>
    <cfRule type="containsText" dxfId="810" priority="3707" operator="containsText" text="Lançado">
      <formula>NOT(ISERROR(SEARCH("Lançado",P1298)))</formula>
    </cfRule>
    <cfRule type="containsText" dxfId="809" priority="3724" operator="containsText" text="em andamento">
      <formula>NOT(ISERROR(SEARCH("em andamento",P1298)))</formula>
    </cfRule>
    <cfRule type="containsText" dxfId="808" priority="3709" operator="containsText" text="Pendente">
      <formula>NOT(ISERROR(SEARCH("Pendente",P1298)))</formula>
    </cfRule>
    <cfRule type="containsText" dxfId="807" priority="3708" operator="containsText" text="N/A">
      <formula>NOT(ISERROR(SEARCH("N/A",P1298)))</formula>
    </cfRule>
    <cfRule type="containsText" dxfId="806" priority="3716" operator="containsText" text="em andamento">
      <formula>NOT(ISERROR(SEARCH("em andamento",P1298)))</formula>
    </cfRule>
    <cfRule type="expression" dxfId="805" priority="3717">
      <formula>$H1298="SUBETAPA"</formula>
    </cfRule>
    <cfRule type="expression" dxfId="804" priority="3718">
      <formula>$H1298="CÉLULA CONSTRUTIVA"</formula>
    </cfRule>
  </conditionalFormatting>
  <conditionalFormatting sqref="P1299">
    <cfRule type="containsText" dxfId="803" priority="5065" operator="containsText" text="Finalizado">
      <formula>NOT(ISERROR(SEARCH("Finalizado",P1299)))</formula>
    </cfRule>
    <cfRule type="containsText" dxfId="802" priority="5066" operator="containsText" text="em andamento">
      <formula>NOT(ISERROR(SEARCH("em andamento",P1299)))</formula>
    </cfRule>
    <cfRule type="containsText" dxfId="801" priority="5051" operator="containsText" text="N/A">
      <formula>NOT(ISERROR(SEARCH("N/A",P1299)))</formula>
    </cfRule>
    <cfRule type="containsText" dxfId="800" priority="5055" operator="containsText" text="Lançado">
      <formula>NOT(ISERROR(SEARCH("Lançado",P1299)))</formula>
    </cfRule>
    <cfRule type="containsText" dxfId="799" priority="5056" operator="containsText" text="Pendente">
      <formula>NOT(ISERROR(SEARCH("Pendente",P1299)))</formula>
    </cfRule>
    <cfRule type="containsText" dxfId="798" priority="5064" operator="containsText" text="Pendente">
      <formula>NOT(ISERROR(SEARCH("Pendente",P1299)))</formula>
    </cfRule>
    <cfRule type="containsText" dxfId="797" priority="5057" operator="containsText" text="Finalizado">
      <formula>NOT(ISERROR(SEARCH("Finalizado",P1299)))</formula>
    </cfRule>
    <cfRule type="containsText" dxfId="796" priority="5058" operator="containsText" text="em andamento">
      <formula>NOT(ISERROR(SEARCH("em andamento",P1299)))</formula>
    </cfRule>
    <cfRule type="containsText" dxfId="795" priority="5062" operator="containsText" text="Lançado">
      <formula>NOT(ISERROR(SEARCH("Lançado",P1299)))</formula>
    </cfRule>
    <cfRule type="containsText" dxfId="794" priority="5063" operator="containsText" text="N/A">
      <formula>NOT(ISERROR(SEARCH("N/A",P1299)))</formula>
    </cfRule>
  </conditionalFormatting>
  <conditionalFormatting sqref="P1300">
    <cfRule type="expression" dxfId="793" priority="3697">
      <formula>$H1300="CÉLULA CONSTRUTIVA"</formula>
    </cfRule>
    <cfRule type="containsText" dxfId="792" priority="3692" operator="containsText" text="N/A">
      <formula>NOT(ISERROR(SEARCH("N/A",P1300)))</formula>
    </cfRule>
    <cfRule type="containsText" dxfId="791" priority="3699" operator="containsText" text="Lançado">
      <formula>NOT(ISERROR(SEARCH("Lançado",P1300)))</formula>
    </cfRule>
    <cfRule type="containsText" dxfId="790" priority="3700" operator="containsText" text="N/A">
      <formula>NOT(ISERROR(SEARCH("N/A",P1300)))</formula>
    </cfRule>
    <cfRule type="containsText" dxfId="789" priority="3702" operator="containsText" text="Finalizado">
      <formula>NOT(ISERROR(SEARCH("Finalizado",P1300)))</formula>
    </cfRule>
    <cfRule type="containsText" dxfId="788" priority="3703" operator="containsText" text="em andamento">
      <formula>NOT(ISERROR(SEARCH("em andamento",P1300)))</formula>
    </cfRule>
    <cfRule type="containsText" dxfId="787" priority="3691" operator="containsText" text="Lançado">
      <formula>NOT(ISERROR(SEARCH("Lançado",P1300)))</formula>
    </cfRule>
    <cfRule type="containsText" dxfId="786" priority="3690" operator="containsText" text="em andamento">
      <formula>NOT(ISERROR(SEARCH("em andamento",P1300)))</formula>
    </cfRule>
    <cfRule type="containsText" dxfId="785" priority="3689" operator="containsText" text="Finalizado">
      <formula>NOT(ISERROR(SEARCH("Finalizado",P1300)))</formula>
    </cfRule>
    <cfRule type="containsText" dxfId="784" priority="3701" operator="containsText" text="Pendente">
      <formula>NOT(ISERROR(SEARCH("Pendente",P1300)))</formula>
    </cfRule>
    <cfRule type="containsText" dxfId="783" priority="3688" operator="containsText" text="Pendente">
      <formula>NOT(ISERROR(SEARCH("Pendente",P1300)))</formula>
    </cfRule>
    <cfRule type="expression" dxfId="782" priority="3698">
      <formula>$H1300="ETAPA"</formula>
    </cfRule>
    <cfRule type="expression" dxfId="781" priority="3684">
      <formula>$H1300="CÉLULA CONSTRUTIVA"</formula>
    </cfRule>
    <cfRule type="containsText" dxfId="780" priority="3687" operator="containsText" text="N/A">
      <formula>NOT(ISERROR(SEARCH("N/A",P1300)))</formula>
    </cfRule>
    <cfRule type="containsText" dxfId="779" priority="3693" operator="containsText" text="Pendente">
      <formula>NOT(ISERROR(SEARCH("Pendente",P1300)))</formula>
    </cfRule>
    <cfRule type="containsText" dxfId="778" priority="3686" operator="containsText" text="Lançado">
      <formula>NOT(ISERROR(SEARCH("Lançado",P1300)))</formula>
    </cfRule>
    <cfRule type="expression" dxfId="777" priority="3685">
      <formula>$H1300="ETAPA"</formula>
    </cfRule>
    <cfRule type="expression" dxfId="776" priority="3683">
      <formula>$H1300="SUBETAPA"</formula>
    </cfRule>
    <cfRule type="containsText" dxfId="775" priority="3694" operator="containsText" text="Finalizado">
      <formula>NOT(ISERROR(SEARCH("Finalizado",P1300)))</formula>
    </cfRule>
    <cfRule type="containsText" dxfId="774" priority="3695" operator="containsText" text="em andamento">
      <formula>NOT(ISERROR(SEARCH("em andamento",P1300)))</formula>
    </cfRule>
    <cfRule type="expression" dxfId="773" priority="3696">
      <formula>$H1300="SUBETAPA"</formula>
    </cfRule>
  </conditionalFormatting>
  <conditionalFormatting sqref="P1301">
    <cfRule type="containsText" dxfId="772" priority="8367" operator="containsText" text="em andamento">
      <formula>NOT(ISERROR(SEARCH("em andamento",P1301)))</formula>
    </cfRule>
  </conditionalFormatting>
  <conditionalFormatting sqref="P1301:P1302">
    <cfRule type="containsText" dxfId="771" priority="8373" operator="containsText" text="Finalizado">
      <formula>NOT(ISERROR(SEARCH("Finalizado",P1301)))</formula>
    </cfRule>
    <cfRule type="containsText" dxfId="770" priority="8372" operator="containsText" text="Pendente">
      <formula>NOT(ISERROR(SEARCH("Pendente",P1301)))</formula>
    </cfRule>
    <cfRule type="containsText" dxfId="769" priority="8363" operator="containsText" text="Lançado">
      <formula>NOT(ISERROR(SEARCH("Lançado",P1301)))</formula>
    </cfRule>
    <cfRule type="containsText" dxfId="768" priority="8366" operator="containsText" text="Finalizado">
      <formula>NOT(ISERROR(SEARCH("Finalizado",P1301)))</formula>
    </cfRule>
    <cfRule type="containsText" dxfId="767" priority="8365" operator="containsText" text="Pendente">
      <formula>NOT(ISERROR(SEARCH("Pendente",P1301)))</formula>
    </cfRule>
    <cfRule type="containsText" dxfId="766" priority="8370" operator="containsText" text="Lançado">
      <formula>NOT(ISERROR(SEARCH("Lançado",P1301)))</formula>
    </cfRule>
    <cfRule type="containsText" dxfId="765" priority="8374" operator="containsText" text="em andamento">
      <formula>NOT(ISERROR(SEARCH("em andamento",P1301)))</formula>
    </cfRule>
    <cfRule type="containsText" dxfId="764" priority="8364" operator="containsText" text="N/A">
      <formula>NOT(ISERROR(SEARCH("N/A",P1301)))</formula>
    </cfRule>
    <cfRule type="containsText" dxfId="763" priority="8371" operator="containsText" text="N/A">
      <formula>NOT(ISERROR(SEARCH("N/A",P1301)))</formula>
    </cfRule>
  </conditionalFormatting>
  <conditionalFormatting sqref="P1302">
    <cfRule type="containsText" dxfId="762" priority="8369" operator="containsText" text="em andamento">
      <formula>NOT(ISERROR(SEARCH("em andamento",P1302)))</formula>
    </cfRule>
  </conditionalFormatting>
  <conditionalFormatting sqref="P1304">
    <cfRule type="containsText" dxfId="761" priority="5042" operator="containsText" text="Pendente">
      <formula>NOT(ISERROR(SEARCH("Pendente",P1304)))</formula>
    </cfRule>
    <cfRule type="containsText" dxfId="760" priority="5044" operator="containsText" text="em andamento">
      <formula>NOT(ISERROR(SEARCH("em andamento",P1304)))</formula>
    </cfRule>
    <cfRule type="containsText" dxfId="759" priority="5043" operator="containsText" text="Finalizado">
      <formula>NOT(ISERROR(SEARCH("Finalizado",P1304)))</formula>
    </cfRule>
    <cfRule type="containsText" dxfId="758" priority="5034" operator="containsText" text="Pendente">
      <formula>NOT(ISERROR(SEARCH("Pendente",P1304)))</formula>
    </cfRule>
    <cfRule type="containsText" dxfId="757" priority="5035" operator="containsText" text="Finalizado">
      <formula>NOT(ISERROR(SEARCH("Finalizado",P1304)))</formula>
    </cfRule>
    <cfRule type="containsText" dxfId="756" priority="5032" operator="containsText" text="Lançado">
      <formula>NOT(ISERROR(SEARCH("Lançado",P1304)))</formula>
    </cfRule>
    <cfRule type="containsText" dxfId="755" priority="5007" operator="containsText" text="N/A">
      <formula>NOT(ISERROR(SEARCH("N/A",P1304)))</formula>
    </cfRule>
    <cfRule type="containsText" dxfId="754" priority="5036" operator="containsText" text="em andamento">
      <formula>NOT(ISERROR(SEARCH("em andamento",P1304)))</formula>
    </cfRule>
    <cfRule type="containsText" dxfId="753" priority="5040" operator="containsText" text="Lançado">
      <formula>NOT(ISERROR(SEARCH("Lançado",P1304)))</formula>
    </cfRule>
    <cfRule type="containsText" dxfId="752" priority="5041" operator="containsText" text="N/A">
      <formula>NOT(ISERROR(SEARCH("N/A",P1304)))</formula>
    </cfRule>
  </conditionalFormatting>
  <conditionalFormatting sqref="P1305">
    <cfRule type="expression" dxfId="751" priority="5009">
      <formula>$H1305="CÉLULA CONSTRUTIVA"</formula>
    </cfRule>
    <cfRule type="expression" dxfId="750" priority="5010">
      <formula>$H1305="ETAPA"</formula>
    </cfRule>
    <cfRule type="containsText" dxfId="749" priority="5011" operator="containsText" text="Lançado">
      <formula>NOT(ISERROR(SEARCH("Lançado",P1305)))</formula>
    </cfRule>
    <cfRule type="containsText" dxfId="748" priority="5012" operator="containsText" text="N/A">
      <formula>NOT(ISERROR(SEARCH("N/A",P1305)))</formula>
    </cfRule>
    <cfRule type="expression" dxfId="747" priority="5021">
      <formula>$H1305="SUBETAPA"</formula>
    </cfRule>
    <cfRule type="expression" dxfId="746" priority="5008">
      <formula>$H1305="SUBETAPA"</formula>
    </cfRule>
    <cfRule type="containsText" dxfId="745" priority="5033" operator="containsText" text="N/A">
      <formula>NOT(ISERROR(SEARCH("N/A",P1305)))</formula>
    </cfRule>
    <cfRule type="containsText" dxfId="744" priority="5027" operator="containsText" text="em andamento">
      <formula>NOT(ISERROR(SEARCH("em andamento",P1305)))</formula>
    </cfRule>
    <cfRule type="containsText" dxfId="743" priority="5026" operator="containsText" text="Finalizado">
      <formula>NOT(ISERROR(SEARCH("Finalizado",P1305)))</formula>
    </cfRule>
    <cfRule type="containsText" dxfId="742" priority="5025" operator="containsText" text="Pendente">
      <formula>NOT(ISERROR(SEARCH("Pendente",P1305)))</formula>
    </cfRule>
    <cfRule type="containsText" dxfId="741" priority="5024" operator="containsText" text="Lançado">
      <formula>NOT(ISERROR(SEARCH("Lançado",P1305)))</formula>
    </cfRule>
    <cfRule type="expression" dxfId="740" priority="5023">
      <formula>$H1305="ETAPA"</formula>
    </cfRule>
    <cfRule type="expression" dxfId="739" priority="5022">
      <formula>$H1305="CÉLULA CONSTRUTIVA"</formula>
    </cfRule>
    <cfRule type="containsText" dxfId="738" priority="5020" operator="containsText" text="em andamento">
      <formula>NOT(ISERROR(SEARCH("em andamento",P1305)))</formula>
    </cfRule>
    <cfRule type="containsText" dxfId="737" priority="5019" operator="containsText" text="Finalizado">
      <formula>NOT(ISERROR(SEARCH("Finalizado",P1305)))</formula>
    </cfRule>
    <cfRule type="containsText" dxfId="736" priority="5018" operator="containsText" text="Pendente">
      <formula>NOT(ISERROR(SEARCH("Pendente",P1305)))</formula>
    </cfRule>
    <cfRule type="containsText" dxfId="735" priority="5017" operator="containsText" text="N/A">
      <formula>NOT(ISERROR(SEARCH("N/A",P1305)))</formula>
    </cfRule>
    <cfRule type="containsText" dxfId="734" priority="5016" operator="containsText" text="Lançado">
      <formula>NOT(ISERROR(SEARCH("Lançado",P1305)))</formula>
    </cfRule>
    <cfRule type="containsText" dxfId="733" priority="5015" operator="containsText" text="em andamento">
      <formula>NOT(ISERROR(SEARCH("em andamento",P1305)))</formula>
    </cfRule>
    <cfRule type="containsText" dxfId="732" priority="5014" operator="containsText" text="Finalizado">
      <formula>NOT(ISERROR(SEARCH("Finalizado",P1305)))</formula>
    </cfRule>
    <cfRule type="containsText" dxfId="731" priority="5013" operator="containsText" text="Pendente">
      <formula>NOT(ISERROR(SEARCH("Pendente",P1305)))</formula>
    </cfRule>
  </conditionalFormatting>
  <conditionalFormatting sqref="P1306">
    <cfRule type="containsText" dxfId="730" priority="916" operator="containsText" text="Pendente">
      <formula>NOT(ISERROR(SEARCH("Pendente",P1306)))</formula>
    </cfRule>
    <cfRule type="containsText" dxfId="729" priority="922" operator="containsText" text="Finalizado">
      <formula>NOT(ISERROR(SEARCH("Finalizado",P1306)))</formula>
    </cfRule>
    <cfRule type="containsText" dxfId="728" priority="914" operator="containsText" text="Lançado">
      <formula>NOT(ISERROR(SEARCH("Lançado",P1306)))</formula>
    </cfRule>
    <cfRule type="containsText" dxfId="727" priority="921" operator="containsText" text="Pendente">
      <formula>NOT(ISERROR(SEARCH("Pendente",P1306)))</formula>
    </cfRule>
    <cfRule type="containsText" dxfId="726" priority="920" operator="containsText" text="N/A">
      <formula>NOT(ISERROR(SEARCH("N/A",P1306)))</formula>
    </cfRule>
    <cfRule type="containsText" dxfId="725" priority="919" operator="containsText" text="Lançado">
      <formula>NOT(ISERROR(SEARCH("Lançado",P1306)))</formula>
    </cfRule>
    <cfRule type="containsText" dxfId="724" priority="918" operator="containsText" text="em andamento">
      <formula>NOT(ISERROR(SEARCH("em andamento",P1306)))</formula>
    </cfRule>
    <cfRule type="containsText" dxfId="723" priority="917" operator="containsText" text="Finalizado">
      <formula>NOT(ISERROR(SEARCH("Finalizado",P1306)))</formula>
    </cfRule>
    <cfRule type="containsText" dxfId="722" priority="915" operator="containsText" text="N/A">
      <formula>NOT(ISERROR(SEARCH("N/A",P1306)))</formula>
    </cfRule>
    <cfRule type="containsText" dxfId="721" priority="923" operator="containsText" text="em andamento">
      <formula>NOT(ISERROR(SEARCH("em andamento",P1306)))</formula>
    </cfRule>
  </conditionalFormatting>
  <conditionalFormatting sqref="P1307">
    <cfRule type="containsText" dxfId="720" priority="888" operator="containsText" text="em andamento">
      <formula>NOT(ISERROR(SEARCH("em andamento",P1307)))</formula>
    </cfRule>
    <cfRule type="containsText" dxfId="719" priority="887" operator="containsText" text="Finalizado">
      <formula>NOT(ISERROR(SEARCH("Finalizado",P1307)))</formula>
    </cfRule>
    <cfRule type="containsText" dxfId="718" priority="886" operator="containsText" text="Pendente">
      <formula>NOT(ISERROR(SEARCH("Pendente",P1307)))</formula>
    </cfRule>
    <cfRule type="containsText" dxfId="717" priority="885" operator="containsText" text="N/A">
      <formula>NOT(ISERROR(SEARCH("N/A",P1307)))</formula>
    </cfRule>
    <cfRule type="containsText" dxfId="716" priority="889" operator="containsText" text="Lançado">
      <formula>NOT(ISERROR(SEARCH("Lançado",P1307)))</formula>
    </cfRule>
    <cfRule type="containsText" dxfId="715" priority="899" operator="containsText" text="Finalizado">
      <formula>NOT(ISERROR(SEARCH("Finalizado",P1307)))</formula>
    </cfRule>
    <cfRule type="containsText" dxfId="714" priority="900" operator="containsText" text="em andamento">
      <formula>NOT(ISERROR(SEARCH("em andamento",P1307)))</formula>
    </cfRule>
    <cfRule type="expression" dxfId="713" priority="894">
      <formula>$H1307="SUBETAPA"</formula>
    </cfRule>
    <cfRule type="containsText" dxfId="712" priority="893" operator="containsText" text="em andamento">
      <formula>NOT(ISERROR(SEARCH("em andamento",P1307)))</formula>
    </cfRule>
    <cfRule type="expression" dxfId="711" priority="895">
      <formula>$H1307="CÉLULA CONSTRUTIVA"</formula>
    </cfRule>
    <cfRule type="containsText" dxfId="710" priority="892" operator="containsText" text="Finalizado">
      <formula>NOT(ISERROR(SEARCH("Finalizado",P1307)))</formula>
    </cfRule>
    <cfRule type="containsText" dxfId="709" priority="902" operator="containsText" text="N/A">
      <formula>NOT(ISERROR(SEARCH("N/A",P1307)))</formula>
    </cfRule>
    <cfRule type="containsText" dxfId="708" priority="890" operator="containsText" text="N/A">
      <formula>NOT(ISERROR(SEARCH("N/A",P1307)))</formula>
    </cfRule>
    <cfRule type="containsText" dxfId="707" priority="891" operator="containsText" text="Pendente">
      <formula>NOT(ISERROR(SEARCH("Pendente",P1307)))</formula>
    </cfRule>
    <cfRule type="containsText" dxfId="706" priority="897" operator="containsText" text="Lançado">
      <formula>NOT(ISERROR(SEARCH("Lançado",P1307)))</formula>
    </cfRule>
    <cfRule type="expression" dxfId="705" priority="896">
      <formula>$H1307="ETAPA"</formula>
    </cfRule>
    <cfRule type="containsText" dxfId="704" priority="898" operator="containsText" text="Pendente">
      <formula>NOT(ISERROR(SEARCH("Pendente",P1307)))</formula>
    </cfRule>
    <cfRule type="containsText" dxfId="703" priority="884" operator="containsText" text="Lançado">
      <formula>NOT(ISERROR(SEARCH("Lançado",P1307)))</formula>
    </cfRule>
    <cfRule type="expression" dxfId="702" priority="883">
      <formula>$H1307="ETAPA"</formula>
    </cfRule>
    <cfRule type="expression" dxfId="701" priority="882">
      <formula>$H1307="CÉLULA CONSTRUTIVA"</formula>
    </cfRule>
    <cfRule type="expression" dxfId="700" priority="881">
      <formula>$H1307="SUBETAPA"</formula>
    </cfRule>
  </conditionalFormatting>
  <conditionalFormatting sqref="P1308 P1335:P1337">
    <cfRule type="containsText" dxfId="699" priority="23858" operator="containsText" text="Lançado">
      <formula>NOT(ISERROR(SEARCH("Lançado",P1308)))</formula>
    </cfRule>
  </conditionalFormatting>
  <conditionalFormatting sqref="P1308">
    <cfRule type="containsText" dxfId="698" priority="25152" operator="containsText" text="em andamento">
      <formula>NOT(ISERROR(SEARCH("em andamento",P1308)))</formula>
    </cfRule>
    <cfRule type="containsText" dxfId="697" priority="25150" operator="containsText" text="Pendente">
      <formula>NOT(ISERROR(SEARCH("Pendente",P1308)))</formula>
    </cfRule>
    <cfRule type="containsText" dxfId="696" priority="25151" operator="containsText" text="Finalizado">
      <formula>NOT(ISERROR(SEARCH("Finalizado",P1308)))</formula>
    </cfRule>
  </conditionalFormatting>
  <conditionalFormatting sqref="P1309">
    <cfRule type="containsText" dxfId="695" priority="14019" operator="containsText" text="Finalizado">
      <formula>NOT(ISERROR(SEARCH("Finalizado",P1309)))</formula>
    </cfRule>
    <cfRule type="containsText" dxfId="694" priority="14018" operator="containsText" text="Pendente">
      <formula>NOT(ISERROR(SEARCH("Pendente",P1309)))</formula>
    </cfRule>
    <cfRule type="containsText" dxfId="693" priority="14012" operator="containsText" text="Lançado">
      <formula>NOT(ISERROR(SEARCH("Lançado",P1309)))</formula>
    </cfRule>
    <cfRule type="containsText" dxfId="692" priority="13744" operator="containsText" text="N/A">
      <formula>NOT(ISERROR(SEARCH("N/A",P1309)))</formula>
    </cfRule>
    <cfRule type="containsText" dxfId="691" priority="14020" operator="containsText" text="em andamento">
      <formula>NOT(ISERROR(SEARCH("em andamento",P1309)))</formula>
    </cfRule>
  </conditionalFormatting>
  <conditionalFormatting sqref="P1309:P1310">
    <cfRule type="containsText" dxfId="690" priority="14029" operator="containsText" text="Pendente">
      <formula>NOT(ISERROR(SEARCH("Pendente",P1309)))</formula>
    </cfRule>
    <cfRule type="containsText" dxfId="689" priority="14030" operator="containsText" text="Finalizado">
      <formula>NOT(ISERROR(SEARCH("Finalizado",P1309)))</formula>
    </cfRule>
    <cfRule type="containsText" dxfId="688" priority="14031" operator="containsText" text="em andamento">
      <formula>NOT(ISERROR(SEARCH("em andamento",P1309)))</formula>
    </cfRule>
    <cfRule type="containsText" dxfId="687" priority="14028" operator="containsText" text="N/A">
      <formula>NOT(ISERROR(SEARCH("N/A",P1309)))</formula>
    </cfRule>
    <cfRule type="containsText" dxfId="686" priority="14027" operator="containsText" text="Lançado">
      <formula>NOT(ISERROR(SEARCH("Lançado",P1309)))</formula>
    </cfRule>
  </conditionalFormatting>
  <conditionalFormatting sqref="P1311">
    <cfRule type="containsText" dxfId="685" priority="13732" operator="containsText" text="N/A">
      <formula>NOT(ISERROR(SEARCH("N/A",P1311)))</formula>
    </cfRule>
    <cfRule type="expression" dxfId="684" priority="13723">
      <formula>$H1311="SUBETAPA"</formula>
    </cfRule>
    <cfRule type="expression" dxfId="683" priority="13724">
      <formula>$H1311="CÉLULA CONSTRUTIVA"</formula>
    </cfRule>
    <cfRule type="expression" dxfId="682" priority="13725">
      <formula>$H1311="ETAPA"</formula>
    </cfRule>
    <cfRule type="containsText" dxfId="681" priority="13726" operator="containsText" text="Lançado">
      <formula>NOT(ISERROR(SEARCH("Lançado",P1311)))</formula>
    </cfRule>
    <cfRule type="containsText" dxfId="680" priority="13727" operator="containsText" text="N/A">
      <formula>NOT(ISERROR(SEARCH("N/A",P1311)))</formula>
    </cfRule>
    <cfRule type="containsText" dxfId="679" priority="13728" operator="containsText" text="Pendente">
      <formula>NOT(ISERROR(SEARCH("Pendente",P1311)))</formula>
    </cfRule>
    <cfRule type="containsText" dxfId="678" priority="13729" operator="containsText" text="Finalizado">
      <formula>NOT(ISERROR(SEARCH("Finalizado",P1311)))</formula>
    </cfRule>
    <cfRule type="containsText" dxfId="677" priority="13730" operator="containsText" text="em andamento">
      <formula>NOT(ISERROR(SEARCH("em andamento",P1311)))</formula>
    </cfRule>
    <cfRule type="containsText" dxfId="676" priority="13731" operator="containsText" text="Lançado">
      <formula>NOT(ISERROR(SEARCH("Lançado",P1311)))</formula>
    </cfRule>
    <cfRule type="containsText" dxfId="675" priority="13733" operator="containsText" text="Pendente">
      <formula>NOT(ISERROR(SEARCH("Pendente",P1311)))</formula>
    </cfRule>
    <cfRule type="containsText" dxfId="674" priority="13734" operator="containsText" text="Finalizado">
      <formula>NOT(ISERROR(SEARCH("Finalizado",P1311)))</formula>
    </cfRule>
    <cfRule type="containsText" dxfId="673" priority="13735" operator="containsText" text="em andamento">
      <formula>NOT(ISERROR(SEARCH("em andamento",P1311)))</formula>
    </cfRule>
    <cfRule type="expression" dxfId="672" priority="13736">
      <formula>$H1311="SUBETAPA"</formula>
    </cfRule>
    <cfRule type="expression" dxfId="671" priority="13737">
      <formula>$H1311="CÉLULA CONSTRUTIVA"</formula>
    </cfRule>
    <cfRule type="expression" dxfId="670" priority="13738">
      <formula>$H1311="ETAPA"</formula>
    </cfRule>
    <cfRule type="containsText" dxfId="669" priority="13739" operator="containsText" text="Lançado">
      <formula>NOT(ISERROR(SEARCH("Lançado",P1311)))</formula>
    </cfRule>
    <cfRule type="containsText" dxfId="668" priority="13740" operator="containsText" text="N/A">
      <formula>NOT(ISERROR(SEARCH("N/A",P1311)))</formula>
    </cfRule>
    <cfRule type="containsText" dxfId="667" priority="13741" operator="containsText" text="Pendente">
      <formula>NOT(ISERROR(SEARCH("Pendente",P1311)))</formula>
    </cfRule>
    <cfRule type="containsText" dxfId="666" priority="13742" operator="containsText" text="Finalizado">
      <formula>NOT(ISERROR(SEARCH("Finalizado",P1311)))</formula>
    </cfRule>
    <cfRule type="containsText" dxfId="665" priority="13743" operator="containsText" text="em andamento">
      <formula>NOT(ISERROR(SEARCH("em andamento",P1311)))</formula>
    </cfRule>
  </conditionalFormatting>
  <conditionalFormatting sqref="P1312:P1313 P1315 P1317">
    <cfRule type="containsText" dxfId="664" priority="13963" operator="containsText" text="Finalizado">
      <formula>NOT(ISERROR(SEARCH("Finalizado",P1312)))</formula>
    </cfRule>
    <cfRule type="containsText" dxfId="663" priority="13964" operator="containsText" text="em andamento">
      <formula>NOT(ISERROR(SEARCH("em andamento",P1312)))</formula>
    </cfRule>
  </conditionalFormatting>
  <conditionalFormatting sqref="P1312:P1313">
    <cfRule type="containsText" dxfId="662" priority="13932" operator="containsText" text="Lançado">
      <formula>NOT(ISERROR(SEARCH("Lançado",P1312)))</formula>
    </cfRule>
    <cfRule type="containsText" dxfId="661" priority="13938" operator="containsText" text="Pendente">
      <formula>NOT(ISERROR(SEARCH("Pendente",P1312)))</formula>
    </cfRule>
    <cfRule type="containsText" dxfId="660" priority="13939" operator="containsText" text="Finalizado">
      <formula>NOT(ISERROR(SEARCH("Finalizado",P1312)))</formula>
    </cfRule>
    <cfRule type="containsText" dxfId="659" priority="13940" operator="containsText" text="em andamento">
      <formula>NOT(ISERROR(SEARCH("em andamento",P1312)))</formula>
    </cfRule>
  </conditionalFormatting>
  <conditionalFormatting sqref="P1313">
    <cfRule type="containsText" dxfId="658" priority="13946" operator="containsText" text="Lançado">
      <formula>NOT(ISERROR(SEARCH("Lançado",P1313)))</formula>
    </cfRule>
    <cfRule type="containsText" dxfId="657" priority="13947" operator="containsText" text="N/A">
      <formula>NOT(ISERROR(SEARCH("N/A",P1313)))</formula>
    </cfRule>
    <cfRule type="containsText" dxfId="656" priority="13948" operator="containsText" text="Pendente">
      <formula>NOT(ISERROR(SEARCH("Pendente",P1313)))</formula>
    </cfRule>
    <cfRule type="containsText" dxfId="655" priority="13949" operator="containsText" text="Finalizado">
      <formula>NOT(ISERROR(SEARCH("Finalizado",P1313)))</formula>
    </cfRule>
    <cfRule type="containsText" dxfId="654" priority="13950" operator="containsText" text="em andamento">
      <formula>NOT(ISERROR(SEARCH("em andamento",P1313)))</formula>
    </cfRule>
    <cfRule type="expression" dxfId="653" priority="13943">
      <formula>$H1313="SUBETAPA"</formula>
    </cfRule>
    <cfRule type="expression" dxfId="652" priority="13944">
      <formula>$H1313="CÉLULA CONSTRUTIVA"</formula>
    </cfRule>
  </conditionalFormatting>
  <conditionalFormatting sqref="P1314">
    <cfRule type="containsText" dxfId="651" priority="13642" operator="containsText" text="Lançado">
      <formula>NOT(ISERROR(SEARCH("Lançado",P1314)))</formula>
    </cfRule>
    <cfRule type="containsText" dxfId="650" priority="13632" operator="containsText" text="Finalizado">
      <formula>NOT(ISERROR(SEARCH("Finalizado",P1314)))</formula>
    </cfRule>
    <cfRule type="containsText" dxfId="649" priority="13633" operator="containsText" text="em andamento">
      <formula>NOT(ISERROR(SEARCH("em andamento",P1314)))</formula>
    </cfRule>
    <cfRule type="containsText" dxfId="648" priority="13644" operator="containsText" text="Pendente">
      <formula>NOT(ISERROR(SEARCH("Pendente",P1314)))</formula>
    </cfRule>
    <cfRule type="containsText" dxfId="647" priority="13645" operator="containsText" text="Finalizado">
      <formula>NOT(ISERROR(SEARCH("Finalizado",P1314)))</formula>
    </cfRule>
    <cfRule type="containsText" dxfId="646" priority="13646" operator="containsText" text="em andamento">
      <formula>NOT(ISERROR(SEARCH("em andamento",P1314)))</formula>
    </cfRule>
    <cfRule type="containsText" dxfId="645" priority="13631" operator="containsText" text="Pendente">
      <formula>NOT(ISERROR(SEARCH("Pendente",P1314)))</formula>
    </cfRule>
    <cfRule type="expression" dxfId="644" priority="13641">
      <formula>$H1314="ETAPA"</formula>
    </cfRule>
    <cfRule type="containsText" dxfId="643" priority="13634" operator="containsText" text="Lançado">
      <formula>NOT(ISERROR(SEARCH("Lançado",P1314)))</formula>
    </cfRule>
    <cfRule type="containsText" dxfId="642" priority="13636" operator="containsText" text="Pendente">
      <formula>NOT(ISERROR(SEARCH("Pendente",P1314)))</formula>
    </cfRule>
    <cfRule type="containsText" dxfId="641" priority="13637" operator="containsText" text="Finalizado">
      <formula>NOT(ISERROR(SEARCH("Finalizado",P1314)))</formula>
    </cfRule>
    <cfRule type="containsText" dxfId="640" priority="13638" operator="containsText" text="em andamento">
      <formula>NOT(ISERROR(SEARCH("em andamento",P1314)))</formula>
    </cfRule>
    <cfRule type="expression" dxfId="639" priority="13639">
      <formula>$H1314="SUBETAPA"</formula>
    </cfRule>
    <cfRule type="containsText" dxfId="638" priority="13635" operator="containsText" text="N/A">
      <formula>NOT(ISERROR(SEARCH("N/A",P1314)))</formula>
    </cfRule>
    <cfRule type="containsText" dxfId="637" priority="13643" operator="containsText" text="N/A">
      <formula>NOT(ISERROR(SEARCH("N/A",P1314)))</formula>
    </cfRule>
    <cfRule type="containsText" dxfId="636" priority="13630" operator="containsText" text="N/A">
      <formula>NOT(ISERROR(SEARCH("N/A",P1314)))</formula>
    </cfRule>
    <cfRule type="containsText" dxfId="635" priority="13629" operator="containsText" text="Lançado">
      <formula>NOT(ISERROR(SEARCH("Lançado",P1314)))</formula>
    </cfRule>
    <cfRule type="expression" dxfId="634" priority="13628">
      <formula>$H1314="ETAPA"</formula>
    </cfRule>
    <cfRule type="expression" dxfId="633" priority="13627">
      <formula>$H1314="CÉLULA CONSTRUTIVA"</formula>
    </cfRule>
    <cfRule type="expression" dxfId="632" priority="13626">
      <formula>$H1314="SUBETAPA"</formula>
    </cfRule>
    <cfRule type="expression" dxfId="631" priority="13640">
      <formula>$H1314="CÉLULA CONSTRUTIVA"</formula>
    </cfRule>
  </conditionalFormatting>
  <conditionalFormatting sqref="P1316">
    <cfRule type="expression" dxfId="630" priority="13605">
      <formula>$H1316="SUBETAPA"</formula>
    </cfRule>
    <cfRule type="containsText" dxfId="629" priority="13609" operator="containsText" text="N/A">
      <formula>NOT(ISERROR(SEARCH("N/A",P1316)))</formula>
    </cfRule>
    <cfRule type="containsText" dxfId="628" priority="13614" operator="containsText" text="N/A">
      <formula>NOT(ISERROR(SEARCH("N/A",P1316)))</formula>
    </cfRule>
    <cfRule type="containsText" dxfId="627" priority="13612" operator="containsText" text="em andamento">
      <formula>NOT(ISERROR(SEARCH("em andamento",P1316)))</formula>
    </cfRule>
    <cfRule type="containsText" dxfId="626" priority="13611" operator="containsText" text="Finalizado">
      <formula>NOT(ISERROR(SEARCH("Finalizado",P1316)))</formula>
    </cfRule>
    <cfRule type="containsText" dxfId="625" priority="13610" operator="containsText" text="Pendente">
      <formula>NOT(ISERROR(SEARCH("Pendente",P1316)))</formula>
    </cfRule>
    <cfRule type="containsText" dxfId="624" priority="13608" operator="containsText" text="Lançado">
      <formula>NOT(ISERROR(SEARCH("Lançado",P1316)))</formula>
    </cfRule>
    <cfRule type="expression" dxfId="623" priority="13607">
      <formula>$H1316="ETAPA"</formula>
    </cfRule>
    <cfRule type="containsText" dxfId="622" priority="13625" operator="containsText" text="em andamento">
      <formula>NOT(ISERROR(SEARCH("em andamento",P1316)))</formula>
    </cfRule>
    <cfRule type="containsText" dxfId="621" priority="13623" operator="containsText" text="Pendente">
      <formula>NOT(ISERROR(SEARCH("Pendente",P1316)))</formula>
    </cfRule>
    <cfRule type="containsText" dxfId="620" priority="13622" operator="containsText" text="N/A">
      <formula>NOT(ISERROR(SEARCH("N/A",P1316)))</formula>
    </cfRule>
    <cfRule type="containsText" dxfId="619" priority="13621" operator="containsText" text="Lançado">
      <formula>NOT(ISERROR(SEARCH("Lançado",P1316)))</formula>
    </cfRule>
    <cfRule type="expression" dxfId="618" priority="13620">
      <formula>$H1316="ETAPA"</formula>
    </cfRule>
    <cfRule type="expression" dxfId="617" priority="13619">
      <formula>$H1316="CÉLULA CONSTRUTIVA"</formula>
    </cfRule>
    <cfRule type="expression" dxfId="616" priority="13618">
      <formula>$H1316="SUBETAPA"</formula>
    </cfRule>
    <cfRule type="containsText" dxfId="615" priority="13617" operator="containsText" text="em andamento">
      <formula>NOT(ISERROR(SEARCH("em andamento",P1316)))</formula>
    </cfRule>
    <cfRule type="expression" dxfId="614" priority="13606">
      <formula>$H1316="CÉLULA CONSTRUTIVA"</formula>
    </cfRule>
    <cfRule type="containsText" dxfId="613" priority="13616" operator="containsText" text="Finalizado">
      <formula>NOT(ISERROR(SEARCH("Finalizado",P1316)))</formula>
    </cfRule>
    <cfRule type="containsText" dxfId="612" priority="13615" operator="containsText" text="Pendente">
      <formula>NOT(ISERROR(SEARCH("Pendente",P1316)))</formula>
    </cfRule>
    <cfRule type="containsText" dxfId="611" priority="13613" operator="containsText" text="Lançado">
      <formula>NOT(ISERROR(SEARCH("Lançado",P1316)))</formula>
    </cfRule>
    <cfRule type="containsText" dxfId="610" priority="13624" operator="containsText" text="Finalizado">
      <formula>NOT(ISERROR(SEARCH("Finalizado",P1316)))</formula>
    </cfRule>
  </conditionalFormatting>
  <conditionalFormatting sqref="P1317 P1315 P1312:P1313">
    <cfRule type="containsText" dxfId="609" priority="13960" operator="containsText" text="Lançado">
      <formula>NOT(ISERROR(SEARCH("Lançado",P1312)))</formula>
    </cfRule>
    <cfRule type="containsText" dxfId="608" priority="13961" operator="containsText" text="N/A">
      <formula>NOT(ISERROR(SEARCH("N/A",P1312)))</formula>
    </cfRule>
    <cfRule type="containsText" dxfId="607" priority="13962" operator="containsText" text="Pendente">
      <formula>NOT(ISERROR(SEARCH("Pendente",P1312)))</formula>
    </cfRule>
  </conditionalFormatting>
  <conditionalFormatting sqref="P1317">
    <cfRule type="containsText" dxfId="606" priority="13959" operator="containsText" text="em andamento">
      <formula>NOT(ISERROR(SEARCH("em andamento",P1317)))</formula>
    </cfRule>
    <cfRule type="containsText" dxfId="605" priority="13958" operator="containsText" text="Finalizado">
      <formula>NOT(ISERROR(SEARCH("Finalizado",P1317)))</formula>
    </cfRule>
    <cfRule type="containsText" dxfId="604" priority="13956" operator="containsText" text="N/A">
      <formula>NOT(ISERROR(SEARCH("N/A",P1317)))</formula>
    </cfRule>
    <cfRule type="containsText" dxfId="603" priority="13955" operator="containsText" text="Lançado">
      <formula>NOT(ISERROR(SEARCH("Lançado",P1317)))</formula>
    </cfRule>
    <cfRule type="containsText" dxfId="602" priority="13957" operator="containsText" text="Pendente">
      <formula>NOT(ISERROR(SEARCH("Pendente",P1317)))</formula>
    </cfRule>
  </conditionalFormatting>
  <conditionalFormatting sqref="P1318">
    <cfRule type="containsText" dxfId="601" priority="13665" operator="containsText" text="Pendente">
      <formula>NOT(ISERROR(SEARCH("Pendente",P1318)))</formula>
    </cfRule>
    <cfRule type="containsText" dxfId="600" priority="13664" operator="containsText" text="N/A">
      <formula>NOT(ISERROR(SEARCH("N/A",P1318)))</formula>
    </cfRule>
    <cfRule type="containsText" dxfId="599" priority="13663" operator="containsText" text="Lançado">
      <formula>NOT(ISERROR(SEARCH("Lançado",P1318)))</formula>
    </cfRule>
    <cfRule type="containsText" dxfId="598" priority="13657" operator="containsText" text="Pendente">
      <formula>NOT(ISERROR(SEARCH("Pendente",P1318)))</formula>
    </cfRule>
    <cfRule type="expression" dxfId="597" priority="13661">
      <formula>$H1318="CÉLULA CONSTRUTIVA"</formula>
    </cfRule>
    <cfRule type="expression" dxfId="596" priority="13662">
      <formula>$H1318="ETAPA"</formula>
    </cfRule>
    <cfRule type="containsText" dxfId="595" priority="13655" operator="containsText" text="Lançado">
      <formula>NOT(ISERROR(SEARCH("Lançado",P1318)))</formula>
    </cfRule>
    <cfRule type="containsText" dxfId="594" priority="13659" operator="containsText" text="em andamento">
      <formula>NOT(ISERROR(SEARCH("em andamento",P1318)))</formula>
    </cfRule>
    <cfRule type="containsText" dxfId="593" priority="13667" operator="containsText" text="em andamento">
      <formula>NOT(ISERROR(SEARCH("em andamento",P1318)))</formula>
    </cfRule>
    <cfRule type="containsText" dxfId="592" priority="13666" operator="containsText" text="Finalizado">
      <formula>NOT(ISERROR(SEARCH("Finalizado",P1318)))</formula>
    </cfRule>
    <cfRule type="containsText" dxfId="591" priority="13651" operator="containsText" text="N/A">
      <formula>NOT(ISERROR(SEARCH("N/A",P1318)))</formula>
    </cfRule>
    <cfRule type="containsText" dxfId="590" priority="13653" operator="containsText" text="Finalizado">
      <formula>NOT(ISERROR(SEARCH("Finalizado",P1318)))</formula>
    </cfRule>
    <cfRule type="containsText" dxfId="589" priority="13652" operator="containsText" text="Pendente">
      <formula>NOT(ISERROR(SEARCH("Pendente",P1318)))</formula>
    </cfRule>
    <cfRule type="expression" dxfId="588" priority="13660">
      <formula>$H1318="SUBETAPA"</formula>
    </cfRule>
    <cfRule type="containsText" dxfId="587" priority="13650" operator="containsText" text="Lançado">
      <formula>NOT(ISERROR(SEARCH("Lançado",P1318)))</formula>
    </cfRule>
    <cfRule type="containsText" dxfId="586" priority="13658" operator="containsText" text="Finalizado">
      <formula>NOT(ISERROR(SEARCH("Finalizado",P1318)))</formula>
    </cfRule>
    <cfRule type="expression" dxfId="585" priority="13649">
      <formula>$H1318="ETAPA"</formula>
    </cfRule>
    <cfRule type="expression" dxfId="584" priority="13648">
      <formula>$H1318="CÉLULA CONSTRUTIVA"</formula>
    </cfRule>
    <cfRule type="expression" dxfId="583" priority="13647">
      <formula>$H1318="SUBETAPA"</formula>
    </cfRule>
    <cfRule type="containsText" dxfId="582" priority="13656" operator="containsText" text="N/A">
      <formula>NOT(ISERROR(SEARCH("N/A",P1318)))</formula>
    </cfRule>
    <cfRule type="containsText" dxfId="581" priority="13654" operator="containsText" text="em andamento">
      <formula>NOT(ISERROR(SEARCH("em andamento",P1318)))</formula>
    </cfRule>
  </conditionalFormatting>
  <conditionalFormatting sqref="P1319">
    <cfRule type="containsText" dxfId="580" priority="13675" operator="containsText" text="em andamento">
      <formula>NOT(ISERROR(SEARCH("em andamento",P1319)))</formula>
    </cfRule>
    <cfRule type="containsText" dxfId="579" priority="13680" operator="containsText" text="em andamento">
      <formula>NOT(ISERROR(SEARCH("em andamento",P1319)))</formula>
    </cfRule>
    <cfRule type="containsText" dxfId="578" priority="13679" operator="containsText" text="Finalizado">
      <formula>NOT(ISERROR(SEARCH("Finalizado",P1319)))</formula>
    </cfRule>
    <cfRule type="expression" dxfId="577" priority="13668">
      <formula>$H1319="SUBETAPA"</formula>
    </cfRule>
    <cfRule type="containsText" dxfId="576" priority="13678" operator="containsText" text="Pendente">
      <formula>NOT(ISERROR(SEARCH("Pendente",P1319)))</formula>
    </cfRule>
    <cfRule type="containsText" dxfId="575" priority="13671" operator="containsText" text="Lançado">
      <formula>NOT(ISERROR(SEARCH("Lançado",P1319)))</formula>
    </cfRule>
    <cfRule type="expression" dxfId="574" priority="13670">
      <formula>$H1319="ETAPA"</formula>
    </cfRule>
    <cfRule type="containsText" dxfId="573" priority="13676" operator="containsText" text="Lançado">
      <formula>NOT(ISERROR(SEARCH("Lançado",P1319)))</formula>
    </cfRule>
    <cfRule type="containsText" dxfId="572" priority="13677" operator="containsText" text="N/A">
      <formula>NOT(ISERROR(SEARCH("N/A",P1319)))</formula>
    </cfRule>
    <cfRule type="containsText" dxfId="571" priority="13672" operator="containsText" text="N/A">
      <formula>NOT(ISERROR(SEARCH("N/A",P1319)))</formula>
    </cfRule>
    <cfRule type="containsText" dxfId="570" priority="13673" operator="containsText" text="Pendente">
      <formula>NOT(ISERROR(SEARCH("Pendente",P1319)))</formula>
    </cfRule>
    <cfRule type="containsText" dxfId="569" priority="13674" operator="containsText" text="Finalizado">
      <formula>NOT(ISERROR(SEARCH("Finalizado",P1319)))</formula>
    </cfRule>
    <cfRule type="expression" dxfId="568" priority="13669">
      <formula>$H1319="CÉLULA CONSTRUTIVA"</formula>
    </cfRule>
  </conditionalFormatting>
  <conditionalFormatting sqref="P1320">
    <cfRule type="containsText" dxfId="567" priority="13595" operator="containsText" text="Finalizado">
      <formula>NOT(ISERROR(SEARCH("Finalizado",P1320)))</formula>
    </cfRule>
    <cfRule type="containsText" dxfId="566" priority="13596" operator="containsText" text="em andamento">
      <formula>NOT(ISERROR(SEARCH("em andamento",P1320)))</formula>
    </cfRule>
    <cfRule type="expression" dxfId="565" priority="13597">
      <formula>$H1320="SUBETAPA"</formula>
    </cfRule>
    <cfRule type="expression" dxfId="564" priority="13598">
      <formula>$H1320="CÉLULA CONSTRUTIVA"</formula>
    </cfRule>
    <cfRule type="expression" dxfId="563" priority="13599">
      <formula>$H1320="ETAPA"</formula>
    </cfRule>
    <cfRule type="containsText" dxfId="562" priority="13600" operator="containsText" text="Lançado">
      <formula>NOT(ISERROR(SEARCH("Lançado",P1320)))</formula>
    </cfRule>
    <cfRule type="containsText" dxfId="561" priority="13601" operator="containsText" text="N/A">
      <formula>NOT(ISERROR(SEARCH("N/A",P1320)))</formula>
    </cfRule>
    <cfRule type="containsText" dxfId="560" priority="13602" operator="containsText" text="Pendente">
      <formula>NOT(ISERROR(SEARCH("Pendente",P1320)))</formula>
    </cfRule>
    <cfRule type="containsText" dxfId="559" priority="13603" operator="containsText" text="Finalizado">
      <formula>NOT(ISERROR(SEARCH("Finalizado",P1320)))</formula>
    </cfRule>
    <cfRule type="containsText" dxfId="558" priority="13604" operator="containsText" text="em andamento">
      <formula>NOT(ISERROR(SEARCH("em andamento",P1320)))</formula>
    </cfRule>
    <cfRule type="containsText" dxfId="557" priority="13588" operator="containsText" text="N/A">
      <formula>NOT(ISERROR(SEARCH("N/A",P1320)))</formula>
    </cfRule>
    <cfRule type="containsText" dxfId="556" priority="13594" operator="containsText" text="Pendente">
      <formula>NOT(ISERROR(SEARCH("Pendente",P1320)))</formula>
    </cfRule>
    <cfRule type="expression" dxfId="555" priority="13584">
      <formula>$H1320="SUBETAPA"</formula>
    </cfRule>
    <cfRule type="expression" dxfId="554" priority="13585">
      <formula>$H1320="CÉLULA CONSTRUTIVA"</formula>
    </cfRule>
    <cfRule type="expression" dxfId="553" priority="13586">
      <formula>$H1320="ETAPA"</formula>
    </cfRule>
    <cfRule type="containsText" dxfId="552" priority="13587" operator="containsText" text="Lançado">
      <formula>NOT(ISERROR(SEARCH("Lançado",P1320)))</formula>
    </cfRule>
    <cfRule type="containsText" dxfId="551" priority="13589" operator="containsText" text="Pendente">
      <formula>NOT(ISERROR(SEARCH("Pendente",P1320)))</formula>
    </cfRule>
    <cfRule type="containsText" dxfId="550" priority="13590" operator="containsText" text="Finalizado">
      <formula>NOT(ISERROR(SEARCH("Finalizado",P1320)))</formula>
    </cfRule>
    <cfRule type="containsText" dxfId="549" priority="13591" operator="containsText" text="em andamento">
      <formula>NOT(ISERROR(SEARCH("em andamento",P1320)))</formula>
    </cfRule>
    <cfRule type="containsText" dxfId="548" priority="13592" operator="containsText" text="Lançado">
      <formula>NOT(ISERROR(SEARCH("Lançado",P1320)))</formula>
    </cfRule>
    <cfRule type="containsText" dxfId="547" priority="13593" operator="containsText" text="N/A">
      <formula>NOT(ISERROR(SEARCH("N/A",P1320)))</formula>
    </cfRule>
  </conditionalFormatting>
  <conditionalFormatting sqref="P1321:P1322 P1326">
    <cfRule type="containsText" dxfId="546" priority="13924" operator="containsText" text="em andamento">
      <formula>NOT(ISERROR(SEARCH("em andamento",P1321)))</formula>
    </cfRule>
    <cfRule type="containsText" dxfId="545" priority="13923" operator="containsText" text="Finalizado">
      <formula>NOT(ISERROR(SEARCH("Finalizado",P1321)))</formula>
    </cfRule>
  </conditionalFormatting>
  <conditionalFormatting sqref="P1321:P1322">
    <cfRule type="containsText" dxfId="544" priority="13900" operator="containsText" text="em andamento">
      <formula>NOT(ISERROR(SEARCH("em andamento",P1321)))</formula>
    </cfRule>
    <cfRule type="containsText" dxfId="543" priority="13899" operator="containsText" text="Finalizado">
      <formula>NOT(ISERROR(SEARCH("Finalizado",P1321)))</formula>
    </cfRule>
    <cfRule type="containsText" dxfId="542" priority="13898" operator="containsText" text="Pendente">
      <formula>NOT(ISERROR(SEARCH("Pendente",P1321)))</formula>
    </cfRule>
  </conditionalFormatting>
  <conditionalFormatting sqref="P1321:P1325">
    <cfRule type="containsText" dxfId="541" priority="13869" operator="containsText" text="Lançado">
      <formula>NOT(ISERROR(SEARCH("Lançado",P1321)))</formula>
    </cfRule>
    <cfRule type="containsText" dxfId="540" priority="13870" operator="containsText" text="N/A">
      <formula>NOT(ISERROR(SEARCH("N/A",P1321)))</formula>
    </cfRule>
  </conditionalFormatting>
  <conditionalFormatting sqref="P1322">
    <cfRule type="containsText" dxfId="539" priority="13906" operator="containsText" text="Lançado">
      <formula>NOT(ISERROR(SEARCH("Lançado",P1322)))</formula>
    </cfRule>
    <cfRule type="expression" dxfId="538" priority="13904">
      <formula>$H1322="CÉLULA CONSTRUTIVA"</formula>
    </cfRule>
    <cfRule type="expression" dxfId="537" priority="13903">
      <formula>$H1322="SUBETAPA"</formula>
    </cfRule>
    <cfRule type="containsText" dxfId="536" priority="13910" operator="containsText" text="em andamento">
      <formula>NOT(ISERROR(SEARCH("em andamento",P1322)))</formula>
    </cfRule>
    <cfRule type="containsText" dxfId="535" priority="13909" operator="containsText" text="Finalizado">
      <formula>NOT(ISERROR(SEARCH("Finalizado",P1322)))</formula>
    </cfRule>
    <cfRule type="containsText" dxfId="534" priority="13908" operator="containsText" text="Pendente">
      <formula>NOT(ISERROR(SEARCH("Pendente",P1322)))</formula>
    </cfRule>
    <cfRule type="containsText" dxfId="533" priority="13907" operator="containsText" text="N/A">
      <formula>NOT(ISERROR(SEARCH("N/A",P1322)))</formula>
    </cfRule>
  </conditionalFormatting>
  <conditionalFormatting sqref="P1323 P1325">
    <cfRule type="containsText" dxfId="532" priority="13863" operator="containsText" text="Pendente">
      <formula>NOT(ISERROR(SEARCH("Pendente",P1323)))</formula>
    </cfRule>
    <cfRule type="containsText" dxfId="531" priority="13864" operator="containsText" text="Finalizado">
      <formula>NOT(ISERROR(SEARCH("Finalizado",P1323)))</formula>
    </cfRule>
    <cfRule type="expression" dxfId="530" priority="13853">
      <formula>$H1323="SUBETAPA"</formula>
    </cfRule>
    <cfRule type="expression" dxfId="529" priority="13854">
      <formula>$H1323="CÉLULA CONSTRUTIVA"</formula>
    </cfRule>
    <cfRule type="containsText" dxfId="528" priority="13865" operator="containsText" text="em andamento">
      <formula>NOT(ISERROR(SEARCH("em andamento",P1323)))</formula>
    </cfRule>
    <cfRule type="expression" dxfId="527" priority="13855">
      <formula>$H1323="ETAPA"</formula>
    </cfRule>
    <cfRule type="containsText" dxfId="526" priority="13856" operator="containsText" text="Lançado">
      <formula>NOT(ISERROR(SEARCH("Lançado",P1323)))</formula>
    </cfRule>
    <cfRule type="containsText" dxfId="525" priority="13857" operator="containsText" text="N/A">
      <formula>NOT(ISERROR(SEARCH("N/A",P1323)))</formula>
    </cfRule>
    <cfRule type="containsText" dxfId="524" priority="13858" operator="containsText" text="Pendente">
      <formula>NOT(ISERROR(SEARCH("Pendente",P1323)))</formula>
    </cfRule>
    <cfRule type="containsText" dxfId="523" priority="13859" operator="containsText" text="Finalizado">
      <formula>NOT(ISERROR(SEARCH("Finalizado",P1323)))</formula>
    </cfRule>
    <cfRule type="containsText" dxfId="522" priority="13871" operator="containsText" text="Pendente">
      <formula>NOT(ISERROR(SEARCH("Pendente",P1323)))</formula>
    </cfRule>
    <cfRule type="containsText" dxfId="521" priority="13872" operator="containsText" text="Finalizado">
      <formula>NOT(ISERROR(SEARCH("Finalizado",P1323)))</formula>
    </cfRule>
    <cfRule type="containsText" dxfId="520" priority="13873" operator="containsText" text="em andamento">
      <formula>NOT(ISERROR(SEARCH("em andamento",P1323)))</formula>
    </cfRule>
    <cfRule type="containsText" dxfId="519" priority="13860" operator="containsText" text="em andamento">
      <formula>NOT(ISERROR(SEARCH("em andamento",P1323)))</formula>
    </cfRule>
    <cfRule type="containsText" dxfId="518" priority="13862" operator="containsText" text="N/A">
      <formula>NOT(ISERROR(SEARCH("N/A",P1323)))</formula>
    </cfRule>
    <cfRule type="containsText" dxfId="517" priority="13861" operator="containsText" text="Lançado">
      <formula>NOT(ISERROR(SEARCH("Lançado",P1323)))</formula>
    </cfRule>
  </conditionalFormatting>
  <conditionalFormatting sqref="P1324">
    <cfRule type="containsText" dxfId="516" priority="4782" operator="containsText" text="em andamento">
      <formula>NOT(ISERROR(SEARCH("em andamento",P1324)))</formula>
    </cfRule>
    <cfRule type="containsText" dxfId="515" priority="4792" operator="containsText" text="em andamento">
      <formula>NOT(ISERROR(SEARCH("em andamento",P1324)))</formula>
    </cfRule>
    <cfRule type="containsText" dxfId="514" priority="4794" operator="containsText" text="Lançado">
      <formula>NOT(ISERROR(SEARCH("Lançado",P1324)))</formula>
    </cfRule>
    <cfRule type="containsText" dxfId="513" priority="4795" operator="containsText" text="N/A">
      <formula>NOT(ISERROR(SEARCH("N/A",P1324)))</formula>
    </cfRule>
    <cfRule type="containsText" dxfId="512" priority="4796" operator="containsText" text="Pendente">
      <formula>NOT(ISERROR(SEARCH("Pendente",P1324)))</formula>
    </cfRule>
    <cfRule type="containsText" dxfId="511" priority="4797" operator="containsText" text="Finalizado">
      <formula>NOT(ISERROR(SEARCH("Finalizado",P1324)))</formula>
    </cfRule>
    <cfRule type="containsText" dxfId="510" priority="4798" operator="containsText" text="em andamento">
      <formula>NOT(ISERROR(SEARCH("em andamento",P1324)))</formula>
    </cfRule>
    <cfRule type="expression" dxfId="509" priority="4786">
      <formula>$H1324="CÉLULA CONSTRUTIVA"</formula>
    </cfRule>
    <cfRule type="containsText" dxfId="508" priority="4780" operator="containsText" text="Pendente">
      <formula>NOT(ISERROR(SEARCH("Pendente",P1324)))</formula>
    </cfRule>
    <cfRule type="containsText" dxfId="507" priority="4781" operator="containsText" text="Finalizado">
      <formula>NOT(ISERROR(SEARCH("Finalizado",P1324)))</formula>
    </cfRule>
    <cfRule type="expression" dxfId="506" priority="4785">
      <formula>$H1324="SUBETAPA"</formula>
    </cfRule>
    <cfRule type="containsText" dxfId="505" priority="4788" operator="containsText" text="Lançado">
      <formula>NOT(ISERROR(SEARCH("Lançado",P1324)))</formula>
    </cfRule>
    <cfRule type="containsText" dxfId="504" priority="4789" operator="containsText" text="N/A">
      <formula>NOT(ISERROR(SEARCH("N/A",P1324)))</formula>
    </cfRule>
    <cfRule type="containsText" dxfId="503" priority="4790" operator="containsText" text="Pendente">
      <formula>NOT(ISERROR(SEARCH("Pendente",P1324)))</formula>
    </cfRule>
    <cfRule type="containsText" dxfId="502" priority="4791" operator="containsText" text="Finalizado">
      <formula>NOT(ISERROR(SEARCH("Finalizado",P1324)))</formula>
    </cfRule>
  </conditionalFormatting>
  <conditionalFormatting sqref="P1326 P1321:P1322">
    <cfRule type="containsText" dxfId="501" priority="13922" operator="containsText" text="Pendente">
      <formula>NOT(ISERROR(SEARCH("Pendente",P1321)))</formula>
    </cfRule>
    <cfRule type="containsText" dxfId="500" priority="13920" operator="containsText" text="Lançado">
      <formula>NOT(ISERROR(SEARCH("Lançado",P1321)))</formula>
    </cfRule>
    <cfRule type="containsText" dxfId="499" priority="13921" operator="containsText" text="N/A">
      <formula>NOT(ISERROR(SEARCH("N/A",P1321)))</formula>
    </cfRule>
  </conditionalFormatting>
  <conditionalFormatting sqref="P1326">
    <cfRule type="containsText" dxfId="498" priority="13917" operator="containsText" text="Pendente">
      <formula>NOT(ISERROR(SEARCH("Pendente",P1326)))</formula>
    </cfRule>
    <cfRule type="containsText" dxfId="497" priority="13919" operator="containsText" text="em andamento">
      <formula>NOT(ISERROR(SEARCH("em andamento",P1326)))</formula>
    </cfRule>
    <cfRule type="containsText" dxfId="496" priority="13915" operator="containsText" text="Lançado">
      <formula>NOT(ISERROR(SEARCH("Lançado",P1326)))</formula>
    </cfRule>
    <cfRule type="containsText" dxfId="495" priority="13916" operator="containsText" text="N/A">
      <formula>NOT(ISERROR(SEARCH("N/A",P1326)))</formula>
    </cfRule>
    <cfRule type="containsText" dxfId="494" priority="13918" operator="containsText" text="Finalizado">
      <formula>NOT(ISERROR(SEARCH("Finalizado",P1326)))</formula>
    </cfRule>
  </conditionalFormatting>
  <conditionalFormatting sqref="P1327">
    <cfRule type="expression" dxfId="493" priority="13563">
      <formula>$H1327="SUBETAPA"</formula>
    </cfRule>
    <cfRule type="containsText" dxfId="492" priority="13568" operator="containsText" text="Pendente">
      <formula>NOT(ISERROR(SEARCH("Pendente",P1327)))</formula>
    </cfRule>
    <cfRule type="containsText" dxfId="491" priority="13569" operator="containsText" text="Finalizado">
      <formula>NOT(ISERROR(SEARCH("Finalizado",P1327)))</formula>
    </cfRule>
    <cfRule type="containsText" dxfId="490" priority="13570" operator="containsText" text="em andamento">
      <formula>NOT(ISERROR(SEARCH("em andamento",P1327)))</formula>
    </cfRule>
    <cfRule type="containsText" dxfId="489" priority="13571" operator="containsText" text="Lançado">
      <formula>NOT(ISERROR(SEARCH("Lançado",P1327)))</formula>
    </cfRule>
    <cfRule type="containsText" dxfId="488" priority="13572" operator="containsText" text="N/A">
      <formula>NOT(ISERROR(SEARCH("N/A",P1327)))</formula>
    </cfRule>
    <cfRule type="containsText" dxfId="487" priority="13573" operator="containsText" text="Pendente">
      <formula>NOT(ISERROR(SEARCH("Pendente",P1327)))</formula>
    </cfRule>
    <cfRule type="containsText" dxfId="486" priority="13582" operator="containsText" text="Finalizado">
      <formula>NOT(ISERROR(SEARCH("Finalizado",P1327)))</formula>
    </cfRule>
    <cfRule type="containsText" dxfId="485" priority="13580" operator="containsText" text="N/A">
      <formula>NOT(ISERROR(SEARCH("N/A",P1327)))</formula>
    </cfRule>
    <cfRule type="containsText" dxfId="484" priority="13581" operator="containsText" text="Pendente">
      <formula>NOT(ISERROR(SEARCH("Pendente",P1327)))</formula>
    </cfRule>
    <cfRule type="containsText" dxfId="483" priority="13579" operator="containsText" text="Lançado">
      <formula>NOT(ISERROR(SEARCH("Lançado",P1327)))</formula>
    </cfRule>
    <cfRule type="expression" dxfId="482" priority="13578">
      <formula>$H1327="ETAPA"</formula>
    </cfRule>
    <cfRule type="expression" dxfId="481" priority="13577">
      <formula>$H1327="CÉLULA CONSTRUTIVA"</formula>
    </cfRule>
    <cfRule type="expression" dxfId="480" priority="13576">
      <formula>$H1327="SUBETAPA"</formula>
    </cfRule>
    <cfRule type="containsText" dxfId="479" priority="13583" operator="containsText" text="em andamento">
      <formula>NOT(ISERROR(SEARCH("em andamento",P1327)))</formula>
    </cfRule>
    <cfRule type="containsText" dxfId="478" priority="13575" operator="containsText" text="em andamento">
      <formula>NOT(ISERROR(SEARCH("em andamento",P1327)))</formula>
    </cfRule>
    <cfRule type="containsText" dxfId="477" priority="13574" operator="containsText" text="Finalizado">
      <formula>NOT(ISERROR(SEARCH("Finalizado",P1327)))</formula>
    </cfRule>
    <cfRule type="expression" dxfId="476" priority="13564">
      <formula>$H1327="CÉLULA CONSTRUTIVA"</formula>
    </cfRule>
    <cfRule type="expression" dxfId="475" priority="13565">
      <formula>$H1327="ETAPA"</formula>
    </cfRule>
    <cfRule type="containsText" dxfId="474" priority="13566" operator="containsText" text="Lançado">
      <formula>NOT(ISERROR(SEARCH("Lançado",P1327)))</formula>
    </cfRule>
    <cfRule type="containsText" dxfId="473" priority="13567" operator="containsText" text="N/A">
      <formula>NOT(ISERROR(SEARCH("N/A",P1327)))</formula>
    </cfRule>
  </conditionalFormatting>
  <conditionalFormatting sqref="P1328:P1329 P1333">
    <cfRule type="containsText" dxfId="472" priority="13846" operator="containsText" text="em andamento">
      <formula>NOT(ISERROR(SEARCH("em andamento",P1328)))</formula>
    </cfRule>
    <cfRule type="containsText" dxfId="471" priority="13845" operator="containsText" text="Finalizado">
      <formula>NOT(ISERROR(SEARCH("Finalizado",P1328)))</formula>
    </cfRule>
  </conditionalFormatting>
  <conditionalFormatting sqref="P1328:P1329">
    <cfRule type="containsText" dxfId="470" priority="13820" operator="containsText" text="Pendente">
      <formula>NOT(ISERROR(SEARCH("Pendente",P1328)))</formula>
    </cfRule>
    <cfRule type="containsText" dxfId="469" priority="13822" operator="containsText" text="em andamento">
      <formula>NOT(ISERROR(SEARCH("em andamento",P1328)))</formula>
    </cfRule>
    <cfRule type="containsText" dxfId="468" priority="13821" operator="containsText" text="Finalizado">
      <formula>NOT(ISERROR(SEARCH("Finalizado",P1328)))</formula>
    </cfRule>
  </conditionalFormatting>
  <conditionalFormatting sqref="P1328:P1330">
    <cfRule type="containsText" dxfId="467" priority="13770" operator="containsText" text="Lançado">
      <formula>NOT(ISERROR(SEARCH("Lançado",P1328)))</formula>
    </cfRule>
    <cfRule type="containsText" dxfId="466" priority="13771" operator="containsText" text="N/A">
      <formula>NOT(ISERROR(SEARCH("N/A",P1328)))</formula>
    </cfRule>
  </conditionalFormatting>
  <conditionalFormatting sqref="P1329">
    <cfRule type="expression" dxfId="465" priority="13826">
      <formula>$H1329="CÉLULA CONSTRUTIVA"</formula>
    </cfRule>
    <cfRule type="containsText" dxfId="464" priority="13828" operator="containsText" text="Lançado">
      <formula>NOT(ISERROR(SEARCH("Lançado",P1329)))</formula>
    </cfRule>
    <cfRule type="containsText" dxfId="463" priority="13830" operator="containsText" text="Pendente">
      <formula>NOT(ISERROR(SEARCH("Pendente",P1329)))</formula>
    </cfRule>
    <cfRule type="containsText" dxfId="462" priority="13831" operator="containsText" text="Finalizado">
      <formula>NOT(ISERROR(SEARCH("Finalizado",P1329)))</formula>
    </cfRule>
    <cfRule type="expression" dxfId="461" priority="13825">
      <formula>$H1329="SUBETAPA"</formula>
    </cfRule>
    <cfRule type="containsText" dxfId="460" priority="13832" operator="containsText" text="em andamento">
      <formula>NOT(ISERROR(SEARCH("em andamento",P1329)))</formula>
    </cfRule>
    <cfRule type="containsText" dxfId="459" priority="13829" operator="containsText" text="N/A">
      <formula>NOT(ISERROR(SEARCH("N/A",P1329)))</formula>
    </cfRule>
  </conditionalFormatting>
  <conditionalFormatting sqref="P1330">
    <cfRule type="containsText" dxfId="458" priority="13764" operator="containsText" text="Pendente">
      <formula>NOT(ISERROR(SEARCH("Pendente",P1330)))</formula>
    </cfRule>
    <cfRule type="containsText" dxfId="457" priority="13763" operator="containsText" text="N/A">
      <formula>NOT(ISERROR(SEARCH("N/A",P1330)))</formula>
    </cfRule>
    <cfRule type="containsText" dxfId="456" priority="13762" operator="containsText" text="Lançado">
      <formula>NOT(ISERROR(SEARCH("Lançado",P1330)))</formula>
    </cfRule>
    <cfRule type="containsText" dxfId="455" priority="13760" operator="containsText" text="Finalizado">
      <formula>NOT(ISERROR(SEARCH("Finalizado",P1330)))</formula>
    </cfRule>
    <cfRule type="containsText" dxfId="454" priority="13759" operator="containsText" text="Pendente">
      <formula>NOT(ISERROR(SEARCH("Pendente",P1330)))</formula>
    </cfRule>
    <cfRule type="containsText" dxfId="453" priority="13758" operator="containsText" text="N/A">
      <formula>NOT(ISERROR(SEARCH("N/A",P1330)))</formula>
    </cfRule>
    <cfRule type="containsText" dxfId="452" priority="13772" operator="containsText" text="Pendente">
      <formula>NOT(ISERROR(SEARCH("Pendente",P1330)))</formula>
    </cfRule>
    <cfRule type="containsText" dxfId="451" priority="13757" operator="containsText" text="Lançado">
      <formula>NOT(ISERROR(SEARCH("Lançado",P1330)))</formula>
    </cfRule>
    <cfRule type="expression" dxfId="450" priority="13756">
      <formula>$H1330="ETAPA"</formula>
    </cfRule>
    <cfRule type="containsText" dxfId="449" priority="13761" operator="containsText" text="em andamento">
      <formula>NOT(ISERROR(SEARCH("em andamento",P1330)))</formula>
    </cfRule>
    <cfRule type="expression" dxfId="448" priority="13755">
      <formula>$H1330="CÉLULA CONSTRUTIVA"</formula>
    </cfRule>
    <cfRule type="expression" dxfId="447" priority="13754">
      <formula>$H1330="SUBETAPA"</formula>
    </cfRule>
    <cfRule type="containsText" dxfId="446" priority="13765" operator="containsText" text="Finalizado">
      <formula>NOT(ISERROR(SEARCH("Finalizado",P1330)))</formula>
    </cfRule>
    <cfRule type="containsText" dxfId="445" priority="13766" operator="containsText" text="em andamento">
      <formula>NOT(ISERROR(SEARCH("em andamento",P1330)))</formula>
    </cfRule>
    <cfRule type="containsText" dxfId="444" priority="13773" operator="containsText" text="Finalizado">
      <formula>NOT(ISERROR(SEARCH("Finalizado",P1330)))</formula>
    </cfRule>
    <cfRule type="containsText" dxfId="443" priority="13774" operator="containsText" text="em andamento">
      <formula>NOT(ISERROR(SEARCH("em andamento",P1330)))</formula>
    </cfRule>
  </conditionalFormatting>
  <conditionalFormatting sqref="P1331">
    <cfRule type="containsText" dxfId="442" priority="4735" operator="containsText" text="Finalizado">
      <formula>NOT(ISERROR(SEARCH("Finalizado",P1331)))</formula>
    </cfRule>
    <cfRule type="containsText" dxfId="441" priority="4734" operator="containsText" text="Pendente">
      <formula>NOT(ISERROR(SEARCH("Pendente",P1331)))</formula>
    </cfRule>
    <cfRule type="containsText" dxfId="440" priority="4748" operator="containsText" text="Lançado">
      <formula>NOT(ISERROR(SEARCH("Lançado",P1331)))</formula>
    </cfRule>
    <cfRule type="containsText" dxfId="439" priority="4746" operator="containsText" text="em andamento">
      <formula>NOT(ISERROR(SEARCH("em andamento",P1331)))</formula>
    </cfRule>
    <cfRule type="containsText" dxfId="438" priority="4750" operator="containsText" text="Pendente">
      <formula>NOT(ISERROR(SEARCH("Pendente",P1331)))</formula>
    </cfRule>
    <cfRule type="containsText" dxfId="437" priority="4752" operator="containsText" text="em andamento">
      <formula>NOT(ISERROR(SEARCH("em andamento",P1331)))</formula>
    </cfRule>
    <cfRule type="containsText" dxfId="436" priority="4751" operator="containsText" text="Finalizado">
      <formula>NOT(ISERROR(SEARCH("Finalizado",P1331)))</formula>
    </cfRule>
    <cfRule type="containsText" dxfId="435" priority="4749" operator="containsText" text="N/A">
      <formula>NOT(ISERROR(SEARCH("N/A",P1331)))</formula>
    </cfRule>
    <cfRule type="containsText" dxfId="434" priority="4745" operator="containsText" text="Finalizado">
      <formula>NOT(ISERROR(SEARCH("Finalizado",P1331)))</formula>
    </cfRule>
    <cfRule type="containsText" dxfId="433" priority="4744" operator="containsText" text="Pendente">
      <formula>NOT(ISERROR(SEARCH("Pendente",P1331)))</formula>
    </cfRule>
    <cfRule type="containsText" dxfId="432" priority="4743" operator="containsText" text="N/A">
      <formula>NOT(ISERROR(SEARCH("N/A",P1331)))</formula>
    </cfRule>
    <cfRule type="containsText" dxfId="431" priority="4742" operator="containsText" text="Lançado">
      <formula>NOT(ISERROR(SEARCH("Lançado",P1331)))</formula>
    </cfRule>
    <cfRule type="expression" dxfId="430" priority="4740">
      <formula>$H1331="CÉLULA CONSTRUTIVA"</formula>
    </cfRule>
    <cfRule type="expression" dxfId="429" priority="4739">
      <formula>$H1331="SUBETAPA"</formula>
    </cfRule>
    <cfRule type="containsText" dxfId="428" priority="4736" operator="containsText" text="em andamento">
      <formula>NOT(ISERROR(SEARCH("em andamento",P1331)))</formula>
    </cfRule>
  </conditionalFormatting>
  <conditionalFormatting sqref="P1331:P1332">
    <cfRule type="containsText" dxfId="427" priority="4769" operator="containsText" text="Lançado">
      <formula>NOT(ISERROR(SEARCH("Lançado",P1331)))</formula>
    </cfRule>
    <cfRule type="containsText" dxfId="426" priority="4770" operator="containsText" text="N/A">
      <formula>NOT(ISERROR(SEARCH("N/A",P1331)))</formula>
    </cfRule>
  </conditionalFormatting>
  <conditionalFormatting sqref="P1332">
    <cfRule type="containsText" dxfId="425" priority="4773" operator="containsText" text="em andamento">
      <formula>NOT(ISERROR(SEARCH("em andamento",P1332)))</formula>
    </cfRule>
    <cfRule type="containsText" dxfId="424" priority="4772" operator="containsText" text="Finalizado">
      <formula>NOT(ISERROR(SEARCH("Finalizado",P1332)))</formula>
    </cfRule>
    <cfRule type="containsText" dxfId="423" priority="4771" operator="containsText" text="Pendente">
      <formula>NOT(ISERROR(SEARCH("Pendente",P1332)))</formula>
    </cfRule>
    <cfRule type="containsText" dxfId="422" priority="4762" operator="containsText" text="N/A">
      <formula>NOT(ISERROR(SEARCH("N/A",P1332)))</formula>
    </cfRule>
    <cfRule type="containsText" dxfId="421" priority="4763" operator="containsText" text="Pendente">
      <formula>NOT(ISERROR(SEARCH("Pendente",P1332)))</formula>
    </cfRule>
    <cfRule type="expression" dxfId="420" priority="4754">
      <formula>$H1332="CÉLULA CONSTRUTIVA"</formula>
    </cfRule>
    <cfRule type="expression" dxfId="419" priority="4753">
      <formula>$H1332="SUBETAPA"</formula>
    </cfRule>
    <cfRule type="containsText" dxfId="418" priority="4756" operator="containsText" text="Lançado">
      <formula>NOT(ISERROR(SEARCH("Lançado",P1332)))</formula>
    </cfRule>
    <cfRule type="containsText" dxfId="417" priority="4757" operator="containsText" text="N/A">
      <formula>NOT(ISERROR(SEARCH("N/A",P1332)))</formula>
    </cfRule>
    <cfRule type="containsText" dxfId="416" priority="4758" operator="containsText" text="Pendente">
      <formula>NOT(ISERROR(SEARCH("Pendente",P1332)))</formula>
    </cfRule>
    <cfRule type="containsText" dxfId="415" priority="4759" operator="containsText" text="Finalizado">
      <formula>NOT(ISERROR(SEARCH("Finalizado",P1332)))</formula>
    </cfRule>
    <cfRule type="expression" dxfId="414" priority="4755">
      <formula>$H1332="ETAPA"</formula>
    </cfRule>
    <cfRule type="containsText" dxfId="413" priority="4761" operator="containsText" text="Lançado">
      <formula>NOT(ISERROR(SEARCH("Lançado",P1332)))</formula>
    </cfRule>
    <cfRule type="containsText" dxfId="412" priority="4764" operator="containsText" text="Finalizado">
      <formula>NOT(ISERROR(SEARCH("Finalizado",P1332)))</formula>
    </cfRule>
    <cfRule type="containsText" dxfId="411" priority="4765" operator="containsText" text="em andamento">
      <formula>NOT(ISERROR(SEARCH("em andamento",P1332)))</formula>
    </cfRule>
    <cfRule type="containsText" dxfId="410" priority="4760" operator="containsText" text="em andamento">
      <formula>NOT(ISERROR(SEARCH("em andamento",P1332)))</formula>
    </cfRule>
  </conditionalFormatting>
  <conditionalFormatting sqref="P1333 P1328:P1329">
    <cfRule type="containsText" dxfId="409" priority="13843" operator="containsText" text="N/A">
      <formula>NOT(ISERROR(SEARCH("N/A",P1328)))</formula>
    </cfRule>
    <cfRule type="containsText" dxfId="408" priority="13844" operator="containsText" text="Pendente">
      <formula>NOT(ISERROR(SEARCH("Pendente",P1328)))</formula>
    </cfRule>
    <cfRule type="containsText" dxfId="407" priority="13842" operator="containsText" text="Lançado">
      <formula>NOT(ISERROR(SEARCH("Lançado",P1328)))</formula>
    </cfRule>
  </conditionalFormatting>
  <conditionalFormatting sqref="P1333">
    <cfRule type="containsText" dxfId="406" priority="13841" operator="containsText" text="em andamento">
      <formula>NOT(ISERROR(SEARCH("em andamento",P1333)))</formula>
    </cfRule>
    <cfRule type="containsText" dxfId="405" priority="13840" operator="containsText" text="Finalizado">
      <formula>NOT(ISERROR(SEARCH("Finalizado",P1333)))</formula>
    </cfRule>
    <cfRule type="containsText" dxfId="404" priority="13839" operator="containsText" text="Pendente">
      <formula>NOT(ISERROR(SEARCH("Pendente",P1333)))</formula>
    </cfRule>
    <cfRule type="containsText" dxfId="403" priority="13837" operator="containsText" text="Lançado">
      <formula>NOT(ISERROR(SEARCH("Lançado",P1333)))</formula>
    </cfRule>
    <cfRule type="containsText" dxfId="402" priority="13838" operator="containsText" text="N/A">
      <formula>NOT(ISERROR(SEARCH("N/A",P1333)))</formula>
    </cfRule>
  </conditionalFormatting>
  <conditionalFormatting sqref="P1334">
    <cfRule type="containsText" dxfId="401" priority="13547" operator="containsText" text="Pendente">
      <formula>NOT(ISERROR(SEARCH("Pendente",P1334)))</formula>
    </cfRule>
    <cfRule type="containsText" dxfId="400" priority="13546" operator="containsText" text="N/A">
      <formula>NOT(ISERROR(SEARCH("N/A",P1334)))</formula>
    </cfRule>
    <cfRule type="containsText" dxfId="399" priority="13550" operator="containsText" text="Lançado">
      <formula>NOT(ISERROR(SEARCH("Lançado",P1334)))</formula>
    </cfRule>
    <cfRule type="containsText" dxfId="398" priority="13562" operator="containsText" text="em andamento">
      <formula>NOT(ISERROR(SEARCH("em andamento",P1334)))</formula>
    </cfRule>
    <cfRule type="containsText" dxfId="397" priority="13549" operator="containsText" text="em andamento">
      <formula>NOT(ISERROR(SEARCH("em andamento",P1334)))</formula>
    </cfRule>
    <cfRule type="expression" dxfId="396" priority="13544">
      <formula>$H1334="ETAPA"</formula>
    </cfRule>
    <cfRule type="containsText" dxfId="395" priority="13551" operator="containsText" text="N/A">
      <formula>NOT(ISERROR(SEARCH("N/A",P1334)))</formula>
    </cfRule>
    <cfRule type="containsText" dxfId="394" priority="13552" operator="containsText" text="Pendente">
      <formula>NOT(ISERROR(SEARCH("Pendente",P1334)))</formula>
    </cfRule>
    <cfRule type="expression" dxfId="393" priority="13543">
      <formula>$H1334="CÉLULA CONSTRUTIVA"</formula>
    </cfRule>
    <cfRule type="containsText" dxfId="392" priority="13559" operator="containsText" text="N/A">
      <formula>NOT(ISERROR(SEARCH("N/A",P1334)))</formula>
    </cfRule>
    <cfRule type="containsText" dxfId="391" priority="13558" operator="containsText" text="Lançado">
      <formula>NOT(ISERROR(SEARCH("Lançado",P1334)))</formula>
    </cfRule>
    <cfRule type="expression" dxfId="390" priority="13557">
      <formula>$H1334="ETAPA"</formula>
    </cfRule>
    <cfRule type="expression" dxfId="389" priority="13556">
      <formula>$H1334="CÉLULA CONSTRUTIVA"</formula>
    </cfRule>
    <cfRule type="expression" dxfId="388" priority="13555">
      <formula>$H1334="SUBETAPA"</formula>
    </cfRule>
    <cfRule type="containsText" dxfId="387" priority="13554" operator="containsText" text="em andamento">
      <formula>NOT(ISERROR(SEARCH("em andamento",P1334)))</formula>
    </cfRule>
    <cfRule type="containsText" dxfId="386" priority="13545" operator="containsText" text="Lançado">
      <formula>NOT(ISERROR(SEARCH("Lançado",P1334)))</formula>
    </cfRule>
    <cfRule type="containsText" dxfId="385" priority="13548" operator="containsText" text="Finalizado">
      <formula>NOT(ISERROR(SEARCH("Finalizado",P1334)))</formula>
    </cfRule>
    <cfRule type="containsText" dxfId="384" priority="13553" operator="containsText" text="Finalizado">
      <formula>NOT(ISERROR(SEARCH("Finalizado",P1334)))</formula>
    </cfRule>
    <cfRule type="containsText" dxfId="383" priority="13560" operator="containsText" text="Pendente">
      <formula>NOT(ISERROR(SEARCH("Pendente",P1334)))</formula>
    </cfRule>
    <cfRule type="containsText" dxfId="382" priority="13561" operator="containsText" text="Finalizado">
      <formula>NOT(ISERROR(SEARCH("Finalizado",P1334)))</formula>
    </cfRule>
    <cfRule type="expression" dxfId="381" priority="13542">
      <formula>$H1334="SUBETAPA"</formula>
    </cfRule>
  </conditionalFormatting>
  <conditionalFormatting sqref="P1335:P1336">
    <cfRule type="containsText" dxfId="380" priority="25097" operator="containsText" text="Finalizado">
      <formula>NOT(ISERROR(SEARCH("Finalizado",P1335)))</formula>
    </cfRule>
    <cfRule type="containsText" dxfId="379" priority="25098" operator="containsText" text="em andamento">
      <formula>NOT(ISERROR(SEARCH("em andamento",P1335)))</formula>
    </cfRule>
    <cfRule type="containsText" dxfId="378" priority="25096" operator="containsText" text="Pendente">
      <formula>NOT(ISERROR(SEARCH("Pendente",P1335)))</formula>
    </cfRule>
  </conditionalFormatting>
  <conditionalFormatting sqref="P1335:P1337">
    <cfRule type="containsText" dxfId="377" priority="23859" operator="containsText" text="N/A">
      <formula>NOT(ISERROR(SEARCH("N/A",P1335)))</formula>
    </cfRule>
  </conditionalFormatting>
  <conditionalFormatting sqref="P1336">
    <cfRule type="containsText" dxfId="376" priority="25106" operator="containsText" text="N/A">
      <formula>NOT(ISERROR(SEARCH("N/A",P1336)))</formula>
    </cfRule>
    <cfRule type="containsText" dxfId="375" priority="25109" operator="containsText" text="em andamento">
      <formula>NOT(ISERROR(SEARCH("em andamento",P1336)))</formula>
    </cfRule>
    <cfRule type="containsText" dxfId="374" priority="25108" operator="containsText" text="Finalizado">
      <formula>NOT(ISERROR(SEARCH("Finalizado",P1336)))</formula>
    </cfRule>
    <cfRule type="expression" dxfId="373" priority="25101">
      <formula>$H1336="SUBETAPA"</formula>
    </cfRule>
    <cfRule type="expression" dxfId="372" priority="25102">
      <formula>$H1336="CÉLULA CONSTRUTIVA"</formula>
    </cfRule>
    <cfRule type="containsText" dxfId="371" priority="25107" operator="containsText" text="Pendente">
      <formula>NOT(ISERROR(SEARCH("Pendente",P1336)))</formula>
    </cfRule>
    <cfRule type="containsText" dxfId="370" priority="25105" operator="containsText" text="Lançado">
      <formula>NOT(ISERROR(SEARCH("Lançado",P1336)))</formula>
    </cfRule>
  </conditionalFormatting>
  <conditionalFormatting sqref="P1337">
    <cfRule type="expression" dxfId="369" priority="23842">
      <formula>$H1337="SUBETAPA"</formula>
    </cfRule>
    <cfRule type="containsText" dxfId="368" priority="23846" operator="containsText" text="N/A">
      <formula>NOT(ISERROR(SEARCH("N/A",P1337)))</formula>
    </cfRule>
    <cfRule type="containsText" dxfId="367" priority="23845" operator="containsText" text="Lançado">
      <formula>NOT(ISERROR(SEARCH("Lançado",P1337)))</formula>
    </cfRule>
    <cfRule type="containsText" dxfId="366" priority="23849" operator="containsText" text="em andamento">
      <formula>NOT(ISERROR(SEARCH("em andamento",P1337)))</formula>
    </cfRule>
    <cfRule type="containsText" dxfId="365" priority="23850" operator="containsText" text="Lançado">
      <formula>NOT(ISERROR(SEARCH("Lançado",P1337)))</formula>
    </cfRule>
    <cfRule type="containsText" dxfId="364" priority="23851" operator="containsText" text="N/A">
      <formula>NOT(ISERROR(SEARCH("N/A",P1337)))</formula>
    </cfRule>
    <cfRule type="containsText" dxfId="363" priority="23852" operator="containsText" text="Pendente">
      <formula>NOT(ISERROR(SEARCH("Pendente",P1337)))</formula>
    </cfRule>
    <cfRule type="containsText" dxfId="362" priority="23853" operator="containsText" text="Finalizado">
      <formula>NOT(ISERROR(SEARCH("Finalizado",P1337)))</formula>
    </cfRule>
    <cfRule type="containsText" dxfId="361" priority="23848" operator="containsText" text="Finalizado">
      <formula>NOT(ISERROR(SEARCH("Finalizado",P1337)))</formula>
    </cfRule>
    <cfRule type="containsText" dxfId="360" priority="23847" operator="containsText" text="Pendente">
      <formula>NOT(ISERROR(SEARCH("Pendente",P1337)))</formula>
    </cfRule>
    <cfRule type="containsText" dxfId="359" priority="23854" operator="containsText" text="em andamento">
      <formula>NOT(ISERROR(SEARCH("em andamento",P1337)))</formula>
    </cfRule>
    <cfRule type="containsText" dxfId="358" priority="23862" operator="containsText" text="em andamento">
      <formula>NOT(ISERROR(SEARCH("em andamento",P1337)))</formula>
    </cfRule>
    <cfRule type="containsText" dxfId="357" priority="23861" operator="containsText" text="Finalizado">
      <formula>NOT(ISERROR(SEARCH("Finalizado",P1337)))</formula>
    </cfRule>
    <cfRule type="containsText" dxfId="356" priority="23860" operator="containsText" text="Pendente">
      <formula>NOT(ISERROR(SEARCH("Pendente",P1337)))</formula>
    </cfRule>
    <cfRule type="expression" dxfId="355" priority="23844">
      <formula>$H1337="ETAPA"</formula>
    </cfRule>
    <cfRule type="expression" dxfId="354" priority="23857">
      <formula>$H1337="ETAPA"</formula>
    </cfRule>
    <cfRule type="expression" dxfId="353" priority="23856">
      <formula>$H1337="CÉLULA CONSTRUTIVA"</formula>
    </cfRule>
    <cfRule type="expression" dxfId="352" priority="23843">
      <formula>$H1337="CÉLULA CONSTRUTIVA"</formula>
    </cfRule>
  </conditionalFormatting>
  <conditionalFormatting sqref="P1338">
    <cfRule type="expression" dxfId="351" priority="4694">
      <formula>$H1338="CÉLULA CONSTRUTIVA"</formula>
    </cfRule>
    <cfRule type="containsText" dxfId="350" priority="4690" operator="containsText" text="em andamento">
      <formula>NOT(ISERROR(SEARCH("em andamento",P1338)))</formula>
    </cfRule>
    <cfRule type="containsText" dxfId="349" priority="4689" operator="containsText" text="Finalizado">
      <formula>NOT(ISERROR(SEARCH("Finalizado",P1338)))</formula>
    </cfRule>
    <cfRule type="containsText" dxfId="348" priority="4699" operator="containsText" text="Finalizado">
      <formula>NOT(ISERROR(SEARCH("Finalizado",P1338)))</formula>
    </cfRule>
    <cfRule type="containsText" dxfId="347" priority="4688" operator="containsText" text="Pendente">
      <formula>NOT(ISERROR(SEARCH("Pendente",P1338)))</formula>
    </cfRule>
    <cfRule type="containsText" dxfId="346" priority="4700" operator="containsText" text="em andamento">
      <formula>NOT(ISERROR(SEARCH("em andamento",P1338)))</formula>
    </cfRule>
    <cfRule type="containsText" dxfId="345" priority="4697" operator="containsText" text="N/A">
      <formula>NOT(ISERROR(SEARCH("N/A",P1338)))</formula>
    </cfRule>
    <cfRule type="containsText" dxfId="344" priority="4696" operator="containsText" text="Lançado">
      <formula>NOT(ISERROR(SEARCH("Lançado",P1338)))</formula>
    </cfRule>
    <cfRule type="containsText" dxfId="343" priority="4705" operator="containsText" text="Finalizado">
      <formula>NOT(ISERROR(SEARCH("Finalizado",P1338)))</formula>
    </cfRule>
    <cfRule type="containsText" dxfId="342" priority="4702" operator="containsText" text="Lançado">
      <formula>NOT(ISERROR(SEARCH("Lançado",P1338)))</formula>
    </cfRule>
    <cfRule type="containsText" dxfId="341" priority="4703" operator="containsText" text="N/A">
      <formula>NOT(ISERROR(SEARCH("N/A",P1338)))</formula>
    </cfRule>
    <cfRule type="containsText" dxfId="340" priority="4704" operator="containsText" text="Pendente">
      <formula>NOT(ISERROR(SEARCH("Pendente",P1338)))</formula>
    </cfRule>
    <cfRule type="containsText" dxfId="339" priority="4706" operator="containsText" text="em andamento">
      <formula>NOT(ISERROR(SEARCH("em andamento",P1338)))</formula>
    </cfRule>
    <cfRule type="containsText" dxfId="338" priority="4698" operator="containsText" text="Pendente">
      <formula>NOT(ISERROR(SEARCH("Pendente",P1338)))</formula>
    </cfRule>
    <cfRule type="expression" dxfId="337" priority="4693">
      <formula>$H1338="SUBETAPA"</formula>
    </cfRule>
  </conditionalFormatting>
  <conditionalFormatting sqref="P1338:P1339">
    <cfRule type="containsText" dxfId="336" priority="4723" operator="containsText" text="Lançado">
      <formula>NOT(ISERROR(SEARCH("Lançado",P1338)))</formula>
    </cfRule>
    <cfRule type="containsText" dxfId="335" priority="4724" operator="containsText" text="N/A">
      <formula>NOT(ISERROR(SEARCH("N/A",P1338)))</formula>
    </cfRule>
  </conditionalFormatting>
  <conditionalFormatting sqref="P1339">
    <cfRule type="containsText" dxfId="334" priority="4714" operator="containsText" text="em andamento">
      <formula>NOT(ISERROR(SEARCH("em andamento",P1339)))</formula>
    </cfRule>
    <cfRule type="containsText" dxfId="333" priority="4727" operator="containsText" text="em andamento">
      <formula>NOT(ISERROR(SEARCH("em andamento",P1339)))</formula>
    </cfRule>
    <cfRule type="containsText" dxfId="332" priority="4726" operator="containsText" text="Finalizado">
      <formula>NOT(ISERROR(SEARCH("Finalizado",P1339)))</formula>
    </cfRule>
    <cfRule type="containsText" dxfId="331" priority="4725" operator="containsText" text="Pendente">
      <formula>NOT(ISERROR(SEARCH("Pendente",P1339)))</formula>
    </cfRule>
    <cfRule type="containsText" dxfId="330" priority="4719" operator="containsText" text="em andamento">
      <formula>NOT(ISERROR(SEARCH("em andamento",P1339)))</formula>
    </cfRule>
    <cfRule type="containsText" dxfId="329" priority="4718" operator="containsText" text="Finalizado">
      <formula>NOT(ISERROR(SEARCH("Finalizado",P1339)))</formula>
    </cfRule>
    <cfRule type="containsText" dxfId="328" priority="4717" operator="containsText" text="Pendente">
      <formula>NOT(ISERROR(SEARCH("Pendente",P1339)))</formula>
    </cfRule>
    <cfRule type="containsText" dxfId="327" priority="4716" operator="containsText" text="N/A">
      <formula>NOT(ISERROR(SEARCH("N/A",P1339)))</formula>
    </cfRule>
    <cfRule type="containsText" dxfId="326" priority="4715" operator="containsText" text="Lançado">
      <formula>NOT(ISERROR(SEARCH("Lançado",P1339)))</formula>
    </cfRule>
    <cfRule type="containsText" dxfId="325" priority="4713" operator="containsText" text="Finalizado">
      <formula>NOT(ISERROR(SEARCH("Finalizado",P1339)))</formula>
    </cfRule>
    <cfRule type="containsText" dxfId="324" priority="4712" operator="containsText" text="Pendente">
      <formula>NOT(ISERROR(SEARCH("Pendente",P1339)))</formula>
    </cfRule>
    <cfRule type="containsText" dxfId="323" priority="4711" operator="containsText" text="N/A">
      <formula>NOT(ISERROR(SEARCH("N/A",P1339)))</formula>
    </cfRule>
    <cfRule type="containsText" dxfId="322" priority="4710" operator="containsText" text="Lançado">
      <formula>NOT(ISERROR(SEARCH("Lançado",P1339)))</formula>
    </cfRule>
    <cfRule type="expression" dxfId="321" priority="4709">
      <formula>$H1339="ETAPA"</formula>
    </cfRule>
    <cfRule type="expression" dxfId="320" priority="4708">
      <formula>$H1339="CÉLULA CONSTRUTIVA"</formula>
    </cfRule>
    <cfRule type="expression" dxfId="319" priority="4707">
      <formula>$H1339="SUBETAPA"</formula>
    </cfRule>
  </conditionalFormatting>
  <conditionalFormatting sqref="P1340 P1375 P1377">
    <cfRule type="containsText" dxfId="318" priority="25396" operator="containsText" text="Finalizado">
      <formula>NOT(ISERROR(SEARCH("Finalizado",P1340)))</formula>
    </cfRule>
    <cfRule type="containsText" dxfId="317" priority="25397" operator="containsText" text="em andamento">
      <formula>NOT(ISERROR(SEARCH("em andamento",P1340)))</formula>
    </cfRule>
  </conditionalFormatting>
  <conditionalFormatting sqref="P1341">
    <cfRule type="containsText" dxfId="316" priority="23915" operator="containsText" text="Pendente">
      <formula>NOT(ISERROR(SEARCH("Pendente",P1341)))</formula>
    </cfRule>
    <cfRule type="containsText" dxfId="315" priority="23910" operator="containsText" text="Pendente">
      <formula>NOT(ISERROR(SEARCH("Pendente",P1341)))</formula>
    </cfRule>
    <cfRule type="containsText" dxfId="314" priority="23909" operator="containsText" text="N/A">
      <formula>NOT(ISERROR(SEARCH("N/A",P1341)))</formula>
    </cfRule>
    <cfRule type="containsText" dxfId="313" priority="23924" operator="containsText" text="Finalizado">
      <formula>NOT(ISERROR(SEARCH("Finalizado",P1341)))</formula>
    </cfRule>
    <cfRule type="containsText" dxfId="312" priority="23914" operator="containsText" text="N/A">
      <formula>NOT(ISERROR(SEARCH("N/A",P1341)))</formula>
    </cfRule>
    <cfRule type="containsText" dxfId="311" priority="23925" operator="containsText" text="em andamento">
      <formula>NOT(ISERROR(SEARCH("em andamento",P1341)))</formula>
    </cfRule>
    <cfRule type="expression" dxfId="310" priority="23920">
      <formula>$H1341="ETAPA"</formula>
    </cfRule>
    <cfRule type="containsText" dxfId="309" priority="23911" operator="containsText" text="Finalizado">
      <formula>NOT(ISERROR(SEARCH("Finalizado",P1341)))</formula>
    </cfRule>
    <cfRule type="containsText" dxfId="308" priority="23912" operator="containsText" text="em andamento">
      <formula>NOT(ISERROR(SEARCH("em andamento",P1341)))</formula>
    </cfRule>
    <cfRule type="containsText" dxfId="307" priority="23913" operator="containsText" text="Lançado">
      <formula>NOT(ISERROR(SEARCH("Lançado",P1341)))</formula>
    </cfRule>
    <cfRule type="containsText" dxfId="306" priority="23917" operator="containsText" text="em andamento">
      <formula>NOT(ISERROR(SEARCH("em andamento",P1341)))</formula>
    </cfRule>
    <cfRule type="containsText" dxfId="305" priority="23916" operator="containsText" text="Finalizado">
      <formula>NOT(ISERROR(SEARCH("Finalizado",P1341)))</formula>
    </cfRule>
    <cfRule type="expression" dxfId="304" priority="23919">
      <formula>$H1341="CÉLULA CONSTRUTIVA"</formula>
    </cfRule>
    <cfRule type="containsText" dxfId="303" priority="23921" operator="containsText" text="Lançado">
      <formula>NOT(ISERROR(SEARCH("Lançado",P1341)))</formula>
    </cfRule>
    <cfRule type="containsText" dxfId="302" priority="23922" operator="containsText" text="N/A">
      <formula>NOT(ISERROR(SEARCH("N/A",P1341)))</formula>
    </cfRule>
    <cfRule type="containsText" dxfId="301" priority="23923" operator="containsText" text="Pendente">
      <formula>NOT(ISERROR(SEARCH("Pendente",P1341)))</formula>
    </cfRule>
    <cfRule type="containsText" dxfId="300" priority="23908" operator="containsText" text="Lançado">
      <formula>NOT(ISERROR(SEARCH("Lançado",P1341)))</formula>
    </cfRule>
    <cfRule type="expression" dxfId="299" priority="23907">
      <formula>$H1341="ETAPA"</formula>
    </cfRule>
    <cfRule type="expression" dxfId="298" priority="23906">
      <formula>$H1341="CÉLULA CONSTRUTIVA"</formula>
    </cfRule>
    <cfRule type="expression" dxfId="297" priority="23905">
      <formula>$H1341="SUBETAPA"</formula>
    </cfRule>
  </conditionalFormatting>
  <conditionalFormatting sqref="P1342">
    <cfRule type="containsText" dxfId="296" priority="24183" operator="containsText" text="em andamento">
      <formula>NOT(ISERROR(SEARCH("em andamento",P1342)))</formula>
    </cfRule>
    <cfRule type="containsText" dxfId="295" priority="24182" operator="containsText" text="Finalizado">
      <formula>NOT(ISERROR(SEARCH("Finalizado",P1342)))</formula>
    </cfRule>
    <cfRule type="containsText" dxfId="294" priority="24181" operator="containsText" text="Pendente">
      <formula>NOT(ISERROR(SEARCH("Pendente",P1342)))</formula>
    </cfRule>
    <cfRule type="containsText" dxfId="293" priority="24158" operator="containsText" text="N/A">
      <formula>NOT(ISERROR(SEARCH("N/A",P1342)))</formula>
    </cfRule>
    <cfRule type="containsText" dxfId="292" priority="24195" operator="containsText" text="N/A">
      <formula>NOT(ISERROR(SEARCH("N/A",P1342)))</formula>
    </cfRule>
    <cfRule type="containsText" dxfId="291" priority="24157" operator="containsText" text="Lançado">
      <formula>NOT(ISERROR(SEARCH("Lançado",P1342)))</formula>
    </cfRule>
    <cfRule type="containsText" dxfId="290" priority="24196" operator="containsText" text="Pendente">
      <formula>NOT(ISERROR(SEARCH("Pendente",P1342)))</formula>
    </cfRule>
    <cfRule type="containsText" dxfId="289" priority="24198" operator="containsText" text="em andamento">
      <formula>NOT(ISERROR(SEARCH("em andamento",P1342)))</formula>
    </cfRule>
    <cfRule type="containsText" dxfId="288" priority="24197" operator="containsText" text="Finalizado">
      <formula>NOT(ISERROR(SEARCH("Finalizado",P1342)))</formula>
    </cfRule>
    <cfRule type="containsText" dxfId="287" priority="24194" operator="containsText" text="Lançado">
      <formula>NOT(ISERROR(SEARCH("Lançado",P1342)))</formula>
    </cfRule>
  </conditionalFormatting>
  <conditionalFormatting sqref="P1343">
    <cfRule type="containsText" dxfId="286" priority="7828" operator="containsText" text="N/A">
      <formula>NOT(ISERROR(SEARCH("N/A",P1343)))</formula>
    </cfRule>
    <cfRule type="containsText" dxfId="285" priority="7831" operator="containsText" text="em andamento">
      <formula>NOT(ISERROR(SEARCH("em andamento",P1343)))</formula>
    </cfRule>
    <cfRule type="containsText" dxfId="284" priority="7829" operator="containsText" text="Pendente">
      <formula>NOT(ISERROR(SEARCH("Pendente",P1343)))</formula>
    </cfRule>
    <cfRule type="containsText" dxfId="283" priority="7807" operator="containsText" text="Finalizado">
      <formula>NOT(ISERROR(SEARCH("Finalizado",P1343)))</formula>
    </cfRule>
    <cfRule type="containsText" dxfId="282" priority="7806" operator="containsText" text="Pendente">
      <formula>NOT(ISERROR(SEARCH("Pendente",P1343)))</formula>
    </cfRule>
    <cfRule type="containsText" dxfId="281" priority="7805" operator="containsText" text="N/A">
      <formula>NOT(ISERROR(SEARCH("N/A",P1343)))</formula>
    </cfRule>
    <cfRule type="containsText" dxfId="280" priority="7804" operator="containsText" text="Lançado">
      <formula>NOT(ISERROR(SEARCH("Lançado",P1343)))</formula>
    </cfRule>
    <cfRule type="containsText" dxfId="279" priority="7830" operator="containsText" text="Finalizado">
      <formula>NOT(ISERROR(SEARCH("Finalizado",P1343)))</formula>
    </cfRule>
    <cfRule type="containsText" dxfId="278" priority="7827" operator="containsText" text="Lançado">
      <formula>NOT(ISERROR(SEARCH("Lançado",P1343)))</formula>
    </cfRule>
    <cfRule type="containsText" dxfId="277" priority="7808" operator="containsText" text="em andamento">
      <formula>NOT(ISERROR(SEARCH("em andamento",P1343)))</formula>
    </cfRule>
  </conditionalFormatting>
  <conditionalFormatting sqref="P1344">
    <cfRule type="containsText" dxfId="276" priority="706" operator="containsText" text="N/A">
      <formula>NOT(ISERROR(SEARCH("N/A",P1344)))</formula>
    </cfRule>
    <cfRule type="containsText" dxfId="275" priority="707" operator="containsText" text="Pendente">
      <formula>NOT(ISERROR(SEARCH("Pendente",P1344)))</formula>
    </cfRule>
    <cfRule type="containsText" dxfId="274" priority="708" operator="containsText" text="Finalizado">
      <formula>NOT(ISERROR(SEARCH("Finalizado",P1344)))</formula>
    </cfRule>
    <cfRule type="containsText" dxfId="273" priority="709" operator="containsText" text="em andamento">
      <formula>NOT(ISERROR(SEARCH("em andamento",P1344)))</formula>
    </cfRule>
    <cfRule type="containsText" dxfId="272" priority="705" operator="containsText" text="Lançado">
      <formula>NOT(ISERROR(SEARCH("Lançado",P1344)))</formula>
    </cfRule>
    <cfRule type="containsText" dxfId="271" priority="701" operator="containsText" text="N/A">
      <formula>NOT(ISERROR(SEARCH("N/A",P1344)))</formula>
    </cfRule>
    <cfRule type="containsText" dxfId="270" priority="703" operator="containsText" text="Finalizado">
      <formula>NOT(ISERROR(SEARCH("Finalizado",P1344)))</formula>
    </cfRule>
    <cfRule type="containsText" dxfId="269" priority="702" operator="containsText" text="Pendente">
      <formula>NOT(ISERROR(SEARCH("Pendente",P1344)))</formula>
    </cfRule>
    <cfRule type="containsText" dxfId="268" priority="700" operator="containsText" text="Lançado">
      <formula>NOT(ISERROR(SEARCH("Lançado",P1344)))</formula>
    </cfRule>
    <cfRule type="containsText" dxfId="267" priority="704" operator="containsText" text="em andamento">
      <formula>NOT(ISERROR(SEARCH("em andamento",P1344)))</formula>
    </cfRule>
  </conditionalFormatting>
  <conditionalFormatting sqref="P1345 P1347">
    <cfRule type="containsText" dxfId="266" priority="684" operator="containsText" text="Pendente">
      <formula>NOT(ISERROR(SEARCH("Pendente",P1345)))</formula>
    </cfRule>
    <cfRule type="containsText" dxfId="265" priority="683" operator="containsText" text="N/A">
      <formula>NOT(ISERROR(SEARCH("N/A",P1345)))</formula>
    </cfRule>
    <cfRule type="expression" dxfId="264" priority="679">
      <formula>$H1345="SUBETAPA"</formula>
    </cfRule>
    <cfRule type="expression" dxfId="263" priority="681">
      <formula>$H1345="ETAPA"</formula>
    </cfRule>
    <cfRule type="expression" dxfId="262" priority="680">
      <formula>$H1345="CÉLULA CONSTRUTIVA"</formula>
    </cfRule>
    <cfRule type="containsText" dxfId="261" priority="682" operator="containsText" text="Lançado">
      <formula>NOT(ISERROR(SEARCH("Lançado",P1345)))</formula>
    </cfRule>
    <cfRule type="expression" dxfId="260" priority="678">
      <formula>$H1345="ETAPA"</formula>
    </cfRule>
    <cfRule type="expression" dxfId="259" priority="677">
      <formula>$H1345="CÉLULA CONSTRUTIVA"</formula>
    </cfRule>
    <cfRule type="expression" dxfId="258" priority="676">
      <formula>$H1345="SUBETAPA"</formula>
    </cfRule>
    <cfRule type="containsText" dxfId="257" priority="696" operator="containsText" text="N/A">
      <formula>NOT(ISERROR(SEARCH("N/A",P1345)))</formula>
    </cfRule>
    <cfRule type="containsText" dxfId="256" priority="695" operator="containsText" text="Lançado">
      <formula>NOT(ISERROR(SEARCH("Lançado",P1345)))</formula>
    </cfRule>
    <cfRule type="containsText" dxfId="255" priority="694" operator="containsText" text="em andamento">
      <formula>NOT(ISERROR(SEARCH("em andamento",P1345)))</formula>
    </cfRule>
    <cfRule type="containsText" dxfId="254" priority="693" operator="containsText" text="Finalizado">
      <formula>NOT(ISERROR(SEARCH("Finalizado",P1345)))</formula>
    </cfRule>
    <cfRule type="containsText" dxfId="253" priority="692" operator="containsText" text="Pendente">
      <formula>NOT(ISERROR(SEARCH("Pendente",P1345)))</formula>
    </cfRule>
    <cfRule type="containsText" dxfId="252" priority="691" operator="containsText" text="em andamento">
      <formula>NOT(ISERROR(SEARCH("em andamento",P1345)))</formula>
    </cfRule>
    <cfRule type="containsText" dxfId="251" priority="690" operator="containsText" text="Finalizado">
      <formula>NOT(ISERROR(SEARCH("Finalizado",P1345)))</formula>
    </cfRule>
    <cfRule type="containsText" dxfId="250" priority="689" operator="containsText" text="Pendente">
      <formula>NOT(ISERROR(SEARCH("Pendente",P1345)))</formula>
    </cfRule>
    <cfRule type="containsText" dxfId="249" priority="688" operator="containsText" text="N/A">
      <formula>NOT(ISERROR(SEARCH("N/A",P1345)))</formula>
    </cfRule>
    <cfRule type="containsText" dxfId="248" priority="687" operator="containsText" text="Lançado">
      <formula>NOT(ISERROR(SEARCH("Lançado",P1345)))</formula>
    </cfRule>
    <cfRule type="containsText" dxfId="247" priority="686" operator="containsText" text="em andamento">
      <formula>NOT(ISERROR(SEARCH("em andamento",P1345)))</formula>
    </cfRule>
    <cfRule type="containsText" dxfId="246" priority="685" operator="containsText" text="Finalizado">
      <formula>NOT(ISERROR(SEARCH("Finalizado",P1345)))</formula>
    </cfRule>
  </conditionalFormatting>
  <conditionalFormatting sqref="P1346">
    <cfRule type="containsText" dxfId="245" priority="667" operator="containsText" text="N/A">
      <formula>NOT(ISERROR(SEARCH("N/A",P1346)))</formula>
    </cfRule>
    <cfRule type="containsText" dxfId="244" priority="668" operator="containsText" text="Pendente">
      <formula>NOT(ISERROR(SEARCH("Pendente",P1346)))</formula>
    </cfRule>
    <cfRule type="containsText" dxfId="243" priority="669" operator="containsText" text="Finalizado">
      <formula>NOT(ISERROR(SEARCH("Finalizado",P1346)))</formula>
    </cfRule>
    <cfRule type="containsText" dxfId="242" priority="672" operator="containsText" text="N/A">
      <formula>NOT(ISERROR(SEARCH("N/A",P1346)))</formula>
    </cfRule>
    <cfRule type="containsText" dxfId="241" priority="674" operator="containsText" text="Finalizado">
      <formula>NOT(ISERROR(SEARCH("Finalizado",P1346)))</formula>
    </cfRule>
    <cfRule type="containsText" dxfId="240" priority="670" operator="containsText" text="em andamento">
      <formula>NOT(ISERROR(SEARCH("em andamento",P1346)))</formula>
    </cfRule>
    <cfRule type="containsText" dxfId="239" priority="673" operator="containsText" text="Pendente">
      <formula>NOT(ISERROR(SEARCH("Pendente",P1346)))</formula>
    </cfRule>
    <cfRule type="containsText" dxfId="238" priority="675" operator="containsText" text="em andamento">
      <formula>NOT(ISERROR(SEARCH("em andamento",P1346)))</formula>
    </cfRule>
    <cfRule type="containsText" dxfId="237" priority="671" operator="containsText" text="Lançado">
      <formula>NOT(ISERROR(SEARCH("Lançado",P1346)))</formula>
    </cfRule>
    <cfRule type="containsText" dxfId="236" priority="666" operator="containsText" text="Lançado">
      <formula>NOT(ISERROR(SEARCH("Lançado",P1346)))</formula>
    </cfRule>
  </conditionalFormatting>
  <conditionalFormatting sqref="P1348">
    <cfRule type="containsText" dxfId="235" priority="7761" operator="containsText" text="em andamento">
      <formula>NOT(ISERROR(SEARCH("em andamento",P1348)))</formula>
    </cfRule>
    <cfRule type="containsText" dxfId="234" priority="7759" operator="containsText" text="Pendente">
      <formula>NOT(ISERROR(SEARCH("Pendente",P1348)))</formula>
    </cfRule>
    <cfRule type="containsText" dxfId="233" priority="7758" operator="containsText" text="N/A">
      <formula>NOT(ISERROR(SEARCH("N/A",P1348)))</formula>
    </cfRule>
    <cfRule type="containsText" dxfId="232" priority="7757" operator="containsText" text="Lançado">
      <formula>NOT(ISERROR(SEARCH("Lançado",P1348)))</formula>
    </cfRule>
    <cfRule type="containsText" dxfId="231" priority="7763" operator="containsText" text="N/A">
      <formula>NOT(ISERROR(SEARCH("N/A",P1348)))</formula>
    </cfRule>
    <cfRule type="containsText" dxfId="230" priority="7762" operator="containsText" text="Lançado">
      <formula>NOT(ISERROR(SEARCH("Lançado",P1348)))</formula>
    </cfRule>
    <cfRule type="containsText" dxfId="229" priority="7764" operator="containsText" text="Pendente">
      <formula>NOT(ISERROR(SEARCH("Pendente",P1348)))</formula>
    </cfRule>
    <cfRule type="containsText" dxfId="228" priority="7765" operator="containsText" text="Finalizado">
      <formula>NOT(ISERROR(SEARCH("Finalizado",P1348)))</formula>
    </cfRule>
    <cfRule type="containsText" dxfId="227" priority="7766" operator="containsText" text="em andamento">
      <formula>NOT(ISERROR(SEARCH("em andamento",P1348)))</formula>
    </cfRule>
    <cfRule type="containsText" dxfId="226" priority="7760" operator="containsText" text="Finalizado">
      <formula>NOT(ISERROR(SEARCH("Finalizado",P1348)))</formula>
    </cfRule>
  </conditionalFormatting>
  <conditionalFormatting sqref="P1349:P1350">
    <cfRule type="containsText" dxfId="225" priority="3670" operator="containsText" text="Pendente">
      <formula>NOT(ISERROR(SEARCH("Pendente",P1349)))</formula>
    </cfRule>
    <cfRule type="containsText" dxfId="224" priority="3669" operator="containsText" text="N/A">
      <formula>NOT(ISERROR(SEARCH("N/A",P1349)))</formula>
    </cfRule>
    <cfRule type="containsText" dxfId="223" priority="3671" operator="containsText" text="Finalizado">
      <formula>NOT(ISERROR(SEARCH("Finalizado",P1349)))</formula>
    </cfRule>
    <cfRule type="containsText" dxfId="222" priority="3679" operator="containsText" text="Finalizado">
      <formula>NOT(ISERROR(SEARCH("Finalizado",P1349)))</formula>
    </cfRule>
    <cfRule type="containsText" dxfId="221" priority="3672" operator="containsText" text="em andamento">
      <formula>NOT(ISERROR(SEARCH("em andamento",P1349)))</formula>
    </cfRule>
    <cfRule type="containsText" dxfId="220" priority="3668" operator="containsText" text="Lançado">
      <formula>NOT(ISERROR(SEARCH("Lançado",P1349)))</formula>
    </cfRule>
    <cfRule type="expression" dxfId="219" priority="3667">
      <formula>$H1349="ETAPA"</formula>
    </cfRule>
    <cfRule type="expression" dxfId="218" priority="3666">
      <formula>$H1349="CÉLULA CONSTRUTIVA"</formula>
    </cfRule>
    <cfRule type="expression" dxfId="217" priority="3665">
      <formula>$H1349="SUBETAPA"</formula>
    </cfRule>
    <cfRule type="expression" dxfId="216" priority="3664">
      <formula>$H1349="ETAPA"</formula>
    </cfRule>
    <cfRule type="expression" dxfId="215" priority="3663">
      <formula>$H1349="CÉLULA CONSTRUTIVA"</formula>
    </cfRule>
    <cfRule type="containsText" dxfId="214" priority="3676" operator="containsText" text="Finalizado">
      <formula>NOT(ISERROR(SEARCH("Finalizado",P1349)))</formula>
    </cfRule>
    <cfRule type="expression" dxfId="213" priority="3662">
      <formula>$H1349="SUBETAPA"</formula>
    </cfRule>
    <cfRule type="containsText" dxfId="212" priority="3677" operator="containsText" text="em andamento">
      <formula>NOT(ISERROR(SEARCH("em andamento",P1349)))</formula>
    </cfRule>
    <cfRule type="containsText" dxfId="211" priority="3678" operator="containsText" text="Pendente">
      <formula>NOT(ISERROR(SEARCH("Pendente",P1349)))</formula>
    </cfRule>
    <cfRule type="containsText" dxfId="210" priority="3681" operator="containsText" text="Lançado">
      <formula>NOT(ISERROR(SEARCH("Lançado",P1349)))</formula>
    </cfRule>
    <cfRule type="containsText" dxfId="209" priority="3682" operator="containsText" text="N/A">
      <formula>NOT(ISERROR(SEARCH("N/A",P1349)))</formula>
    </cfRule>
    <cfRule type="containsText" dxfId="208" priority="3680" operator="containsText" text="em andamento">
      <formula>NOT(ISERROR(SEARCH("em andamento",P1349)))</formula>
    </cfRule>
    <cfRule type="containsText" dxfId="207" priority="3675" operator="containsText" text="Pendente">
      <formula>NOT(ISERROR(SEARCH("Pendente",P1349)))</formula>
    </cfRule>
    <cfRule type="containsText" dxfId="206" priority="3673" operator="containsText" text="Lançado">
      <formula>NOT(ISERROR(SEARCH("Lançado",P1349)))</formula>
    </cfRule>
    <cfRule type="containsText" dxfId="205" priority="3674" operator="containsText" text="N/A">
      <formula>NOT(ISERROR(SEARCH("N/A",P1349)))</formula>
    </cfRule>
  </conditionalFormatting>
  <conditionalFormatting sqref="P1351">
    <cfRule type="containsText" dxfId="204" priority="623" operator="containsText" text="Lançado">
      <formula>NOT(ISERROR(SEARCH("Lançado",P1351)))</formula>
    </cfRule>
    <cfRule type="containsText" dxfId="203" priority="624" operator="containsText" text="N/A">
      <formula>NOT(ISERROR(SEARCH("N/A",P1351)))</formula>
    </cfRule>
    <cfRule type="containsText" dxfId="202" priority="625" operator="containsText" text="Pendente">
      <formula>NOT(ISERROR(SEARCH("Pendente",P1351)))</formula>
    </cfRule>
    <cfRule type="containsText" dxfId="201" priority="626" operator="containsText" text="Finalizado">
      <formula>NOT(ISERROR(SEARCH("Finalizado",P1351)))</formula>
    </cfRule>
    <cfRule type="containsText" dxfId="200" priority="627" operator="containsText" text="em andamento">
      <formula>NOT(ISERROR(SEARCH("em andamento",P1351)))</formula>
    </cfRule>
    <cfRule type="containsText" dxfId="199" priority="629" operator="containsText" text="N/A">
      <formula>NOT(ISERROR(SEARCH("N/A",P1351)))</formula>
    </cfRule>
    <cfRule type="containsText" dxfId="198" priority="630" operator="containsText" text="Pendente">
      <formula>NOT(ISERROR(SEARCH("Pendente",P1351)))</formula>
    </cfRule>
    <cfRule type="containsText" dxfId="197" priority="631" operator="containsText" text="Finalizado">
      <formula>NOT(ISERROR(SEARCH("Finalizado",P1351)))</formula>
    </cfRule>
    <cfRule type="containsText" dxfId="196" priority="628" operator="containsText" text="Lançado">
      <formula>NOT(ISERROR(SEARCH("Lançado",P1351)))</formula>
    </cfRule>
    <cfRule type="containsText" dxfId="195" priority="632" operator="containsText" text="em andamento">
      <formula>NOT(ISERROR(SEARCH("em andamento",P1351)))</formula>
    </cfRule>
  </conditionalFormatting>
  <conditionalFormatting sqref="P1352">
    <cfRule type="containsText" dxfId="194" priority="643" operator="containsText" text="em andamento">
      <formula>NOT(ISERROR(SEARCH("em andamento",P1352)))</formula>
    </cfRule>
    <cfRule type="containsText" dxfId="193" priority="653" operator="containsText" text="N/A">
      <formula>NOT(ISERROR(SEARCH("N/A",P1352)))</formula>
    </cfRule>
    <cfRule type="expression" dxfId="192" priority="633">
      <formula>$H1352="SUBETAPA"</formula>
    </cfRule>
    <cfRule type="expression" dxfId="191" priority="634">
      <formula>$H1352="CÉLULA CONSTRUTIVA"</formula>
    </cfRule>
    <cfRule type="expression" dxfId="190" priority="635">
      <formula>$H1352="ETAPA"</formula>
    </cfRule>
    <cfRule type="expression" dxfId="189" priority="636">
      <formula>$H1352="SUBETAPA"</formula>
    </cfRule>
    <cfRule type="expression" dxfId="188" priority="637">
      <formula>$H1352="CÉLULA CONSTRUTIVA"</formula>
    </cfRule>
    <cfRule type="expression" dxfId="187" priority="638">
      <formula>$H1352="ETAPA"</formula>
    </cfRule>
    <cfRule type="containsText" dxfId="186" priority="639" operator="containsText" text="Lançado">
      <formula>NOT(ISERROR(SEARCH("Lançado",P1352)))</formula>
    </cfRule>
    <cfRule type="containsText" dxfId="185" priority="640" operator="containsText" text="N/A">
      <formula>NOT(ISERROR(SEARCH("N/A",P1352)))</formula>
    </cfRule>
    <cfRule type="containsText" dxfId="184" priority="641" operator="containsText" text="Pendente">
      <formula>NOT(ISERROR(SEARCH("Pendente",P1352)))</formula>
    </cfRule>
    <cfRule type="containsText" dxfId="183" priority="652" operator="containsText" text="Lançado">
      <formula>NOT(ISERROR(SEARCH("Lançado",P1352)))</formula>
    </cfRule>
    <cfRule type="containsText" dxfId="182" priority="651" operator="containsText" text="em andamento">
      <formula>NOT(ISERROR(SEARCH("em andamento",P1352)))</formula>
    </cfRule>
    <cfRule type="containsText" dxfId="181" priority="650" operator="containsText" text="Finalizado">
      <formula>NOT(ISERROR(SEARCH("Finalizado",P1352)))</formula>
    </cfRule>
    <cfRule type="containsText" dxfId="180" priority="649" operator="containsText" text="Pendente">
      <formula>NOT(ISERROR(SEARCH("Pendente",P1352)))</formula>
    </cfRule>
    <cfRule type="containsText" dxfId="179" priority="648" operator="containsText" text="em andamento">
      <formula>NOT(ISERROR(SEARCH("em andamento",P1352)))</formula>
    </cfRule>
    <cfRule type="containsText" dxfId="178" priority="647" operator="containsText" text="Finalizado">
      <formula>NOT(ISERROR(SEARCH("Finalizado",P1352)))</formula>
    </cfRule>
    <cfRule type="containsText" dxfId="177" priority="646" operator="containsText" text="Pendente">
      <formula>NOT(ISERROR(SEARCH("Pendente",P1352)))</formula>
    </cfRule>
    <cfRule type="containsText" dxfId="176" priority="645" operator="containsText" text="N/A">
      <formula>NOT(ISERROR(SEARCH("N/A",P1352)))</formula>
    </cfRule>
    <cfRule type="containsText" dxfId="175" priority="644" operator="containsText" text="Lançado">
      <formula>NOT(ISERROR(SEARCH("Lançado",P1352)))</formula>
    </cfRule>
    <cfRule type="containsText" dxfId="174" priority="642" operator="containsText" text="Finalizado">
      <formula>NOT(ISERROR(SEARCH("Finalizado",P1352)))</formula>
    </cfRule>
  </conditionalFormatting>
  <conditionalFormatting sqref="P1354:P1355">
    <cfRule type="containsText" dxfId="173" priority="7680" operator="containsText" text="em andamento">
      <formula>NOT(ISERROR(SEARCH("em andamento",P1354)))</formula>
    </cfRule>
    <cfRule type="containsText" dxfId="172" priority="7679" operator="containsText" text="Finalizado">
      <formula>NOT(ISERROR(SEARCH("Finalizado",P1354)))</formula>
    </cfRule>
  </conditionalFormatting>
  <conditionalFormatting sqref="P1354:P1357">
    <cfRule type="containsText" dxfId="171" priority="7678" operator="containsText" text="N/A">
      <formula>NOT(ISERROR(SEARCH("N/A",P1354)))</formula>
    </cfRule>
    <cfRule type="containsText" dxfId="170" priority="7677" operator="containsText" text="Lançado">
      <formula>NOT(ISERROR(SEARCH("Lançado",P1354)))</formula>
    </cfRule>
    <cfRule type="containsText" dxfId="169" priority="7611" operator="containsText" text="Pendente">
      <formula>NOT(ISERROR(SEARCH("Pendente",P1354)))</formula>
    </cfRule>
  </conditionalFormatting>
  <conditionalFormatting sqref="P1356:P1357">
    <cfRule type="expression" dxfId="168" priority="7599">
      <formula>$H1356="CÉLULA CONSTRUTIVA"</formula>
    </cfRule>
    <cfRule type="expression" dxfId="167" priority="7600">
      <formula>$H1356="ETAPA"</formula>
    </cfRule>
    <cfRule type="containsText" dxfId="166" priority="7601" operator="containsText" text="Lançado">
      <formula>NOT(ISERROR(SEARCH("Lançado",P1356)))</formula>
    </cfRule>
    <cfRule type="containsText" dxfId="165" priority="7602" operator="containsText" text="N/A">
      <formula>NOT(ISERROR(SEARCH("N/A",P1356)))</formula>
    </cfRule>
    <cfRule type="containsText" dxfId="164" priority="7613" operator="containsText" text="em andamento">
      <formula>NOT(ISERROR(SEARCH("em andamento",P1356)))</formula>
    </cfRule>
    <cfRule type="containsText" dxfId="163" priority="7603" operator="containsText" text="Pendente">
      <formula>NOT(ISERROR(SEARCH("Pendente",P1356)))</formula>
    </cfRule>
    <cfRule type="containsText" dxfId="162" priority="7604" operator="containsText" text="Finalizado">
      <formula>NOT(ISERROR(SEARCH("Finalizado",P1356)))</formula>
    </cfRule>
    <cfRule type="containsText" dxfId="161" priority="7605" operator="containsText" text="em andamento">
      <formula>NOT(ISERROR(SEARCH("em andamento",P1356)))</formula>
    </cfRule>
    <cfRule type="containsText" dxfId="160" priority="7606" operator="containsText" text="Lançado">
      <formula>NOT(ISERROR(SEARCH("Lançado",P1356)))</formula>
    </cfRule>
    <cfRule type="containsText" dxfId="159" priority="7607" operator="containsText" text="N/A">
      <formula>NOT(ISERROR(SEARCH("N/A",P1356)))</formula>
    </cfRule>
    <cfRule type="containsText" dxfId="158" priority="7608" operator="containsText" text="Pendente">
      <formula>NOT(ISERROR(SEARCH("Pendente",P1356)))</formula>
    </cfRule>
    <cfRule type="containsText" dxfId="157" priority="7609" operator="containsText" text="Finalizado">
      <formula>NOT(ISERROR(SEARCH("Finalizado",P1356)))</formula>
    </cfRule>
    <cfRule type="containsText" dxfId="156" priority="7610" operator="containsText" text="em andamento">
      <formula>NOT(ISERROR(SEARCH("em andamento",P1356)))</formula>
    </cfRule>
    <cfRule type="expression" dxfId="155" priority="7598">
      <formula>$H1356="SUBETAPA"</formula>
    </cfRule>
    <cfRule type="containsText" dxfId="154" priority="7612" operator="containsText" text="Finalizado">
      <formula>NOT(ISERROR(SEARCH("Finalizado",P1356)))</formula>
    </cfRule>
  </conditionalFormatting>
  <conditionalFormatting sqref="P1358:P1359">
    <cfRule type="containsText" dxfId="153" priority="7633" operator="containsText" text="Finalizado">
      <formula>NOT(ISERROR(SEARCH("Finalizado",P1358)))</formula>
    </cfRule>
    <cfRule type="containsText" dxfId="152" priority="7634" operator="containsText" text="em andamento">
      <formula>NOT(ISERROR(SEARCH("em andamento",P1358)))</formula>
    </cfRule>
    <cfRule type="containsText" dxfId="151" priority="7630" operator="containsText" text="Lançado">
      <formula>NOT(ISERROR(SEARCH("Lançado",P1358)))</formula>
    </cfRule>
    <cfRule type="containsText" dxfId="150" priority="7631" operator="containsText" text="N/A">
      <formula>NOT(ISERROR(SEARCH("N/A",P1358)))</formula>
    </cfRule>
    <cfRule type="containsText" dxfId="149" priority="7632" operator="containsText" text="Pendente">
      <formula>NOT(ISERROR(SEARCH("Pendente",P1358)))</formula>
    </cfRule>
  </conditionalFormatting>
  <conditionalFormatting sqref="P1359">
    <cfRule type="containsText" dxfId="148" priority="7623" operator="containsText" text="N/A">
      <formula>NOT(ISERROR(SEARCH("N/A",P1359)))</formula>
    </cfRule>
    <cfRule type="containsText" dxfId="147" priority="7624" operator="containsText" text="Pendente">
      <formula>NOT(ISERROR(SEARCH("Pendente",P1359)))</formula>
    </cfRule>
    <cfRule type="expression" dxfId="146" priority="7615">
      <formula>$H1359="CÉLULA CONSTRUTIVA"</formula>
    </cfRule>
    <cfRule type="expression" dxfId="145" priority="7616">
      <formula>$H1359="ETAPA"</formula>
    </cfRule>
    <cfRule type="expression" dxfId="144" priority="7614">
      <formula>$H1359="SUBETAPA"</formula>
    </cfRule>
    <cfRule type="containsText" dxfId="143" priority="7618" operator="containsText" text="N/A">
      <formula>NOT(ISERROR(SEARCH("N/A",P1359)))</formula>
    </cfRule>
    <cfRule type="containsText" dxfId="142" priority="7619" operator="containsText" text="Pendente">
      <formula>NOT(ISERROR(SEARCH("Pendente",P1359)))</formula>
    </cfRule>
    <cfRule type="containsText" dxfId="141" priority="7620" operator="containsText" text="Finalizado">
      <formula>NOT(ISERROR(SEARCH("Finalizado",P1359)))</formula>
    </cfRule>
    <cfRule type="containsText" dxfId="140" priority="7621" operator="containsText" text="em andamento">
      <formula>NOT(ISERROR(SEARCH("em andamento",P1359)))</formula>
    </cfRule>
    <cfRule type="containsText" dxfId="139" priority="7626" operator="containsText" text="em andamento">
      <formula>NOT(ISERROR(SEARCH("em andamento",P1359)))</formula>
    </cfRule>
    <cfRule type="containsText" dxfId="138" priority="7625" operator="containsText" text="Finalizado">
      <formula>NOT(ISERROR(SEARCH("Finalizado",P1359)))</formula>
    </cfRule>
    <cfRule type="containsText" dxfId="137" priority="7622" operator="containsText" text="Lançado">
      <formula>NOT(ISERROR(SEARCH("Lançado",P1359)))</formula>
    </cfRule>
    <cfRule type="containsText" dxfId="136" priority="7617" operator="containsText" text="Lançado">
      <formula>NOT(ISERROR(SEARCH("Lançado",P1359)))</formula>
    </cfRule>
  </conditionalFormatting>
  <conditionalFormatting sqref="P1360">
    <cfRule type="containsText" dxfId="135" priority="7670" operator="containsText" text="N/A">
      <formula>NOT(ISERROR(SEARCH("N/A",P1360)))</formula>
    </cfRule>
    <cfRule type="containsText" dxfId="134" priority="7669" operator="containsText" text="Lançado">
      <formula>NOT(ISERROR(SEARCH("Lançado",P1360)))</formula>
    </cfRule>
    <cfRule type="containsText" dxfId="133" priority="7673" operator="containsText" text="em andamento">
      <formula>NOT(ISERROR(SEARCH("em andamento",P1360)))</formula>
    </cfRule>
    <cfRule type="containsText" dxfId="132" priority="7672" operator="containsText" text="Finalizado">
      <formula>NOT(ISERROR(SEARCH("Finalizado",P1360)))</formula>
    </cfRule>
    <cfRule type="containsText" dxfId="131" priority="7671" operator="containsText" text="Pendente">
      <formula>NOT(ISERROR(SEARCH("Pendente",P1360)))</formula>
    </cfRule>
  </conditionalFormatting>
  <conditionalFormatting sqref="P1360:P1363">
    <cfRule type="expression" dxfId="130" priority="7648">
      <formula>$H1360="SUBETAPA"</formula>
    </cfRule>
    <cfRule type="expression" dxfId="129" priority="7649">
      <formula>$H1360="CÉLULA CONSTRUTIVA"</formula>
    </cfRule>
    <cfRule type="expression" dxfId="128" priority="7650">
      <formula>$H1360="ETAPA"</formula>
    </cfRule>
  </conditionalFormatting>
  <conditionalFormatting sqref="P1361:P1363">
    <cfRule type="containsText" dxfId="127" priority="7638" operator="containsText" text="Lançado">
      <formula>NOT(ISERROR(SEARCH("Lançado",P1361)))</formula>
    </cfRule>
    <cfRule type="containsText" dxfId="126" priority="7641" operator="containsText" text="Finalizado">
      <formula>NOT(ISERROR(SEARCH("Finalizado",P1361)))</formula>
    </cfRule>
    <cfRule type="containsText" dxfId="125" priority="7647" operator="containsText" text="em andamento">
      <formula>NOT(ISERROR(SEARCH("em andamento",P1361)))</formula>
    </cfRule>
    <cfRule type="containsText" dxfId="124" priority="7646" operator="containsText" text="Finalizado">
      <formula>NOT(ISERROR(SEARCH("Finalizado",P1361)))</formula>
    </cfRule>
    <cfRule type="containsText" dxfId="123" priority="7639" operator="containsText" text="N/A">
      <formula>NOT(ISERROR(SEARCH("N/A",P1361)))</formula>
    </cfRule>
    <cfRule type="containsText" dxfId="122" priority="7640" operator="containsText" text="Pendente">
      <formula>NOT(ISERROR(SEARCH("Pendente",P1361)))</formula>
    </cfRule>
    <cfRule type="containsText" dxfId="121" priority="7645" operator="containsText" text="Pendente">
      <formula>NOT(ISERROR(SEARCH("Pendente",P1361)))</formula>
    </cfRule>
    <cfRule type="containsText" dxfId="120" priority="7642" operator="containsText" text="em andamento">
      <formula>NOT(ISERROR(SEARCH("em andamento",P1361)))</formula>
    </cfRule>
    <cfRule type="containsText" dxfId="119" priority="7644" operator="containsText" text="N/A">
      <formula>NOT(ISERROR(SEARCH("N/A",P1361)))</formula>
    </cfRule>
    <cfRule type="containsText" dxfId="118" priority="7643" operator="containsText" text="Lançado">
      <formula>NOT(ISERROR(SEARCH("Lançado",P1361)))</formula>
    </cfRule>
    <cfRule type="containsText" dxfId="117" priority="7655" operator="containsText" text="em andamento">
      <formula>NOT(ISERROR(SEARCH("em andamento",P1361)))</formula>
    </cfRule>
    <cfRule type="containsText" dxfId="116" priority="7654" operator="containsText" text="Finalizado">
      <formula>NOT(ISERROR(SEARCH("Finalizado",P1361)))</formula>
    </cfRule>
    <cfRule type="containsText" dxfId="115" priority="7653" operator="containsText" text="Pendente">
      <formula>NOT(ISERROR(SEARCH("Pendente",P1361)))</formula>
    </cfRule>
    <cfRule type="containsText" dxfId="114" priority="7652" operator="containsText" text="N/A">
      <formula>NOT(ISERROR(SEARCH("N/A",P1361)))</formula>
    </cfRule>
    <cfRule type="containsText" dxfId="113" priority="7651" operator="containsText" text="Lançado">
      <formula>NOT(ISERROR(SEARCH("Lançado",P1361)))</formula>
    </cfRule>
  </conditionalFormatting>
  <conditionalFormatting sqref="P1364">
    <cfRule type="containsText" dxfId="112" priority="7687" operator="containsText" text="em andamento">
      <formula>NOT(ISERROR(SEARCH("em andamento",P1364)))</formula>
    </cfRule>
    <cfRule type="containsText" dxfId="111" priority="7686" operator="containsText" text="Finalizado">
      <formula>NOT(ISERROR(SEARCH("Finalizado",P1364)))</formula>
    </cfRule>
    <cfRule type="containsText" dxfId="110" priority="7685" operator="containsText" text="Pendente">
      <formula>NOT(ISERROR(SEARCH("Pendente",P1364)))</formula>
    </cfRule>
    <cfRule type="containsText" dxfId="109" priority="7684" operator="containsText" text="N/A">
      <formula>NOT(ISERROR(SEARCH("N/A",P1364)))</formula>
    </cfRule>
    <cfRule type="containsText" dxfId="108" priority="7683" operator="containsText" text="Lançado">
      <formula>NOT(ISERROR(SEARCH("Lançado",P1364)))</formula>
    </cfRule>
  </conditionalFormatting>
  <conditionalFormatting sqref="P1365:P1366">
    <cfRule type="containsText" dxfId="107" priority="9356" operator="containsText" text="Finalizado">
      <formula>NOT(ISERROR(SEARCH("Finalizado",P1365)))</formula>
    </cfRule>
    <cfRule type="expression" dxfId="106" priority="9352">
      <formula>$H1365="ETAPA"</formula>
    </cfRule>
    <cfRule type="containsText" dxfId="105" priority="9360" operator="containsText" text="Pendente">
      <formula>NOT(ISERROR(SEARCH("Pendente",P1365)))</formula>
    </cfRule>
    <cfRule type="containsText" dxfId="104" priority="9366" operator="containsText" text="Lançado">
      <formula>NOT(ISERROR(SEARCH("Lançado",P1365)))</formula>
    </cfRule>
    <cfRule type="containsText" dxfId="103" priority="9361" operator="containsText" text="Finalizado">
      <formula>NOT(ISERROR(SEARCH("Finalizado",P1365)))</formula>
    </cfRule>
    <cfRule type="containsText" dxfId="102" priority="9354" operator="containsText" text="N/A">
      <formula>NOT(ISERROR(SEARCH("N/A",P1365)))</formula>
    </cfRule>
    <cfRule type="containsText" dxfId="101" priority="9368" operator="containsText" text="Pendente">
      <formula>NOT(ISERROR(SEARCH("Pendente",P1365)))</formula>
    </cfRule>
    <cfRule type="containsText" dxfId="100" priority="9370" operator="containsText" text="em andamento">
      <formula>NOT(ISERROR(SEARCH("em andamento",P1365)))</formula>
    </cfRule>
    <cfRule type="containsText" dxfId="99" priority="9369" operator="containsText" text="Finalizado">
      <formula>NOT(ISERROR(SEARCH("Finalizado",P1365)))</formula>
    </cfRule>
    <cfRule type="containsText" dxfId="98" priority="9367" operator="containsText" text="N/A">
      <formula>NOT(ISERROR(SEARCH("N/A",P1365)))</formula>
    </cfRule>
    <cfRule type="containsText" dxfId="97" priority="9355" operator="containsText" text="Pendente">
      <formula>NOT(ISERROR(SEARCH("Pendente",P1365)))</formula>
    </cfRule>
    <cfRule type="expression" dxfId="96" priority="9363">
      <formula>$H1365="SUBETAPA"</formula>
    </cfRule>
    <cfRule type="containsText" dxfId="95" priority="9358" operator="containsText" text="Lançado">
      <formula>NOT(ISERROR(SEARCH("Lançado",P1365)))</formula>
    </cfRule>
    <cfRule type="containsText" dxfId="94" priority="9357" operator="containsText" text="em andamento">
      <formula>NOT(ISERROR(SEARCH("em andamento",P1365)))</formula>
    </cfRule>
    <cfRule type="containsText" dxfId="93" priority="9362" operator="containsText" text="em andamento">
      <formula>NOT(ISERROR(SEARCH("em andamento",P1365)))</formula>
    </cfRule>
    <cfRule type="containsText" dxfId="92" priority="9359" operator="containsText" text="N/A">
      <formula>NOT(ISERROR(SEARCH("N/A",P1365)))</formula>
    </cfRule>
    <cfRule type="containsText" dxfId="91" priority="9353" operator="containsText" text="Lançado">
      <formula>NOT(ISERROR(SEARCH("Lançado",P1365)))</formula>
    </cfRule>
    <cfRule type="expression" dxfId="90" priority="9351">
      <formula>$H1365="CÉLULA CONSTRUTIVA"</formula>
    </cfRule>
    <cfRule type="expression" dxfId="89" priority="9350">
      <formula>$H1365="SUBETAPA"</formula>
    </cfRule>
  </conditionalFormatting>
  <conditionalFormatting sqref="P1371:P1372 P1374">
    <cfRule type="containsText" dxfId="88" priority="25499" operator="containsText" text="Pendente">
      <formula>NOT(ISERROR(SEARCH("Pendente",P1371)))</formula>
    </cfRule>
  </conditionalFormatting>
  <conditionalFormatting sqref="P1371:P1372">
    <cfRule type="containsText" dxfId="87" priority="25497" operator="containsText" text="Lançado">
      <formula>NOT(ISERROR(SEARCH("Lançado",P1371)))</formula>
    </cfRule>
    <cfRule type="containsText" dxfId="86" priority="25498" operator="containsText" text="N/A">
      <formula>NOT(ISERROR(SEARCH("N/A",P1371)))</formula>
    </cfRule>
    <cfRule type="containsText" dxfId="85" priority="25500" operator="containsText" text="Finalizado">
      <formula>NOT(ISERROR(SEARCH("Finalizado",P1371)))</formula>
    </cfRule>
    <cfRule type="containsText" dxfId="84" priority="25501" operator="containsText" text="em andamento">
      <formula>NOT(ISERROR(SEARCH("em andamento",P1371)))</formula>
    </cfRule>
  </conditionalFormatting>
  <conditionalFormatting sqref="P1373">
    <cfRule type="containsText" dxfId="83" priority="24877" operator="containsText" text="N/A">
      <formula>NOT(ISERROR(SEARCH("N/A",P1373)))</formula>
    </cfRule>
    <cfRule type="containsText" dxfId="82" priority="24878" operator="containsText" text="Pendente">
      <formula>NOT(ISERROR(SEARCH("Pendente",P1373)))</formula>
    </cfRule>
    <cfRule type="containsText" dxfId="81" priority="24876" operator="containsText" text="Lançado">
      <formula>NOT(ISERROR(SEARCH("Lançado",P1373)))</formula>
    </cfRule>
    <cfRule type="containsText" dxfId="80" priority="24882" operator="containsText" text="N/A">
      <formula>NOT(ISERROR(SEARCH("N/A",P1373)))</formula>
    </cfRule>
    <cfRule type="containsText" dxfId="79" priority="24881" operator="containsText" text="Lançado">
      <formula>NOT(ISERROR(SEARCH("Lançado",P1373)))</formula>
    </cfRule>
    <cfRule type="containsText" dxfId="78" priority="24885" operator="containsText" text="em andamento">
      <formula>NOT(ISERROR(SEARCH("em andamento",P1373)))</formula>
    </cfRule>
    <cfRule type="containsText" dxfId="77" priority="24884" operator="containsText" text="Finalizado">
      <formula>NOT(ISERROR(SEARCH("Finalizado",P1373)))</formula>
    </cfRule>
    <cfRule type="containsText" dxfId="76" priority="24883" operator="containsText" text="Pendente">
      <formula>NOT(ISERROR(SEARCH("Pendente",P1373)))</formula>
    </cfRule>
    <cfRule type="containsText" dxfId="75" priority="24880" operator="containsText" text="em andamento">
      <formula>NOT(ISERROR(SEARCH("em andamento",P1373)))</formula>
    </cfRule>
    <cfRule type="containsText" dxfId="74" priority="24879" operator="containsText" text="Finalizado">
      <formula>NOT(ISERROR(SEARCH("Finalizado",P1373)))</formula>
    </cfRule>
  </conditionalFormatting>
  <conditionalFormatting sqref="P1376">
    <cfRule type="containsText" dxfId="73" priority="7553" operator="containsText" text="Pendente">
      <formula>NOT(ISERROR(SEARCH("Pendente",P1376)))</formula>
    </cfRule>
  </conditionalFormatting>
  <conditionalFormatting sqref="P1379">
    <cfRule type="containsText" dxfId="72" priority="24054" operator="containsText" text="Finalizado">
      <formula>NOT(ISERROR(SEARCH("Finalizado",P1379)))</formula>
    </cfRule>
    <cfRule type="containsText" dxfId="71" priority="24055" operator="containsText" text="em andamento">
      <formula>NOT(ISERROR(SEARCH("em andamento",P1379)))</formula>
    </cfRule>
    <cfRule type="expression" dxfId="70" priority="24056">
      <formula>$H1379="SUBETAPA"</formula>
    </cfRule>
    <cfRule type="expression" dxfId="69" priority="24057">
      <formula>$H1379="CÉLULA CONSTRUTIVA"</formula>
    </cfRule>
    <cfRule type="expression" dxfId="68" priority="24058">
      <formula>$H1379="ETAPA"</formula>
    </cfRule>
    <cfRule type="expression" dxfId="67" priority="22521">
      <formula>$H1379="SUBETAPA"</formula>
    </cfRule>
    <cfRule type="expression" dxfId="66" priority="24863">
      <formula>$H1379="SUBETAPA"</formula>
    </cfRule>
    <cfRule type="expression" dxfId="65" priority="24864">
      <formula>$H1379="CÉLULA CONSTRUTIVA"</formula>
    </cfRule>
    <cfRule type="expression" dxfId="64" priority="24865">
      <formula>$H1379="ETAPA"</formula>
    </cfRule>
    <cfRule type="containsText" dxfId="63" priority="24866" operator="containsText" text="Lançado">
      <formula>NOT(ISERROR(SEARCH("Lançado",P1379)))</formula>
    </cfRule>
    <cfRule type="containsText" dxfId="62" priority="24867" operator="containsText" text="N/A">
      <formula>NOT(ISERROR(SEARCH("N/A",P1379)))</formula>
    </cfRule>
    <cfRule type="containsText" dxfId="61" priority="24868" operator="containsText" text="Pendente">
      <formula>NOT(ISERROR(SEARCH("Pendente",P1379)))</formula>
    </cfRule>
    <cfRule type="containsText" dxfId="60" priority="24869" operator="containsText" text="Finalizado">
      <formula>NOT(ISERROR(SEARCH("Finalizado",P1379)))</formula>
    </cfRule>
    <cfRule type="containsText" dxfId="59" priority="24870" operator="containsText" text="em andamento">
      <formula>NOT(ISERROR(SEARCH("em andamento",P1379)))</formula>
    </cfRule>
    <cfRule type="containsText" dxfId="58" priority="24871" operator="containsText" text="Lançado">
      <formula>NOT(ISERROR(SEARCH("Lançado",P1379)))</formula>
    </cfRule>
    <cfRule type="containsText" dxfId="57" priority="24872" operator="containsText" text="N/A">
      <formula>NOT(ISERROR(SEARCH("N/A",P1379)))</formula>
    </cfRule>
    <cfRule type="containsText" dxfId="56" priority="24874" operator="containsText" text="Finalizado">
      <formula>NOT(ISERROR(SEARCH("Finalizado",P1379)))</formula>
    </cfRule>
    <cfRule type="containsText" dxfId="55" priority="24875" operator="containsText" text="em andamento">
      <formula>NOT(ISERROR(SEARCH("em andamento",P1379)))</formula>
    </cfRule>
    <cfRule type="containsText" dxfId="54" priority="24050" operator="containsText" text="em andamento">
      <formula>NOT(ISERROR(SEARCH("em andamento",P1379)))</formula>
    </cfRule>
    <cfRule type="containsText" dxfId="53" priority="24051" operator="containsText" text="Lançado">
      <formula>NOT(ISERROR(SEARCH("Lançado",P1379)))</formula>
    </cfRule>
    <cfRule type="containsText" dxfId="52" priority="24052" operator="containsText" text="N/A">
      <formula>NOT(ISERROR(SEARCH("N/A",P1379)))</formula>
    </cfRule>
    <cfRule type="containsText" dxfId="51" priority="24053" operator="containsText" text="Pendente">
      <formula>NOT(ISERROR(SEARCH("Pendente",P1379)))</formula>
    </cfRule>
    <cfRule type="expression" dxfId="50" priority="22530">
      <formula>$H1379="ETAPA"</formula>
    </cfRule>
    <cfRule type="containsText" dxfId="49" priority="22529" operator="containsText" text="em andamento">
      <formula>NOT(ISERROR(SEARCH("em andamento",P1379)))</formula>
    </cfRule>
    <cfRule type="containsText" dxfId="48" priority="22528" operator="containsText" text="Finalizado">
      <formula>NOT(ISERROR(SEARCH("Finalizado",P1379)))</formula>
    </cfRule>
    <cfRule type="containsText" dxfId="47" priority="22527" operator="containsText" text="Pendente">
      <formula>NOT(ISERROR(SEARCH("Pendente",P1379)))</formula>
    </cfRule>
    <cfRule type="containsText" dxfId="46" priority="22526" operator="containsText" text="N/A">
      <formula>NOT(ISERROR(SEARCH("N/A",P1379)))</formula>
    </cfRule>
    <cfRule type="containsText" dxfId="45" priority="22525" operator="containsText" text="Lançado">
      <formula>NOT(ISERROR(SEARCH("Lançado",P1379)))</formula>
    </cfRule>
    <cfRule type="containsText" dxfId="44" priority="22524" operator="containsText" text="em andamento">
      <formula>NOT(ISERROR(SEARCH("em andamento",P1379)))</formula>
    </cfRule>
    <cfRule type="containsText" dxfId="43" priority="22523" operator="containsText" text="Finalizado">
      <formula>NOT(ISERROR(SEARCH("Finalizado",P1379)))</formula>
    </cfRule>
    <cfRule type="expression" dxfId="42" priority="22522">
      <formula>$H1379="CÉLULA CONSTRUTIVA"</formula>
    </cfRule>
    <cfRule type="containsText" dxfId="41" priority="24046" operator="containsText" text="Lançado">
      <formula>NOT(ISERROR(SEARCH("Lançado",P1379)))</formula>
    </cfRule>
    <cfRule type="containsText" dxfId="40" priority="24047" operator="containsText" text="N/A">
      <formula>NOT(ISERROR(SEARCH("N/A",P1379)))</formula>
    </cfRule>
    <cfRule type="containsText" dxfId="39" priority="24048" operator="containsText" text="Pendente">
      <formula>NOT(ISERROR(SEARCH("Pendente",P1379)))</formula>
    </cfRule>
    <cfRule type="containsText" dxfId="38" priority="24049" operator="containsText" text="Finalizado">
      <formula>NOT(ISERROR(SEARCH("Finalizado",P1379)))</formula>
    </cfRule>
    <cfRule type="containsText" dxfId="37" priority="24873" operator="containsText" text="Pendente">
      <formula>NOT(ISERROR(SEARCH("Pendente",P1379)))</formula>
    </cfRule>
  </conditionalFormatting>
  <conditionalFormatting sqref="P1381:P1382">
    <cfRule type="expression" dxfId="36" priority="22506">
      <formula>$H1381="CÉLULA CONSTRUTIVA"</formula>
    </cfRule>
    <cfRule type="expression" dxfId="35" priority="22507">
      <formula>$H1381="ETAPA"</formula>
    </cfRule>
    <cfRule type="expression" dxfId="34" priority="22505">
      <formula>$H1381="SUBETAPA"</formula>
    </cfRule>
    <cfRule type="expression" dxfId="33" priority="22508">
      <formula>$H1381="SUBETAPA"</formula>
    </cfRule>
    <cfRule type="expression" dxfId="32" priority="22509">
      <formula>$H1381="CÉLULA CONSTRUTIVA"</formula>
    </cfRule>
    <cfRule type="containsText" dxfId="31" priority="22510" operator="containsText" text="Lançado">
      <formula>NOT(ISERROR(SEARCH("Lançado",P1381)))</formula>
    </cfRule>
    <cfRule type="containsText" dxfId="30" priority="22511" operator="containsText" text="N/A">
      <formula>NOT(ISERROR(SEARCH("N/A",P1381)))</formula>
    </cfRule>
    <cfRule type="containsText" dxfId="29" priority="22512" operator="containsText" text="Pendente">
      <formula>NOT(ISERROR(SEARCH("Pendente",P1381)))</formula>
    </cfRule>
    <cfRule type="containsText" dxfId="28" priority="22513" operator="containsText" text="Finalizado">
      <formula>NOT(ISERROR(SEARCH("Finalizado",P1381)))</formula>
    </cfRule>
    <cfRule type="containsText" dxfId="27" priority="22514" operator="containsText" text="em andamento">
      <formula>NOT(ISERROR(SEARCH("em andamento",P1381)))</formula>
    </cfRule>
    <cfRule type="containsText" dxfId="26" priority="22515" operator="containsText" text="Lançado">
      <formula>NOT(ISERROR(SEARCH("Lançado",P1381)))</formula>
    </cfRule>
    <cfRule type="containsText" dxfId="25" priority="22516" operator="containsText" text="N/A">
      <formula>NOT(ISERROR(SEARCH("N/A",P1381)))</formula>
    </cfRule>
    <cfRule type="containsText" dxfId="24" priority="22517" operator="containsText" text="Pendente">
      <formula>NOT(ISERROR(SEARCH("Pendente",P1381)))</formula>
    </cfRule>
    <cfRule type="containsText" dxfId="23" priority="22518" operator="containsText" text="Finalizado">
      <formula>NOT(ISERROR(SEARCH("Finalizado",P1381)))</formula>
    </cfRule>
    <cfRule type="containsText" dxfId="22" priority="22519" operator="containsText" text="em andamento">
      <formula>NOT(ISERROR(SEARCH("em andamento",P1381)))</formula>
    </cfRule>
    <cfRule type="expression" dxfId="21" priority="22520">
      <formula>$H1381="ETAPA"</formula>
    </cfRule>
  </conditionalFormatting>
  <conditionalFormatting sqref="P1384">
    <cfRule type="containsText" dxfId="20" priority="22489" operator="containsText" text="Pendente">
      <formula>NOT(ISERROR(SEARCH("Pendente",P1384)))</formula>
    </cfRule>
    <cfRule type="containsText" dxfId="19" priority="22488" operator="containsText" text="N/A">
      <formula>NOT(ISERROR(SEARCH("N/A",P1384)))</formula>
    </cfRule>
    <cfRule type="containsText" dxfId="18" priority="22487" operator="containsText" text="Lançado">
      <formula>NOT(ISERROR(SEARCH("Lançado",P1384)))</formula>
    </cfRule>
    <cfRule type="expression" dxfId="17" priority="22486">
      <formula>$H1384="ETAPA"</formula>
    </cfRule>
    <cfRule type="expression" dxfId="16" priority="22485">
      <formula>$H1384="CÉLULA CONSTRUTIVA"</formula>
    </cfRule>
    <cfRule type="expression" dxfId="15" priority="22484">
      <formula>$H1384="SUBETAPA"</formula>
    </cfRule>
    <cfRule type="containsText" dxfId="14" priority="22502" operator="containsText" text="Pendente">
      <formula>NOT(ISERROR(SEARCH("Pendente",P1384)))</formula>
    </cfRule>
    <cfRule type="containsText" dxfId="13" priority="22501" operator="containsText" text="N/A">
      <formula>NOT(ISERROR(SEARCH("N/A",P1384)))</formula>
    </cfRule>
    <cfRule type="containsText" dxfId="12" priority="22500" operator="containsText" text="Lançado">
      <formula>NOT(ISERROR(SEARCH("Lançado",P1384)))</formula>
    </cfRule>
    <cfRule type="expression" dxfId="11" priority="22499">
      <formula>$H1384="ETAPA"</formula>
    </cfRule>
    <cfRule type="expression" dxfId="10" priority="22498">
      <formula>$H1384="CÉLULA CONSTRUTIVA"</formula>
    </cfRule>
    <cfRule type="expression" dxfId="9" priority="22497">
      <formula>$H1384="SUBETAPA"</formula>
    </cfRule>
    <cfRule type="containsText" dxfId="8" priority="22496" operator="containsText" text="em andamento">
      <formula>NOT(ISERROR(SEARCH("em andamento",P1384)))</formula>
    </cfRule>
    <cfRule type="containsText" dxfId="7" priority="22495" operator="containsText" text="Finalizado">
      <formula>NOT(ISERROR(SEARCH("Finalizado",P1384)))</formula>
    </cfRule>
    <cfRule type="containsText" dxfId="6" priority="22494" operator="containsText" text="Pendente">
      <formula>NOT(ISERROR(SEARCH("Pendente",P1384)))</formula>
    </cfRule>
    <cfRule type="containsText" dxfId="5" priority="22493" operator="containsText" text="N/A">
      <formula>NOT(ISERROR(SEARCH("N/A",P1384)))</formula>
    </cfRule>
    <cfRule type="containsText" dxfId="4" priority="22492" operator="containsText" text="Lançado">
      <formula>NOT(ISERROR(SEARCH("Lançado",P1384)))</formula>
    </cfRule>
    <cfRule type="containsText" dxfId="3" priority="22491" operator="containsText" text="em andamento">
      <formula>NOT(ISERROR(SEARCH("em andamento",P1384)))</formula>
    </cfRule>
    <cfRule type="containsText" dxfId="2" priority="22490" operator="containsText" text="Finalizado">
      <formula>NOT(ISERROR(SEARCH("Finalizado",P1384)))</formula>
    </cfRule>
    <cfRule type="containsText" dxfId="1" priority="22504" operator="containsText" text="em andamento">
      <formula>NOT(ISERROR(SEARCH("em andamento",P1384)))</formula>
    </cfRule>
    <cfRule type="containsText" dxfId="0" priority="22503" operator="containsText" text="Finalizado">
      <formula>NOT(ISERROR(SEARCH("Finalizado",P1384)))</formula>
    </cfRule>
  </conditionalFormatting>
  <dataValidations count="3">
    <dataValidation type="list" allowBlank="1" showInputMessage="1" showErrorMessage="1" sqref="P12 P10" xr:uid="{60DAA311-F594-416F-94E4-5C20566C260D}">
      <formula1>$R$2:$R$5</formula1>
    </dataValidation>
    <dataValidation type="list" allowBlank="1" showInputMessage="1" showErrorMessage="1" sqref="P1379 P1384 P13:P50 P11 P1381:P1382 P201:P217 P824:P832 P289 P300 P311 P52:P74 P76:P98 P100:P119 P121:P140 P695:P709 P142:P158 P174:P185 P187:P199 P328:P330 P364:P375 P393:P402 P404:P418 P420:P430 P611:P623 P625:P637 P639:P651 P653:P665 P667:P679 P681:P693 P1368:P1373 P733:P737 P739:P743 P745:P747 P778:P783 P749:P756 P1051:P1059 P772:P776 P785:P789 P834:P839 P800:P805 P791:P798 P528:P609 P917:P935 P1018:P1030 P850:P855 P937:P954 P978:P991 P1097:P1111 P1080:P1095 P1131:P1145 P1359:P1366 P1375 P1377 P160:P172 P278 P280:P287 P291:P298 P302:P309 P313:P320 P322:P323 P325:P326 P332:P346 P348:P354 P356:P362 P377:P391 P807:P815 P758:P763 P765:P770 P817:P822 P1176:P1357 P1032:P1035 P998:P1011 P711:P725 P956:P971 P973:P976 P993:P996 P1013:P1016 P1161:P1174 P1113:P1129 P1037:P1049 P1061:P1078 P1147:P1159 P857:P915 P727:P731 P434:P436 P439:P441 P444:P446 P449:P451 P454:P456 P459:P461 P464:P466 P469:P526 P219:P276 P841:P848" xr:uid="{3EFAA906-B1D8-460E-A295-20252C56A889}">
      <formula1>"Finalizado, Em Andamento, Pendente, N/A,Lançado ERP"</formula1>
    </dataValidation>
    <dataValidation type="list" allowBlank="1" showInputMessage="1" showErrorMessage="1" sqref="H8:H1393" xr:uid="{ABF779B1-BD96-4930-91BF-CADF83AD3343}">
      <formula1>"UNIDADE CONSTRUTIVA,CÉLULA CONSTRUTIVA,ETAPA,SUBETAPA,SERVIÇO"</formula1>
    </dataValidation>
  </dataValidations>
  <printOptions horizontalCentered="1"/>
  <pageMargins left="0.51181102362204722" right="0.51181102362204722" top="0.78740157480314965" bottom="0.78740157480314965" header="0.31496062992125984" footer="0.31496062992125984"/>
  <pageSetup paperSize="9" scale="3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7CCCD-4619-4168-B52D-BC5539350A95}">
  <dimension ref="A1:V104"/>
  <sheetViews>
    <sheetView topLeftCell="A26" zoomScale="90" zoomScaleNormal="90" workbookViewId="0">
      <selection activeCell="J35" sqref="J35"/>
    </sheetView>
  </sheetViews>
  <sheetFormatPr defaultColWidth="9.140625" defaultRowHeight="12.75" x14ac:dyDescent="0.2"/>
  <cols>
    <col min="1" max="3" width="9.140625" style="629"/>
    <col min="4" max="4" width="15.140625" style="628" bestFit="1" customWidth="1"/>
    <col min="5" max="5" width="9.140625" style="629"/>
    <col min="6" max="6" width="17.7109375" style="628" bestFit="1" customWidth="1"/>
    <col min="7" max="8" width="9.140625" style="628"/>
    <col min="9" max="9" width="9.140625" style="629"/>
    <col min="10" max="13" width="9.140625" style="629" customWidth="1"/>
    <col min="14" max="15" width="9.140625" style="629"/>
    <col min="16" max="16" width="9.140625" style="628"/>
    <col min="17" max="17" width="27" style="628" bestFit="1" customWidth="1"/>
    <col min="18" max="19" width="9.140625" style="628"/>
    <col min="20" max="20" width="20.28515625" style="628" customWidth="1"/>
    <col min="21" max="16384" width="9.140625" style="628"/>
  </cols>
  <sheetData>
    <row r="1" spans="1:19" ht="25.5" x14ac:dyDescent="0.2">
      <c r="A1" s="630" t="s">
        <v>1056</v>
      </c>
      <c r="B1" s="630" t="s">
        <v>1070</v>
      </c>
      <c r="C1" s="630" t="s">
        <v>60</v>
      </c>
      <c r="D1" s="631" t="s">
        <v>9</v>
      </c>
      <c r="E1" s="630" t="s">
        <v>1088</v>
      </c>
      <c r="F1" s="631" t="s">
        <v>1089</v>
      </c>
      <c r="G1" s="631" t="s">
        <v>1091</v>
      </c>
      <c r="H1" s="631" t="s">
        <v>1094</v>
      </c>
      <c r="I1" s="630" t="s">
        <v>1097</v>
      </c>
      <c r="J1" s="1067" t="s">
        <v>1185</v>
      </c>
      <c r="K1" s="1067"/>
      <c r="L1" s="629" t="s">
        <v>1186</v>
      </c>
      <c r="M1" s="629" t="s">
        <v>55</v>
      </c>
      <c r="N1" s="629" t="s">
        <v>1187</v>
      </c>
      <c r="O1" s="629" t="s">
        <v>1188</v>
      </c>
    </row>
    <row r="2" spans="1:19" x14ac:dyDescent="0.2">
      <c r="A2" s="1066" t="s">
        <v>1100</v>
      </c>
      <c r="B2" s="1066"/>
      <c r="C2" s="1066"/>
      <c r="D2" s="1066"/>
      <c r="E2" s="1066"/>
      <c r="F2" s="1066"/>
      <c r="G2" s="1066"/>
      <c r="H2" s="1066"/>
      <c r="I2" s="1066"/>
      <c r="J2" s="1066"/>
      <c r="K2" s="1066"/>
      <c r="L2" s="1066"/>
      <c r="M2" s="1066"/>
      <c r="N2" s="1066"/>
      <c r="O2" s="1066"/>
      <c r="P2" s="1066"/>
      <c r="Q2" s="1066"/>
      <c r="R2" s="1066"/>
      <c r="S2" s="1066"/>
    </row>
    <row r="3" spans="1:19" x14ac:dyDescent="0.2">
      <c r="A3" s="629" t="s">
        <v>1057</v>
      </c>
      <c r="B3" s="629" t="s">
        <v>1071</v>
      </c>
      <c r="C3" s="629">
        <v>0.45</v>
      </c>
      <c r="D3" s="628" t="s">
        <v>1083</v>
      </c>
      <c r="E3" s="629" t="s">
        <v>50</v>
      </c>
      <c r="F3" s="628" t="s">
        <v>1090</v>
      </c>
      <c r="G3" s="628" t="s">
        <v>1092</v>
      </c>
      <c r="H3" s="628" t="s">
        <v>1095</v>
      </c>
      <c r="I3" s="629">
        <v>1</v>
      </c>
      <c r="J3" s="629">
        <v>1.1000000000000001</v>
      </c>
      <c r="K3" s="629">
        <v>1.4</v>
      </c>
      <c r="L3" s="629">
        <f>K3*J3</f>
        <v>1.54</v>
      </c>
      <c r="M3" s="629">
        <f>(J3+K3)*2</f>
        <v>5</v>
      </c>
      <c r="N3" s="629">
        <f>L3*I3</f>
        <v>1.54</v>
      </c>
      <c r="O3" s="629">
        <f>M3*I3</f>
        <v>5</v>
      </c>
      <c r="Q3" s="628" t="s">
        <v>1189</v>
      </c>
      <c r="R3" s="628">
        <f>SUM(N3:N11,N14)</f>
        <v>53.35199999999999</v>
      </c>
      <c r="S3" s="628" t="s">
        <v>1</v>
      </c>
    </row>
    <row r="4" spans="1:19" x14ac:dyDescent="0.2">
      <c r="A4" s="629" t="s">
        <v>1058</v>
      </c>
      <c r="B4" s="629" t="s">
        <v>1072</v>
      </c>
      <c r="C4" s="629">
        <v>2.09</v>
      </c>
      <c r="D4" s="628" t="s">
        <v>1083</v>
      </c>
      <c r="E4" s="629" t="s">
        <v>50</v>
      </c>
      <c r="F4" s="628" t="s">
        <v>1090</v>
      </c>
      <c r="G4" s="628" t="s">
        <v>1093</v>
      </c>
      <c r="H4" s="628" t="s">
        <v>1095</v>
      </c>
      <c r="I4" s="629">
        <v>1</v>
      </c>
      <c r="J4" s="629">
        <v>0.86</v>
      </c>
      <c r="K4" s="629">
        <v>0.8</v>
      </c>
      <c r="L4" s="629">
        <f t="shared" ref="L4:L67" si="0">K4*J4</f>
        <v>0.68800000000000006</v>
      </c>
      <c r="M4" s="629">
        <f t="shared" ref="M4:M67" si="1">(J4+K4)*2</f>
        <v>3.3200000000000003</v>
      </c>
      <c r="N4" s="629">
        <f t="shared" ref="N4:N67" si="2">L4*I4</f>
        <v>0.68800000000000006</v>
      </c>
      <c r="O4" s="629">
        <f t="shared" ref="O4:O67" si="3">M4*I4</f>
        <v>3.3200000000000003</v>
      </c>
      <c r="Q4" s="628" t="s">
        <v>141</v>
      </c>
      <c r="R4" s="628">
        <f>SUM(O3:O11,O14)</f>
        <v>189.98</v>
      </c>
      <c r="S4" s="628" t="s">
        <v>3</v>
      </c>
    </row>
    <row r="5" spans="1:19" x14ac:dyDescent="0.2">
      <c r="A5" s="629" t="s">
        <v>1059</v>
      </c>
      <c r="B5" s="629" t="s">
        <v>1073</v>
      </c>
      <c r="C5" s="629">
        <v>0.2</v>
      </c>
      <c r="D5" s="628" t="s">
        <v>1083</v>
      </c>
      <c r="E5" s="629" t="s">
        <v>50</v>
      </c>
      <c r="F5" s="628" t="s">
        <v>1090</v>
      </c>
      <c r="G5" s="628" t="s">
        <v>1093</v>
      </c>
      <c r="H5" s="628" t="s">
        <v>1095</v>
      </c>
      <c r="I5" s="629">
        <v>1</v>
      </c>
      <c r="J5" s="629">
        <v>1</v>
      </c>
      <c r="K5" s="629">
        <v>0.8</v>
      </c>
      <c r="L5" s="629">
        <f t="shared" si="0"/>
        <v>0.8</v>
      </c>
      <c r="M5" s="629">
        <f t="shared" si="1"/>
        <v>3.6</v>
      </c>
      <c r="N5" s="629">
        <f t="shared" si="2"/>
        <v>0.8</v>
      </c>
      <c r="O5" s="629">
        <f t="shared" si="3"/>
        <v>3.6</v>
      </c>
    </row>
    <row r="6" spans="1:19" x14ac:dyDescent="0.2">
      <c r="A6" s="629" t="s">
        <v>1060</v>
      </c>
      <c r="B6" s="629" t="s">
        <v>1074</v>
      </c>
      <c r="C6" s="629">
        <v>0</v>
      </c>
      <c r="D6" s="628" t="s">
        <v>1084</v>
      </c>
      <c r="E6" s="629">
        <v>2</v>
      </c>
      <c r="F6" s="628" t="s">
        <v>1098</v>
      </c>
      <c r="G6" s="628" t="s">
        <v>1092</v>
      </c>
      <c r="H6" s="628" t="s">
        <v>1096</v>
      </c>
      <c r="I6" s="629">
        <v>1</v>
      </c>
      <c r="J6" s="629">
        <v>2.15</v>
      </c>
      <c r="K6" s="629">
        <v>2.8</v>
      </c>
      <c r="L6" s="629">
        <f t="shared" si="0"/>
        <v>6.02</v>
      </c>
      <c r="M6" s="629">
        <f t="shared" si="1"/>
        <v>9.8999999999999986</v>
      </c>
      <c r="N6" s="629">
        <f t="shared" si="2"/>
        <v>6.02</v>
      </c>
      <c r="O6" s="629">
        <f t="shared" si="3"/>
        <v>9.8999999999999986</v>
      </c>
      <c r="Q6" s="628" t="s">
        <v>1190</v>
      </c>
    </row>
    <row r="7" spans="1:19" x14ac:dyDescent="0.2">
      <c r="A7" s="629" t="s">
        <v>1061</v>
      </c>
      <c r="B7" s="629" t="s">
        <v>1075</v>
      </c>
      <c r="C7" s="629">
        <v>0</v>
      </c>
      <c r="D7" s="628" t="s">
        <v>1084</v>
      </c>
      <c r="E7" s="629">
        <v>2</v>
      </c>
      <c r="F7" s="628" t="s">
        <v>1098</v>
      </c>
      <c r="G7" s="628" t="s">
        <v>1092</v>
      </c>
      <c r="H7" s="628" t="s">
        <v>1096</v>
      </c>
      <c r="I7" s="629">
        <v>1</v>
      </c>
      <c r="J7" s="629">
        <v>2.33</v>
      </c>
      <c r="K7" s="629">
        <v>2.8</v>
      </c>
      <c r="L7" s="629">
        <f t="shared" si="0"/>
        <v>6.524</v>
      </c>
      <c r="M7" s="629">
        <f t="shared" si="1"/>
        <v>10.26</v>
      </c>
      <c r="N7" s="629">
        <f t="shared" si="2"/>
        <v>6.524</v>
      </c>
      <c r="O7" s="629">
        <f t="shared" si="3"/>
        <v>10.26</v>
      </c>
      <c r="Q7" s="628" t="s">
        <v>1191</v>
      </c>
      <c r="R7" s="628">
        <f>I12+I13</f>
        <v>5</v>
      </c>
      <c r="S7" s="628" t="s">
        <v>2</v>
      </c>
    </row>
    <row r="8" spans="1:19" x14ac:dyDescent="0.2">
      <c r="A8" s="629" t="s">
        <v>1062</v>
      </c>
      <c r="B8" s="629" t="s">
        <v>1076</v>
      </c>
      <c r="C8" s="629">
        <v>0</v>
      </c>
      <c r="D8" s="628" t="s">
        <v>1084</v>
      </c>
      <c r="E8" s="629">
        <v>1</v>
      </c>
      <c r="F8" s="628" t="s">
        <v>1098</v>
      </c>
      <c r="G8" s="628" t="s">
        <v>1092</v>
      </c>
      <c r="H8" s="628" t="s">
        <v>1096</v>
      </c>
      <c r="I8" s="629">
        <v>1</v>
      </c>
      <c r="J8" s="629">
        <v>0.55000000000000004</v>
      </c>
      <c r="K8" s="629">
        <v>2.8</v>
      </c>
      <c r="L8" s="629">
        <f t="shared" si="0"/>
        <v>1.54</v>
      </c>
      <c r="M8" s="629">
        <f t="shared" si="1"/>
        <v>6.6999999999999993</v>
      </c>
      <c r="N8" s="629">
        <f t="shared" si="2"/>
        <v>1.54</v>
      </c>
      <c r="O8" s="629">
        <f t="shared" si="3"/>
        <v>6.6999999999999993</v>
      </c>
      <c r="Q8" s="628" t="s">
        <v>1192</v>
      </c>
      <c r="R8" s="628">
        <f>I15</f>
        <v>1</v>
      </c>
      <c r="S8" s="628" t="s">
        <v>2</v>
      </c>
    </row>
    <row r="9" spans="1:19" x14ac:dyDescent="0.2">
      <c r="A9" s="629" t="s">
        <v>1063</v>
      </c>
      <c r="B9" s="629" t="s">
        <v>1077</v>
      </c>
      <c r="C9" s="629">
        <v>0</v>
      </c>
      <c r="D9" s="628" t="s">
        <v>1085</v>
      </c>
      <c r="E9" s="629">
        <v>1</v>
      </c>
      <c r="F9" s="628" t="s">
        <v>1098</v>
      </c>
      <c r="G9" s="628" t="s">
        <v>1092</v>
      </c>
      <c r="H9" s="628" t="s">
        <v>1096</v>
      </c>
      <c r="I9" s="629">
        <v>2</v>
      </c>
      <c r="J9" s="629">
        <v>1.2</v>
      </c>
      <c r="K9" s="629">
        <v>2.8</v>
      </c>
      <c r="L9" s="629">
        <f t="shared" si="0"/>
        <v>3.36</v>
      </c>
      <c r="M9" s="629">
        <f t="shared" si="1"/>
        <v>8</v>
      </c>
      <c r="N9" s="629">
        <f t="shared" si="2"/>
        <v>6.72</v>
      </c>
      <c r="O9" s="629">
        <f t="shared" si="3"/>
        <v>16</v>
      </c>
      <c r="Q9" s="628" t="s">
        <v>1193</v>
      </c>
      <c r="R9" s="628">
        <f>SUM(O12:O13,O15)</f>
        <v>35.44</v>
      </c>
      <c r="S9" s="628" t="s">
        <v>3</v>
      </c>
    </row>
    <row r="10" spans="1:19" x14ac:dyDescent="0.2">
      <c r="A10" s="629" t="s">
        <v>1064</v>
      </c>
      <c r="B10" s="629" t="s">
        <v>1078</v>
      </c>
      <c r="C10" s="629">
        <v>0.03</v>
      </c>
      <c r="D10" s="628" t="s">
        <v>1086</v>
      </c>
      <c r="E10" s="629">
        <v>1</v>
      </c>
      <c r="F10" s="628" t="s">
        <v>1098</v>
      </c>
      <c r="G10" s="628" t="s">
        <v>1093</v>
      </c>
      <c r="H10" s="628" t="s">
        <v>1095</v>
      </c>
      <c r="I10" s="629">
        <v>18</v>
      </c>
      <c r="J10" s="629">
        <v>0.7</v>
      </c>
      <c r="K10" s="629">
        <v>1.1000000000000001</v>
      </c>
      <c r="L10" s="629">
        <f t="shared" si="0"/>
        <v>0.77</v>
      </c>
      <c r="M10" s="629">
        <f t="shared" si="1"/>
        <v>3.6</v>
      </c>
      <c r="N10" s="629">
        <f t="shared" si="2"/>
        <v>13.86</v>
      </c>
      <c r="O10" s="629">
        <f t="shared" si="3"/>
        <v>64.8</v>
      </c>
    </row>
    <row r="11" spans="1:19" x14ac:dyDescent="0.2">
      <c r="A11" s="629" t="s">
        <v>1065</v>
      </c>
      <c r="B11" s="629" t="s">
        <v>1078</v>
      </c>
      <c r="C11" s="629">
        <v>1.32</v>
      </c>
      <c r="D11" s="628" t="s">
        <v>1086</v>
      </c>
      <c r="E11" s="629">
        <v>1</v>
      </c>
      <c r="F11" s="628" t="s">
        <v>1098</v>
      </c>
      <c r="G11" s="628" t="s">
        <v>1093</v>
      </c>
      <c r="H11" s="628" t="s">
        <v>1095</v>
      </c>
      <c r="I11" s="629">
        <v>18</v>
      </c>
      <c r="J11" s="629">
        <v>0.7</v>
      </c>
      <c r="K11" s="629">
        <v>1.1000000000000001</v>
      </c>
      <c r="L11" s="629">
        <f t="shared" si="0"/>
        <v>0.77</v>
      </c>
      <c r="M11" s="629">
        <f t="shared" si="1"/>
        <v>3.6</v>
      </c>
      <c r="N11" s="629">
        <f t="shared" si="2"/>
        <v>13.86</v>
      </c>
      <c r="O11" s="629">
        <f t="shared" si="3"/>
        <v>64.8</v>
      </c>
      <c r="Q11" s="628" t="s">
        <v>1205</v>
      </c>
      <c r="R11" s="628">
        <f>(6.33+3.5+0.3)*3.24</f>
        <v>32.821200000000005</v>
      </c>
      <c r="S11" s="628" t="s">
        <v>1</v>
      </c>
    </row>
    <row r="12" spans="1:19" x14ac:dyDescent="0.2">
      <c r="A12" s="629" t="s">
        <v>1066</v>
      </c>
      <c r="B12" s="629" t="s">
        <v>1079</v>
      </c>
      <c r="C12" s="629">
        <v>0</v>
      </c>
      <c r="D12" s="628" t="s">
        <v>1086</v>
      </c>
      <c r="E12" s="629">
        <v>1</v>
      </c>
      <c r="F12" s="628" t="s">
        <v>1099</v>
      </c>
      <c r="G12" s="628" t="s">
        <v>1093</v>
      </c>
      <c r="H12" s="628" t="s">
        <v>1099</v>
      </c>
      <c r="I12" s="629">
        <v>4</v>
      </c>
      <c r="J12" s="629">
        <v>0.9</v>
      </c>
      <c r="K12" s="629">
        <v>2.1</v>
      </c>
      <c r="L12" s="629">
        <f t="shared" si="0"/>
        <v>1.8900000000000001</v>
      </c>
      <c r="M12" s="629">
        <f t="shared" si="1"/>
        <v>6</v>
      </c>
      <c r="N12" s="629">
        <f t="shared" si="2"/>
        <v>7.5600000000000005</v>
      </c>
      <c r="O12" s="629">
        <f t="shared" si="3"/>
        <v>24</v>
      </c>
    </row>
    <row r="13" spans="1:19" x14ac:dyDescent="0.2">
      <c r="A13" s="629" t="s">
        <v>1067</v>
      </c>
      <c r="B13" s="629" t="s">
        <v>1080</v>
      </c>
      <c r="C13" s="629">
        <v>0</v>
      </c>
      <c r="D13" s="628" t="s">
        <v>1086</v>
      </c>
      <c r="E13" s="629">
        <v>1</v>
      </c>
      <c r="F13" s="628" t="s">
        <v>1099</v>
      </c>
      <c r="G13" s="628" t="s">
        <v>1093</v>
      </c>
      <c r="H13" s="628" t="s">
        <v>1099</v>
      </c>
      <c r="I13" s="629">
        <v>1</v>
      </c>
      <c r="J13" s="629">
        <v>0.9</v>
      </c>
      <c r="K13" s="629">
        <v>1.75</v>
      </c>
      <c r="L13" s="629">
        <f t="shared" si="0"/>
        <v>1.575</v>
      </c>
      <c r="M13" s="629">
        <f t="shared" si="1"/>
        <v>5.3</v>
      </c>
      <c r="N13" s="629">
        <f t="shared" si="2"/>
        <v>1.575</v>
      </c>
      <c r="O13" s="629">
        <f t="shared" si="3"/>
        <v>5.3</v>
      </c>
    </row>
    <row r="14" spans="1:19" x14ac:dyDescent="0.2">
      <c r="A14" s="629" t="s">
        <v>1068</v>
      </c>
      <c r="B14" s="629" t="s">
        <v>1081</v>
      </c>
      <c r="C14" s="629">
        <v>0.1</v>
      </c>
      <c r="D14" s="628" t="s">
        <v>1086</v>
      </c>
      <c r="E14" s="629">
        <v>1</v>
      </c>
      <c r="F14" s="628" t="s">
        <v>1090</v>
      </c>
      <c r="G14" s="628" t="s">
        <v>1092</v>
      </c>
      <c r="H14" s="628" t="s">
        <v>1095</v>
      </c>
      <c r="I14" s="629">
        <v>1</v>
      </c>
      <c r="J14" s="629">
        <v>1</v>
      </c>
      <c r="K14" s="629">
        <v>1.8</v>
      </c>
      <c r="L14" s="629">
        <f t="shared" si="0"/>
        <v>1.8</v>
      </c>
      <c r="M14" s="629">
        <f t="shared" si="1"/>
        <v>5.6</v>
      </c>
      <c r="N14" s="629">
        <f t="shared" si="2"/>
        <v>1.8</v>
      </c>
      <c r="O14" s="629">
        <f t="shared" si="3"/>
        <v>5.6</v>
      </c>
    </row>
    <row r="15" spans="1:19" x14ac:dyDescent="0.2">
      <c r="A15" s="629" t="s">
        <v>1069</v>
      </c>
      <c r="B15" s="629" t="s">
        <v>1082</v>
      </c>
      <c r="C15" s="629">
        <v>0.1</v>
      </c>
      <c r="D15" s="628" t="s">
        <v>1087</v>
      </c>
      <c r="E15" s="629">
        <v>2</v>
      </c>
      <c r="F15" s="628" t="s">
        <v>1099</v>
      </c>
      <c r="G15" s="628" t="s">
        <v>1092</v>
      </c>
      <c r="H15" s="628" t="s">
        <v>1099</v>
      </c>
      <c r="I15" s="629">
        <v>1</v>
      </c>
      <c r="J15" s="629">
        <v>1.27</v>
      </c>
      <c r="K15" s="629">
        <v>1.8</v>
      </c>
      <c r="L15" s="629">
        <f t="shared" si="0"/>
        <v>2.286</v>
      </c>
      <c r="M15" s="629">
        <f t="shared" si="1"/>
        <v>6.1400000000000006</v>
      </c>
      <c r="N15" s="629">
        <f t="shared" si="2"/>
        <v>2.286</v>
      </c>
      <c r="O15" s="629">
        <f t="shared" si="3"/>
        <v>6.1400000000000006</v>
      </c>
    </row>
    <row r="16" spans="1:19" x14ac:dyDescent="0.2">
      <c r="A16" s="1066" t="s">
        <v>831</v>
      </c>
      <c r="B16" s="1066"/>
      <c r="C16" s="1066"/>
      <c r="D16" s="1066"/>
      <c r="E16" s="1066"/>
      <c r="F16" s="1066"/>
      <c r="G16" s="1066"/>
      <c r="H16" s="1066"/>
      <c r="I16" s="1066"/>
      <c r="J16" s="1066"/>
      <c r="K16" s="1066"/>
      <c r="L16" s="1066"/>
      <c r="M16" s="1066"/>
      <c r="N16" s="1066"/>
      <c r="O16" s="1066"/>
      <c r="P16" s="1066"/>
      <c r="Q16" s="1066"/>
      <c r="R16" s="1066"/>
      <c r="S16" s="1066"/>
    </row>
    <row r="17" spans="1:22" x14ac:dyDescent="0.2">
      <c r="A17" s="629" t="s">
        <v>1059</v>
      </c>
      <c r="B17" s="629" t="s">
        <v>1073</v>
      </c>
      <c r="C17" s="629">
        <v>0.2</v>
      </c>
      <c r="D17" s="628" t="s">
        <v>1083</v>
      </c>
      <c r="E17" s="629" t="s">
        <v>50</v>
      </c>
      <c r="F17" s="628" t="s">
        <v>1090</v>
      </c>
      <c r="G17" s="628" t="s">
        <v>1093</v>
      </c>
      <c r="H17" s="628" t="s">
        <v>1095</v>
      </c>
      <c r="I17" s="629">
        <f>1*3</f>
        <v>3</v>
      </c>
      <c r="J17" s="629">
        <v>1</v>
      </c>
      <c r="K17" s="629">
        <v>0.8</v>
      </c>
      <c r="L17" s="629">
        <f t="shared" si="0"/>
        <v>0.8</v>
      </c>
      <c r="M17" s="629">
        <f t="shared" si="1"/>
        <v>3.6</v>
      </c>
      <c r="N17" s="629">
        <f t="shared" si="2"/>
        <v>2.4000000000000004</v>
      </c>
      <c r="O17" s="629">
        <f t="shared" si="3"/>
        <v>10.8</v>
      </c>
      <c r="Q17" s="628" t="s">
        <v>1189</v>
      </c>
      <c r="R17" s="628">
        <f>SUM(N17:N22)</f>
        <v>95.915999999999997</v>
      </c>
      <c r="S17" s="628" t="s">
        <v>1</v>
      </c>
    </row>
    <row r="18" spans="1:22" x14ac:dyDescent="0.2">
      <c r="A18" s="629" t="s">
        <v>1101</v>
      </c>
      <c r="B18" s="629" t="s">
        <v>1072</v>
      </c>
      <c r="C18" s="629">
        <v>1.73</v>
      </c>
      <c r="D18" s="628" t="s">
        <v>1083</v>
      </c>
      <c r="E18" s="629" t="s">
        <v>50</v>
      </c>
      <c r="F18" s="628" t="s">
        <v>1090</v>
      </c>
      <c r="G18" s="628" t="s">
        <v>1093</v>
      </c>
      <c r="H18" s="628" t="s">
        <v>1095</v>
      </c>
      <c r="I18" s="629">
        <f>1*3</f>
        <v>3</v>
      </c>
      <c r="J18" s="629">
        <v>0.86</v>
      </c>
      <c r="K18" s="629">
        <v>0.8</v>
      </c>
      <c r="L18" s="629">
        <f t="shared" si="0"/>
        <v>0.68800000000000006</v>
      </c>
      <c r="M18" s="629">
        <f t="shared" si="1"/>
        <v>3.3200000000000003</v>
      </c>
      <c r="N18" s="629">
        <f t="shared" si="2"/>
        <v>2.0640000000000001</v>
      </c>
      <c r="O18" s="629">
        <f t="shared" si="3"/>
        <v>9.9600000000000009</v>
      </c>
      <c r="Q18" s="628" t="s">
        <v>141</v>
      </c>
      <c r="R18" s="628">
        <f>SUM(O17:O22)</f>
        <v>249.60000000000002</v>
      </c>
      <c r="S18" s="628" t="s">
        <v>3</v>
      </c>
    </row>
    <row r="19" spans="1:22" x14ac:dyDescent="0.2">
      <c r="A19" s="629" t="s">
        <v>1102</v>
      </c>
      <c r="B19" s="629" t="s">
        <v>1104</v>
      </c>
      <c r="C19" s="629">
        <v>0.4</v>
      </c>
      <c r="D19" s="628" t="s">
        <v>1106</v>
      </c>
      <c r="E19" s="629">
        <v>6</v>
      </c>
      <c r="F19" s="628" t="s">
        <v>1098</v>
      </c>
      <c r="G19" s="628" t="s">
        <v>1092</v>
      </c>
      <c r="H19" s="628" t="s">
        <v>1096</v>
      </c>
      <c r="I19" s="629">
        <f>1*3</f>
        <v>3</v>
      </c>
      <c r="J19" s="629">
        <v>7</v>
      </c>
      <c r="K19" s="629">
        <v>2.48</v>
      </c>
      <c r="L19" s="629">
        <f t="shared" si="0"/>
        <v>17.36</v>
      </c>
      <c r="M19" s="629">
        <f t="shared" si="1"/>
        <v>18.96</v>
      </c>
      <c r="N19" s="629">
        <f t="shared" si="2"/>
        <v>52.08</v>
      </c>
      <c r="O19" s="629">
        <f t="shared" si="3"/>
        <v>56.88</v>
      </c>
    </row>
    <row r="20" spans="1:22" x14ac:dyDescent="0.2">
      <c r="A20" s="629" t="s">
        <v>1064</v>
      </c>
      <c r="B20" s="629" t="s">
        <v>1078</v>
      </c>
      <c r="C20" s="629">
        <v>0.03</v>
      </c>
      <c r="D20" s="628" t="s">
        <v>1086</v>
      </c>
      <c r="E20" s="629">
        <v>1</v>
      </c>
      <c r="F20" s="628" t="s">
        <v>1098</v>
      </c>
      <c r="G20" s="628" t="s">
        <v>1093</v>
      </c>
      <c r="H20" s="628" t="s">
        <v>1095</v>
      </c>
      <c r="I20" s="629">
        <f>6*3</f>
        <v>18</v>
      </c>
      <c r="J20" s="629">
        <v>0.7</v>
      </c>
      <c r="K20" s="629">
        <v>1.1000000000000001</v>
      </c>
      <c r="L20" s="629">
        <f t="shared" si="0"/>
        <v>0.77</v>
      </c>
      <c r="M20" s="629">
        <f t="shared" si="1"/>
        <v>3.6</v>
      </c>
      <c r="N20" s="629">
        <f t="shared" si="2"/>
        <v>13.86</v>
      </c>
      <c r="O20" s="629">
        <f t="shared" si="3"/>
        <v>64.8</v>
      </c>
      <c r="Q20" s="628" t="s">
        <v>1190</v>
      </c>
    </row>
    <row r="21" spans="1:22" x14ac:dyDescent="0.2">
      <c r="A21" s="629" t="s">
        <v>1065</v>
      </c>
      <c r="B21" s="629" t="s">
        <v>1078</v>
      </c>
      <c r="C21" s="629">
        <v>1.32</v>
      </c>
      <c r="D21" s="628" t="s">
        <v>1086</v>
      </c>
      <c r="E21" s="629">
        <v>1</v>
      </c>
      <c r="F21" s="628" t="s">
        <v>1098</v>
      </c>
      <c r="G21" s="628" t="s">
        <v>1093</v>
      </c>
      <c r="H21" s="628" t="s">
        <v>1095</v>
      </c>
      <c r="I21" s="629">
        <f>7*3</f>
        <v>21</v>
      </c>
      <c r="J21" s="629">
        <v>0.7</v>
      </c>
      <c r="K21" s="629">
        <v>1.1000000000000001</v>
      </c>
      <c r="L21" s="629">
        <f t="shared" si="0"/>
        <v>0.77</v>
      </c>
      <c r="M21" s="629">
        <f t="shared" si="1"/>
        <v>3.6</v>
      </c>
      <c r="N21" s="629">
        <f t="shared" si="2"/>
        <v>16.170000000000002</v>
      </c>
      <c r="O21" s="629">
        <f t="shared" si="3"/>
        <v>75.600000000000009</v>
      </c>
      <c r="Q21" s="628" t="s">
        <v>1191</v>
      </c>
      <c r="R21" s="628">
        <f>I23</f>
        <v>6</v>
      </c>
      <c r="S21" s="628" t="s">
        <v>2</v>
      </c>
    </row>
    <row r="22" spans="1:22" x14ac:dyDescent="0.2">
      <c r="A22" s="629" t="s">
        <v>1103</v>
      </c>
      <c r="B22" s="629" t="s">
        <v>1105</v>
      </c>
      <c r="C22" s="629">
        <v>0</v>
      </c>
      <c r="D22" s="628" t="s">
        <v>1087</v>
      </c>
      <c r="E22" s="629">
        <v>2</v>
      </c>
      <c r="F22" s="628" t="s">
        <v>1098</v>
      </c>
      <c r="G22" s="628" t="s">
        <v>1093</v>
      </c>
      <c r="H22" s="628" t="s">
        <v>1095</v>
      </c>
      <c r="I22" s="629">
        <f>2*3</f>
        <v>6</v>
      </c>
      <c r="J22" s="629">
        <v>0.9</v>
      </c>
      <c r="K22" s="629">
        <v>1.73</v>
      </c>
      <c r="L22" s="629">
        <f t="shared" si="0"/>
        <v>1.5569999999999999</v>
      </c>
      <c r="M22" s="629">
        <f t="shared" si="1"/>
        <v>5.26</v>
      </c>
      <c r="N22" s="629">
        <f t="shared" si="2"/>
        <v>9.3419999999999987</v>
      </c>
      <c r="O22" s="629">
        <f t="shared" si="3"/>
        <v>31.56</v>
      </c>
    </row>
    <row r="23" spans="1:22" x14ac:dyDescent="0.2">
      <c r="A23" s="629" t="s">
        <v>1066</v>
      </c>
      <c r="B23" s="629" t="s">
        <v>1079</v>
      </c>
      <c r="C23" s="629">
        <v>0</v>
      </c>
      <c r="D23" s="628" t="s">
        <v>1086</v>
      </c>
      <c r="E23" s="629">
        <v>1</v>
      </c>
      <c r="F23" s="628" t="s">
        <v>1099</v>
      </c>
      <c r="G23" s="628" t="s">
        <v>1093</v>
      </c>
      <c r="H23" s="628" t="s">
        <v>1099</v>
      </c>
      <c r="I23" s="629">
        <f>2*3</f>
        <v>6</v>
      </c>
      <c r="J23" s="629">
        <v>0.9</v>
      </c>
      <c r="K23" s="629">
        <v>2.1</v>
      </c>
      <c r="L23" s="629">
        <f t="shared" si="0"/>
        <v>1.8900000000000001</v>
      </c>
      <c r="M23" s="629">
        <f t="shared" si="1"/>
        <v>6</v>
      </c>
      <c r="N23" s="629">
        <f t="shared" si="2"/>
        <v>11.34</v>
      </c>
      <c r="O23" s="629">
        <f t="shared" si="3"/>
        <v>36</v>
      </c>
      <c r="Q23" s="628" t="s">
        <v>1193</v>
      </c>
      <c r="R23" s="628">
        <f>O23</f>
        <v>36</v>
      </c>
      <c r="S23" s="628" t="s">
        <v>3</v>
      </c>
      <c r="T23" s="628" t="s">
        <v>1205</v>
      </c>
      <c r="U23" s="628">
        <f>(5.32+1.5)*2.88*3</f>
        <v>58.924800000000005</v>
      </c>
      <c r="V23" s="628" t="s">
        <v>1</v>
      </c>
    </row>
    <row r="24" spans="1:22" x14ac:dyDescent="0.2">
      <c r="A24" s="1066" t="s">
        <v>1107</v>
      </c>
      <c r="B24" s="1066"/>
      <c r="C24" s="1066"/>
      <c r="D24" s="1066"/>
      <c r="E24" s="1066"/>
      <c r="F24" s="1066"/>
      <c r="G24" s="1066"/>
      <c r="H24" s="1066"/>
      <c r="I24" s="1066"/>
      <c r="J24" s="1066"/>
      <c r="K24" s="1066"/>
      <c r="L24" s="1066"/>
      <c r="M24" s="1066"/>
      <c r="N24" s="1066"/>
      <c r="O24" s="1066"/>
      <c r="P24" s="1066"/>
      <c r="Q24" s="1066"/>
      <c r="R24" s="1066"/>
      <c r="S24" s="1066"/>
    </row>
    <row r="25" spans="1:22" x14ac:dyDescent="0.2">
      <c r="A25" s="629" t="s">
        <v>1059</v>
      </c>
      <c r="B25" s="629" t="s">
        <v>1073</v>
      </c>
      <c r="C25" s="629">
        <v>0.2</v>
      </c>
      <c r="D25" s="628" t="s">
        <v>1083</v>
      </c>
      <c r="E25" s="629" t="s">
        <v>50</v>
      </c>
      <c r="F25" s="628" t="s">
        <v>1090</v>
      </c>
      <c r="G25" s="628" t="s">
        <v>1093</v>
      </c>
      <c r="H25" s="628" t="s">
        <v>1095</v>
      </c>
      <c r="I25" s="629">
        <f>1</f>
        <v>1</v>
      </c>
      <c r="J25" s="629">
        <v>1</v>
      </c>
      <c r="K25" s="629">
        <v>0.8</v>
      </c>
      <c r="L25" s="629">
        <f t="shared" si="0"/>
        <v>0.8</v>
      </c>
      <c r="M25" s="629">
        <f t="shared" si="1"/>
        <v>3.6</v>
      </c>
      <c r="N25" s="629">
        <f t="shared" si="2"/>
        <v>0.8</v>
      </c>
      <c r="O25" s="629">
        <f t="shared" si="3"/>
        <v>3.6</v>
      </c>
      <c r="Q25" s="628" t="s">
        <v>1189</v>
      </c>
      <c r="R25" s="628">
        <f>SUM(N25:N30)</f>
        <v>31.972000000000001</v>
      </c>
      <c r="S25" s="628" t="s">
        <v>1</v>
      </c>
    </row>
    <row r="26" spans="1:22" x14ac:dyDescent="0.2">
      <c r="A26" s="629" t="s">
        <v>1101</v>
      </c>
      <c r="B26" s="629" t="s">
        <v>1072</v>
      </c>
      <c r="C26" s="629">
        <v>1.73</v>
      </c>
      <c r="D26" s="628" t="s">
        <v>1083</v>
      </c>
      <c r="E26" s="629" t="s">
        <v>50</v>
      </c>
      <c r="F26" s="628" t="s">
        <v>1090</v>
      </c>
      <c r="G26" s="628" t="s">
        <v>1093</v>
      </c>
      <c r="H26" s="628" t="s">
        <v>1095</v>
      </c>
      <c r="I26" s="629">
        <f>1</f>
        <v>1</v>
      </c>
      <c r="J26" s="629">
        <v>0.86</v>
      </c>
      <c r="K26" s="629">
        <v>0.8</v>
      </c>
      <c r="L26" s="629">
        <f t="shared" si="0"/>
        <v>0.68800000000000006</v>
      </c>
      <c r="M26" s="629">
        <f t="shared" si="1"/>
        <v>3.3200000000000003</v>
      </c>
      <c r="N26" s="629">
        <f t="shared" si="2"/>
        <v>0.68800000000000006</v>
      </c>
      <c r="O26" s="629">
        <f t="shared" si="3"/>
        <v>3.3200000000000003</v>
      </c>
      <c r="Q26" s="628" t="s">
        <v>141</v>
      </c>
      <c r="R26" s="628">
        <f>SUM(O25:O30)</f>
        <v>83.2</v>
      </c>
      <c r="S26" s="628" t="s">
        <v>3</v>
      </c>
    </row>
    <row r="27" spans="1:22" x14ac:dyDescent="0.2">
      <c r="A27" s="629" t="s">
        <v>1102</v>
      </c>
      <c r="B27" s="629" t="s">
        <v>1104</v>
      </c>
      <c r="C27" s="629">
        <v>0.4</v>
      </c>
      <c r="D27" s="628" t="s">
        <v>1106</v>
      </c>
      <c r="E27" s="629">
        <v>6</v>
      </c>
      <c r="F27" s="628" t="s">
        <v>1098</v>
      </c>
      <c r="G27" s="628" t="s">
        <v>1092</v>
      </c>
      <c r="H27" s="628" t="s">
        <v>1096</v>
      </c>
      <c r="I27" s="629">
        <f>1</f>
        <v>1</v>
      </c>
      <c r="J27" s="629">
        <v>7</v>
      </c>
      <c r="K27" s="629">
        <v>2.48</v>
      </c>
      <c r="L27" s="629">
        <f t="shared" si="0"/>
        <v>17.36</v>
      </c>
      <c r="M27" s="629">
        <f t="shared" si="1"/>
        <v>18.96</v>
      </c>
      <c r="N27" s="629">
        <f t="shared" si="2"/>
        <v>17.36</v>
      </c>
      <c r="O27" s="629">
        <f t="shared" si="3"/>
        <v>18.96</v>
      </c>
    </row>
    <row r="28" spans="1:22" x14ac:dyDescent="0.2">
      <c r="A28" s="629" t="s">
        <v>1064</v>
      </c>
      <c r="B28" s="629" t="s">
        <v>1078</v>
      </c>
      <c r="C28" s="629">
        <v>0.03</v>
      </c>
      <c r="D28" s="628" t="s">
        <v>1086</v>
      </c>
      <c r="E28" s="629">
        <v>1</v>
      </c>
      <c r="F28" s="628" t="s">
        <v>1098</v>
      </c>
      <c r="G28" s="628" t="s">
        <v>1093</v>
      </c>
      <c r="H28" s="628" t="s">
        <v>1095</v>
      </c>
      <c r="I28" s="629">
        <f>6</f>
        <v>6</v>
      </c>
      <c r="J28" s="629">
        <v>0.7</v>
      </c>
      <c r="K28" s="629">
        <v>1.1000000000000001</v>
      </c>
      <c r="L28" s="629">
        <f t="shared" si="0"/>
        <v>0.77</v>
      </c>
      <c r="M28" s="629">
        <f t="shared" si="1"/>
        <v>3.6</v>
      </c>
      <c r="N28" s="629">
        <f t="shared" si="2"/>
        <v>4.62</v>
      </c>
      <c r="O28" s="629">
        <f t="shared" si="3"/>
        <v>21.6</v>
      </c>
      <c r="Q28" s="628" t="s">
        <v>1190</v>
      </c>
    </row>
    <row r="29" spans="1:22" x14ac:dyDescent="0.2">
      <c r="A29" s="629" t="s">
        <v>1065</v>
      </c>
      <c r="B29" s="629" t="s">
        <v>1078</v>
      </c>
      <c r="C29" s="629">
        <v>1.32</v>
      </c>
      <c r="D29" s="628" t="s">
        <v>1086</v>
      </c>
      <c r="E29" s="629">
        <v>1</v>
      </c>
      <c r="F29" s="628" t="s">
        <v>1098</v>
      </c>
      <c r="G29" s="628" t="s">
        <v>1093</v>
      </c>
      <c r="H29" s="628" t="s">
        <v>1095</v>
      </c>
      <c r="I29" s="629">
        <f>7</f>
        <v>7</v>
      </c>
      <c r="J29" s="629">
        <v>0.7</v>
      </c>
      <c r="K29" s="629">
        <v>1.1000000000000001</v>
      </c>
      <c r="L29" s="629">
        <f t="shared" si="0"/>
        <v>0.77</v>
      </c>
      <c r="M29" s="629">
        <f t="shared" si="1"/>
        <v>3.6</v>
      </c>
      <c r="N29" s="629">
        <f t="shared" si="2"/>
        <v>5.3900000000000006</v>
      </c>
      <c r="O29" s="629">
        <f t="shared" si="3"/>
        <v>25.2</v>
      </c>
      <c r="Q29" s="628" t="s">
        <v>1191</v>
      </c>
      <c r="R29" s="628">
        <f>I31</f>
        <v>2</v>
      </c>
      <c r="S29" s="628" t="s">
        <v>2</v>
      </c>
    </row>
    <row r="30" spans="1:22" x14ac:dyDescent="0.2">
      <c r="A30" s="629" t="s">
        <v>1103</v>
      </c>
      <c r="B30" s="629" t="s">
        <v>1105</v>
      </c>
      <c r="C30" s="629">
        <v>0</v>
      </c>
      <c r="D30" s="628" t="s">
        <v>1087</v>
      </c>
      <c r="E30" s="629">
        <v>2</v>
      </c>
      <c r="F30" s="628" t="s">
        <v>1098</v>
      </c>
      <c r="G30" s="628" t="s">
        <v>1093</v>
      </c>
      <c r="H30" s="628" t="s">
        <v>1095</v>
      </c>
      <c r="I30" s="629">
        <f>2</f>
        <v>2</v>
      </c>
      <c r="J30" s="629">
        <v>0.9</v>
      </c>
      <c r="K30" s="629">
        <v>1.73</v>
      </c>
      <c r="L30" s="629">
        <f t="shared" si="0"/>
        <v>1.5569999999999999</v>
      </c>
      <c r="M30" s="629">
        <f t="shared" si="1"/>
        <v>5.26</v>
      </c>
      <c r="N30" s="629">
        <f t="shared" si="2"/>
        <v>3.1139999999999999</v>
      </c>
      <c r="O30" s="629">
        <f t="shared" si="3"/>
        <v>10.52</v>
      </c>
      <c r="T30" s="628" t="s">
        <v>1205</v>
      </c>
      <c r="U30" s="628">
        <f>(5.32+1.5)*3.42</f>
        <v>23.324400000000001</v>
      </c>
      <c r="V30" s="628" t="s">
        <v>1</v>
      </c>
    </row>
    <row r="31" spans="1:22" x14ac:dyDescent="0.2">
      <c r="A31" s="629" t="s">
        <v>1066</v>
      </c>
      <c r="B31" s="629" t="s">
        <v>1079</v>
      </c>
      <c r="C31" s="629">
        <v>0</v>
      </c>
      <c r="D31" s="628" t="s">
        <v>1086</v>
      </c>
      <c r="E31" s="629">
        <v>1</v>
      </c>
      <c r="F31" s="628" t="s">
        <v>1099</v>
      </c>
      <c r="G31" s="628" t="s">
        <v>1093</v>
      </c>
      <c r="H31" s="628" t="s">
        <v>1099</v>
      </c>
      <c r="I31" s="629">
        <f>2</f>
        <v>2</v>
      </c>
      <c r="J31" s="629">
        <v>0.9</v>
      </c>
      <c r="K31" s="629">
        <v>2.1</v>
      </c>
      <c r="L31" s="629">
        <f t="shared" si="0"/>
        <v>1.8900000000000001</v>
      </c>
      <c r="M31" s="629">
        <f t="shared" si="1"/>
        <v>6</v>
      </c>
      <c r="N31" s="629">
        <f t="shared" si="2"/>
        <v>3.7800000000000002</v>
      </c>
      <c r="O31" s="629">
        <f t="shared" si="3"/>
        <v>12</v>
      </c>
      <c r="Q31" s="628" t="s">
        <v>1193</v>
      </c>
      <c r="R31" s="628">
        <f>O31</f>
        <v>12</v>
      </c>
      <c r="S31" s="628" t="s">
        <v>3</v>
      </c>
    </row>
    <row r="32" spans="1:22" x14ac:dyDescent="0.2">
      <c r="A32" s="1066" t="s">
        <v>754</v>
      </c>
      <c r="B32" s="1066"/>
      <c r="C32" s="1066"/>
      <c r="D32" s="1066"/>
      <c r="E32" s="1066"/>
      <c r="F32" s="1066"/>
      <c r="G32" s="1066"/>
      <c r="H32" s="1066"/>
      <c r="I32" s="1066"/>
      <c r="J32" s="1066"/>
      <c r="K32" s="1066"/>
      <c r="L32" s="1066"/>
      <c r="M32" s="1066"/>
      <c r="N32" s="1066"/>
      <c r="O32" s="1066"/>
      <c r="P32" s="1066"/>
      <c r="Q32" s="1066"/>
      <c r="R32" s="1066"/>
      <c r="S32" s="1066"/>
    </row>
    <row r="33" spans="1:21" x14ac:dyDescent="0.2">
      <c r="A33" s="629" t="s">
        <v>1059</v>
      </c>
      <c r="B33" s="629" t="s">
        <v>1073</v>
      </c>
      <c r="C33" s="629">
        <v>0.2</v>
      </c>
      <c r="D33" s="628" t="s">
        <v>1083</v>
      </c>
      <c r="E33" s="629" t="s">
        <v>50</v>
      </c>
      <c r="F33" s="628" t="s">
        <v>1090</v>
      </c>
      <c r="G33" s="628" t="s">
        <v>1093</v>
      </c>
      <c r="H33" s="628" t="s">
        <v>1095</v>
      </c>
      <c r="I33" s="629">
        <v>1</v>
      </c>
      <c r="J33" s="629">
        <v>1</v>
      </c>
      <c r="K33" s="629">
        <v>0.8</v>
      </c>
      <c r="L33" s="629">
        <f t="shared" si="0"/>
        <v>0.8</v>
      </c>
      <c r="M33" s="629">
        <f t="shared" si="1"/>
        <v>3.6</v>
      </c>
      <c r="N33" s="629">
        <f t="shared" si="2"/>
        <v>0.8</v>
      </c>
      <c r="O33" s="629">
        <f t="shared" si="3"/>
        <v>3.6</v>
      </c>
      <c r="Q33" s="628" t="s">
        <v>1189</v>
      </c>
      <c r="R33" s="628">
        <f>SUM(N33:N38)</f>
        <v>35.892000000000003</v>
      </c>
      <c r="S33" s="628" t="s">
        <v>1</v>
      </c>
    </row>
    <row r="34" spans="1:21" x14ac:dyDescent="0.2">
      <c r="A34" s="629" t="s">
        <v>1108</v>
      </c>
      <c r="B34" s="629" t="s">
        <v>1072</v>
      </c>
      <c r="C34" s="629">
        <v>2.4500000000000002</v>
      </c>
      <c r="D34" s="628" t="s">
        <v>1083</v>
      </c>
      <c r="E34" s="629" t="s">
        <v>50</v>
      </c>
      <c r="F34" s="628" t="s">
        <v>1090</v>
      </c>
      <c r="G34" s="628" t="s">
        <v>1093</v>
      </c>
      <c r="H34" s="628" t="s">
        <v>1095</v>
      </c>
      <c r="I34" s="629">
        <v>1</v>
      </c>
      <c r="J34" s="629">
        <v>0.86</v>
      </c>
      <c r="K34" s="629">
        <v>0.8</v>
      </c>
      <c r="L34" s="629">
        <f t="shared" si="0"/>
        <v>0.68800000000000006</v>
      </c>
      <c r="M34" s="629">
        <f t="shared" si="1"/>
        <v>3.3200000000000003</v>
      </c>
      <c r="N34" s="629">
        <f t="shared" si="2"/>
        <v>0.68800000000000006</v>
      </c>
      <c r="O34" s="629">
        <f t="shared" si="3"/>
        <v>3.3200000000000003</v>
      </c>
      <c r="Q34" s="628" t="s">
        <v>141</v>
      </c>
      <c r="R34" s="628">
        <f>SUM(O33:O38)</f>
        <v>84.32</v>
      </c>
      <c r="S34" s="628" t="s">
        <v>3</v>
      </c>
    </row>
    <row r="35" spans="1:21" x14ac:dyDescent="0.2">
      <c r="A35" s="629" t="s">
        <v>1109</v>
      </c>
      <c r="B35" s="629" t="s">
        <v>1110</v>
      </c>
      <c r="C35" s="629">
        <v>0.36</v>
      </c>
      <c r="D35" s="628" t="s">
        <v>1106</v>
      </c>
      <c r="E35" s="629">
        <v>6</v>
      </c>
      <c r="F35" s="628" t="s">
        <v>1098</v>
      </c>
      <c r="G35" s="628" t="s">
        <v>1092</v>
      </c>
      <c r="H35" s="628" t="s">
        <v>1096</v>
      </c>
      <c r="I35" s="629">
        <v>1</v>
      </c>
      <c r="J35" s="629">
        <v>7</v>
      </c>
      <c r="K35" s="629">
        <v>3.04</v>
      </c>
      <c r="L35" s="629">
        <f t="shared" si="0"/>
        <v>21.28</v>
      </c>
      <c r="M35" s="629">
        <f t="shared" si="1"/>
        <v>20.079999999999998</v>
      </c>
      <c r="N35" s="629">
        <f t="shared" si="2"/>
        <v>21.28</v>
      </c>
      <c r="O35" s="629">
        <f t="shared" si="3"/>
        <v>20.079999999999998</v>
      </c>
    </row>
    <row r="36" spans="1:21" x14ac:dyDescent="0.2">
      <c r="A36" s="629" t="s">
        <v>1064</v>
      </c>
      <c r="B36" s="629" t="s">
        <v>1078</v>
      </c>
      <c r="C36" s="629">
        <v>0.03</v>
      </c>
      <c r="D36" s="628" t="s">
        <v>1086</v>
      </c>
      <c r="E36" s="629">
        <v>1</v>
      </c>
      <c r="F36" s="628" t="s">
        <v>1098</v>
      </c>
      <c r="G36" s="628" t="s">
        <v>1093</v>
      </c>
      <c r="H36" s="628" t="s">
        <v>1095</v>
      </c>
      <c r="I36" s="629">
        <v>6</v>
      </c>
      <c r="J36" s="629">
        <v>0.7</v>
      </c>
      <c r="K36" s="629">
        <v>1.1000000000000001</v>
      </c>
      <c r="L36" s="629">
        <f t="shared" si="0"/>
        <v>0.77</v>
      </c>
      <c r="M36" s="629">
        <f t="shared" si="1"/>
        <v>3.6</v>
      </c>
      <c r="N36" s="629">
        <f t="shared" si="2"/>
        <v>4.62</v>
      </c>
      <c r="O36" s="629">
        <f t="shared" si="3"/>
        <v>21.6</v>
      </c>
      <c r="Q36" s="628" t="s">
        <v>1190</v>
      </c>
    </row>
    <row r="37" spans="1:21" x14ac:dyDescent="0.2">
      <c r="A37" s="629" t="s">
        <v>1065</v>
      </c>
      <c r="B37" s="629" t="s">
        <v>1078</v>
      </c>
      <c r="C37" s="629">
        <v>1.32</v>
      </c>
      <c r="D37" s="628" t="s">
        <v>1086</v>
      </c>
      <c r="E37" s="629">
        <v>1</v>
      </c>
      <c r="F37" s="628" t="s">
        <v>1098</v>
      </c>
      <c r="G37" s="628" t="s">
        <v>1093</v>
      </c>
      <c r="H37" s="628" t="s">
        <v>1095</v>
      </c>
      <c r="I37" s="629">
        <v>7</v>
      </c>
      <c r="J37" s="629">
        <v>0.7</v>
      </c>
      <c r="K37" s="629">
        <v>1.1000000000000001</v>
      </c>
      <c r="L37" s="629">
        <f t="shared" si="0"/>
        <v>0.77</v>
      </c>
      <c r="M37" s="629">
        <f t="shared" si="1"/>
        <v>3.6</v>
      </c>
      <c r="N37" s="629">
        <f t="shared" si="2"/>
        <v>5.3900000000000006</v>
      </c>
      <c r="O37" s="629">
        <f t="shared" si="3"/>
        <v>25.2</v>
      </c>
      <c r="Q37" s="628" t="s">
        <v>1191</v>
      </c>
      <c r="R37" s="628">
        <f>I39</f>
        <v>2</v>
      </c>
      <c r="S37" s="628" t="s">
        <v>2</v>
      </c>
      <c r="T37" s="628" t="s">
        <v>1203</v>
      </c>
    </row>
    <row r="38" spans="1:21" x14ac:dyDescent="0.2">
      <c r="A38" s="629" t="s">
        <v>1103</v>
      </c>
      <c r="B38" s="629" t="s">
        <v>1105</v>
      </c>
      <c r="C38" s="629">
        <v>0</v>
      </c>
      <c r="D38" s="628" t="s">
        <v>1087</v>
      </c>
      <c r="E38" s="629">
        <v>2</v>
      </c>
      <c r="F38" s="628" t="s">
        <v>1098</v>
      </c>
      <c r="G38" s="628" t="s">
        <v>1093</v>
      </c>
      <c r="H38" s="628" t="s">
        <v>1095</v>
      </c>
      <c r="I38" s="629">
        <v>2</v>
      </c>
      <c r="J38" s="629">
        <v>0.9</v>
      </c>
      <c r="K38" s="629">
        <v>1.73</v>
      </c>
      <c r="L38" s="629">
        <f t="shared" si="0"/>
        <v>1.5569999999999999</v>
      </c>
      <c r="M38" s="629">
        <f t="shared" si="1"/>
        <v>5.26</v>
      </c>
      <c r="N38" s="629">
        <f t="shared" si="2"/>
        <v>3.1139999999999999</v>
      </c>
      <c r="O38" s="629">
        <f t="shared" si="3"/>
        <v>10.52</v>
      </c>
      <c r="T38" s="628">
        <f>(2.82+3.5+2.12)*1.05</f>
        <v>8.8620000000000019</v>
      </c>
      <c r="U38" s="628" t="s">
        <v>1</v>
      </c>
    </row>
    <row r="39" spans="1:21" x14ac:dyDescent="0.2">
      <c r="A39" s="629" t="s">
        <v>1066</v>
      </c>
      <c r="B39" s="629" t="s">
        <v>1079</v>
      </c>
      <c r="C39" s="629">
        <v>0</v>
      </c>
      <c r="D39" s="628" t="s">
        <v>1086</v>
      </c>
      <c r="E39" s="629">
        <v>1</v>
      </c>
      <c r="F39" s="628" t="s">
        <v>1099</v>
      </c>
      <c r="G39" s="628" t="s">
        <v>1093</v>
      </c>
      <c r="H39" s="628" t="s">
        <v>1099</v>
      </c>
      <c r="I39" s="629">
        <v>2</v>
      </c>
      <c r="J39" s="629">
        <v>0.9</v>
      </c>
      <c r="K39" s="629">
        <v>2.1</v>
      </c>
      <c r="L39" s="629">
        <f t="shared" si="0"/>
        <v>1.8900000000000001</v>
      </c>
      <c r="M39" s="629">
        <f t="shared" si="1"/>
        <v>6</v>
      </c>
      <c r="N39" s="629">
        <f t="shared" si="2"/>
        <v>3.7800000000000002</v>
      </c>
      <c r="O39" s="629">
        <f t="shared" si="3"/>
        <v>12</v>
      </c>
      <c r="Q39" s="628" t="s">
        <v>1193</v>
      </c>
      <c r="R39" s="628">
        <f>O39</f>
        <v>12</v>
      </c>
      <c r="S39" s="628" t="s">
        <v>3</v>
      </c>
    </row>
    <row r="40" spans="1:21" x14ac:dyDescent="0.2">
      <c r="A40" s="1066" t="s">
        <v>756</v>
      </c>
      <c r="B40" s="1066"/>
      <c r="C40" s="1066"/>
      <c r="D40" s="1066"/>
      <c r="E40" s="1066"/>
      <c r="F40" s="1066"/>
      <c r="G40" s="1066"/>
      <c r="H40" s="1066"/>
      <c r="I40" s="1066"/>
      <c r="J40" s="1066"/>
      <c r="K40" s="1066"/>
      <c r="L40" s="1066"/>
      <c r="M40" s="1066"/>
      <c r="N40" s="1066"/>
      <c r="O40" s="1066"/>
      <c r="P40" s="1066"/>
      <c r="Q40" s="1066"/>
      <c r="R40" s="1066"/>
      <c r="S40" s="1066"/>
    </row>
    <row r="41" spans="1:21" x14ac:dyDescent="0.2">
      <c r="A41" s="629" t="s">
        <v>1059</v>
      </c>
      <c r="B41" s="629" t="s">
        <v>1073</v>
      </c>
      <c r="C41" s="629">
        <v>0.2</v>
      </c>
      <c r="D41" s="628" t="s">
        <v>1083</v>
      </c>
      <c r="E41" s="629" t="s">
        <v>50</v>
      </c>
      <c r="F41" s="628" t="s">
        <v>1090</v>
      </c>
      <c r="G41" s="628" t="s">
        <v>1093</v>
      </c>
      <c r="H41" s="628" t="s">
        <v>1095</v>
      </c>
      <c r="I41" s="629">
        <f>1*13</f>
        <v>13</v>
      </c>
      <c r="J41" s="629">
        <v>1</v>
      </c>
      <c r="K41" s="629">
        <v>0.8</v>
      </c>
      <c r="L41" s="629">
        <f t="shared" si="0"/>
        <v>0.8</v>
      </c>
      <c r="M41" s="629">
        <f t="shared" si="1"/>
        <v>3.6</v>
      </c>
      <c r="N41" s="629">
        <f t="shared" si="2"/>
        <v>10.4</v>
      </c>
      <c r="O41" s="629">
        <f t="shared" si="3"/>
        <v>46.800000000000004</v>
      </c>
      <c r="Q41" s="628" t="s">
        <v>1189</v>
      </c>
      <c r="R41" s="628">
        <f>SUM(N41:N54,N56,N58:N61)</f>
        <v>2113.0785000000001</v>
      </c>
      <c r="S41" s="628" t="s">
        <v>1</v>
      </c>
    </row>
    <row r="42" spans="1:21" x14ac:dyDescent="0.2">
      <c r="A42" s="629" t="s">
        <v>1111</v>
      </c>
      <c r="B42" s="629" t="s">
        <v>1072</v>
      </c>
      <c r="C42" s="629">
        <v>2.27</v>
      </c>
      <c r="D42" s="628" t="s">
        <v>1083</v>
      </c>
      <c r="E42" s="629" t="s">
        <v>50</v>
      </c>
      <c r="F42" s="628" t="s">
        <v>1090</v>
      </c>
      <c r="G42" s="628" t="s">
        <v>1093</v>
      </c>
      <c r="H42" s="628" t="s">
        <v>1095</v>
      </c>
      <c r="I42" s="629">
        <f>1*13</f>
        <v>13</v>
      </c>
      <c r="J42" s="629">
        <v>0.86</v>
      </c>
      <c r="K42" s="629">
        <v>0.8</v>
      </c>
      <c r="L42" s="629">
        <f t="shared" si="0"/>
        <v>0.68800000000000006</v>
      </c>
      <c r="M42" s="629">
        <f t="shared" si="1"/>
        <v>3.3200000000000003</v>
      </c>
      <c r="N42" s="629">
        <f t="shared" si="2"/>
        <v>8.9440000000000008</v>
      </c>
      <c r="O42" s="629">
        <f t="shared" si="3"/>
        <v>43.160000000000004</v>
      </c>
      <c r="Q42" s="628" t="s">
        <v>141</v>
      </c>
      <c r="R42" s="628">
        <f>SUM(O41:O54,O56,O58:O61)</f>
        <v>3684.4600000000005</v>
      </c>
      <c r="S42" s="628" t="s">
        <v>3</v>
      </c>
    </row>
    <row r="43" spans="1:21" x14ac:dyDescent="0.2">
      <c r="A43" s="629" t="s">
        <v>1112</v>
      </c>
      <c r="B43" s="629" t="s">
        <v>1131</v>
      </c>
      <c r="C43" s="629">
        <v>0.15</v>
      </c>
      <c r="D43" s="628" t="s">
        <v>1106</v>
      </c>
      <c r="E43" s="629">
        <v>6</v>
      </c>
      <c r="F43" s="628" t="s">
        <v>1090</v>
      </c>
      <c r="G43" s="628" t="s">
        <v>1092</v>
      </c>
      <c r="H43" s="628" t="s">
        <v>1096</v>
      </c>
      <c r="I43" s="629">
        <f t="shared" ref="I43:I53" si="4">1*13</f>
        <v>13</v>
      </c>
      <c r="J43" s="629">
        <v>7.2</v>
      </c>
      <c r="K43" s="629">
        <v>2.95</v>
      </c>
      <c r="L43" s="629">
        <f t="shared" si="0"/>
        <v>21.240000000000002</v>
      </c>
      <c r="M43" s="629">
        <f t="shared" si="1"/>
        <v>20.3</v>
      </c>
      <c r="N43" s="629">
        <f t="shared" si="2"/>
        <v>276.12</v>
      </c>
      <c r="O43" s="629">
        <f t="shared" si="3"/>
        <v>263.90000000000003</v>
      </c>
    </row>
    <row r="44" spans="1:21" x14ac:dyDescent="0.2">
      <c r="A44" s="629" t="s">
        <v>1113</v>
      </c>
      <c r="B44" s="629" t="s">
        <v>1132</v>
      </c>
      <c r="C44" s="629">
        <v>0.5</v>
      </c>
      <c r="D44" s="628" t="s">
        <v>1106</v>
      </c>
      <c r="E44" s="629">
        <v>6</v>
      </c>
      <c r="F44" s="628" t="s">
        <v>1090</v>
      </c>
      <c r="G44" s="628" t="s">
        <v>1092</v>
      </c>
      <c r="H44" s="628" t="s">
        <v>1096</v>
      </c>
      <c r="I44" s="629">
        <f t="shared" si="4"/>
        <v>13</v>
      </c>
      <c r="J44" s="629">
        <v>3.78</v>
      </c>
      <c r="K44" s="629">
        <v>2.6</v>
      </c>
      <c r="L44" s="629">
        <f t="shared" si="0"/>
        <v>9.8279999999999994</v>
      </c>
      <c r="M44" s="629">
        <f t="shared" si="1"/>
        <v>12.76</v>
      </c>
      <c r="N44" s="629">
        <f t="shared" si="2"/>
        <v>127.764</v>
      </c>
      <c r="O44" s="629">
        <f t="shared" si="3"/>
        <v>165.88</v>
      </c>
      <c r="Q44" s="628" t="s">
        <v>1190</v>
      </c>
    </row>
    <row r="45" spans="1:21" x14ac:dyDescent="0.2">
      <c r="A45" s="629" t="s">
        <v>1114</v>
      </c>
      <c r="B45" s="629" t="s">
        <v>1133</v>
      </c>
      <c r="C45" s="629">
        <v>0.15</v>
      </c>
      <c r="D45" s="628" t="s">
        <v>1084</v>
      </c>
      <c r="E45" s="629">
        <v>1</v>
      </c>
      <c r="F45" s="628" t="s">
        <v>1090</v>
      </c>
      <c r="G45" s="628" t="s">
        <v>1092</v>
      </c>
      <c r="H45" s="628" t="s">
        <v>1096</v>
      </c>
      <c r="I45" s="629">
        <f t="shared" si="4"/>
        <v>13</v>
      </c>
      <c r="J45" s="629">
        <v>0.59</v>
      </c>
      <c r="K45" s="629">
        <v>2.95</v>
      </c>
      <c r="L45" s="629">
        <f t="shared" si="0"/>
        <v>1.7404999999999999</v>
      </c>
      <c r="M45" s="629">
        <f t="shared" si="1"/>
        <v>7.08</v>
      </c>
      <c r="N45" s="629">
        <f t="shared" si="2"/>
        <v>22.6265</v>
      </c>
      <c r="O45" s="629">
        <f t="shared" si="3"/>
        <v>92.04</v>
      </c>
      <c r="Q45" s="628" t="s">
        <v>1191</v>
      </c>
      <c r="R45" s="628">
        <f>I62</f>
        <v>26</v>
      </c>
      <c r="S45" s="628" t="s">
        <v>2</v>
      </c>
    </row>
    <row r="46" spans="1:21" x14ac:dyDescent="0.2">
      <c r="A46" s="629" t="s">
        <v>1115</v>
      </c>
      <c r="B46" s="629" t="s">
        <v>1134</v>
      </c>
      <c r="C46" s="629">
        <v>0.5</v>
      </c>
      <c r="D46" s="628" t="s">
        <v>1084</v>
      </c>
      <c r="E46" s="629">
        <v>4</v>
      </c>
      <c r="F46" s="628" t="s">
        <v>1090</v>
      </c>
      <c r="G46" s="628" t="s">
        <v>1092</v>
      </c>
      <c r="H46" s="628" t="s">
        <v>1096</v>
      </c>
      <c r="I46" s="629">
        <f t="shared" si="4"/>
        <v>13</v>
      </c>
      <c r="J46" s="629">
        <v>4.09</v>
      </c>
      <c r="K46" s="629">
        <v>2.6</v>
      </c>
      <c r="L46" s="629">
        <f t="shared" si="0"/>
        <v>10.634</v>
      </c>
      <c r="M46" s="629">
        <f t="shared" si="1"/>
        <v>13.379999999999999</v>
      </c>
      <c r="N46" s="629">
        <f t="shared" si="2"/>
        <v>138.24200000000002</v>
      </c>
      <c r="O46" s="629">
        <f t="shared" si="3"/>
        <v>173.94</v>
      </c>
    </row>
    <row r="47" spans="1:21" x14ac:dyDescent="0.2">
      <c r="A47" s="629" t="s">
        <v>1116</v>
      </c>
      <c r="B47" s="629" t="s">
        <v>1135</v>
      </c>
      <c r="C47" s="629">
        <v>0.5</v>
      </c>
      <c r="D47" s="628" t="s">
        <v>1084</v>
      </c>
      <c r="E47" s="629">
        <v>2</v>
      </c>
      <c r="F47" s="628" t="s">
        <v>1090</v>
      </c>
      <c r="G47" s="628" t="s">
        <v>1092</v>
      </c>
      <c r="H47" s="628" t="s">
        <v>1096</v>
      </c>
      <c r="I47" s="629">
        <f t="shared" si="4"/>
        <v>13</v>
      </c>
      <c r="J47" s="629">
        <v>2.04</v>
      </c>
      <c r="K47" s="629">
        <v>2.6</v>
      </c>
      <c r="L47" s="629">
        <f t="shared" si="0"/>
        <v>5.3040000000000003</v>
      </c>
      <c r="M47" s="629">
        <f t="shared" si="1"/>
        <v>9.2800000000000011</v>
      </c>
      <c r="N47" s="629">
        <f t="shared" si="2"/>
        <v>68.951999999999998</v>
      </c>
      <c r="O47" s="629">
        <f t="shared" si="3"/>
        <v>120.64000000000001</v>
      </c>
      <c r="Q47" s="628" t="s">
        <v>1193</v>
      </c>
      <c r="R47" s="628">
        <f>O62</f>
        <v>208</v>
      </c>
      <c r="S47" s="628" t="s">
        <v>3</v>
      </c>
    </row>
    <row r="48" spans="1:21" x14ac:dyDescent="0.2">
      <c r="A48" s="629" t="s">
        <v>1117</v>
      </c>
      <c r="B48" s="629" t="s">
        <v>1136</v>
      </c>
      <c r="C48" s="629">
        <v>0.5</v>
      </c>
      <c r="D48" s="628" t="s">
        <v>1084</v>
      </c>
      <c r="E48" s="629">
        <v>3</v>
      </c>
      <c r="F48" s="628" t="s">
        <v>1090</v>
      </c>
      <c r="G48" s="628" t="s">
        <v>1092</v>
      </c>
      <c r="H48" s="628" t="s">
        <v>1096</v>
      </c>
      <c r="I48" s="629">
        <f t="shared" si="4"/>
        <v>13</v>
      </c>
      <c r="J48" s="629">
        <v>3.23</v>
      </c>
      <c r="K48" s="629">
        <v>2.6</v>
      </c>
      <c r="L48" s="629">
        <f t="shared" si="0"/>
        <v>8.3979999999999997</v>
      </c>
      <c r="M48" s="629">
        <f t="shared" si="1"/>
        <v>11.66</v>
      </c>
      <c r="N48" s="629">
        <f t="shared" si="2"/>
        <v>109.17399999999999</v>
      </c>
      <c r="O48" s="629">
        <f t="shared" si="3"/>
        <v>151.58000000000001</v>
      </c>
    </row>
    <row r="49" spans="1:19" x14ac:dyDescent="0.2">
      <c r="A49" s="629" t="s">
        <v>1118</v>
      </c>
      <c r="B49" s="629" t="s">
        <v>1137</v>
      </c>
      <c r="C49" s="629">
        <v>1.45</v>
      </c>
      <c r="D49" s="628" t="s">
        <v>1084</v>
      </c>
      <c r="E49" s="629">
        <v>3</v>
      </c>
      <c r="F49" s="628" t="s">
        <v>1090</v>
      </c>
      <c r="G49" s="628" t="s">
        <v>1092</v>
      </c>
      <c r="H49" s="628" t="s">
        <v>1096</v>
      </c>
      <c r="I49" s="629">
        <f t="shared" si="4"/>
        <v>13</v>
      </c>
      <c r="J49" s="629">
        <v>4.8499999999999996</v>
      </c>
      <c r="K49" s="629">
        <v>2.6</v>
      </c>
      <c r="L49" s="629">
        <f t="shared" si="0"/>
        <v>12.61</v>
      </c>
      <c r="M49" s="629">
        <f t="shared" si="1"/>
        <v>14.899999999999999</v>
      </c>
      <c r="N49" s="629">
        <f t="shared" si="2"/>
        <v>163.93</v>
      </c>
      <c r="O49" s="629">
        <f t="shared" si="3"/>
        <v>193.7</v>
      </c>
      <c r="Q49" s="628" t="s">
        <v>1194</v>
      </c>
      <c r="R49" s="628">
        <f>I55</f>
        <v>39</v>
      </c>
      <c r="S49" s="628" t="s">
        <v>2</v>
      </c>
    </row>
    <row r="50" spans="1:19" x14ac:dyDescent="0.2">
      <c r="A50" s="629" t="s">
        <v>1119</v>
      </c>
      <c r="B50" s="629" t="s">
        <v>1138</v>
      </c>
      <c r="C50" s="629">
        <v>0.5</v>
      </c>
      <c r="D50" s="628" t="s">
        <v>1084</v>
      </c>
      <c r="E50" s="629">
        <v>2</v>
      </c>
      <c r="F50" s="628" t="s">
        <v>1090</v>
      </c>
      <c r="G50" s="628" t="s">
        <v>1092</v>
      </c>
      <c r="H50" s="628" t="s">
        <v>1096</v>
      </c>
      <c r="I50" s="629">
        <f t="shared" si="4"/>
        <v>13</v>
      </c>
      <c r="J50" s="629">
        <v>2.4500000000000002</v>
      </c>
      <c r="K50" s="629">
        <v>2.6</v>
      </c>
      <c r="L50" s="629">
        <f t="shared" si="0"/>
        <v>6.370000000000001</v>
      </c>
      <c r="M50" s="629">
        <f t="shared" si="1"/>
        <v>10.100000000000001</v>
      </c>
      <c r="N50" s="629">
        <f t="shared" si="2"/>
        <v>82.810000000000016</v>
      </c>
      <c r="O50" s="629">
        <f t="shared" si="3"/>
        <v>131.30000000000001</v>
      </c>
      <c r="Q50" s="628" t="s">
        <v>1195</v>
      </c>
      <c r="R50" s="628">
        <f>I57</f>
        <v>26</v>
      </c>
      <c r="S50" s="628" t="s">
        <v>2</v>
      </c>
    </row>
    <row r="51" spans="1:19" x14ac:dyDescent="0.2">
      <c r="A51" s="629" t="s">
        <v>1120</v>
      </c>
      <c r="B51" s="629" t="s">
        <v>1139</v>
      </c>
      <c r="C51" s="629">
        <v>0.5</v>
      </c>
      <c r="D51" s="628" t="s">
        <v>1084</v>
      </c>
      <c r="E51" s="629">
        <v>3</v>
      </c>
      <c r="F51" s="628" t="s">
        <v>1090</v>
      </c>
      <c r="G51" s="628" t="s">
        <v>1092</v>
      </c>
      <c r="H51" s="628" t="s">
        <v>1096</v>
      </c>
      <c r="I51" s="629">
        <f t="shared" si="4"/>
        <v>13</v>
      </c>
      <c r="J51" s="629">
        <v>3.58</v>
      </c>
      <c r="K51" s="629">
        <v>2.6</v>
      </c>
      <c r="L51" s="629">
        <f t="shared" si="0"/>
        <v>9.3079999999999998</v>
      </c>
      <c r="M51" s="629">
        <f t="shared" si="1"/>
        <v>12.36</v>
      </c>
      <c r="N51" s="629">
        <f t="shared" si="2"/>
        <v>121.00399999999999</v>
      </c>
      <c r="O51" s="629">
        <f t="shared" si="3"/>
        <v>160.68</v>
      </c>
    </row>
    <row r="52" spans="1:19" x14ac:dyDescent="0.2">
      <c r="A52" s="629" t="s">
        <v>1121</v>
      </c>
      <c r="B52" s="629" t="s">
        <v>1140</v>
      </c>
      <c r="C52" s="629">
        <v>0.5</v>
      </c>
      <c r="D52" s="628" t="s">
        <v>1084</v>
      </c>
      <c r="E52" s="629">
        <v>2</v>
      </c>
      <c r="F52" s="628" t="s">
        <v>1090</v>
      </c>
      <c r="G52" s="628" t="s">
        <v>1092</v>
      </c>
      <c r="H52" s="628" t="s">
        <v>1096</v>
      </c>
      <c r="I52" s="629">
        <f t="shared" si="4"/>
        <v>13</v>
      </c>
      <c r="J52" s="629">
        <v>2.13</v>
      </c>
      <c r="K52" s="629">
        <v>2.6</v>
      </c>
      <c r="L52" s="629">
        <f t="shared" si="0"/>
        <v>5.5380000000000003</v>
      </c>
      <c r="M52" s="629">
        <f t="shared" si="1"/>
        <v>9.4600000000000009</v>
      </c>
      <c r="N52" s="629">
        <f t="shared" si="2"/>
        <v>71.994</v>
      </c>
      <c r="O52" s="629">
        <f t="shared" si="3"/>
        <v>122.98000000000002</v>
      </c>
      <c r="Q52" s="628" t="s">
        <v>1202</v>
      </c>
      <c r="R52" s="628">
        <f>(5.57+5.39+0.77+6.52+0.3)*1.05*13</f>
        <v>253.20750000000004</v>
      </c>
      <c r="S52" s="628" t="s">
        <v>1</v>
      </c>
    </row>
    <row r="53" spans="1:19" x14ac:dyDescent="0.2">
      <c r="A53" s="629" t="s">
        <v>1122</v>
      </c>
      <c r="B53" s="629" t="s">
        <v>1141</v>
      </c>
      <c r="C53" s="629">
        <v>0.5</v>
      </c>
      <c r="D53" s="628" t="s">
        <v>1084</v>
      </c>
      <c r="E53" s="629">
        <v>3</v>
      </c>
      <c r="F53" s="628" t="s">
        <v>1090</v>
      </c>
      <c r="G53" s="628" t="s">
        <v>1092</v>
      </c>
      <c r="H53" s="628" t="s">
        <v>1096</v>
      </c>
      <c r="I53" s="629">
        <f t="shared" si="4"/>
        <v>13</v>
      </c>
      <c r="J53" s="629">
        <v>2.63</v>
      </c>
      <c r="K53" s="629">
        <v>2.6</v>
      </c>
      <c r="L53" s="629">
        <f t="shared" si="0"/>
        <v>6.8380000000000001</v>
      </c>
      <c r="M53" s="629">
        <f t="shared" si="1"/>
        <v>10.46</v>
      </c>
      <c r="N53" s="629">
        <f t="shared" si="2"/>
        <v>88.894000000000005</v>
      </c>
      <c r="O53" s="629">
        <f t="shared" si="3"/>
        <v>135.98000000000002</v>
      </c>
      <c r="Q53" s="628" t="s">
        <v>1201</v>
      </c>
    </row>
    <row r="54" spans="1:19" x14ac:dyDescent="0.2">
      <c r="A54" s="629" t="s">
        <v>1123</v>
      </c>
      <c r="B54" s="629" t="s">
        <v>1142</v>
      </c>
      <c r="C54" s="629">
        <v>0</v>
      </c>
      <c r="D54" s="628" t="s">
        <v>1085</v>
      </c>
      <c r="E54" s="629">
        <v>1</v>
      </c>
      <c r="F54" s="628" t="s">
        <v>1098</v>
      </c>
      <c r="G54" s="628" t="s">
        <v>1092</v>
      </c>
      <c r="H54" s="628" t="s">
        <v>1096</v>
      </c>
      <c r="I54" s="629">
        <f>9*13</f>
        <v>117</v>
      </c>
      <c r="J54" s="629">
        <v>1.2</v>
      </c>
      <c r="K54" s="629">
        <v>2.4</v>
      </c>
      <c r="L54" s="629">
        <f t="shared" si="0"/>
        <v>2.88</v>
      </c>
      <c r="M54" s="629">
        <f t="shared" si="1"/>
        <v>7.1999999999999993</v>
      </c>
      <c r="N54" s="629">
        <f t="shared" si="2"/>
        <v>336.96</v>
      </c>
      <c r="O54" s="629">
        <f t="shared" si="3"/>
        <v>842.39999999999986</v>
      </c>
    </row>
    <row r="55" spans="1:19" x14ac:dyDescent="0.2">
      <c r="A55" s="632" t="s">
        <v>1124</v>
      </c>
      <c r="B55" s="632" t="s">
        <v>1143</v>
      </c>
      <c r="C55" s="632">
        <v>0</v>
      </c>
      <c r="D55" s="633" t="s">
        <v>1086</v>
      </c>
      <c r="E55" s="632">
        <v>1</v>
      </c>
      <c r="F55" s="633" t="s">
        <v>1148</v>
      </c>
      <c r="G55" s="633" t="s">
        <v>1093</v>
      </c>
      <c r="H55" s="633" t="s">
        <v>1148</v>
      </c>
      <c r="I55" s="632">
        <f>3*13</f>
        <v>39</v>
      </c>
      <c r="J55" s="632">
        <v>0.7</v>
      </c>
      <c r="K55" s="632">
        <v>2.1</v>
      </c>
      <c r="L55" s="632">
        <f t="shared" si="0"/>
        <v>1.47</v>
      </c>
      <c r="M55" s="632">
        <f t="shared" si="1"/>
        <v>5.6</v>
      </c>
      <c r="N55" s="632">
        <f t="shared" si="2"/>
        <v>57.33</v>
      </c>
      <c r="O55" s="632">
        <f t="shared" si="3"/>
        <v>218.39999999999998</v>
      </c>
      <c r="Q55" s="628" t="s">
        <v>1203</v>
      </c>
      <c r="R55" s="628">
        <f>(((2.26+0.28+0.24)*2)+7.82+5.04)*1.05*13</f>
        <v>251.43300000000002</v>
      </c>
      <c r="S55" s="628" t="s">
        <v>1</v>
      </c>
    </row>
    <row r="56" spans="1:19" x14ac:dyDescent="0.2">
      <c r="A56" s="629" t="s">
        <v>1125</v>
      </c>
      <c r="B56" s="629" t="s">
        <v>1143</v>
      </c>
      <c r="C56" s="629">
        <v>0</v>
      </c>
      <c r="D56" s="628" t="s">
        <v>1086</v>
      </c>
      <c r="E56" s="629">
        <v>1</v>
      </c>
      <c r="F56" s="628" t="s">
        <v>1098</v>
      </c>
      <c r="G56" s="628" t="s">
        <v>1092</v>
      </c>
      <c r="H56" s="628" t="s">
        <v>1090</v>
      </c>
      <c r="I56" s="629">
        <f>7*13</f>
        <v>91</v>
      </c>
      <c r="J56" s="629">
        <v>0.7</v>
      </c>
      <c r="K56" s="629">
        <v>2.1</v>
      </c>
      <c r="L56" s="629">
        <f t="shared" si="0"/>
        <v>1.47</v>
      </c>
      <c r="M56" s="629">
        <f t="shared" si="1"/>
        <v>5.6</v>
      </c>
      <c r="N56" s="629">
        <f t="shared" si="2"/>
        <v>133.77000000000001</v>
      </c>
      <c r="O56" s="629">
        <f t="shared" si="3"/>
        <v>509.59999999999997</v>
      </c>
      <c r="Q56" s="628" t="s">
        <v>1204</v>
      </c>
    </row>
    <row r="57" spans="1:19" x14ac:dyDescent="0.2">
      <c r="A57" s="632" t="s">
        <v>1126</v>
      </c>
      <c r="B57" s="632" t="s">
        <v>1079</v>
      </c>
      <c r="C57" s="632">
        <v>0</v>
      </c>
      <c r="D57" s="633" t="s">
        <v>1086</v>
      </c>
      <c r="E57" s="632">
        <v>1</v>
      </c>
      <c r="F57" s="633" t="s">
        <v>1148</v>
      </c>
      <c r="G57" s="633" t="s">
        <v>1093</v>
      </c>
      <c r="H57" s="633" t="s">
        <v>1148</v>
      </c>
      <c r="I57" s="632">
        <f>2*13</f>
        <v>26</v>
      </c>
      <c r="J57" s="632">
        <v>0.9</v>
      </c>
      <c r="K57" s="632">
        <v>2.1</v>
      </c>
      <c r="L57" s="632">
        <f t="shared" si="0"/>
        <v>1.8900000000000001</v>
      </c>
      <c r="M57" s="632">
        <f t="shared" si="1"/>
        <v>6</v>
      </c>
      <c r="N57" s="632">
        <f t="shared" si="2"/>
        <v>49.14</v>
      </c>
      <c r="O57" s="632">
        <f t="shared" si="3"/>
        <v>156</v>
      </c>
    </row>
    <row r="58" spans="1:19" x14ac:dyDescent="0.2">
      <c r="A58" s="629" t="s">
        <v>1127</v>
      </c>
      <c r="B58" s="629" t="s">
        <v>1144</v>
      </c>
      <c r="C58" s="629">
        <v>0</v>
      </c>
      <c r="D58" s="628" t="s">
        <v>1086</v>
      </c>
      <c r="E58" s="629">
        <v>1</v>
      </c>
      <c r="F58" s="628" t="s">
        <v>1098</v>
      </c>
      <c r="G58" s="628" t="s">
        <v>1092</v>
      </c>
      <c r="H58" s="628" t="s">
        <v>1090</v>
      </c>
      <c r="I58" s="629">
        <f>1*13</f>
        <v>13</v>
      </c>
      <c r="J58" s="629">
        <v>0.8</v>
      </c>
      <c r="K58" s="629">
        <v>2.1</v>
      </c>
      <c r="L58" s="629">
        <f t="shared" si="0"/>
        <v>1.6800000000000002</v>
      </c>
      <c r="M58" s="629">
        <f t="shared" si="1"/>
        <v>5.8000000000000007</v>
      </c>
      <c r="N58" s="629">
        <f t="shared" si="2"/>
        <v>21.840000000000003</v>
      </c>
      <c r="O58" s="629">
        <f t="shared" si="3"/>
        <v>75.400000000000006</v>
      </c>
    </row>
    <row r="59" spans="1:19" x14ac:dyDescent="0.2">
      <c r="A59" s="629" t="s">
        <v>1128</v>
      </c>
      <c r="B59" s="629" t="s">
        <v>1145</v>
      </c>
      <c r="C59" s="629">
        <v>0</v>
      </c>
      <c r="D59" s="628" t="s">
        <v>1086</v>
      </c>
      <c r="E59" s="629">
        <v>3</v>
      </c>
      <c r="F59" s="628" t="s">
        <v>1098</v>
      </c>
      <c r="G59" s="628" t="s">
        <v>1092</v>
      </c>
      <c r="H59" s="628" t="s">
        <v>1096</v>
      </c>
      <c r="I59" s="629">
        <f>1*13</f>
        <v>13</v>
      </c>
      <c r="J59" s="629">
        <v>3.68</v>
      </c>
      <c r="K59" s="629">
        <v>3.1</v>
      </c>
      <c r="L59" s="629">
        <f t="shared" si="0"/>
        <v>11.408000000000001</v>
      </c>
      <c r="M59" s="629">
        <f t="shared" si="1"/>
        <v>13.56</v>
      </c>
      <c r="N59" s="629">
        <f t="shared" si="2"/>
        <v>148.30400000000003</v>
      </c>
      <c r="O59" s="629">
        <f t="shared" si="3"/>
        <v>176.28</v>
      </c>
    </row>
    <row r="60" spans="1:19" x14ac:dyDescent="0.2">
      <c r="A60" s="629" t="s">
        <v>1129</v>
      </c>
      <c r="B60" s="629" t="s">
        <v>1146</v>
      </c>
      <c r="C60" s="629">
        <v>0</v>
      </c>
      <c r="D60" s="628" t="s">
        <v>1086</v>
      </c>
      <c r="E60" s="629">
        <v>2</v>
      </c>
      <c r="F60" s="628" t="s">
        <v>1098</v>
      </c>
      <c r="G60" s="628" t="s">
        <v>1092</v>
      </c>
      <c r="H60" s="628" t="s">
        <v>1096</v>
      </c>
      <c r="I60" s="629">
        <f>1*13</f>
        <v>13</v>
      </c>
      <c r="J60" s="629">
        <v>2.7</v>
      </c>
      <c r="K60" s="629">
        <v>3.1</v>
      </c>
      <c r="L60" s="629">
        <f t="shared" si="0"/>
        <v>8.370000000000001</v>
      </c>
      <c r="M60" s="629">
        <f t="shared" si="1"/>
        <v>11.600000000000001</v>
      </c>
      <c r="N60" s="629">
        <f t="shared" si="2"/>
        <v>108.81000000000002</v>
      </c>
      <c r="O60" s="629">
        <f t="shared" si="3"/>
        <v>150.80000000000001</v>
      </c>
    </row>
    <row r="61" spans="1:19" x14ac:dyDescent="0.2">
      <c r="A61" s="629" t="s">
        <v>1130</v>
      </c>
      <c r="B61" s="629" t="s">
        <v>1147</v>
      </c>
      <c r="C61" s="629">
        <v>0</v>
      </c>
      <c r="D61" s="628" t="s">
        <v>1087</v>
      </c>
      <c r="E61" s="629">
        <v>2</v>
      </c>
      <c r="F61" s="628" t="s">
        <v>1098</v>
      </c>
      <c r="G61" s="628" t="s">
        <v>1092</v>
      </c>
      <c r="H61" s="628" t="s">
        <v>1096</v>
      </c>
      <c r="I61" s="629">
        <f>1*13</f>
        <v>13</v>
      </c>
      <c r="J61" s="629">
        <v>1.8</v>
      </c>
      <c r="K61" s="629">
        <v>3.1</v>
      </c>
      <c r="L61" s="629">
        <f t="shared" si="0"/>
        <v>5.58</v>
      </c>
      <c r="M61" s="629">
        <f t="shared" si="1"/>
        <v>9.8000000000000007</v>
      </c>
      <c r="N61" s="629">
        <f t="shared" si="2"/>
        <v>72.540000000000006</v>
      </c>
      <c r="O61" s="629">
        <f t="shared" si="3"/>
        <v>127.4</v>
      </c>
    </row>
    <row r="62" spans="1:19" x14ac:dyDescent="0.2">
      <c r="A62" s="629" t="s">
        <v>1066</v>
      </c>
      <c r="B62" s="629" t="s">
        <v>1079</v>
      </c>
      <c r="C62" s="629">
        <v>0</v>
      </c>
      <c r="D62" s="628" t="s">
        <v>1086</v>
      </c>
      <c r="E62" s="629">
        <v>1</v>
      </c>
      <c r="F62" s="628" t="s">
        <v>1099</v>
      </c>
      <c r="G62" s="628" t="s">
        <v>1093</v>
      </c>
      <c r="H62" s="628" t="s">
        <v>1099</v>
      </c>
      <c r="I62" s="629">
        <f>2*13</f>
        <v>26</v>
      </c>
      <c r="J62" s="629">
        <v>0.9</v>
      </c>
      <c r="K62" s="629">
        <v>3.1</v>
      </c>
      <c r="L62" s="629">
        <f t="shared" si="0"/>
        <v>2.79</v>
      </c>
      <c r="M62" s="629">
        <f t="shared" si="1"/>
        <v>8</v>
      </c>
      <c r="N62" s="629">
        <f t="shared" si="2"/>
        <v>72.540000000000006</v>
      </c>
      <c r="O62" s="629">
        <f t="shared" si="3"/>
        <v>208</v>
      </c>
    </row>
    <row r="63" spans="1:19" x14ac:dyDescent="0.2">
      <c r="A63" s="1066" t="s">
        <v>758</v>
      </c>
      <c r="B63" s="1066"/>
      <c r="C63" s="1066"/>
      <c r="D63" s="1066"/>
      <c r="E63" s="1066"/>
      <c r="F63" s="1066"/>
      <c r="G63" s="1066"/>
      <c r="H63" s="1066"/>
      <c r="I63" s="1066"/>
      <c r="J63" s="1066"/>
      <c r="K63" s="1066"/>
      <c r="L63" s="1066"/>
      <c r="M63" s="1066"/>
      <c r="N63" s="1066"/>
      <c r="O63" s="1066"/>
      <c r="P63" s="1066"/>
      <c r="Q63" s="1066"/>
      <c r="R63" s="1066"/>
      <c r="S63" s="1066"/>
    </row>
    <row r="64" spans="1:19" x14ac:dyDescent="0.2">
      <c r="A64" s="629" t="s">
        <v>1059</v>
      </c>
      <c r="B64" s="629" t="s">
        <v>1073</v>
      </c>
      <c r="C64" s="629">
        <v>0.2</v>
      </c>
      <c r="D64" s="628" t="s">
        <v>1083</v>
      </c>
      <c r="E64" s="629" t="s">
        <v>50</v>
      </c>
      <c r="F64" s="628" t="s">
        <v>1090</v>
      </c>
      <c r="G64" s="628" t="s">
        <v>1093</v>
      </c>
      <c r="H64" s="628" t="s">
        <v>1095</v>
      </c>
      <c r="I64" s="629">
        <v>1</v>
      </c>
      <c r="J64" s="629">
        <v>1</v>
      </c>
      <c r="K64" s="629">
        <v>0.8</v>
      </c>
      <c r="L64" s="629">
        <f t="shared" si="0"/>
        <v>0.8</v>
      </c>
      <c r="M64" s="629">
        <f t="shared" si="1"/>
        <v>3.6</v>
      </c>
      <c r="N64" s="629">
        <f t="shared" si="2"/>
        <v>0.8</v>
      </c>
      <c r="O64" s="629">
        <f t="shared" si="3"/>
        <v>3.6</v>
      </c>
      <c r="Q64" s="628" t="s">
        <v>1189</v>
      </c>
      <c r="R64" s="628">
        <f>SUM(N64:N73,N77,N79:N79)</f>
        <v>89.902999999999992</v>
      </c>
      <c r="S64" s="628" t="s">
        <v>1</v>
      </c>
    </row>
    <row r="65" spans="1:19" x14ac:dyDescent="0.2">
      <c r="A65" s="629" t="s">
        <v>1149</v>
      </c>
      <c r="B65" s="629" t="s">
        <v>1072</v>
      </c>
      <c r="C65" s="629">
        <v>1.91</v>
      </c>
      <c r="D65" s="628" t="s">
        <v>1083</v>
      </c>
      <c r="E65" s="629" t="s">
        <v>50</v>
      </c>
      <c r="F65" s="628" t="s">
        <v>1090</v>
      </c>
      <c r="G65" s="628" t="s">
        <v>1093</v>
      </c>
      <c r="H65" s="628" t="s">
        <v>1095</v>
      </c>
      <c r="I65" s="629">
        <v>1</v>
      </c>
      <c r="J65" s="629">
        <v>0.86</v>
      </c>
      <c r="K65" s="629">
        <v>0.8</v>
      </c>
      <c r="L65" s="629">
        <f t="shared" si="0"/>
        <v>0.68800000000000006</v>
      </c>
      <c r="M65" s="629">
        <f t="shared" si="1"/>
        <v>3.3200000000000003</v>
      </c>
      <c r="N65" s="629">
        <f t="shared" si="2"/>
        <v>0.68800000000000006</v>
      </c>
      <c r="O65" s="629">
        <f t="shared" si="3"/>
        <v>3.3200000000000003</v>
      </c>
      <c r="Q65" s="628" t="s">
        <v>141</v>
      </c>
      <c r="R65" s="628">
        <f>SUM(O64:O73,O77,O79)</f>
        <v>215.12</v>
      </c>
      <c r="S65" s="628" t="s">
        <v>3</v>
      </c>
    </row>
    <row r="66" spans="1:19" x14ac:dyDescent="0.2">
      <c r="A66" s="629" t="s">
        <v>1150</v>
      </c>
      <c r="B66" s="629" t="s">
        <v>1162</v>
      </c>
      <c r="C66" s="629">
        <v>1.55</v>
      </c>
      <c r="D66" s="628" t="s">
        <v>1172</v>
      </c>
      <c r="E66" s="629">
        <v>1</v>
      </c>
      <c r="F66" s="628" t="s">
        <v>1098</v>
      </c>
      <c r="G66" s="628" t="s">
        <v>1092</v>
      </c>
      <c r="H66" s="628" t="s">
        <v>1096</v>
      </c>
      <c r="I66" s="629">
        <v>1</v>
      </c>
      <c r="J66" s="629">
        <v>0.5</v>
      </c>
      <c r="K66" s="629">
        <v>1.05</v>
      </c>
      <c r="L66" s="629">
        <f t="shared" si="0"/>
        <v>0.52500000000000002</v>
      </c>
      <c r="M66" s="629">
        <f t="shared" si="1"/>
        <v>3.1</v>
      </c>
      <c r="N66" s="629">
        <f t="shared" si="2"/>
        <v>0.52500000000000002</v>
      </c>
      <c r="O66" s="629">
        <f t="shared" si="3"/>
        <v>3.1</v>
      </c>
    </row>
    <row r="67" spans="1:19" x14ac:dyDescent="0.2">
      <c r="A67" s="629" t="s">
        <v>1151</v>
      </c>
      <c r="B67" s="629" t="s">
        <v>1163</v>
      </c>
      <c r="C67" s="629">
        <v>1.55</v>
      </c>
      <c r="D67" s="628" t="s">
        <v>1172</v>
      </c>
      <c r="E67" s="629">
        <v>1</v>
      </c>
      <c r="F67" s="628" t="s">
        <v>1098</v>
      </c>
      <c r="G67" s="628" t="s">
        <v>1092</v>
      </c>
      <c r="H67" s="628" t="s">
        <v>1096</v>
      </c>
      <c r="I67" s="629">
        <v>15</v>
      </c>
      <c r="J67" s="629">
        <v>0.6</v>
      </c>
      <c r="K67" s="629">
        <v>1.05</v>
      </c>
      <c r="L67" s="629">
        <f t="shared" si="0"/>
        <v>0.63</v>
      </c>
      <c r="M67" s="629">
        <f t="shared" si="1"/>
        <v>3.3</v>
      </c>
      <c r="N67" s="629">
        <f t="shared" si="2"/>
        <v>9.4499999999999993</v>
      </c>
      <c r="O67" s="629">
        <f t="shared" si="3"/>
        <v>49.5</v>
      </c>
      <c r="Q67" s="628" t="s">
        <v>1190</v>
      </c>
    </row>
    <row r="68" spans="1:19" x14ac:dyDescent="0.2">
      <c r="A68" s="629" t="s">
        <v>1152</v>
      </c>
      <c r="B68" s="629" t="s">
        <v>1164</v>
      </c>
      <c r="C68" s="629">
        <v>1.1000000000000001</v>
      </c>
      <c r="D68" s="628" t="s">
        <v>1087</v>
      </c>
      <c r="E68" s="629">
        <v>2</v>
      </c>
      <c r="F68" s="628" t="s">
        <v>1098</v>
      </c>
      <c r="G68" s="628" t="s">
        <v>1092</v>
      </c>
      <c r="H68" s="628" t="s">
        <v>1096</v>
      </c>
      <c r="I68" s="629">
        <v>2</v>
      </c>
      <c r="J68" s="629">
        <v>0.6</v>
      </c>
      <c r="K68" s="629">
        <v>1.5</v>
      </c>
      <c r="L68" s="629">
        <f t="shared" ref="L68:L99" si="5">K68*J68</f>
        <v>0.89999999999999991</v>
      </c>
      <c r="M68" s="629">
        <f t="shared" ref="M68:M99" si="6">(J68+K68)*2</f>
        <v>4.2</v>
      </c>
      <c r="N68" s="629">
        <f t="shared" ref="N68:N99" si="7">L68*I68</f>
        <v>1.7999999999999998</v>
      </c>
      <c r="O68" s="629">
        <f t="shared" ref="O68:O99" si="8">M68*I68</f>
        <v>8.4</v>
      </c>
      <c r="Q68" s="628" t="s">
        <v>1191</v>
      </c>
      <c r="R68" s="628">
        <f>I80</f>
        <v>2</v>
      </c>
      <c r="S68" s="628" t="s">
        <v>2</v>
      </c>
    </row>
    <row r="69" spans="1:19" x14ac:dyDescent="0.2">
      <c r="A69" s="629" t="s">
        <v>1153</v>
      </c>
      <c r="B69" s="629" t="s">
        <v>1165</v>
      </c>
      <c r="C69" s="629">
        <v>1.1000000000000001</v>
      </c>
      <c r="D69" s="628" t="s">
        <v>1087</v>
      </c>
      <c r="E69" s="629">
        <v>2</v>
      </c>
      <c r="F69" s="628" t="s">
        <v>1098</v>
      </c>
      <c r="G69" s="628" t="s">
        <v>1092</v>
      </c>
      <c r="H69" s="628" t="s">
        <v>1096</v>
      </c>
      <c r="I69" s="629">
        <v>4</v>
      </c>
      <c r="J69" s="629">
        <v>1.8</v>
      </c>
      <c r="K69" s="629">
        <v>1.5</v>
      </c>
      <c r="L69" s="629">
        <f t="shared" si="5"/>
        <v>2.7</v>
      </c>
      <c r="M69" s="629">
        <f t="shared" si="6"/>
        <v>6.6</v>
      </c>
      <c r="N69" s="629">
        <f t="shared" si="7"/>
        <v>10.8</v>
      </c>
      <c r="O69" s="629">
        <f t="shared" si="8"/>
        <v>26.4</v>
      </c>
    </row>
    <row r="70" spans="1:19" x14ac:dyDescent="0.2">
      <c r="A70" s="629" t="s">
        <v>1154</v>
      </c>
      <c r="B70" s="629" t="s">
        <v>1166</v>
      </c>
      <c r="C70" s="629">
        <v>0.4</v>
      </c>
      <c r="D70" s="628" t="s">
        <v>1106</v>
      </c>
      <c r="E70" s="629">
        <v>3</v>
      </c>
      <c r="F70" s="628" t="s">
        <v>1098</v>
      </c>
      <c r="G70" s="628" t="s">
        <v>1092</v>
      </c>
      <c r="H70" s="628" t="s">
        <v>1096</v>
      </c>
      <c r="I70" s="629">
        <v>2</v>
      </c>
      <c r="J70" s="629">
        <v>2.4</v>
      </c>
      <c r="K70" s="629">
        <v>2.2000000000000002</v>
      </c>
      <c r="L70" s="629">
        <f t="shared" si="5"/>
        <v>5.28</v>
      </c>
      <c r="M70" s="629">
        <f t="shared" si="6"/>
        <v>9.1999999999999993</v>
      </c>
      <c r="N70" s="629">
        <f t="shared" si="7"/>
        <v>10.56</v>
      </c>
      <c r="O70" s="629">
        <f t="shared" si="8"/>
        <v>18.399999999999999</v>
      </c>
      <c r="Q70" s="628" t="s">
        <v>1193</v>
      </c>
      <c r="R70" s="628">
        <f>O80</f>
        <v>12</v>
      </c>
      <c r="S70" s="628" t="s">
        <v>3</v>
      </c>
    </row>
    <row r="71" spans="1:19" x14ac:dyDescent="0.2">
      <c r="A71" s="629" t="s">
        <v>1155</v>
      </c>
      <c r="B71" s="629" t="s">
        <v>1167</v>
      </c>
      <c r="C71" s="629">
        <v>0.4</v>
      </c>
      <c r="D71" s="628" t="s">
        <v>1175</v>
      </c>
      <c r="E71" s="629">
        <v>2</v>
      </c>
      <c r="F71" s="628" t="s">
        <v>1098</v>
      </c>
      <c r="G71" s="628" t="s">
        <v>1092</v>
      </c>
      <c r="H71" s="628" t="s">
        <v>1096</v>
      </c>
      <c r="I71" s="629">
        <v>5</v>
      </c>
      <c r="J71" s="629">
        <v>1.6</v>
      </c>
      <c r="K71" s="629">
        <v>2.2000000000000002</v>
      </c>
      <c r="L71" s="629">
        <f t="shared" si="5"/>
        <v>3.5200000000000005</v>
      </c>
      <c r="M71" s="629">
        <f t="shared" si="6"/>
        <v>7.6000000000000005</v>
      </c>
      <c r="N71" s="629">
        <f t="shared" si="7"/>
        <v>17.600000000000001</v>
      </c>
      <c r="O71" s="629">
        <f t="shared" si="8"/>
        <v>38</v>
      </c>
    </row>
    <row r="72" spans="1:19" x14ac:dyDescent="0.2">
      <c r="A72" s="629" t="s">
        <v>1156</v>
      </c>
      <c r="B72" s="629" t="s">
        <v>1168</v>
      </c>
      <c r="C72" s="629">
        <v>0.4</v>
      </c>
      <c r="D72" s="628" t="s">
        <v>1175</v>
      </c>
      <c r="E72" s="629">
        <v>2</v>
      </c>
      <c r="F72" s="628" t="s">
        <v>1098</v>
      </c>
      <c r="G72" s="628" t="s">
        <v>1092</v>
      </c>
      <c r="H72" s="628" t="s">
        <v>1096</v>
      </c>
      <c r="I72" s="629">
        <v>2</v>
      </c>
      <c r="J72" s="629">
        <v>1.4</v>
      </c>
      <c r="K72" s="629">
        <v>2.2000000000000002</v>
      </c>
      <c r="L72" s="629">
        <f t="shared" si="5"/>
        <v>3.08</v>
      </c>
      <c r="M72" s="629">
        <f t="shared" si="6"/>
        <v>7.2</v>
      </c>
      <c r="N72" s="629">
        <f t="shared" si="7"/>
        <v>6.16</v>
      </c>
      <c r="O72" s="629">
        <f t="shared" si="8"/>
        <v>14.4</v>
      </c>
      <c r="Q72" s="628" t="s">
        <v>1194</v>
      </c>
      <c r="R72" s="628">
        <f>I74+I78</f>
        <v>18</v>
      </c>
      <c r="S72" s="628" t="s">
        <v>2</v>
      </c>
    </row>
    <row r="73" spans="1:19" x14ac:dyDescent="0.2">
      <c r="A73" s="629" t="s">
        <v>1157</v>
      </c>
      <c r="B73" s="629" t="s">
        <v>1169</v>
      </c>
      <c r="C73" s="629">
        <v>0.4</v>
      </c>
      <c r="D73" s="628" t="s">
        <v>1175</v>
      </c>
      <c r="E73" s="629">
        <v>2</v>
      </c>
      <c r="F73" s="628" t="s">
        <v>1098</v>
      </c>
      <c r="G73" s="628" t="s">
        <v>1092</v>
      </c>
      <c r="H73" s="628" t="s">
        <v>1096</v>
      </c>
      <c r="I73" s="629">
        <v>1</v>
      </c>
      <c r="J73" s="629">
        <v>1.8</v>
      </c>
      <c r="K73" s="629">
        <v>2.2000000000000002</v>
      </c>
      <c r="L73" s="629">
        <f t="shared" si="5"/>
        <v>3.9600000000000004</v>
      </c>
      <c r="M73" s="629">
        <f t="shared" si="6"/>
        <v>8</v>
      </c>
      <c r="N73" s="629">
        <f t="shared" si="7"/>
        <v>3.9600000000000004</v>
      </c>
      <c r="O73" s="629">
        <f t="shared" si="8"/>
        <v>8</v>
      </c>
      <c r="Q73" s="628" t="s">
        <v>1196</v>
      </c>
      <c r="R73" s="628">
        <f>I76</f>
        <v>18</v>
      </c>
      <c r="S73" s="628" t="s">
        <v>2</v>
      </c>
    </row>
    <row r="74" spans="1:19" x14ac:dyDescent="0.2">
      <c r="A74" s="632" t="s">
        <v>1124</v>
      </c>
      <c r="B74" s="632" t="s">
        <v>1143</v>
      </c>
      <c r="C74" s="632">
        <v>0</v>
      </c>
      <c r="D74" s="633" t="s">
        <v>1086</v>
      </c>
      <c r="E74" s="632">
        <v>1</v>
      </c>
      <c r="F74" s="633" t="s">
        <v>1148</v>
      </c>
      <c r="G74" s="633" t="s">
        <v>1093</v>
      </c>
      <c r="H74" s="633" t="s">
        <v>1148</v>
      </c>
      <c r="I74" s="632">
        <v>14</v>
      </c>
      <c r="J74" s="632">
        <v>0.7</v>
      </c>
      <c r="K74" s="632">
        <v>2.1</v>
      </c>
      <c r="L74" s="632">
        <f t="shared" si="5"/>
        <v>1.47</v>
      </c>
      <c r="M74" s="632">
        <f t="shared" si="6"/>
        <v>5.6</v>
      </c>
      <c r="N74" s="632">
        <f t="shared" si="7"/>
        <v>20.58</v>
      </c>
      <c r="O74" s="632">
        <f t="shared" si="8"/>
        <v>78.399999999999991</v>
      </c>
      <c r="Q74" s="628" t="s">
        <v>1195</v>
      </c>
      <c r="R74" s="628">
        <f>I75</f>
        <v>6</v>
      </c>
      <c r="S74" s="628" t="s">
        <v>2</v>
      </c>
    </row>
    <row r="75" spans="1:19" x14ac:dyDescent="0.2">
      <c r="A75" s="632" t="s">
        <v>1126</v>
      </c>
      <c r="B75" s="632" t="s">
        <v>1079</v>
      </c>
      <c r="C75" s="632">
        <v>0</v>
      </c>
      <c r="D75" s="633" t="s">
        <v>1086</v>
      </c>
      <c r="E75" s="632">
        <v>1</v>
      </c>
      <c r="F75" s="633" t="s">
        <v>1148</v>
      </c>
      <c r="G75" s="633" t="s">
        <v>1093</v>
      </c>
      <c r="H75" s="633" t="s">
        <v>1148</v>
      </c>
      <c r="I75" s="632">
        <v>6</v>
      </c>
      <c r="J75" s="632">
        <v>0.9</v>
      </c>
      <c r="K75" s="632">
        <v>2.1</v>
      </c>
      <c r="L75" s="632">
        <f t="shared" si="5"/>
        <v>1.8900000000000001</v>
      </c>
      <c r="M75" s="632">
        <f t="shared" si="6"/>
        <v>6</v>
      </c>
      <c r="N75" s="632">
        <f t="shared" si="7"/>
        <v>11.34</v>
      </c>
      <c r="O75" s="632">
        <f t="shared" si="8"/>
        <v>36</v>
      </c>
    </row>
    <row r="76" spans="1:19" x14ac:dyDescent="0.2">
      <c r="A76" s="632" t="s">
        <v>1158</v>
      </c>
      <c r="B76" s="632" t="s">
        <v>1144</v>
      </c>
      <c r="C76" s="632">
        <v>0</v>
      </c>
      <c r="D76" s="633" t="s">
        <v>1086</v>
      </c>
      <c r="E76" s="632">
        <v>1</v>
      </c>
      <c r="F76" s="633" t="s">
        <v>1148</v>
      </c>
      <c r="G76" s="633" t="s">
        <v>1093</v>
      </c>
      <c r="H76" s="633" t="s">
        <v>1148</v>
      </c>
      <c r="I76" s="632">
        <v>18</v>
      </c>
      <c r="J76" s="632">
        <v>0.8</v>
      </c>
      <c r="K76" s="632">
        <v>2.1</v>
      </c>
      <c r="L76" s="632">
        <f t="shared" si="5"/>
        <v>1.6800000000000002</v>
      </c>
      <c r="M76" s="632">
        <f t="shared" si="6"/>
        <v>5.8000000000000007</v>
      </c>
      <c r="N76" s="632">
        <f t="shared" si="7"/>
        <v>30.240000000000002</v>
      </c>
      <c r="O76" s="632">
        <f t="shared" si="8"/>
        <v>104.4</v>
      </c>
      <c r="Q76" s="628" t="s">
        <v>1202</v>
      </c>
      <c r="R76" s="628">
        <f>(5.57+5.39+0.77+6.52+0.3)*1.05</f>
        <v>19.477500000000003</v>
      </c>
      <c r="S76" s="628" t="s">
        <v>1</v>
      </c>
    </row>
    <row r="77" spans="1:19" x14ac:dyDescent="0.2">
      <c r="A77" s="629" t="s">
        <v>1159</v>
      </c>
      <c r="B77" s="629" t="s">
        <v>1170</v>
      </c>
      <c r="C77" s="629">
        <v>0</v>
      </c>
      <c r="D77" s="628" t="s">
        <v>1087</v>
      </c>
      <c r="E77" s="629">
        <v>2</v>
      </c>
      <c r="F77" s="628" t="s">
        <v>1098</v>
      </c>
      <c r="G77" s="628" t="s">
        <v>1092</v>
      </c>
      <c r="H77" s="628" t="s">
        <v>1096</v>
      </c>
      <c r="I77" s="629">
        <v>2</v>
      </c>
      <c r="J77" s="629">
        <v>2.2999999999999998</v>
      </c>
      <c r="K77" s="629">
        <v>2.6</v>
      </c>
      <c r="L77" s="629">
        <f t="shared" si="5"/>
        <v>5.9799999999999995</v>
      </c>
      <c r="M77" s="629">
        <f t="shared" si="6"/>
        <v>9.8000000000000007</v>
      </c>
      <c r="N77" s="629">
        <f t="shared" si="7"/>
        <v>11.959999999999999</v>
      </c>
      <c r="O77" s="629">
        <f t="shared" si="8"/>
        <v>19.600000000000001</v>
      </c>
      <c r="Q77" s="628" t="s">
        <v>1201</v>
      </c>
    </row>
    <row r="78" spans="1:19" x14ac:dyDescent="0.2">
      <c r="A78" s="632" t="s">
        <v>1160</v>
      </c>
      <c r="B78" s="632" t="s">
        <v>1143</v>
      </c>
      <c r="C78" s="632">
        <v>0</v>
      </c>
      <c r="D78" s="633" t="s">
        <v>1173</v>
      </c>
      <c r="E78" s="632">
        <v>1</v>
      </c>
      <c r="F78" s="633" t="s">
        <v>1098</v>
      </c>
      <c r="G78" s="633" t="s">
        <v>1093</v>
      </c>
      <c r="H78" s="633" t="s">
        <v>1148</v>
      </c>
      <c r="I78" s="632">
        <v>4</v>
      </c>
      <c r="J78" s="632">
        <v>0.7</v>
      </c>
      <c r="K78" s="632">
        <v>2.1</v>
      </c>
      <c r="L78" s="632">
        <f t="shared" si="5"/>
        <v>1.47</v>
      </c>
      <c r="M78" s="632">
        <f t="shared" si="6"/>
        <v>5.6</v>
      </c>
      <c r="N78" s="632">
        <f t="shared" si="7"/>
        <v>5.88</v>
      </c>
      <c r="O78" s="632">
        <f t="shared" si="8"/>
        <v>22.4</v>
      </c>
    </row>
    <row r="79" spans="1:19" x14ac:dyDescent="0.2">
      <c r="A79" s="629" t="s">
        <v>1161</v>
      </c>
      <c r="B79" s="629" t="s">
        <v>1171</v>
      </c>
      <c r="C79" s="629">
        <v>0</v>
      </c>
      <c r="D79" s="628" t="s">
        <v>1174</v>
      </c>
      <c r="E79" s="629">
        <v>3</v>
      </c>
      <c r="F79" s="628" t="s">
        <v>1098</v>
      </c>
      <c r="G79" s="628" t="s">
        <v>1092</v>
      </c>
      <c r="H79" s="628" t="s">
        <v>1096</v>
      </c>
      <c r="I79" s="629">
        <v>2</v>
      </c>
      <c r="J79" s="629">
        <v>3</v>
      </c>
      <c r="K79" s="629">
        <v>2.6</v>
      </c>
      <c r="L79" s="629">
        <f t="shared" si="5"/>
        <v>7.8000000000000007</v>
      </c>
      <c r="M79" s="629">
        <f t="shared" si="6"/>
        <v>11.2</v>
      </c>
      <c r="N79" s="629">
        <f t="shared" si="7"/>
        <v>15.600000000000001</v>
      </c>
      <c r="O79" s="629">
        <f t="shared" si="8"/>
        <v>22.4</v>
      </c>
      <c r="Q79" s="628" t="s">
        <v>1203</v>
      </c>
      <c r="R79" s="628">
        <f>(((2.26+0.28+0.24)*2)+7.82+5.04)*1.05</f>
        <v>19.341000000000001</v>
      </c>
      <c r="S79" s="628" t="s">
        <v>1</v>
      </c>
    </row>
    <row r="80" spans="1:19" x14ac:dyDescent="0.2">
      <c r="A80" s="629" t="s">
        <v>1066</v>
      </c>
      <c r="B80" s="629" t="s">
        <v>1079</v>
      </c>
      <c r="C80" s="629">
        <v>0</v>
      </c>
      <c r="D80" s="628" t="s">
        <v>1086</v>
      </c>
      <c r="E80" s="629">
        <v>1</v>
      </c>
      <c r="F80" s="628" t="s">
        <v>1099</v>
      </c>
      <c r="G80" s="628" t="s">
        <v>1093</v>
      </c>
      <c r="H80" s="628" t="s">
        <v>1099</v>
      </c>
      <c r="I80" s="629">
        <v>2</v>
      </c>
      <c r="J80" s="629">
        <v>0.9</v>
      </c>
      <c r="K80" s="629">
        <v>2.1</v>
      </c>
      <c r="L80" s="629">
        <f t="shared" si="5"/>
        <v>1.8900000000000001</v>
      </c>
      <c r="M80" s="629">
        <f t="shared" si="6"/>
        <v>6</v>
      </c>
      <c r="N80" s="629">
        <f t="shared" si="7"/>
        <v>3.7800000000000002</v>
      </c>
      <c r="O80" s="629">
        <f t="shared" si="8"/>
        <v>12</v>
      </c>
      <c r="Q80" s="628" t="s">
        <v>1204</v>
      </c>
    </row>
    <row r="81" spans="1:20" x14ac:dyDescent="0.2">
      <c r="A81" s="1066" t="s">
        <v>759</v>
      </c>
      <c r="B81" s="1066"/>
      <c r="C81" s="1066"/>
      <c r="D81" s="1066"/>
      <c r="E81" s="1066"/>
      <c r="F81" s="1066"/>
      <c r="G81" s="1066"/>
      <c r="H81" s="1066"/>
      <c r="I81" s="1066"/>
      <c r="J81" s="1066"/>
      <c r="K81" s="1066"/>
      <c r="L81" s="1066"/>
      <c r="M81" s="1066"/>
      <c r="N81" s="1066"/>
      <c r="O81" s="1066"/>
      <c r="P81" s="1066"/>
      <c r="Q81" s="1066"/>
      <c r="R81" s="1066"/>
      <c r="S81" s="1066"/>
    </row>
    <row r="82" spans="1:20" x14ac:dyDescent="0.2">
      <c r="A82" s="629" t="s">
        <v>1059</v>
      </c>
      <c r="B82" s="629" t="s">
        <v>1073</v>
      </c>
      <c r="C82" s="629">
        <v>0.2</v>
      </c>
      <c r="D82" s="628" t="s">
        <v>1083</v>
      </c>
      <c r="E82" s="629" t="s">
        <v>50</v>
      </c>
      <c r="F82" s="628" t="s">
        <v>1090</v>
      </c>
      <c r="G82" s="628" t="s">
        <v>1093</v>
      </c>
      <c r="H82" s="628" t="s">
        <v>1095</v>
      </c>
      <c r="I82" s="629">
        <v>1</v>
      </c>
      <c r="J82" s="629">
        <v>1</v>
      </c>
      <c r="K82" s="629">
        <v>0.8</v>
      </c>
      <c r="L82" s="629">
        <f t="shared" si="5"/>
        <v>0.8</v>
      </c>
      <c r="M82" s="629">
        <f t="shared" si="6"/>
        <v>3.6</v>
      </c>
      <c r="N82" s="629">
        <f t="shared" si="7"/>
        <v>0.8</v>
      </c>
      <c r="O82" s="629">
        <f t="shared" si="8"/>
        <v>3.6</v>
      </c>
      <c r="Q82" s="628" t="s">
        <v>1189</v>
      </c>
      <c r="R82" s="628">
        <f>SUM(N82:N89,N94:N95)</f>
        <v>100.89800000000001</v>
      </c>
      <c r="S82" s="628" t="s">
        <v>1</v>
      </c>
    </row>
    <row r="83" spans="1:20" x14ac:dyDescent="0.2">
      <c r="A83" s="629" t="s">
        <v>1176</v>
      </c>
      <c r="B83" s="629" t="s">
        <v>1072</v>
      </c>
      <c r="C83" s="629">
        <v>2.09</v>
      </c>
      <c r="D83" s="628" t="s">
        <v>1083</v>
      </c>
      <c r="E83" s="629" t="s">
        <v>50</v>
      </c>
      <c r="F83" s="628" t="s">
        <v>1090</v>
      </c>
      <c r="G83" s="628" t="s">
        <v>1093</v>
      </c>
      <c r="H83" s="628" t="s">
        <v>1095</v>
      </c>
      <c r="I83" s="629">
        <v>1</v>
      </c>
      <c r="J83" s="629">
        <v>0.86</v>
      </c>
      <c r="K83" s="629">
        <v>0.8</v>
      </c>
      <c r="L83" s="629">
        <f t="shared" si="5"/>
        <v>0.68800000000000006</v>
      </c>
      <c r="M83" s="629">
        <f t="shared" si="6"/>
        <v>3.3200000000000003</v>
      </c>
      <c r="N83" s="629">
        <f t="shared" si="7"/>
        <v>0.68800000000000006</v>
      </c>
      <c r="O83" s="629">
        <f t="shared" si="8"/>
        <v>3.3200000000000003</v>
      </c>
      <c r="Q83" s="628" t="s">
        <v>141</v>
      </c>
      <c r="R83" s="628">
        <f>SUM(O82:O89,O94:O95)</f>
        <v>186.12</v>
      </c>
      <c r="S83" s="628" t="s">
        <v>3</v>
      </c>
    </row>
    <row r="84" spans="1:20" x14ac:dyDescent="0.2">
      <c r="A84" s="629" t="s">
        <v>1151</v>
      </c>
      <c r="B84" s="629" t="s">
        <v>1163</v>
      </c>
      <c r="C84" s="629">
        <v>1.55</v>
      </c>
      <c r="D84" s="628" t="s">
        <v>1172</v>
      </c>
      <c r="E84" s="629">
        <v>1</v>
      </c>
      <c r="F84" s="628" t="s">
        <v>1098</v>
      </c>
      <c r="G84" s="628" t="s">
        <v>1092</v>
      </c>
      <c r="H84" s="628" t="s">
        <v>1096</v>
      </c>
      <c r="I84" s="629">
        <v>6</v>
      </c>
      <c r="J84" s="629">
        <v>0.6</v>
      </c>
      <c r="K84" s="629">
        <v>1.05</v>
      </c>
      <c r="L84" s="629">
        <f t="shared" si="5"/>
        <v>0.63</v>
      </c>
      <c r="M84" s="629">
        <f t="shared" si="6"/>
        <v>3.3</v>
      </c>
      <c r="N84" s="629">
        <f t="shared" si="7"/>
        <v>3.7800000000000002</v>
      </c>
      <c r="O84" s="629">
        <f t="shared" si="8"/>
        <v>19.799999999999997</v>
      </c>
    </row>
    <row r="85" spans="1:20" x14ac:dyDescent="0.2">
      <c r="A85" s="629" t="s">
        <v>1152</v>
      </c>
      <c r="B85" s="629" t="s">
        <v>1164</v>
      </c>
      <c r="C85" s="629">
        <v>1.1000000000000001</v>
      </c>
      <c r="D85" s="628" t="s">
        <v>1087</v>
      </c>
      <c r="E85" s="629">
        <v>2</v>
      </c>
      <c r="F85" s="628" t="s">
        <v>1098</v>
      </c>
      <c r="G85" s="628" t="s">
        <v>1092</v>
      </c>
      <c r="H85" s="628" t="s">
        <v>1096</v>
      </c>
      <c r="I85" s="629">
        <v>2</v>
      </c>
      <c r="J85" s="629">
        <v>1.6</v>
      </c>
      <c r="K85" s="629">
        <v>1.5</v>
      </c>
      <c r="L85" s="629">
        <f t="shared" si="5"/>
        <v>2.4000000000000004</v>
      </c>
      <c r="M85" s="629">
        <f t="shared" si="6"/>
        <v>6.2</v>
      </c>
      <c r="N85" s="629">
        <f t="shared" si="7"/>
        <v>4.8000000000000007</v>
      </c>
      <c r="O85" s="629">
        <f t="shared" si="8"/>
        <v>12.4</v>
      </c>
      <c r="Q85" s="628" t="s">
        <v>1190</v>
      </c>
    </row>
    <row r="86" spans="1:20" x14ac:dyDescent="0.2">
      <c r="A86" s="629" t="s">
        <v>1153</v>
      </c>
      <c r="B86" s="629" t="s">
        <v>1165</v>
      </c>
      <c r="C86" s="629">
        <v>1.1000000000000001</v>
      </c>
      <c r="D86" s="628" t="s">
        <v>1087</v>
      </c>
      <c r="E86" s="629">
        <v>2</v>
      </c>
      <c r="F86" s="628" t="s">
        <v>1098</v>
      </c>
      <c r="G86" s="628" t="s">
        <v>1092</v>
      </c>
      <c r="H86" s="628" t="s">
        <v>1096</v>
      </c>
      <c r="I86" s="629">
        <v>2</v>
      </c>
      <c r="J86" s="629">
        <v>1.8</v>
      </c>
      <c r="K86" s="629">
        <v>1.5</v>
      </c>
      <c r="L86" s="629">
        <f t="shared" si="5"/>
        <v>2.7</v>
      </c>
      <c r="M86" s="629">
        <f t="shared" si="6"/>
        <v>6.6</v>
      </c>
      <c r="N86" s="629">
        <f t="shared" si="7"/>
        <v>5.4</v>
      </c>
      <c r="O86" s="629">
        <f t="shared" si="8"/>
        <v>13.2</v>
      </c>
      <c r="Q86" s="628" t="s">
        <v>1191</v>
      </c>
      <c r="R86" s="628">
        <f>I96</f>
        <v>2</v>
      </c>
      <c r="S86" s="628" t="s">
        <v>2</v>
      </c>
    </row>
    <row r="87" spans="1:20" x14ac:dyDescent="0.2">
      <c r="A87" s="629" t="s">
        <v>1154</v>
      </c>
      <c r="B87" s="629" t="s">
        <v>1166</v>
      </c>
      <c r="C87" s="629">
        <v>0.4</v>
      </c>
      <c r="D87" s="628" t="s">
        <v>1106</v>
      </c>
      <c r="E87" s="629">
        <v>3</v>
      </c>
      <c r="F87" s="628" t="s">
        <v>1098</v>
      </c>
      <c r="G87" s="628" t="s">
        <v>1092</v>
      </c>
      <c r="H87" s="628" t="s">
        <v>1096</v>
      </c>
      <c r="I87" s="629">
        <v>2</v>
      </c>
      <c r="J87" s="629">
        <v>2.4</v>
      </c>
      <c r="K87" s="629">
        <v>2.2000000000000002</v>
      </c>
      <c r="L87" s="629">
        <f t="shared" si="5"/>
        <v>5.28</v>
      </c>
      <c r="M87" s="629">
        <f t="shared" si="6"/>
        <v>9.1999999999999993</v>
      </c>
      <c r="N87" s="629">
        <f t="shared" si="7"/>
        <v>10.56</v>
      </c>
      <c r="O87" s="629">
        <f t="shared" si="8"/>
        <v>18.399999999999999</v>
      </c>
    </row>
    <row r="88" spans="1:20" x14ac:dyDescent="0.2">
      <c r="A88" s="629" t="s">
        <v>1155</v>
      </c>
      <c r="B88" s="629" t="s">
        <v>1167</v>
      </c>
      <c r="C88" s="629">
        <v>0.4</v>
      </c>
      <c r="D88" s="628" t="s">
        <v>1175</v>
      </c>
      <c r="E88" s="629">
        <v>2</v>
      </c>
      <c r="F88" s="628" t="s">
        <v>1098</v>
      </c>
      <c r="G88" s="628" t="s">
        <v>1092</v>
      </c>
      <c r="H88" s="628" t="s">
        <v>1096</v>
      </c>
      <c r="I88" s="629">
        <v>4</v>
      </c>
      <c r="J88" s="629">
        <v>1.6</v>
      </c>
      <c r="K88" s="629">
        <v>2.2000000000000002</v>
      </c>
      <c r="L88" s="629">
        <f t="shared" si="5"/>
        <v>3.5200000000000005</v>
      </c>
      <c r="M88" s="629">
        <f t="shared" si="6"/>
        <v>7.6000000000000005</v>
      </c>
      <c r="N88" s="629">
        <f t="shared" si="7"/>
        <v>14.080000000000002</v>
      </c>
      <c r="O88" s="629">
        <f t="shared" si="8"/>
        <v>30.400000000000002</v>
      </c>
      <c r="Q88" s="628" t="s">
        <v>1193</v>
      </c>
      <c r="R88" s="628">
        <f>O96</f>
        <v>12</v>
      </c>
      <c r="S88" s="628" t="s">
        <v>3</v>
      </c>
    </row>
    <row r="89" spans="1:20" x14ac:dyDescent="0.2">
      <c r="A89" s="629" t="s">
        <v>1177</v>
      </c>
      <c r="B89" s="629" t="s">
        <v>1180</v>
      </c>
      <c r="C89" s="629">
        <v>1.55</v>
      </c>
      <c r="D89" s="628" t="s">
        <v>1172</v>
      </c>
      <c r="E89" s="629">
        <v>1</v>
      </c>
      <c r="F89" s="628" t="s">
        <v>1098</v>
      </c>
      <c r="G89" s="628" t="s">
        <v>1092</v>
      </c>
      <c r="H89" s="628" t="s">
        <v>1096</v>
      </c>
      <c r="I89" s="629">
        <v>2</v>
      </c>
      <c r="J89" s="629">
        <v>1.5</v>
      </c>
      <c r="K89" s="629">
        <v>1.05</v>
      </c>
      <c r="L89" s="629">
        <f t="shared" si="5"/>
        <v>1.5750000000000002</v>
      </c>
      <c r="M89" s="629">
        <f t="shared" si="6"/>
        <v>5.0999999999999996</v>
      </c>
      <c r="N89" s="629">
        <f t="shared" si="7"/>
        <v>3.1500000000000004</v>
      </c>
      <c r="O89" s="629">
        <f t="shared" si="8"/>
        <v>10.199999999999999</v>
      </c>
    </row>
    <row r="90" spans="1:20" x14ac:dyDescent="0.2">
      <c r="A90" s="632" t="s">
        <v>1124</v>
      </c>
      <c r="B90" s="632" t="s">
        <v>1143</v>
      </c>
      <c r="C90" s="632">
        <v>0</v>
      </c>
      <c r="D90" s="633" t="s">
        <v>1086</v>
      </c>
      <c r="E90" s="632">
        <v>1</v>
      </c>
      <c r="F90" s="633" t="s">
        <v>1148</v>
      </c>
      <c r="G90" s="633" t="s">
        <v>1093</v>
      </c>
      <c r="H90" s="633" t="s">
        <v>1148</v>
      </c>
      <c r="I90" s="632">
        <v>8</v>
      </c>
      <c r="J90" s="632">
        <v>0.7</v>
      </c>
      <c r="K90" s="632">
        <v>2.1</v>
      </c>
      <c r="L90" s="632">
        <f t="shared" si="5"/>
        <v>1.47</v>
      </c>
      <c r="M90" s="632">
        <f t="shared" si="6"/>
        <v>5.6</v>
      </c>
      <c r="N90" s="632">
        <f t="shared" si="7"/>
        <v>11.76</v>
      </c>
      <c r="O90" s="632">
        <f t="shared" si="8"/>
        <v>44.8</v>
      </c>
      <c r="Q90" s="628" t="s">
        <v>1194</v>
      </c>
      <c r="R90" s="628">
        <f>I90+I93</f>
        <v>10</v>
      </c>
      <c r="S90" s="628" t="s">
        <v>2</v>
      </c>
    </row>
    <row r="91" spans="1:20" x14ac:dyDescent="0.2">
      <c r="A91" s="632" t="s">
        <v>1126</v>
      </c>
      <c r="B91" s="632" t="s">
        <v>1079</v>
      </c>
      <c r="C91" s="632">
        <v>0</v>
      </c>
      <c r="D91" s="633" t="s">
        <v>1086</v>
      </c>
      <c r="E91" s="632">
        <v>1</v>
      </c>
      <c r="F91" s="633" t="s">
        <v>1148</v>
      </c>
      <c r="G91" s="633" t="s">
        <v>1093</v>
      </c>
      <c r="H91" s="633" t="s">
        <v>1148</v>
      </c>
      <c r="I91" s="632">
        <v>4</v>
      </c>
      <c r="J91" s="632">
        <v>0.9</v>
      </c>
      <c r="K91" s="632">
        <v>2.1</v>
      </c>
      <c r="L91" s="632">
        <f t="shared" si="5"/>
        <v>1.8900000000000001</v>
      </c>
      <c r="M91" s="632">
        <f t="shared" si="6"/>
        <v>6</v>
      </c>
      <c r="N91" s="632">
        <f t="shared" si="7"/>
        <v>7.5600000000000005</v>
      </c>
      <c r="O91" s="632">
        <f t="shared" si="8"/>
        <v>24</v>
      </c>
      <c r="Q91" s="628" t="s">
        <v>1196</v>
      </c>
      <c r="R91" s="628">
        <f>I92</f>
        <v>7</v>
      </c>
      <c r="S91" s="628" t="s">
        <v>2</v>
      </c>
    </row>
    <row r="92" spans="1:20" x14ac:dyDescent="0.2">
      <c r="A92" s="632" t="s">
        <v>1158</v>
      </c>
      <c r="B92" s="632" t="s">
        <v>1144</v>
      </c>
      <c r="C92" s="632">
        <v>0</v>
      </c>
      <c r="D92" s="633" t="s">
        <v>1086</v>
      </c>
      <c r="E92" s="632">
        <v>1</v>
      </c>
      <c r="F92" s="633" t="s">
        <v>1148</v>
      </c>
      <c r="G92" s="633" t="s">
        <v>1093</v>
      </c>
      <c r="H92" s="633" t="s">
        <v>1148</v>
      </c>
      <c r="I92" s="632">
        <v>7</v>
      </c>
      <c r="J92" s="632">
        <v>0.8</v>
      </c>
      <c r="K92" s="632">
        <v>2.1</v>
      </c>
      <c r="L92" s="632">
        <f t="shared" si="5"/>
        <v>1.6800000000000002</v>
      </c>
      <c r="M92" s="632">
        <f t="shared" si="6"/>
        <v>5.8000000000000007</v>
      </c>
      <c r="N92" s="632">
        <f t="shared" si="7"/>
        <v>11.760000000000002</v>
      </c>
      <c r="O92" s="632">
        <f t="shared" si="8"/>
        <v>40.600000000000009</v>
      </c>
      <c r="Q92" s="628" t="s">
        <v>1195</v>
      </c>
      <c r="R92" s="628">
        <f>I91</f>
        <v>4</v>
      </c>
      <c r="S92" s="628" t="s">
        <v>2</v>
      </c>
    </row>
    <row r="93" spans="1:20" x14ac:dyDescent="0.2">
      <c r="A93" s="632" t="s">
        <v>1160</v>
      </c>
      <c r="B93" s="632" t="s">
        <v>1143</v>
      </c>
      <c r="C93" s="632">
        <v>0</v>
      </c>
      <c r="D93" s="633" t="s">
        <v>1086</v>
      </c>
      <c r="E93" s="632">
        <v>1</v>
      </c>
      <c r="F93" s="633" t="s">
        <v>1148</v>
      </c>
      <c r="G93" s="633" t="s">
        <v>1093</v>
      </c>
      <c r="H93" s="633" t="s">
        <v>1148</v>
      </c>
      <c r="I93" s="632">
        <v>2</v>
      </c>
      <c r="J93" s="632">
        <v>0.7</v>
      </c>
      <c r="K93" s="632">
        <v>2.1</v>
      </c>
      <c r="L93" s="632">
        <f t="shared" si="5"/>
        <v>1.47</v>
      </c>
      <c r="M93" s="632">
        <f t="shared" si="6"/>
        <v>5.6</v>
      </c>
      <c r="N93" s="632">
        <f t="shared" si="7"/>
        <v>2.94</v>
      </c>
      <c r="O93" s="632">
        <f t="shared" si="8"/>
        <v>11.2</v>
      </c>
    </row>
    <row r="94" spans="1:20" x14ac:dyDescent="0.2">
      <c r="A94" s="629" t="s">
        <v>1178</v>
      </c>
      <c r="B94" s="629" t="s">
        <v>1181</v>
      </c>
      <c r="C94" s="629">
        <v>0</v>
      </c>
      <c r="D94" s="628" t="s">
        <v>1183</v>
      </c>
      <c r="E94" s="629">
        <v>4</v>
      </c>
      <c r="F94" s="628" t="s">
        <v>1098</v>
      </c>
      <c r="G94" s="628" t="s">
        <v>1092</v>
      </c>
      <c r="H94" s="628" t="s">
        <v>1096</v>
      </c>
      <c r="I94" s="629">
        <v>4</v>
      </c>
      <c r="J94" s="629">
        <v>5</v>
      </c>
      <c r="K94" s="629">
        <v>2.7</v>
      </c>
      <c r="L94" s="629">
        <f t="shared" si="5"/>
        <v>13.5</v>
      </c>
      <c r="M94" s="629">
        <f t="shared" si="6"/>
        <v>15.4</v>
      </c>
      <c r="N94" s="629">
        <f t="shared" si="7"/>
        <v>54</v>
      </c>
      <c r="O94" s="629">
        <f t="shared" si="8"/>
        <v>61.6</v>
      </c>
      <c r="Q94" s="628" t="s">
        <v>1202</v>
      </c>
      <c r="R94" s="628">
        <f>(1.6+0.74)*2*1.05</f>
        <v>4.9139999999999997</v>
      </c>
      <c r="S94" s="628" t="s">
        <v>1</v>
      </c>
      <c r="T94" s="628" t="s">
        <v>1201</v>
      </c>
    </row>
    <row r="95" spans="1:20" x14ac:dyDescent="0.2">
      <c r="A95" s="629" t="s">
        <v>1179</v>
      </c>
      <c r="B95" s="629" t="s">
        <v>1182</v>
      </c>
      <c r="C95" s="629">
        <v>0</v>
      </c>
      <c r="D95" s="628" t="s">
        <v>1086</v>
      </c>
      <c r="E95" s="629">
        <v>1</v>
      </c>
      <c r="F95" s="628" t="s">
        <v>1098</v>
      </c>
      <c r="G95" s="628" t="s">
        <v>1092</v>
      </c>
      <c r="H95" s="628" t="s">
        <v>1095</v>
      </c>
      <c r="I95" s="629">
        <v>2</v>
      </c>
      <c r="J95" s="629">
        <v>0.7</v>
      </c>
      <c r="K95" s="629">
        <v>2.6</v>
      </c>
      <c r="L95" s="629">
        <f t="shared" si="5"/>
        <v>1.8199999999999998</v>
      </c>
      <c r="M95" s="629">
        <f t="shared" si="6"/>
        <v>6.6</v>
      </c>
      <c r="N95" s="629">
        <f t="shared" si="7"/>
        <v>3.6399999999999997</v>
      </c>
      <c r="O95" s="629">
        <f t="shared" si="8"/>
        <v>13.2</v>
      </c>
      <c r="Q95" s="628" t="s">
        <v>1203</v>
      </c>
      <c r="R95" s="628">
        <f>48.14*1.05</f>
        <v>50.547000000000004</v>
      </c>
      <c r="S95" s="628" t="s">
        <v>1</v>
      </c>
      <c r="T95" s="628" t="s">
        <v>1204</v>
      </c>
    </row>
    <row r="96" spans="1:20" x14ac:dyDescent="0.2">
      <c r="A96" s="629" t="s">
        <v>1066</v>
      </c>
      <c r="B96" s="629" t="s">
        <v>1079</v>
      </c>
      <c r="C96" s="629">
        <v>0</v>
      </c>
      <c r="D96" s="628" t="s">
        <v>1086</v>
      </c>
      <c r="E96" s="629">
        <v>1</v>
      </c>
      <c r="F96" s="628" t="s">
        <v>1099</v>
      </c>
      <c r="G96" s="628" t="s">
        <v>1093</v>
      </c>
      <c r="H96" s="628" t="s">
        <v>1099</v>
      </c>
      <c r="I96" s="629">
        <v>2</v>
      </c>
      <c r="J96" s="629">
        <v>0.9</v>
      </c>
      <c r="K96" s="629">
        <v>2.1</v>
      </c>
      <c r="L96" s="629">
        <f t="shared" si="5"/>
        <v>1.8900000000000001</v>
      </c>
      <c r="M96" s="629">
        <f t="shared" si="6"/>
        <v>6</v>
      </c>
      <c r="N96" s="629">
        <f t="shared" si="7"/>
        <v>3.7800000000000002</v>
      </c>
      <c r="O96" s="629">
        <f t="shared" si="8"/>
        <v>12</v>
      </c>
    </row>
    <row r="97" spans="1:19" x14ac:dyDescent="0.2">
      <c r="A97" s="1066" t="s">
        <v>44</v>
      </c>
      <c r="B97" s="1066"/>
      <c r="C97" s="1066"/>
      <c r="D97" s="1066"/>
      <c r="E97" s="1066"/>
      <c r="F97" s="1066"/>
      <c r="G97" s="1066"/>
      <c r="H97" s="1066"/>
      <c r="I97" s="1066"/>
      <c r="J97" s="1066"/>
      <c r="K97" s="1066"/>
      <c r="L97" s="1066"/>
      <c r="M97" s="1066"/>
      <c r="N97" s="1066"/>
      <c r="O97" s="1066"/>
      <c r="P97" s="1066"/>
      <c r="Q97" s="1066"/>
      <c r="R97" s="1066"/>
      <c r="S97" s="1066"/>
    </row>
    <row r="98" spans="1:19" x14ac:dyDescent="0.2">
      <c r="A98" s="629" t="s">
        <v>1101</v>
      </c>
      <c r="B98" s="629" t="s">
        <v>1072</v>
      </c>
      <c r="C98" s="629">
        <v>1.73</v>
      </c>
      <c r="D98" s="628" t="s">
        <v>1083</v>
      </c>
      <c r="E98" s="629" t="s">
        <v>50</v>
      </c>
      <c r="F98" s="628" t="s">
        <v>1184</v>
      </c>
      <c r="G98" s="628" t="s">
        <v>1093</v>
      </c>
      <c r="H98" s="628" t="s">
        <v>1095</v>
      </c>
      <c r="I98" s="629">
        <v>1</v>
      </c>
      <c r="J98" s="629">
        <v>0.86</v>
      </c>
      <c r="K98" s="629">
        <v>0.8</v>
      </c>
      <c r="L98" s="629">
        <f t="shared" si="5"/>
        <v>0.68800000000000006</v>
      </c>
      <c r="M98" s="629">
        <f t="shared" si="6"/>
        <v>3.3200000000000003</v>
      </c>
      <c r="N98" s="629">
        <f t="shared" si="7"/>
        <v>0.68800000000000006</v>
      </c>
      <c r="O98" s="629">
        <f t="shared" si="8"/>
        <v>3.3200000000000003</v>
      </c>
      <c r="Q98" s="628" t="s">
        <v>1189</v>
      </c>
      <c r="R98" s="628">
        <f>N98</f>
        <v>0.68800000000000006</v>
      </c>
      <c r="S98" s="628" t="s">
        <v>1</v>
      </c>
    </row>
    <row r="99" spans="1:19" x14ac:dyDescent="0.2">
      <c r="A99" s="629" t="s">
        <v>1066</v>
      </c>
      <c r="B99" s="629" t="s">
        <v>1079</v>
      </c>
      <c r="C99" s="629">
        <v>0</v>
      </c>
      <c r="D99" s="628" t="s">
        <v>1086</v>
      </c>
      <c r="E99" s="629">
        <v>1</v>
      </c>
      <c r="F99" s="628" t="s">
        <v>1099</v>
      </c>
      <c r="G99" s="628" t="s">
        <v>1093</v>
      </c>
      <c r="H99" s="628" t="s">
        <v>1099</v>
      </c>
      <c r="I99" s="629">
        <v>1</v>
      </c>
      <c r="J99" s="629">
        <v>0.9</v>
      </c>
      <c r="K99" s="629">
        <v>2.1</v>
      </c>
      <c r="L99" s="629">
        <f t="shared" si="5"/>
        <v>1.8900000000000001</v>
      </c>
      <c r="M99" s="629">
        <f t="shared" si="6"/>
        <v>6</v>
      </c>
      <c r="N99" s="629">
        <f t="shared" si="7"/>
        <v>1.8900000000000001</v>
      </c>
      <c r="O99" s="629">
        <f t="shared" si="8"/>
        <v>6</v>
      </c>
      <c r="Q99" s="628" t="s">
        <v>141</v>
      </c>
      <c r="R99" s="628">
        <f>O98</f>
        <v>3.3200000000000003</v>
      </c>
      <c r="S99" s="628" t="s">
        <v>3</v>
      </c>
    </row>
    <row r="101" spans="1:19" x14ac:dyDescent="0.2">
      <c r="Q101" s="628" t="s">
        <v>1190</v>
      </c>
    </row>
    <row r="102" spans="1:19" x14ac:dyDescent="0.2">
      <c r="Q102" s="628" t="s">
        <v>1191</v>
      </c>
      <c r="R102" s="628">
        <f>I99</f>
        <v>1</v>
      </c>
      <c r="S102" s="628" t="s">
        <v>2</v>
      </c>
    </row>
    <row r="104" spans="1:19" x14ac:dyDescent="0.2">
      <c r="Q104" s="628" t="s">
        <v>1193</v>
      </c>
      <c r="R104" s="628">
        <f>O99</f>
        <v>6</v>
      </c>
      <c r="S104" s="628" t="s">
        <v>3</v>
      </c>
    </row>
  </sheetData>
  <mergeCells count="9">
    <mergeCell ref="A81:S81"/>
    <mergeCell ref="A97:S97"/>
    <mergeCell ref="A16:S16"/>
    <mergeCell ref="A2:S2"/>
    <mergeCell ref="J1:K1"/>
    <mergeCell ref="A40:S40"/>
    <mergeCell ref="A32:S32"/>
    <mergeCell ref="A24:S24"/>
    <mergeCell ref="A63:S63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C5A99-C85C-47B7-831D-1B7472C9DDD5}">
  <sheetPr>
    <tabColor theme="0" tint="-0.34998626667073579"/>
    <pageSetUpPr fitToPage="1"/>
  </sheetPr>
  <dimension ref="A1:N73"/>
  <sheetViews>
    <sheetView showGridLines="0" view="pageBreakPreview" zoomScale="85" zoomScaleNormal="100" zoomScaleSheetLayoutView="85" workbookViewId="0">
      <pane ySplit="4" topLeftCell="A43" activePane="bottomLeft" state="frozen"/>
      <selection activeCell="C121" sqref="C121"/>
      <selection pane="bottomLeft" activeCell="D41" sqref="D41:D42"/>
    </sheetView>
  </sheetViews>
  <sheetFormatPr defaultColWidth="14.42578125" defaultRowHeight="15" customHeight="1" x14ac:dyDescent="0.25"/>
  <cols>
    <col min="1" max="1" width="10.7109375" style="319" customWidth="1"/>
    <col min="2" max="2" width="83.7109375" style="319" customWidth="1"/>
    <col min="3" max="4" width="11.28515625" style="319" customWidth="1"/>
    <col min="5" max="5" width="2.140625" style="319" customWidth="1"/>
    <col min="6" max="6" width="11.140625" style="319" customWidth="1"/>
    <col min="7" max="7" width="32" style="319" customWidth="1"/>
    <col min="8" max="8" width="3.28515625" style="319" customWidth="1"/>
    <col min="9" max="10" width="2" style="319" customWidth="1"/>
    <col min="11" max="11" width="19.140625" style="319" bestFit="1" customWidth="1"/>
    <col min="12" max="12" width="9.5703125" style="319" bestFit="1" customWidth="1"/>
    <col min="13" max="14" width="9.85546875" style="319" bestFit="1" customWidth="1"/>
    <col min="15" max="16384" width="14.42578125" style="319"/>
  </cols>
  <sheetData>
    <row r="1" spans="1:14" ht="18" customHeight="1" x14ac:dyDescent="0.6">
      <c r="A1" s="312" t="s">
        <v>99</v>
      </c>
      <c r="B1" s="313" t="str">
        <f>'Obra '!D1</f>
        <v>Porto Cerro</v>
      </c>
      <c r="C1" s="314"/>
      <c r="D1" s="315"/>
      <c r="E1" s="316"/>
      <c r="F1" s="316"/>
      <c r="G1" s="317"/>
      <c r="H1" s="318"/>
    </row>
    <row r="2" spans="1:14" ht="18" customHeight="1" x14ac:dyDescent="0.6">
      <c r="A2" s="320" t="s">
        <v>100</v>
      </c>
      <c r="B2" s="321" t="str">
        <f>'Obra '!D2</f>
        <v>XPCon Empreendimentos</v>
      </c>
      <c r="C2" s="322"/>
      <c r="D2" s="323"/>
      <c r="E2" s="324"/>
      <c r="F2" s="324"/>
      <c r="G2" s="325"/>
      <c r="H2" s="326"/>
    </row>
    <row r="3" spans="1:14" ht="18" customHeight="1" thickBot="1" x14ac:dyDescent="0.65">
      <c r="A3" s="320" t="s">
        <v>101</v>
      </c>
      <c r="B3" s="321" t="str">
        <f>'Obra '!D3</f>
        <v>R01 - 03/09/2025</v>
      </c>
      <c r="C3" s="322"/>
      <c r="D3" s="323"/>
      <c r="E3" s="324"/>
      <c r="F3" s="324"/>
      <c r="G3" s="327"/>
      <c r="H3" s="326"/>
      <c r="K3" s="1070" t="s">
        <v>598</v>
      </c>
      <c r="L3" s="1070"/>
      <c r="M3" s="1070"/>
      <c r="N3" s="1070"/>
    </row>
    <row r="4" spans="1:14" ht="30.75" thickBot="1" x14ac:dyDescent="0.3">
      <c r="A4" s="1071" t="s">
        <v>469</v>
      </c>
      <c r="B4" s="1072"/>
      <c r="C4" s="1072"/>
      <c r="D4" s="1072"/>
      <c r="E4" s="1072"/>
      <c r="F4" s="1072"/>
      <c r="G4" s="1072"/>
      <c r="H4" s="1073"/>
      <c r="K4" s="328" t="s">
        <v>135</v>
      </c>
      <c r="L4" s="328" t="s">
        <v>40</v>
      </c>
      <c r="M4" s="328" t="s">
        <v>470</v>
      </c>
      <c r="N4" s="328" t="s">
        <v>471</v>
      </c>
    </row>
    <row r="5" spans="1:14" ht="21.75" customHeight="1" thickTop="1" x14ac:dyDescent="0.6">
      <c r="A5" s="329" t="s">
        <v>265</v>
      </c>
      <c r="B5" s="330"/>
      <c r="C5" s="330"/>
      <c r="D5" s="331"/>
      <c r="E5" s="332"/>
      <c r="F5" s="332"/>
      <c r="G5" s="332"/>
      <c r="H5" s="333"/>
      <c r="K5" s="334" t="s">
        <v>632</v>
      </c>
      <c r="L5" s="334">
        <v>799.52</v>
      </c>
      <c r="M5" s="334">
        <f>24.12+33.18+2+24.12+26.63+6.46+2</f>
        <v>118.50999999999999</v>
      </c>
      <c r="N5" s="334">
        <v>3.24</v>
      </c>
    </row>
    <row r="6" spans="1:14" ht="21.75" customHeight="1" thickBot="1" x14ac:dyDescent="0.65">
      <c r="A6" s="335"/>
      <c r="B6" s="336"/>
      <c r="C6" s="336"/>
      <c r="D6" s="337"/>
      <c r="E6" s="338"/>
      <c r="F6" s="338"/>
      <c r="G6" s="338"/>
      <c r="H6" s="339"/>
      <c r="K6" s="334" t="s">
        <v>633</v>
      </c>
      <c r="L6" s="340">
        <v>803.5</v>
      </c>
      <c r="M6" s="340">
        <f>24.12+33.95+35.08+5.32+0.17+7+8.47+2.76+0.17</f>
        <v>117.04</v>
      </c>
      <c r="N6" s="340">
        <v>2.88</v>
      </c>
    </row>
    <row r="7" spans="1:14" ht="21.75" customHeight="1" x14ac:dyDescent="0.6">
      <c r="A7" s="335"/>
      <c r="B7" s="341" t="s">
        <v>0</v>
      </c>
      <c r="C7" s="342" t="s">
        <v>46</v>
      </c>
      <c r="D7" s="343" t="s">
        <v>49</v>
      </c>
      <c r="E7" s="338"/>
      <c r="F7" s="1068" t="s">
        <v>472</v>
      </c>
      <c r="G7" s="1069"/>
      <c r="H7" s="339"/>
      <c r="K7" s="334" t="s">
        <v>634</v>
      </c>
      <c r="L7" s="340">
        <v>803.5</v>
      </c>
      <c r="M7" s="340">
        <f>24.12+33.95+35.08+5.32+0.17+7+8.47+2.76+0.17</f>
        <v>117.04</v>
      </c>
      <c r="N7" s="340">
        <v>2.88</v>
      </c>
    </row>
    <row r="8" spans="1:14" ht="21.75" customHeight="1" x14ac:dyDescent="0.6">
      <c r="A8" s="335"/>
      <c r="B8" s="344" t="s">
        <v>266</v>
      </c>
      <c r="C8" s="345" t="s">
        <v>3</v>
      </c>
      <c r="D8" s="346">
        <f>M7</f>
        <v>117.04</v>
      </c>
      <c r="E8" s="338"/>
      <c r="F8" s="347"/>
      <c r="G8" s="348"/>
      <c r="H8" s="339"/>
      <c r="K8" s="334" t="s">
        <v>635</v>
      </c>
      <c r="L8" s="340">
        <v>803.5</v>
      </c>
      <c r="M8" s="340">
        <f>24.12+33.95+35.08+5.32+0.17+7+8.47+2.76+0.17</f>
        <v>117.04</v>
      </c>
      <c r="N8" s="340">
        <v>2.88</v>
      </c>
    </row>
    <row r="9" spans="1:14" ht="21.75" customHeight="1" x14ac:dyDescent="0.6">
      <c r="A9" s="335"/>
      <c r="B9" s="344" t="s">
        <v>473</v>
      </c>
      <c r="C9" s="345" t="s">
        <v>3</v>
      </c>
      <c r="D9" s="349">
        <f>M10</f>
        <v>120.12345222694512</v>
      </c>
      <c r="E9" s="338"/>
      <c r="F9" s="347"/>
      <c r="G9" s="348"/>
      <c r="H9" s="339"/>
      <c r="K9" s="334" t="s">
        <v>636</v>
      </c>
      <c r="L9" s="340">
        <v>748.28</v>
      </c>
      <c r="M9" s="340">
        <f>24.12+32.89+35.08+24.08</f>
        <v>116.17</v>
      </c>
      <c r="N9" s="340">
        <v>3.42</v>
      </c>
    </row>
    <row r="10" spans="1:14" ht="21.75" customHeight="1" x14ac:dyDescent="0.6">
      <c r="A10" s="335"/>
      <c r="B10" s="344" t="s">
        <v>474</v>
      </c>
      <c r="C10" s="345" t="s">
        <v>3</v>
      </c>
      <c r="D10" s="349">
        <f>M11*2</f>
        <v>205.84025199685001</v>
      </c>
      <c r="E10" s="338"/>
      <c r="F10" s="347"/>
      <c r="G10" s="348"/>
      <c r="H10" s="339"/>
      <c r="K10" s="334" t="s">
        <v>637</v>
      </c>
      <c r="L10" s="340">
        <v>796.98</v>
      </c>
      <c r="M10" s="340">
        <f>1624.97/13.5275</f>
        <v>120.12345222694512</v>
      </c>
      <c r="N10" s="340">
        <v>3.6</v>
      </c>
    </row>
    <row r="11" spans="1:14" ht="21.75" customHeight="1" thickBot="1" x14ac:dyDescent="0.65">
      <c r="A11" s="335"/>
      <c r="B11" s="350" t="s">
        <v>267</v>
      </c>
      <c r="C11" s="351" t="s">
        <v>3</v>
      </c>
      <c r="D11" s="352">
        <f>D8+D9</f>
        <v>237.16345222694514</v>
      </c>
      <c r="E11" s="338"/>
      <c r="F11" s="347"/>
      <c r="G11" s="348"/>
      <c r="H11" s="339"/>
      <c r="K11" s="580" t="s">
        <v>643</v>
      </c>
      <c r="L11" s="340">
        <f>7112.56/13</f>
        <v>547.12</v>
      </c>
      <c r="M11" s="340">
        <f>1372.2855/13.3335</f>
        <v>102.92012599842501</v>
      </c>
      <c r="N11" s="340">
        <v>2.92</v>
      </c>
    </row>
    <row r="12" spans="1:14" ht="21.75" customHeight="1" thickBot="1" x14ac:dyDescent="0.65">
      <c r="A12" s="335"/>
      <c r="B12" s="350" t="s">
        <v>269</v>
      </c>
      <c r="C12" s="351" t="s">
        <v>3</v>
      </c>
      <c r="D12" s="352">
        <f>D10</f>
        <v>205.84025199685001</v>
      </c>
      <c r="E12" s="338"/>
      <c r="F12" s="347"/>
      <c r="G12" s="348"/>
      <c r="H12" s="339"/>
      <c r="K12" s="580" t="s">
        <v>644</v>
      </c>
      <c r="L12" s="340">
        <f t="shared" ref="L12:L23" si="0">7112.56/13</f>
        <v>547.12</v>
      </c>
      <c r="M12" s="340">
        <f t="shared" ref="M12:M24" si="1">1372.2855/13.3335</f>
        <v>102.92012599842501</v>
      </c>
      <c r="N12" s="340">
        <v>2.92</v>
      </c>
    </row>
    <row r="13" spans="1:14" ht="21.75" customHeight="1" thickBot="1" x14ac:dyDescent="0.65">
      <c r="A13" s="353"/>
      <c r="B13" s="354" t="s">
        <v>475</v>
      </c>
      <c r="C13" s="336"/>
      <c r="D13" s="337"/>
      <c r="E13" s="355"/>
      <c r="F13" s="356"/>
      <c r="G13" s="357"/>
      <c r="H13" s="358"/>
      <c r="K13" s="580" t="s">
        <v>645</v>
      </c>
      <c r="L13" s="340">
        <f t="shared" si="0"/>
        <v>547.12</v>
      </c>
      <c r="M13" s="340">
        <f t="shared" si="1"/>
        <v>102.92012599842501</v>
      </c>
      <c r="N13" s="340">
        <v>2.92</v>
      </c>
    </row>
    <row r="14" spans="1:14" ht="21.75" customHeight="1" x14ac:dyDescent="0.6">
      <c r="A14" s="329" t="s">
        <v>280</v>
      </c>
      <c r="B14" s="330"/>
      <c r="C14" s="330"/>
      <c r="D14" s="331"/>
      <c r="E14" s="332"/>
      <c r="F14" s="332"/>
      <c r="G14" s="332"/>
      <c r="H14" s="333"/>
      <c r="K14" s="580" t="s">
        <v>646</v>
      </c>
      <c r="L14" s="340">
        <f t="shared" si="0"/>
        <v>547.12</v>
      </c>
      <c r="M14" s="340">
        <f t="shared" si="1"/>
        <v>102.92012599842501</v>
      </c>
      <c r="N14" s="340">
        <v>2.92</v>
      </c>
    </row>
    <row r="15" spans="1:14" ht="21.75" customHeight="1" thickBot="1" x14ac:dyDescent="0.65">
      <c r="A15" s="353"/>
      <c r="B15" s="336"/>
      <c r="C15" s="336"/>
      <c r="D15" s="337"/>
      <c r="E15" s="338"/>
      <c r="F15" s="338"/>
      <c r="G15" s="338"/>
      <c r="H15" s="339"/>
      <c r="K15" s="580" t="s">
        <v>647</v>
      </c>
      <c r="L15" s="340">
        <f t="shared" si="0"/>
        <v>547.12</v>
      </c>
      <c r="M15" s="340">
        <f t="shared" si="1"/>
        <v>102.92012599842501</v>
      </c>
      <c r="N15" s="340">
        <v>2.92</v>
      </c>
    </row>
    <row r="16" spans="1:14" ht="21.75" customHeight="1" x14ac:dyDescent="0.6">
      <c r="A16" s="353"/>
      <c r="B16" s="359" t="s">
        <v>0</v>
      </c>
      <c r="C16" s="360" t="s">
        <v>46</v>
      </c>
      <c r="D16" s="361" t="s">
        <v>49</v>
      </c>
      <c r="E16" s="338"/>
      <c r="F16" s="1068" t="s">
        <v>472</v>
      </c>
      <c r="G16" s="1069"/>
      <c r="H16" s="339"/>
      <c r="K16" s="580" t="s">
        <v>648</v>
      </c>
      <c r="L16" s="340">
        <f t="shared" si="0"/>
        <v>547.12</v>
      </c>
      <c r="M16" s="340">
        <f t="shared" si="1"/>
        <v>102.92012599842501</v>
      </c>
      <c r="N16" s="340">
        <v>2.92</v>
      </c>
    </row>
    <row r="17" spans="1:14" ht="21.75" customHeight="1" x14ac:dyDescent="0.6">
      <c r="A17" s="353"/>
      <c r="B17" s="362" t="s">
        <v>281</v>
      </c>
      <c r="C17" s="363" t="s">
        <v>3</v>
      </c>
      <c r="D17" s="364">
        <f>((5.57+2.4+2.4+5.39+6.66+0.77+1.11+0.65+7.97+5.22)*14)+M25+M26</f>
        <v>732.16311961004874</v>
      </c>
      <c r="E17" s="338"/>
      <c r="F17" s="347"/>
      <c r="G17" s="348"/>
      <c r="H17" s="339"/>
      <c r="K17" s="580" t="s">
        <v>649</v>
      </c>
      <c r="L17" s="340">
        <f t="shared" si="0"/>
        <v>547.12</v>
      </c>
      <c r="M17" s="340">
        <f t="shared" si="1"/>
        <v>102.92012599842501</v>
      </c>
      <c r="N17" s="340">
        <v>2.92</v>
      </c>
    </row>
    <row r="18" spans="1:14" ht="21.75" customHeight="1" x14ac:dyDescent="0.6">
      <c r="A18" s="353"/>
      <c r="B18" s="365" t="s">
        <v>280</v>
      </c>
      <c r="C18" s="366" t="s">
        <v>3</v>
      </c>
      <c r="D18" s="367">
        <f>D17</f>
        <v>732.16311961004874</v>
      </c>
      <c r="E18" s="338"/>
      <c r="F18" s="347"/>
      <c r="G18" s="348"/>
      <c r="H18" s="339"/>
      <c r="K18" s="580" t="s">
        <v>650</v>
      </c>
      <c r="L18" s="340">
        <f t="shared" si="0"/>
        <v>547.12</v>
      </c>
      <c r="M18" s="340">
        <f t="shared" si="1"/>
        <v>102.92012599842501</v>
      </c>
      <c r="N18" s="340">
        <v>2.92</v>
      </c>
    </row>
    <row r="19" spans="1:14" ht="21.75" customHeight="1" thickBot="1" x14ac:dyDescent="0.65">
      <c r="A19" s="353"/>
      <c r="B19" s="336"/>
      <c r="C19" s="336"/>
      <c r="D19" s="337"/>
      <c r="E19" s="338"/>
      <c r="F19" s="356"/>
      <c r="G19" s="357"/>
      <c r="H19" s="339"/>
      <c r="K19" s="580" t="s">
        <v>651</v>
      </c>
      <c r="L19" s="340">
        <f t="shared" si="0"/>
        <v>547.12</v>
      </c>
      <c r="M19" s="340">
        <f t="shared" si="1"/>
        <v>102.92012599842501</v>
      </c>
      <c r="N19" s="340">
        <v>2.92</v>
      </c>
    </row>
    <row r="20" spans="1:14" ht="21.75" customHeight="1" x14ac:dyDescent="0.6">
      <c r="A20" s="329" t="s">
        <v>270</v>
      </c>
      <c r="B20" s="330"/>
      <c r="C20" s="330"/>
      <c r="D20" s="331"/>
      <c r="E20" s="368"/>
      <c r="F20" s="368" t="s">
        <v>656</v>
      </c>
      <c r="G20" s="368"/>
      <c r="H20" s="369"/>
      <c r="K20" s="580" t="s">
        <v>652</v>
      </c>
      <c r="L20" s="340">
        <f t="shared" si="0"/>
        <v>547.12</v>
      </c>
      <c r="M20" s="340">
        <f t="shared" si="1"/>
        <v>102.92012599842501</v>
      </c>
      <c r="N20" s="340">
        <v>2.92</v>
      </c>
    </row>
    <row r="21" spans="1:14" ht="21.75" customHeight="1" thickBot="1" x14ac:dyDescent="0.65">
      <c r="A21" s="353"/>
      <c r="B21" s="336"/>
      <c r="C21" s="336"/>
      <c r="D21" s="337"/>
      <c r="E21" s="338"/>
      <c r="F21" s="338"/>
      <c r="G21" s="338"/>
      <c r="H21" s="339"/>
      <c r="K21" s="580" t="s">
        <v>653</v>
      </c>
      <c r="L21" s="340">
        <f t="shared" si="0"/>
        <v>547.12</v>
      </c>
      <c r="M21" s="340">
        <f t="shared" si="1"/>
        <v>102.92012599842501</v>
      </c>
      <c r="N21" s="340">
        <v>2.92</v>
      </c>
    </row>
    <row r="22" spans="1:14" ht="21.75" customHeight="1" x14ac:dyDescent="0.6">
      <c r="A22" s="353"/>
      <c r="B22" s="341" t="s">
        <v>0</v>
      </c>
      <c r="C22" s="342" t="s">
        <v>46</v>
      </c>
      <c r="D22" s="343" t="s">
        <v>49</v>
      </c>
      <c r="E22" s="338"/>
      <c r="F22" s="1068" t="s">
        <v>472</v>
      </c>
      <c r="G22" s="1069"/>
      <c r="H22" s="339"/>
      <c r="K22" s="580" t="s">
        <v>654</v>
      </c>
      <c r="L22" s="340">
        <f t="shared" si="0"/>
        <v>547.12</v>
      </c>
      <c r="M22" s="340">
        <f t="shared" si="1"/>
        <v>102.92012599842501</v>
      </c>
      <c r="N22" s="340">
        <v>2.92</v>
      </c>
    </row>
    <row r="23" spans="1:14" ht="21.75" customHeight="1" x14ac:dyDescent="0.6">
      <c r="A23" s="353"/>
      <c r="B23" s="370" t="s">
        <v>284</v>
      </c>
      <c r="C23" s="371" t="s">
        <v>3</v>
      </c>
      <c r="D23" s="372">
        <f>M22</f>
        <v>102.92012599842501</v>
      </c>
      <c r="E23" s="338"/>
      <c r="F23" s="347"/>
      <c r="G23" s="348"/>
      <c r="H23" s="339"/>
      <c r="K23" s="580" t="s">
        <v>655</v>
      </c>
      <c r="L23" s="340">
        <f t="shared" si="0"/>
        <v>547.12</v>
      </c>
      <c r="M23" s="340">
        <f t="shared" si="1"/>
        <v>102.92012599842501</v>
      </c>
      <c r="N23" s="340">
        <v>2.92</v>
      </c>
    </row>
    <row r="24" spans="1:14" ht="21.75" customHeight="1" x14ac:dyDescent="0.6">
      <c r="A24" s="353"/>
      <c r="B24" s="373" t="s">
        <v>271</v>
      </c>
      <c r="C24" s="374" t="s">
        <v>2</v>
      </c>
      <c r="D24" s="375">
        <v>4</v>
      </c>
      <c r="E24" s="338"/>
      <c r="F24" s="347"/>
      <c r="G24" s="348"/>
      <c r="H24" s="339"/>
      <c r="K24" s="334" t="s">
        <v>639</v>
      </c>
      <c r="L24" s="340">
        <v>547.12</v>
      </c>
      <c r="M24" s="340">
        <f t="shared" si="1"/>
        <v>102.92012599842501</v>
      </c>
      <c r="N24" s="340">
        <v>3.06</v>
      </c>
    </row>
    <row r="25" spans="1:14" ht="21.75" customHeight="1" x14ac:dyDescent="0.6">
      <c r="A25" s="353"/>
      <c r="B25" s="376" t="s">
        <v>272</v>
      </c>
      <c r="C25" s="377" t="s">
        <v>3</v>
      </c>
      <c r="D25" s="378">
        <f>(D23*D24)</f>
        <v>411.68050399370003</v>
      </c>
      <c r="E25" s="338"/>
      <c r="F25" s="347"/>
      <c r="G25" s="348"/>
      <c r="H25" s="339"/>
      <c r="K25" s="334" t="s">
        <v>640</v>
      </c>
      <c r="L25" s="340">
        <v>466.11</v>
      </c>
      <c r="M25" s="340">
        <f>1374.1058/13.335</f>
        <v>103.04505436820398</v>
      </c>
      <c r="N25" s="340">
        <v>3.24</v>
      </c>
    </row>
    <row r="26" spans="1:14" ht="21.75" customHeight="1" thickBot="1" x14ac:dyDescent="0.5">
      <c r="A26" s="335"/>
      <c r="B26" s="338"/>
      <c r="C26" s="338"/>
      <c r="D26" s="379"/>
      <c r="E26" s="338"/>
      <c r="F26" s="356"/>
      <c r="G26" s="357"/>
      <c r="H26" s="380"/>
      <c r="K26" s="334" t="s">
        <v>641</v>
      </c>
      <c r="L26" s="340">
        <v>250.06</v>
      </c>
      <c r="M26" s="340">
        <f>1268.9328/13.335</f>
        <v>95.158065241844767</v>
      </c>
      <c r="N26" s="340">
        <v>2.88</v>
      </c>
    </row>
    <row r="27" spans="1:14" ht="21.75" customHeight="1" x14ac:dyDescent="0.6">
      <c r="A27" s="329" t="s">
        <v>275</v>
      </c>
      <c r="B27" s="330"/>
      <c r="C27" s="330"/>
      <c r="D27" s="331"/>
      <c r="E27" s="332"/>
      <c r="F27" s="332"/>
      <c r="G27" s="332"/>
      <c r="H27" s="333"/>
      <c r="K27" s="334" t="s">
        <v>642</v>
      </c>
      <c r="L27" s="340">
        <v>57.62</v>
      </c>
      <c r="M27" s="340">
        <f>525.04/13.335</f>
        <v>39.373078365204343</v>
      </c>
      <c r="N27" s="340">
        <v>2.95</v>
      </c>
    </row>
    <row r="28" spans="1:14" ht="21.75" customHeight="1" thickBot="1" x14ac:dyDescent="0.65">
      <c r="A28" s="353"/>
      <c r="B28" s="336"/>
      <c r="C28" s="336"/>
      <c r="D28" s="337"/>
      <c r="E28" s="338"/>
      <c r="F28" s="338"/>
      <c r="G28" s="338"/>
      <c r="H28" s="339"/>
      <c r="M28" s="319">
        <f>SUM(M5:M27)</f>
        <v>2384.3814141801481</v>
      </c>
      <c r="N28" s="319">
        <f>SUM(N5:N27)</f>
        <v>68.990000000000023</v>
      </c>
    </row>
    <row r="29" spans="1:14" ht="21.75" customHeight="1" x14ac:dyDescent="0.6">
      <c r="A29" s="353"/>
      <c r="B29" s="359" t="s">
        <v>0</v>
      </c>
      <c r="C29" s="360" t="s">
        <v>46</v>
      </c>
      <c r="D29" s="361" t="s">
        <v>49</v>
      </c>
      <c r="E29" s="338"/>
      <c r="F29" s="1068" t="s">
        <v>472</v>
      </c>
      <c r="G29" s="1069"/>
      <c r="H29" s="339"/>
    </row>
    <row r="30" spans="1:14" ht="21.75" customHeight="1" x14ac:dyDescent="0.6">
      <c r="A30" s="353"/>
      <c r="B30" s="344" t="s">
        <v>657</v>
      </c>
      <c r="C30" s="345" t="s">
        <v>1</v>
      </c>
      <c r="D30" s="381">
        <f>3.97+3.98</f>
        <v>7.95</v>
      </c>
      <c r="E30" s="338"/>
      <c r="F30" s="347"/>
      <c r="G30" s="348"/>
      <c r="H30" s="339"/>
    </row>
    <row r="31" spans="1:14" ht="21.75" customHeight="1" x14ac:dyDescent="0.6">
      <c r="A31" s="353"/>
      <c r="B31" s="344" t="s">
        <v>276</v>
      </c>
      <c r="C31" s="345" t="s">
        <v>2</v>
      </c>
      <c r="D31" s="381">
        <f>'Obra '!E13</f>
        <v>21</v>
      </c>
      <c r="E31" s="338"/>
      <c r="F31" s="347"/>
      <c r="G31" s="348"/>
      <c r="H31" s="339"/>
    </row>
    <row r="32" spans="1:14" ht="21.75" customHeight="1" x14ac:dyDescent="0.6">
      <c r="A32" s="353"/>
      <c r="B32" s="344" t="s">
        <v>277</v>
      </c>
      <c r="C32" s="345" t="s">
        <v>2</v>
      </c>
      <c r="D32" s="381"/>
      <c r="E32" s="338"/>
      <c r="F32" s="347"/>
      <c r="G32" s="348"/>
      <c r="H32" s="339"/>
    </row>
    <row r="33" spans="1:11" ht="21.75" customHeight="1" x14ac:dyDescent="0.6">
      <c r="A33" s="353"/>
      <c r="B33" s="382" t="s">
        <v>275</v>
      </c>
      <c r="C33" s="383" t="s">
        <v>1</v>
      </c>
      <c r="D33" s="384">
        <f>D30*D31</f>
        <v>166.95000000000002</v>
      </c>
      <c r="E33" s="338"/>
      <c r="F33" s="347"/>
      <c r="G33" s="348"/>
      <c r="H33" s="339"/>
    </row>
    <row r="34" spans="1:11" ht="21.75" hidden="1" customHeight="1" x14ac:dyDescent="0.6">
      <c r="A34" s="353"/>
      <c r="B34" s="344" t="s">
        <v>278</v>
      </c>
      <c r="C34" s="345" t="s">
        <v>1</v>
      </c>
      <c r="D34" s="381"/>
      <c r="E34" s="338"/>
      <c r="F34" s="347"/>
      <c r="G34" s="348"/>
      <c r="H34" s="339"/>
    </row>
    <row r="35" spans="1:11" ht="21.75" hidden="1" customHeight="1" x14ac:dyDescent="0.6">
      <c r="A35" s="353"/>
      <c r="B35" s="344" t="s">
        <v>279</v>
      </c>
      <c r="C35" s="345" t="s">
        <v>2</v>
      </c>
      <c r="D35" s="381"/>
      <c r="E35" s="338"/>
      <c r="F35" s="347"/>
      <c r="G35" s="348"/>
      <c r="H35" s="339"/>
    </row>
    <row r="36" spans="1:11" ht="21.75" hidden="1" customHeight="1" x14ac:dyDescent="0.6">
      <c r="A36" s="353"/>
      <c r="B36" s="382" t="str">
        <f>A27</f>
        <v xml:space="preserve">Fechamento removível de vãos em madeira </v>
      </c>
      <c r="C36" s="383" t="s">
        <v>1</v>
      </c>
      <c r="D36" s="384">
        <f>D34*D35</f>
        <v>0</v>
      </c>
      <c r="E36" s="338"/>
      <c r="F36" s="347"/>
      <c r="G36" s="348"/>
      <c r="H36" s="339"/>
    </row>
    <row r="37" spans="1:11" ht="21.75" customHeight="1" thickBot="1" x14ac:dyDescent="0.65">
      <c r="A37" s="353"/>
      <c r="B37" s="336"/>
      <c r="C37" s="336"/>
      <c r="D37" s="337"/>
      <c r="E37" s="338"/>
      <c r="F37" s="356"/>
      <c r="G37" s="357"/>
      <c r="H37" s="339"/>
    </row>
    <row r="38" spans="1:11" ht="21.75" customHeight="1" x14ac:dyDescent="0.6">
      <c r="A38" s="329" t="s">
        <v>273</v>
      </c>
      <c r="B38" s="330"/>
      <c r="C38" s="330"/>
      <c r="D38" s="331"/>
      <c r="E38" s="332"/>
      <c r="F38" s="332"/>
      <c r="G38" s="332"/>
      <c r="H38" s="333"/>
    </row>
    <row r="39" spans="1:11" ht="21.75" customHeight="1" thickBot="1" x14ac:dyDescent="0.65">
      <c r="A39" s="353"/>
      <c r="B39" s="336"/>
      <c r="C39" s="336"/>
      <c r="D39" s="337"/>
      <c r="E39" s="338"/>
      <c r="F39" s="338"/>
      <c r="G39" s="338"/>
      <c r="H39" s="339"/>
    </row>
    <row r="40" spans="1:11" ht="21.75" customHeight="1" x14ac:dyDescent="0.6">
      <c r="A40" s="353"/>
      <c r="B40" s="341" t="s">
        <v>0</v>
      </c>
      <c r="C40" s="342" t="s">
        <v>46</v>
      </c>
      <c r="D40" s="343" t="s">
        <v>49</v>
      </c>
      <c r="E40" s="338"/>
      <c r="F40" s="1068" t="s">
        <v>472</v>
      </c>
      <c r="G40" s="1069"/>
      <c r="H40" s="339"/>
    </row>
    <row r="41" spans="1:11" ht="21.75" customHeight="1" x14ac:dyDescent="0.6">
      <c r="A41" s="353"/>
      <c r="B41" s="385" t="s">
        <v>476</v>
      </c>
      <c r="C41" s="386" t="s">
        <v>11</v>
      </c>
      <c r="D41" s="387">
        <f>SUMPRODUCT($M$5:$M$27,$N$5:$N$27)</f>
        <v>7170.7991816992462</v>
      </c>
      <c r="E41" s="338"/>
      <c r="F41" s="347"/>
      <c r="G41" s="348"/>
      <c r="H41" s="339"/>
    </row>
    <row r="42" spans="1:11" ht="21.75" customHeight="1" x14ac:dyDescent="0.6">
      <c r="A42" s="353"/>
      <c r="B42" s="388" t="str">
        <f>A38</f>
        <v>Tela fachadeira</v>
      </c>
      <c r="C42" s="389" t="s">
        <v>1</v>
      </c>
      <c r="D42" s="390">
        <f>D41</f>
        <v>7170.7991816992462</v>
      </c>
      <c r="E42" s="338"/>
      <c r="F42" s="347"/>
      <c r="G42" s="348"/>
      <c r="H42" s="339"/>
      <c r="K42" s="391"/>
    </row>
    <row r="43" spans="1:11" ht="21.75" customHeight="1" thickBot="1" x14ac:dyDescent="0.65">
      <c r="A43" s="353"/>
      <c r="B43" s="336"/>
      <c r="C43" s="336"/>
      <c r="D43" s="337"/>
      <c r="E43" s="338"/>
      <c r="F43" s="356"/>
      <c r="G43" s="357"/>
      <c r="H43" s="339"/>
    </row>
    <row r="44" spans="1:11" ht="21.75" customHeight="1" x14ac:dyDescent="0.6">
      <c r="A44" s="329" t="s">
        <v>477</v>
      </c>
      <c r="B44" s="330"/>
      <c r="C44" s="330"/>
      <c r="D44" s="331"/>
      <c r="E44" s="332"/>
      <c r="F44" s="332"/>
      <c r="G44" s="332"/>
      <c r="H44" s="333"/>
    </row>
    <row r="45" spans="1:11" ht="21.75" customHeight="1" thickBot="1" x14ac:dyDescent="0.65">
      <c r="A45" s="353"/>
      <c r="B45" s="336"/>
      <c r="C45" s="336"/>
      <c r="D45" s="337"/>
      <c r="E45" s="338"/>
      <c r="F45" s="338"/>
      <c r="G45" s="338"/>
      <c r="H45" s="339"/>
    </row>
    <row r="46" spans="1:11" ht="21.75" customHeight="1" x14ac:dyDescent="0.6">
      <c r="A46" s="353"/>
      <c r="B46" s="341" t="s">
        <v>0</v>
      </c>
      <c r="C46" s="342" t="s">
        <v>46</v>
      </c>
      <c r="D46" s="343" t="s">
        <v>49</v>
      </c>
      <c r="E46" s="338"/>
      <c r="F46" s="1068" t="s">
        <v>472</v>
      </c>
      <c r="G46" s="1069"/>
      <c r="H46" s="339"/>
    </row>
    <row r="47" spans="1:11" ht="21.75" customHeight="1" x14ac:dyDescent="0.6">
      <c r="A47" s="353"/>
      <c r="B47" s="344" t="s">
        <v>478</v>
      </c>
      <c r="C47" s="345" t="s">
        <v>3</v>
      </c>
      <c r="D47" s="392">
        <f>$M$22</f>
        <v>102.92012599842501</v>
      </c>
      <c r="E47" s="338"/>
      <c r="F47" s="347"/>
      <c r="G47" s="348"/>
      <c r="H47" s="339"/>
    </row>
    <row r="48" spans="1:11" ht="21.75" customHeight="1" x14ac:dyDescent="0.6">
      <c r="A48" s="353"/>
      <c r="B48" s="393" t="s">
        <v>274</v>
      </c>
      <c r="C48" s="345" t="s">
        <v>2</v>
      </c>
      <c r="D48" s="392">
        <v>1</v>
      </c>
      <c r="E48" s="338"/>
      <c r="F48" s="347"/>
      <c r="G48" s="348"/>
      <c r="H48" s="339"/>
    </row>
    <row r="49" spans="1:8" ht="21.75" customHeight="1" x14ac:dyDescent="0.6">
      <c r="A49" s="353"/>
      <c r="B49" s="388" t="str">
        <f>A44</f>
        <v>SLQA</v>
      </c>
      <c r="C49" s="389" t="s">
        <v>3</v>
      </c>
      <c r="D49" s="390">
        <f>D47*D48</f>
        <v>102.92012599842501</v>
      </c>
      <c r="E49" s="338"/>
      <c r="F49" s="347"/>
      <c r="G49" s="348"/>
      <c r="H49" s="339"/>
    </row>
    <row r="50" spans="1:8" ht="21.75" customHeight="1" thickBot="1" x14ac:dyDescent="0.65">
      <c r="A50" s="353"/>
      <c r="B50" s="336"/>
      <c r="C50" s="336"/>
      <c r="D50" s="337"/>
      <c r="E50" s="338"/>
      <c r="F50" s="356"/>
      <c r="G50" s="357"/>
      <c r="H50" s="339"/>
    </row>
    <row r="51" spans="1:8" ht="21.75" customHeight="1" thickBot="1" x14ac:dyDescent="0.65">
      <c r="A51" s="394"/>
      <c r="B51" s="395"/>
      <c r="C51" s="395"/>
      <c r="D51" s="396"/>
      <c r="E51" s="397"/>
      <c r="F51" s="397"/>
      <c r="G51" s="397"/>
      <c r="H51" s="398"/>
    </row>
    <row r="52" spans="1:8" ht="21.75" customHeight="1" x14ac:dyDescent="0.6">
      <c r="A52" s="329" t="s">
        <v>282</v>
      </c>
      <c r="B52" s="330"/>
      <c r="C52" s="330"/>
      <c r="D52" s="331"/>
      <c r="E52" s="332"/>
      <c r="F52" s="332"/>
      <c r="G52" s="332"/>
      <c r="H52" s="333"/>
    </row>
    <row r="53" spans="1:8" ht="21.75" customHeight="1" thickBot="1" x14ac:dyDescent="0.65">
      <c r="A53" s="353"/>
      <c r="B53" s="336"/>
      <c r="C53" s="336"/>
      <c r="D53" s="337"/>
      <c r="E53" s="338"/>
      <c r="F53" s="338"/>
      <c r="G53" s="338"/>
      <c r="H53" s="339"/>
    </row>
    <row r="54" spans="1:8" ht="21.75" customHeight="1" x14ac:dyDescent="0.6">
      <c r="A54" s="353"/>
      <c r="B54" s="341" t="s">
        <v>0</v>
      </c>
      <c r="C54" s="342" t="s">
        <v>46</v>
      </c>
      <c r="D54" s="343" t="s">
        <v>49</v>
      </c>
      <c r="E54" s="338"/>
      <c r="F54" s="1068" t="s">
        <v>472</v>
      </c>
      <c r="G54" s="1069"/>
      <c r="H54" s="339"/>
    </row>
    <row r="55" spans="1:8" ht="21.75" customHeight="1" x14ac:dyDescent="0.6">
      <c r="A55" s="353"/>
      <c r="B55" s="385" t="s">
        <v>285</v>
      </c>
      <c r="C55" s="386" t="s">
        <v>3</v>
      </c>
      <c r="D55" s="346">
        <f>24.08+24.12+37.19+1.5+1.5+2.92+2+33.08</f>
        <v>126.39</v>
      </c>
      <c r="E55" s="338"/>
      <c r="F55" s="347"/>
      <c r="G55" s="348"/>
      <c r="H55" s="339"/>
    </row>
    <row r="56" spans="1:8" ht="21.75" customHeight="1" x14ac:dyDescent="0.6">
      <c r="A56" s="353"/>
      <c r="B56" s="399" t="s">
        <v>283</v>
      </c>
      <c r="C56" s="400" t="s">
        <v>3</v>
      </c>
      <c r="D56" s="387">
        <v>2.4</v>
      </c>
      <c r="E56" s="338"/>
      <c r="F56" s="347"/>
      <c r="G56" s="348"/>
      <c r="H56" s="339"/>
    </row>
    <row r="57" spans="1:8" ht="21.75" customHeight="1" x14ac:dyDescent="0.6">
      <c r="A57" s="353"/>
      <c r="B57" s="388" t="str">
        <f>A52</f>
        <v>Tapume</v>
      </c>
      <c r="C57" s="389" t="s">
        <v>1</v>
      </c>
      <c r="D57" s="390">
        <f>D56*D55</f>
        <v>303.33600000000001</v>
      </c>
      <c r="E57" s="338"/>
      <c r="F57" s="347"/>
      <c r="G57" s="348"/>
      <c r="H57" s="339"/>
    </row>
    <row r="58" spans="1:8" ht="21.75" customHeight="1" thickBot="1" x14ac:dyDescent="0.65">
      <c r="A58" s="353"/>
      <c r="B58" s="336"/>
      <c r="C58" s="336"/>
      <c r="D58" s="337"/>
      <c r="E58" s="338"/>
      <c r="F58" s="356"/>
      <c r="G58" s="357"/>
      <c r="H58" s="339"/>
    </row>
    <row r="59" spans="1:8" ht="21.75" customHeight="1" x14ac:dyDescent="0.6">
      <c r="A59" s="329" t="s">
        <v>479</v>
      </c>
      <c r="B59" s="330"/>
      <c r="C59" s="330"/>
      <c r="D59" s="331"/>
      <c r="E59" s="332"/>
      <c r="F59" s="332"/>
      <c r="G59" s="332"/>
      <c r="H59" s="333"/>
    </row>
    <row r="60" spans="1:8" ht="21.75" customHeight="1" thickBot="1" x14ac:dyDescent="0.65">
      <c r="A60" s="353"/>
      <c r="B60" s="336"/>
      <c r="C60" s="336"/>
      <c r="D60" s="337"/>
      <c r="E60" s="338"/>
      <c r="F60" s="338"/>
      <c r="G60" s="338"/>
      <c r="H60" s="339"/>
    </row>
    <row r="61" spans="1:8" ht="21.75" customHeight="1" x14ac:dyDescent="0.6">
      <c r="A61" s="353"/>
      <c r="B61" s="341" t="s">
        <v>0</v>
      </c>
      <c r="C61" s="342" t="s">
        <v>46</v>
      </c>
      <c r="D61" s="343" t="s">
        <v>49</v>
      </c>
      <c r="E61" s="338"/>
      <c r="F61" s="1068" t="s">
        <v>472</v>
      </c>
      <c r="G61" s="1069"/>
      <c r="H61" s="339"/>
    </row>
    <row r="62" spans="1:8" ht="21.75" customHeight="1" x14ac:dyDescent="0.6">
      <c r="A62" s="353"/>
      <c r="B62" s="344" t="s">
        <v>480</v>
      </c>
      <c r="C62" s="345" t="s">
        <v>3</v>
      </c>
      <c r="D62" s="392">
        <f>$D$25</f>
        <v>411.68050399370003</v>
      </c>
      <c r="E62" s="338"/>
      <c r="F62" s="347"/>
      <c r="G62" s="348"/>
      <c r="H62" s="339"/>
    </row>
    <row r="63" spans="1:8" ht="21.75" customHeight="1" x14ac:dyDescent="0.6">
      <c r="A63" s="353"/>
      <c r="B63" s="388" t="str">
        <f>A59</f>
        <v>Linha de Vida</v>
      </c>
      <c r="C63" s="389" t="s">
        <v>3</v>
      </c>
      <c r="D63" s="390">
        <f>D62</f>
        <v>411.68050399370003</v>
      </c>
      <c r="E63" s="338"/>
      <c r="F63" s="347"/>
      <c r="G63" s="348"/>
      <c r="H63" s="339"/>
    </row>
    <row r="64" spans="1:8" ht="21.75" customHeight="1" thickBot="1" x14ac:dyDescent="0.65">
      <c r="A64" s="353"/>
      <c r="B64" s="336"/>
      <c r="C64" s="336"/>
      <c r="D64" s="337"/>
      <c r="E64" s="338"/>
      <c r="F64" s="356"/>
      <c r="G64" s="357"/>
      <c r="H64" s="339"/>
    </row>
    <row r="65" spans="1:8" ht="21.75" hidden="1" customHeight="1" x14ac:dyDescent="0.6">
      <c r="A65" s="329" t="s">
        <v>481</v>
      </c>
      <c r="B65" s="330"/>
      <c r="C65" s="330"/>
      <c r="D65" s="331"/>
      <c r="E65" s="332"/>
      <c r="F65" s="332"/>
      <c r="G65" s="332"/>
      <c r="H65" s="333"/>
    </row>
    <row r="66" spans="1:8" ht="21.75" hidden="1" customHeight="1" thickBot="1" x14ac:dyDescent="0.65">
      <c r="A66" s="353"/>
      <c r="B66" s="336"/>
      <c r="C66" s="336"/>
      <c r="D66" s="337"/>
      <c r="E66" s="338"/>
      <c r="F66" s="338"/>
      <c r="G66" s="338"/>
      <c r="H66" s="339"/>
    </row>
    <row r="67" spans="1:8" ht="21.75" hidden="1" customHeight="1" x14ac:dyDescent="0.6">
      <c r="A67" s="353"/>
      <c r="B67" s="359" t="s">
        <v>0</v>
      </c>
      <c r="C67" s="360" t="s">
        <v>46</v>
      </c>
      <c r="D67" s="361" t="s">
        <v>49</v>
      </c>
      <c r="E67" s="338"/>
      <c r="F67" s="1068" t="s">
        <v>472</v>
      </c>
      <c r="G67" s="1069"/>
      <c r="H67" s="339"/>
    </row>
    <row r="68" spans="1:8" ht="21.75" hidden="1" customHeight="1" x14ac:dyDescent="0.6">
      <c r="A68" s="353"/>
      <c r="B68" s="344" t="s">
        <v>268</v>
      </c>
      <c r="C68" s="345" t="s">
        <v>3</v>
      </c>
      <c r="D68" s="381"/>
      <c r="E68" s="338"/>
      <c r="F68" s="347"/>
      <c r="G68" s="348"/>
      <c r="H68" s="339"/>
    </row>
    <row r="69" spans="1:8" ht="21.75" hidden="1" customHeight="1" x14ac:dyDescent="0.6">
      <c r="A69" s="353"/>
      <c r="B69" s="344" t="s">
        <v>274</v>
      </c>
      <c r="C69" s="345" t="s">
        <v>3</v>
      </c>
      <c r="D69" s="381"/>
      <c r="E69" s="338"/>
      <c r="F69" s="347"/>
      <c r="G69" s="348"/>
      <c r="H69" s="339"/>
    </row>
    <row r="70" spans="1:8" ht="21.75" hidden="1" customHeight="1" x14ac:dyDescent="0.6">
      <c r="A70" s="353"/>
      <c r="B70" s="382" t="s">
        <v>481</v>
      </c>
      <c r="C70" s="383" t="s">
        <v>1</v>
      </c>
      <c r="D70" s="384">
        <f>D68*D69</f>
        <v>0</v>
      </c>
      <c r="E70" s="338"/>
      <c r="F70" s="347"/>
      <c r="G70" s="348"/>
      <c r="H70" s="339"/>
    </row>
    <row r="71" spans="1:8" ht="21.75" hidden="1" customHeight="1" thickBot="1" x14ac:dyDescent="0.65">
      <c r="A71" s="353"/>
      <c r="B71" s="338"/>
      <c r="C71" s="338"/>
      <c r="D71" s="338"/>
      <c r="E71" s="338"/>
      <c r="F71" s="356"/>
      <c r="G71" s="357"/>
      <c r="H71" s="339"/>
    </row>
    <row r="72" spans="1:8" ht="21.75" customHeight="1" thickBot="1" x14ac:dyDescent="0.65">
      <c r="A72" s="394"/>
      <c r="B72" s="395"/>
      <c r="C72" s="395"/>
      <c r="D72" s="396"/>
      <c r="E72" s="397"/>
      <c r="F72" s="397"/>
      <c r="G72" s="397"/>
      <c r="H72" s="398"/>
    </row>
    <row r="73" spans="1:8" ht="9.75" customHeight="1" x14ac:dyDescent="0.25"/>
  </sheetData>
  <mergeCells count="11">
    <mergeCell ref="F46:G46"/>
    <mergeCell ref="F54:G54"/>
    <mergeCell ref="F61:G61"/>
    <mergeCell ref="F67:G67"/>
    <mergeCell ref="K3:N3"/>
    <mergeCell ref="A4:H4"/>
    <mergeCell ref="F7:G7"/>
    <mergeCell ref="F16:G16"/>
    <mergeCell ref="F22:G22"/>
    <mergeCell ref="F29:G29"/>
    <mergeCell ref="F40:G40"/>
  </mergeCells>
  <phoneticPr fontId="37" type="noConversion"/>
  <pageMargins left="0.51181102362204722" right="0.51181102362204722" top="0.78740157480314965" bottom="0.78740157480314965" header="0" footer="0"/>
  <pageSetup paperSize="9" scale="56" fitToHeight="0" orientation="portrait" r:id="rId1"/>
  <rowBreaks count="1" manualBreakCount="1">
    <brk id="51" max="8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F1CF7-3FD8-444A-B094-88DD0F18D549}">
  <sheetPr>
    <tabColor theme="0" tint="-0.34998626667073579"/>
  </sheetPr>
  <dimension ref="A1:U70"/>
  <sheetViews>
    <sheetView showGridLines="0" zoomScaleNormal="100" workbookViewId="0">
      <pane ySplit="4" topLeftCell="A5" activePane="bottomLeft" state="frozen"/>
      <selection activeCell="C121" sqref="C121"/>
      <selection pane="bottomLeft" activeCell="D17" sqref="D17"/>
    </sheetView>
  </sheetViews>
  <sheetFormatPr defaultColWidth="14.42578125" defaultRowHeight="15" customHeight="1" x14ac:dyDescent="0.25"/>
  <cols>
    <col min="1" max="1" width="12" style="319" customWidth="1"/>
    <col min="2" max="2" width="41" style="319" bestFit="1" customWidth="1"/>
    <col min="3" max="3" width="15.5703125" style="319" customWidth="1"/>
    <col min="4" max="4" width="12.42578125" style="319" customWidth="1"/>
    <col min="5" max="5" width="12.7109375" style="319" customWidth="1"/>
    <col min="6" max="7" width="10.42578125" style="319" customWidth="1"/>
    <col min="8" max="8" width="36" style="319" customWidth="1"/>
    <col min="9" max="14" width="16.28515625" style="319" customWidth="1"/>
    <col min="15" max="15" width="21.85546875" style="319" customWidth="1"/>
    <col min="16" max="16" width="11.28515625" style="319" customWidth="1"/>
    <col min="17" max="17" width="20" style="319" customWidth="1"/>
    <col min="18" max="18" width="10.28515625" style="319" customWidth="1"/>
    <col min="19" max="19" width="8.7109375" style="319" customWidth="1"/>
    <col min="20" max="20" width="13" style="319" customWidth="1"/>
    <col min="21" max="30" width="8.7109375" style="319" customWidth="1"/>
    <col min="31" max="16384" width="14.42578125" style="319"/>
  </cols>
  <sheetData>
    <row r="1" spans="1:21" ht="21.75" x14ac:dyDescent="0.6">
      <c r="A1" s="312" t="s">
        <v>99</v>
      </c>
      <c r="B1" s="313" t="str">
        <f>'Obra '!D1</f>
        <v>Porto Cerro</v>
      </c>
      <c r="C1" s="314"/>
      <c r="D1" s="315"/>
      <c r="E1" s="316"/>
      <c r="F1" s="316"/>
      <c r="G1" s="316"/>
      <c r="H1" s="401"/>
      <c r="P1" s="402"/>
      <c r="Q1" s="402"/>
    </row>
    <row r="2" spans="1:21" ht="21.75" x14ac:dyDescent="0.6">
      <c r="A2" s="320" t="s">
        <v>100</v>
      </c>
      <c r="B2" s="321" t="str">
        <f>'Obra '!D2</f>
        <v>XPCon Empreendimentos</v>
      </c>
      <c r="C2" s="322"/>
      <c r="D2" s="323"/>
      <c r="E2" s="324"/>
      <c r="F2" s="324"/>
      <c r="G2" s="324"/>
      <c r="H2" s="403"/>
      <c r="P2" s="402"/>
      <c r="Q2" s="402"/>
    </row>
    <row r="3" spans="1:21" ht="22.5" thickBot="1" x14ac:dyDescent="0.65">
      <c r="A3" s="320" t="s">
        <v>101</v>
      </c>
      <c r="B3" s="321" t="str">
        <f>'Obra '!D3</f>
        <v>R01 - 03/09/2025</v>
      </c>
      <c r="C3" s="322"/>
      <c r="D3" s="323"/>
      <c r="E3" s="324"/>
      <c r="F3" s="404"/>
      <c r="G3" s="404"/>
      <c r="H3" s="403"/>
      <c r="O3" s="1077" t="s">
        <v>482</v>
      </c>
      <c r="P3" s="1078"/>
      <c r="Q3" s="1078"/>
      <c r="S3" s="1077" t="s">
        <v>483</v>
      </c>
      <c r="T3" s="1078"/>
      <c r="U3" s="1078"/>
    </row>
    <row r="4" spans="1:21" ht="30.75" thickBot="1" x14ac:dyDescent="0.3">
      <c r="A4" s="1071" t="s">
        <v>287</v>
      </c>
      <c r="B4" s="1072"/>
      <c r="C4" s="1072"/>
      <c r="D4" s="1072"/>
      <c r="E4" s="1072"/>
      <c r="F4" s="1072"/>
      <c r="G4" s="1072"/>
      <c r="H4" s="1073"/>
      <c r="O4" s="405" t="s">
        <v>484</v>
      </c>
      <c r="P4" s="402">
        <v>6601.277</v>
      </c>
      <c r="Q4" s="402"/>
      <c r="S4" s="405" t="s">
        <v>485</v>
      </c>
      <c r="T4" s="402">
        <f>P4/P5</f>
        <v>235.75989285714286</v>
      </c>
    </row>
    <row r="5" spans="1:21" ht="22.5" thickTop="1" x14ac:dyDescent="0.6">
      <c r="A5" s="329" t="s">
        <v>287</v>
      </c>
      <c r="B5" s="330"/>
      <c r="C5" s="330"/>
      <c r="D5" s="331"/>
      <c r="E5" s="332"/>
      <c r="F5" s="332"/>
      <c r="G5" s="332"/>
      <c r="H5" s="333"/>
      <c r="O5" s="405" t="s">
        <v>486</v>
      </c>
      <c r="P5" s="402">
        <v>28</v>
      </c>
      <c r="Q5" s="402" t="s">
        <v>487</v>
      </c>
      <c r="S5" s="405" t="s">
        <v>290</v>
      </c>
      <c r="T5" s="405">
        <v>49</v>
      </c>
      <c r="U5" s="405" t="s">
        <v>291</v>
      </c>
    </row>
    <row r="6" spans="1:21" ht="22.5" thickBot="1" x14ac:dyDescent="0.65">
      <c r="A6" s="335"/>
      <c r="B6" s="336"/>
      <c r="C6" s="336"/>
      <c r="D6" s="337"/>
      <c r="E6" s="338"/>
      <c r="F6" s="338"/>
      <c r="G6" s="338"/>
      <c r="H6" s="339"/>
      <c r="O6" s="405" t="s">
        <v>488</v>
      </c>
      <c r="P6" s="402">
        <f>ROUNDUP((P4*T5)/P5/180,)</f>
        <v>65</v>
      </c>
      <c r="Q6" s="402" t="s">
        <v>489</v>
      </c>
    </row>
    <row r="7" spans="1:21" ht="21.75" x14ac:dyDescent="0.6">
      <c r="A7" s="335"/>
      <c r="B7" s="341" t="s">
        <v>0</v>
      </c>
      <c r="C7" s="342" t="s">
        <v>46</v>
      </c>
      <c r="D7" s="343" t="s">
        <v>49</v>
      </c>
      <c r="E7" s="338"/>
      <c r="F7" s="338"/>
      <c r="G7" s="338"/>
      <c r="H7" s="339"/>
      <c r="O7" s="405" t="s">
        <v>401</v>
      </c>
      <c r="P7" s="402">
        <v>10</v>
      </c>
      <c r="Q7" s="402"/>
      <c r="R7" s="402"/>
    </row>
    <row r="8" spans="1:21" ht="21.75" x14ac:dyDescent="0.6">
      <c r="A8" s="335"/>
      <c r="B8" s="385" t="s">
        <v>288</v>
      </c>
      <c r="C8" s="386" t="s">
        <v>289</v>
      </c>
      <c r="D8" s="406">
        <f>'Obra '!$E$9/'Obra '!$E$7</f>
        <v>366.35416666666669</v>
      </c>
      <c r="E8" s="338"/>
      <c r="F8" s="338"/>
      <c r="G8" s="338"/>
      <c r="H8" s="339"/>
      <c r="O8" s="407" t="s">
        <v>293</v>
      </c>
      <c r="P8" s="408">
        <v>5</v>
      </c>
      <c r="Q8" s="408" t="s">
        <v>489</v>
      </c>
      <c r="R8" s="402"/>
    </row>
    <row r="9" spans="1:21" ht="21.75" x14ac:dyDescent="0.6">
      <c r="A9" s="335"/>
      <c r="B9" s="399" t="s">
        <v>290</v>
      </c>
      <c r="C9" s="400" t="s">
        <v>291</v>
      </c>
      <c r="D9" s="409">
        <v>45</v>
      </c>
      <c r="E9" s="338"/>
      <c r="F9" s="338"/>
      <c r="G9" s="338"/>
      <c r="H9" s="339"/>
      <c r="P9" s="402"/>
      <c r="Q9" s="402"/>
    </row>
    <row r="10" spans="1:21" ht="21.75" x14ac:dyDescent="0.6">
      <c r="A10" s="335"/>
      <c r="B10" s="410" t="s">
        <v>292</v>
      </c>
      <c r="C10" s="411" t="s">
        <v>2</v>
      </c>
      <c r="D10" s="412">
        <f>ROUNDUP((D9*'Obra '!$E$9)/'Obra '!$E$7/180,)</f>
        <v>92</v>
      </c>
      <c r="E10" s="338"/>
      <c r="F10" s="338"/>
      <c r="G10" s="338"/>
      <c r="H10" s="339"/>
      <c r="P10" s="402"/>
      <c r="Q10" s="402"/>
    </row>
    <row r="11" spans="1:21" ht="21.75" x14ac:dyDescent="0.6">
      <c r="A11" s="335"/>
      <c r="B11" s="413" t="s">
        <v>293</v>
      </c>
      <c r="C11" s="414" t="s">
        <v>2</v>
      </c>
      <c r="D11" s="415">
        <v>5</v>
      </c>
      <c r="E11" s="338"/>
      <c r="F11" s="338"/>
      <c r="G11" s="338"/>
      <c r="H11" s="339"/>
      <c r="O11" s="405" t="s">
        <v>490</v>
      </c>
      <c r="P11" s="402">
        <f>450+(P4-13000)/1000*16</f>
        <v>347.62043199999999</v>
      </c>
      <c r="Q11" s="402"/>
      <c r="R11" s="402"/>
    </row>
    <row r="12" spans="1:21" ht="21.75" x14ac:dyDescent="0.6">
      <c r="A12" s="335"/>
      <c r="B12" s="416" t="s">
        <v>491</v>
      </c>
      <c r="C12" s="417" t="s">
        <v>2</v>
      </c>
      <c r="D12" s="418">
        <f>ROUNDUP($D$10/20,0)</f>
        <v>5</v>
      </c>
      <c r="E12" s="419" t="s">
        <v>492</v>
      </c>
      <c r="F12" s="419"/>
      <c r="G12" s="419"/>
      <c r="H12" s="339"/>
      <c r="O12" s="405" t="s">
        <v>493</v>
      </c>
      <c r="P12" s="402">
        <f>P11*0.4</f>
        <v>139.0481728</v>
      </c>
      <c r="Q12" s="402"/>
      <c r="R12" s="402"/>
    </row>
    <row r="13" spans="1:21" ht="21.75" x14ac:dyDescent="0.6">
      <c r="A13" s="335"/>
      <c r="B13" s="344" t="s">
        <v>494</v>
      </c>
      <c r="C13" s="417" t="s">
        <v>2</v>
      </c>
      <c r="D13" s="420">
        <f>ROUNDUP('Obra '!$E$13/5,0)</f>
        <v>5</v>
      </c>
      <c r="E13" s="419" t="s">
        <v>495</v>
      </c>
      <c r="F13" s="419"/>
      <c r="G13" s="419"/>
      <c r="H13" s="339"/>
      <c r="P13" s="402"/>
      <c r="Q13" s="402"/>
      <c r="R13" s="402"/>
    </row>
    <row r="14" spans="1:21" ht="21.75" x14ac:dyDescent="0.6">
      <c r="A14" s="353"/>
      <c r="B14" s="416" t="s">
        <v>294</v>
      </c>
      <c r="C14" s="417" t="s">
        <v>295</v>
      </c>
      <c r="D14" s="421">
        <f>800*D10</f>
        <v>73600</v>
      </c>
      <c r="E14" s="419" t="s">
        <v>296</v>
      </c>
      <c r="F14" s="419"/>
      <c r="G14" s="419"/>
      <c r="H14" s="339"/>
      <c r="P14" s="422">
        <f>SUM(P11:P13)</f>
        <v>486.66860480000003</v>
      </c>
      <c r="Q14" s="402"/>
    </row>
    <row r="15" spans="1:21" ht="18" x14ac:dyDescent="0.45">
      <c r="A15" s="423"/>
      <c r="B15" s="416" t="s">
        <v>297</v>
      </c>
      <c r="C15" s="417" t="s">
        <v>295</v>
      </c>
      <c r="D15" s="421">
        <f>500*(D10+D11)</f>
        <v>48500</v>
      </c>
      <c r="E15" s="419" t="s">
        <v>298</v>
      </c>
      <c r="F15" s="424"/>
      <c r="G15" s="424"/>
      <c r="H15" s="425"/>
      <c r="P15" s="402"/>
      <c r="Q15" s="402"/>
    </row>
    <row r="16" spans="1:21" ht="18.75" thickBot="1" x14ac:dyDescent="0.5">
      <c r="A16" s="423"/>
      <c r="B16" s="426" t="s">
        <v>299</v>
      </c>
      <c r="C16" s="427" t="s">
        <v>2</v>
      </c>
      <c r="D16" s="428">
        <f>ROUNDUP($D$10/20,0)</f>
        <v>5</v>
      </c>
      <c r="E16" s="419" t="s">
        <v>300</v>
      </c>
      <c r="F16" s="419"/>
      <c r="G16" s="419"/>
      <c r="H16" s="425"/>
      <c r="O16" s="405" t="s">
        <v>496</v>
      </c>
      <c r="P16" s="402">
        <v>1</v>
      </c>
      <c r="Q16" s="402" t="s">
        <v>497</v>
      </c>
    </row>
    <row r="17" spans="1:18" x14ac:dyDescent="0.25">
      <c r="A17" s="423"/>
      <c r="B17" s="429"/>
      <c r="C17" s="429"/>
      <c r="D17" s="429"/>
      <c r="E17" s="429"/>
      <c r="F17" s="429"/>
      <c r="G17" s="429"/>
      <c r="H17" s="425"/>
      <c r="P17" s="402">
        <f>P16*P6</f>
        <v>65</v>
      </c>
      <c r="Q17" s="402" t="s">
        <v>11</v>
      </c>
    </row>
    <row r="18" spans="1:18" ht="21.75" x14ac:dyDescent="0.6">
      <c r="A18" s="329" t="s">
        <v>498</v>
      </c>
      <c r="B18" s="330"/>
      <c r="C18" s="330"/>
      <c r="D18" s="331"/>
      <c r="E18" s="332"/>
      <c r="F18" s="332"/>
      <c r="G18" s="332"/>
      <c r="H18" s="333"/>
      <c r="P18" s="402"/>
      <c r="Q18" s="402"/>
    </row>
    <row r="19" spans="1:18" ht="22.5" thickBot="1" x14ac:dyDescent="0.65">
      <c r="A19" s="335"/>
      <c r="B19" s="336"/>
      <c r="C19" s="336"/>
      <c r="D19" s="337"/>
      <c r="E19" s="338"/>
      <c r="F19" s="338"/>
      <c r="G19" s="338"/>
      <c r="H19" s="339"/>
      <c r="O19" s="405" t="s">
        <v>499</v>
      </c>
      <c r="P19" s="402">
        <v>1.5</v>
      </c>
      <c r="Q19" s="402" t="s">
        <v>497</v>
      </c>
    </row>
    <row r="20" spans="1:18" ht="21.75" x14ac:dyDescent="0.6">
      <c r="A20" s="335"/>
      <c r="B20" s="341" t="s">
        <v>0</v>
      </c>
      <c r="C20" s="342" t="s">
        <v>46</v>
      </c>
      <c r="D20" s="342" t="s">
        <v>49</v>
      </c>
      <c r="E20" s="342" t="s">
        <v>301</v>
      </c>
      <c r="F20" s="430" t="s">
        <v>302</v>
      </c>
      <c r="G20" s="338"/>
      <c r="H20" s="339"/>
      <c r="P20" s="402">
        <f>P19*P6</f>
        <v>97.5</v>
      </c>
      <c r="Q20" s="402" t="s">
        <v>11</v>
      </c>
    </row>
    <row r="21" spans="1:18" ht="15.75" customHeight="1" x14ac:dyDescent="0.6">
      <c r="A21" s="335"/>
      <c r="B21" s="385" t="s">
        <v>303</v>
      </c>
      <c r="C21" s="386" t="s">
        <v>2</v>
      </c>
      <c r="D21" s="417">
        <f>ROUNDUP(D11*1.5,)</f>
        <v>8</v>
      </c>
      <c r="E21" s="417">
        <v>200</v>
      </c>
      <c r="F21" s="418">
        <f>D21*E21</f>
        <v>1600</v>
      </c>
      <c r="G21" s="338"/>
      <c r="H21" s="339"/>
      <c r="P21" s="402"/>
      <c r="Q21" s="402"/>
    </row>
    <row r="22" spans="1:18" ht="15.75" customHeight="1" x14ac:dyDescent="0.6">
      <c r="A22" s="335"/>
      <c r="B22" s="344" t="s">
        <v>304</v>
      </c>
      <c r="C22" s="417" t="s">
        <v>2</v>
      </c>
      <c r="D22" s="417">
        <v>1</v>
      </c>
      <c r="E22" s="417">
        <v>1000</v>
      </c>
      <c r="F22" s="418">
        <f>E22*D22</f>
        <v>1000</v>
      </c>
      <c r="G22" s="338"/>
      <c r="H22" s="339"/>
      <c r="P22" s="402"/>
      <c r="Q22" s="402"/>
    </row>
    <row r="23" spans="1:18" ht="15.75" customHeight="1" x14ac:dyDescent="0.45">
      <c r="A23" s="423"/>
      <c r="B23" s="344" t="s">
        <v>305</v>
      </c>
      <c r="C23" s="417" t="s">
        <v>2</v>
      </c>
      <c r="D23" s="417">
        <v>2</v>
      </c>
      <c r="E23" s="417">
        <v>5000</v>
      </c>
      <c r="F23" s="418">
        <f>E23*D23</f>
        <v>10000</v>
      </c>
      <c r="G23" s="338"/>
      <c r="H23" s="425"/>
      <c r="P23" s="402"/>
      <c r="Q23" s="402"/>
    </row>
    <row r="24" spans="1:18" ht="15.75" customHeight="1" x14ac:dyDescent="0.45">
      <c r="A24" s="423"/>
      <c r="B24" s="344" t="s">
        <v>306</v>
      </c>
      <c r="C24" s="417" t="s">
        <v>3</v>
      </c>
      <c r="D24" s="417">
        <v>4</v>
      </c>
      <c r="E24" s="417">
        <v>900</v>
      </c>
      <c r="F24" s="418">
        <f>E24*D24</f>
        <v>3600</v>
      </c>
      <c r="G24" s="338"/>
      <c r="H24" s="425"/>
      <c r="P24" s="402"/>
      <c r="Q24" s="402"/>
    </row>
    <row r="25" spans="1:18" ht="15.75" customHeight="1" thickBot="1" x14ac:dyDescent="0.5">
      <c r="A25" s="423"/>
      <c r="B25" s="431" t="s">
        <v>307</v>
      </c>
      <c r="C25" s="427" t="s">
        <v>2</v>
      </c>
      <c r="D25" s="427">
        <f>D11</f>
        <v>5</v>
      </c>
      <c r="E25" s="427">
        <v>800</v>
      </c>
      <c r="F25" s="428">
        <f>E25*D25</f>
        <v>4000</v>
      </c>
      <c r="G25" s="338"/>
      <c r="H25" s="425"/>
      <c r="P25" s="402"/>
      <c r="Q25" s="402"/>
    </row>
    <row r="26" spans="1:18" ht="15.75" customHeight="1" thickBot="1" x14ac:dyDescent="0.5">
      <c r="A26" s="423"/>
      <c r="B26" s="1079" t="s">
        <v>8</v>
      </c>
      <c r="C26" s="1080"/>
      <c r="D26" s="1080"/>
      <c r="E26" s="1081"/>
      <c r="F26" s="432">
        <f>F23+F24+F25+F22+F21</f>
        <v>20200</v>
      </c>
      <c r="G26" s="338"/>
      <c r="H26" s="425"/>
      <c r="P26" s="402"/>
      <c r="Q26" s="402"/>
    </row>
    <row r="27" spans="1:18" ht="15.75" customHeight="1" x14ac:dyDescent="0.45">
      <c r="A27" s="423"/>
      <c r="B27" s="341" t="s">
        <v>0</v>
      </c>
      <c r="C27" s="342" t="s">
        <v>46</v>
      </c>
      <c r="D27" s="342" t="s">
        <v>49</v>
      </c>
      <c r="E27" s="342" t="s">
        <v>301</v>
      </c>
      <c r="F27" s="430" t="s">
        <v>302</v>
      </c>
      <c r="G27" s="338"/>
      <c r="H27" s="425"/>
      <c r="P27" s="402"/>
      <c r="Q27" s="402"/>
    </row>
    <row r="28" spans="1:18" ht="15.75" customHeight="1" x14ac:dyDescent="0.45">
      <c r="A28" s="423"/>
      <c r="B28" s="385" t="s">
        <v>308</v>
      </c>
      <c r="C28" s="386" t="s">
        <v>2</v>
      </c>
      <c r="D28" s="417">
        <f>D11</f>
        <v>5</v>
      </c>
      <c r="E28" s="417">
        <v>6500</v>
      </c>
      <c r="F28" s="418">
        <f>D28*E28</f>
        <v>32500</v>
      </c>
      <c r="G28" s="338"/>
      <c r="H28" s="425"/>
      <c r="P28" s="402"/>
      <c r="Q28" s="402"/>
    </row>
    <row r="29" spans="1:18" ht="15.75" customHeight="1" x14ac:dyDescent="0.45">
      <c r="A29" s="423"/>
      <c r="B29" s="344" t="s">
        <v>309</v>
      </c>
      <c r="C29" s="417" t="s">
        <v>2</v>
      </c>
      <c r="D29" s="417">
        <v>1</v>
      </c>
      <c r="E29" s="417">
        <v>2000</v>
      </c>
      <c r="F29" s="418">
        <f>E29*D29</f>
        <v>2000</v>
      </c>
      <c r="G29" s="338"/>
      <c r="H29" s="425"/>
      <c r="P29" s="402"/>
      <c r="Q29" s="402"/>
    </row>
    <row r="30" spans="1:18" ht="15.75" customHeight="1" thickBot="1" x14ac:dyDescent="0.5">
      <c r="A30" s="423"/>
      <c r="B30" s="433" t="s">
        <v>310</v>
      </c>
      <c r="C30" s="434" t="s">
        <v>2</v>
      </c>
      <c r="D30" s="434">
        <v>2</v>
      </c>
      <c r="E30" s="434">
        <v>500</v>
      </c>
      <c r="F30" s="435">
        <f>E30*D30</f>
        <v>1000</v>
      </c>
      <c r="G30" s="338"/>
      <c r="H30" s="425"/>
      <c r="P30" s="402"/>
      <c r="Q30" s="402"/>
    </row>
    <row r="31" spans="1:18" ht="15.75" customHeight="1" thickBot="1" x14ac:dyDescent="0.5">
      <c r="A31" s="436"/>
      <c r="B31" s="1079" t="s">
        <v>8</v>
      </c>
      <c r="C31" s="1080"/>
      <c r="D31" s="1080"/>
      <c r="E31" s="1081"/>
      <c r="F31" s="432">
        <f>+F28+F29+F30</f>
        <v>35500</v>
      </c>
      <c r="G31" s="338"/>
      <c r="H31" s="437"/>
      <c r="O31" s="405" t="s">
        <v>500</v>
      </c>
      <c r="P31" s="402">
        <f>1*ROUNDUP(P6/20,)</f>
        <v>4</v>
      </c>
      <c r="Q31" s="402" t="s">
        <v>11</v>
      </c>
    </row>
    <row r="32" spans="1:18" ht="15.75" customHeight="1" x14ac:dyDescent="0.45">
      <c r="A32" s="423"/>
      <c r="B32" s="429"/>
      <c r="C32" s="429"/>
      <c r="D32" s="429"/>
      <c r="E32" s="429"/>
      <c r="F32" s="429"/>
      <c r="G32" s="338"/>
      <c r="H32" s="425"/>
      <c r="P32" s="402"/>
      <c r="Q32" s="402"/>
      <c r="R32" s="402"/>
    </row>
    <row r="33" spans="1:18" ht="15.75" customHeight="1" x14ac:dyDescent="0.6">
      <c r="A33" s="329" t="s">
        <v>369</v>
      </c>
      <c r="B33" s="330"/>
      <c r="C33" s="330"/>
      <c r="D33" s="331"/>
      <c r="E33" s="332"/>
      <c r="F33" s="332"/>
      <c r="G33" s="332"/>
      <c r="H33" s="333"/>
      <c r="O33" s="405" t="s">
        <v>501</v>
      </c>
      <c r="P33" s="402">
        <f>0.6*ROUNDUP(P6/20,)</f>
        <v>2.4</v>
      </c>
      <c r="Q33" s="402" t="s">
        <v>11</v>
      </c>
    </row>
    <row r="34" spans="1:18" ht="15.75" customHeight="1" thickBot="1" x14ac:dyDescent="0.65">
      <c r="A34" s="335"/>
      <c r="B34" s="336"/>
      <c r="C34" s="336"/>
      <c r="D34" s="337"/>
      <c r="E34" s="338"/>
      <c r="F34" s="338"/>
      <c r="G34" s="338"/>
      <c r="H34" s="339"/>
      <c r="O34" s="405" t="s">
        <v>502</v>
      </c>
      <c r="P34" s="402">
        <f>0.8*ROUNDUP(P6/10,)</f>
        <v>5.6000000000000005</v>
      </c>
      <c r="Q34" s="402" t="s">
        <v>11</v>
      </c>
    </row>
    <row r="35" spans="1:18" ht="31.5" x14ac:dyDescent="0.6">
      <c r="A35" s="335"/>
      <c r="B35" s="438" t="s">
        <v>0</v>
      </c>
      <c r="C35" s="439" t="s">
        <v>46</v>
      </c>
      <c r="D35" s="439" t="s">
        <v>503</v>
      </c>
      <c r="E35" s="439" t="s">
        <v>49</v>
      </c>
      <c r="F35" s="439" t="s">
        <v>301</v>
      </c>
      <c r="G35" s="440" t="s">
        <v>302</v>
      </c>
      <c r="H35" s="339"/>
      <c r="P35" s="402"/>
      <c r="Q35" s="402"/>
    </row>
    <row r="36" spans="1:18" ht="15.75" customHeight="1" x14ac:dyDescent="0.6">
      <c r="A36" s="335"/>
      <c r="B36" s="441" t="s">
        <v>578</v>
      </c>
      <c r="C36" s="417" t="s">
        <v>1</v>
      </c>
      <c r="D36" s="417" t="s">
        <v>504</v>
      </c>
      <c r="E36" s="442">
        <f>IF(D36="Sim",15,0)</f>
        <v>15</v>
      </c>
      <c r="F36" s="417">
        <v>115.4849</v>
      </c>
      <c r="G36" s="443">
        <f>IF(D36="sim",E36*F36,0)</f>
        <v>1732.2735</v>
      </c>
      <c r="H36" s="339"/>
      <c r="P36" s="402"/>
      <c r="Q36" s="402"/>
    </row>
    <row r="37" spans="1:18" ht="15.75" customHeight="1" x14ac:dyDescent="0.6">
      <c r="A37" s="335"/>
      <c r="B37" s="444" t="s">
        <v>579</v>
      </c>
      <c r="C37" s="417" t="s">
        <v>1</v>
      </c>
      <c r="D37" s="417" t="s">
        <v>504</v>
      </c>
      <c r="E37" s="442">
        <f>IF(D37="Sim",15,0)</f>
        <v>15</v>
      </c>
      <c r="F37" s="417">
        <v>115.4849</v>
      </c>
      <c r="G37" s="443">
        <f t="shared" ref="G37:G45" si="0">IF(D37="sim",E37*F37,0)</f>
        <v>1732.2735</v>
      </c>
      <c r="H37" s="339"/>
      <c r="P37" s="402"/>
      <c r="Q37" s="402"/>
    </row>
    <row r="38" spans="1:18" ht="15.75" customHeight="1" x14ac:dyDescent="0.25">
      <c r="A38" s="423"/>
      <c r="B38" s="444" t="s">
        <v>580</v>
      </c>
      <c r="C38" s="417" t="s">
        <v>1</v>
      </c>
      <c r="D38" s="417" t="s">
        <v>504</v>
      </c>
      <c r="E38" s="442">
        <f>IF(D38="Sim",15,0)</f>
        <v>15</v>
      </c>
      <c r="F38" s="417">
        <v>115.4849</v>
      </c>
      <c r="G38" s="443">
        <f t="shared" si="0"/>
        <v>1732.2735</v>
      </c>
      <c r="H38" s="425"/>
      <c r="P38" s="402"/>
      <c r="Q38" s="402"/>
    </row>
    <row r="39" spans="1:18" ht="15.75" customHeight="1" x14ac:dyDescent="0.25">
      <c r="A39" s="423"/>
      <c r="B39" s="444" t="s">
        <v>581</v>
      </c>
      <c r="C39" s="417" t="s">
        <v>1</v>
      </c>
      <c r="D39" s="417" t="s">
        <v>504</v>
      </c>
      <c r="E39" s="442">
        <f>IF(D39="não",0,ROUNDUP(3*'Obra '!$E$10/COUNTIFS($D$39:$D$47,"Sim"),))</f>
        <v>37</v>
      </c>
      <c r="F39" s="417">
        <v>201.22489000000002</v>
      </c>
      <c r="G39" s="443">
        <f t="shared" si="0"/>
        <v>7445.3209300000008</v>
      </c>
      <c r="H39" s="425"/>
      <c r="P39" s="402"/>
      <c r="Q39" s="402"/>
    </row>
    <row r="40" spans="1:18" ht="15.75" customHeight="1" x14ac:dyDescent="0.25">
      <c r="A40" s="423"/>
      <c r="B40" s="444" t="s">
        <v>582</v>
      </c>
      <c r="C40" s="417" t="s">
        <v>1</v>
      </c>
      <c r="D40" s="417" t="s">
        <v>505</v>
      </c>
      <c r="E40" s="442">
        <f>IF(D40="não",0,ROUNDUP(3*'Obra '!$E$10/COUNTIFS($D$39:$D$47,"Sim"),))</f>
        <v>0</v>
      </c>
      <c r="F40" s="417">
        <v>201.22489000000002</v>
      </c>
      <c r="G40" s="443">
        <f t="shared" si="0"/>
        <v>0</v>
      </c>
      <c r="H40" s="425"/>
      <c r="P40" s="402"/>
      <c r="Q40" s="402"/>
    </row>
    <row r="41" spans="1:18" ht="15.75" customHeight="1" x14ac:dyDescent="0.25">
      <c r="A41" s="423"/>
      <c r="B41" s="444" t="s">
        <v>583</v>
      </c>
      <c r="C41" s="417" t="s">
        <v>1</v>
      </c>
      <c r="D41" s="417" t="s">
        <v>504</v>
      </c>
      <c r="E41" s="442">
        <f>IF(D41="não",0,ROUNDUP(3*'Obra '!$E$10/COUNTIFS($D$39:$D$47,"Sim"),))</f>
        <v>37</v>
      </c>
      <c r="F41" s="417">
        <v>201.22489000000002</v>
      </c>
      <c r="G41" s="443">
        <f t="shared" si="0"/>
        <v>7445.3209300000008</v>
      </c>
      <c r="H41" s="425"/>
      <c r="P41" s="402"/>
      <c r="Q41" s="402"/>
    </row>
    <row r="42" spans="1:18" ht="15.75" customHeight="1" x14ac:dyDescent="0.25">
      <c r="A42" s="423"/>
      <c r="B42" s="444" t="s">
        <v>584</v>
      </c>
      <c r="C42" s="417" t="s">
        <v>1</v>
      </c>
      <c r="D42" s="417" t="s">
        <v>504</v>
      </c>
      <c r="E42" s="442">
        <f>IF(D42="não",0,ROUNDUP(3*'Obra '!$E$10/COUNTIFS($D$39:$D$47,"Sim"),))</f>
        <v>37</v>
      </c>
      <c r="F42" s="417">
        <v>201.22489000000002</v>
      </c>
      <c r="G42" s="443">
        <f t="shared" si="0"/>
        <v>7445.3209300000008</v>
      </c>
      <c r="H42" s="425"/>
      <c r="P42" s="402"/>
      <c r="Q42" s="402"/>
    </row>
    <row r="43" spans="1:18" ht="15.75" customHeight="1" x14ac:dyDescent="0.25">
      <c r="A43" s="423"/>
      <c r="B43" s="444" t="s">
        <v>585</v>
      </c>
      <c r="C43" s="417" t="s">
        <v>1</v>
      </c>
      <c r="D43" s="417" t="s">
        <v>504</v>
      </c>
      <c r="E43" s="442">
        <f>IF(D43="não",0,ROUNDUP(3*'Obra '!$E$10/COUNTIFS($D$39:$D$47,"Sim"),))</f>
        <v>37</v>
      </c>
      <c r="F43" s="417">
        <v>201.22489000000002</v>
      </c>
      <c r="G43" s="443">
        <f t="shared" si="0"/>
        <v>7445.3209300000008</v>
      </c>
      <c r="H43" s="425"/>
      <c r="P43" s="402"/>
      <c r="Q43" s="402"/>
    </row>
    <row r="44" spans="1:18" ht="15.75" customHeight="1" x14ac:dyDescent="0.25">
      <c r="A44" s="423"/>
      <c r="B44" s="444" t="s">
        <v>586</v>
      </c>
      <c r="C44" s="417" t="s">
        <v>1</v>
      </c>
      <c r="D44" s="417" t="s">
        <v>505</v>
      </c>
      <c r="E44" s="442">
        <f>IF(D44="não",0,ROUNDUP(3*'Obra '!$E$10/COUNTIFS($D$39:$D$47,"Sim"),))</f>
        <v>0</v>
      </c>
      <c r="F44" s="417">
        <v>201.22489000000002</v>
      </c>
      <c r="G44" s="443">
        <f t="shared" si="0"/>
        <v>0</v>
      </c>
      <c r="H44" s="425"/>
      <c r="P44" s="402"/>
      <c r="Q44" s="402"/>
    </row>
    <row r="45" spans="1:18" ht="15.75" customHeight="1" x14ac:dyDescent="0.25">
      <c r="A45" s="423"/>
      <c r="B45" s="445" t="s">
        <v>587</v>
      </c>
      <c r="C45" s="417" t="s">
        <v>1</v>
      </c>
      <c r="D45" s="417" t="s">
        <v>504</v>
      </c>
      <c r="E45" s="442">
        <f>IF(D45="não",0,ROUNDUP(3*'Obra '!$E$10/COUNTIFS($D$39:$D$47,"Sim"),))</f>
        <v>37</v>
      </c>
      <c r="F45" s="417">
        <v>201.22489000000002</v>
      </c>
      <c r="G45" s="443">
        <f t="shared" si="0"/>
        <v>7445.3209300000008</v>
      </c>
      <c r="H45" s="425"/>
      <c r="P45" s="402"/>
      <c r="Q45" s="402"/>
    </row>
    <row r="46" spans="1:18" ht="15.75" customHeight="1" x14ac:dyDescent="0.25">
      <c r="A46" s="423"/>
      <c r="B46" s="445" t="s">
        <v>588</v>
      </c>
      <c r="C46" s="417" t="s">
        <v>1</v>
      </c>
      <c r="D46" s="417" t="s">
        <v>504</v>
      </c>
      <c r="E46" s="442">
        <f>IF(D46="não",0,ROUNDUP(3*'Obra '!$E$10/COUNTIFS($D$39:$D$47,"Sim"),))</f>
        <v>37</v>
      </c>
      <c r="F46" s="417">
        <v>201.22489000000002</v>
      </c>
      <c r="G46" s="443">
        <f>IF(D46="sim",E46*F46,0)</f>
        <v>7445.3209300000008</v>
      </c>
      <c r="H46" s="425"/>
      <c r="P46" s="402"/>
      <c r="Q46" s="402"/>
    </row>
    <row r="47" spans="1:18" ht="15.75" customHeight="1" x14ac:dyDescent="0.25">
      <c r="A47" s="423"/>
      <c r="B47" s="445" t="s">
        <v>589</v>
      </c>
      <c r="C47" s="417" t="s">
        <v>1</v>
      </c>
      <c r="D47" s="417" t="s">
        <v>504</v>
      </c>
      <c r="E47" s="442">
        <f>IF(D47="não",0,ROUNDUP(3*'Obra '!$E$10/COUNTIFS($D$39:$D$47,"Sim"),))</f>
        <v>37</v>
      </c>
      <c r="F47" s="417">
        <v>272.87529999999998</v>
      </c>
      <c r="G47" s="443">
        <f>IF(D47="sim",E47*F47,0)</f>
        <v>10096.3861</v>
      </c>
      <c r="H47" s="425"/>
      <c r="P47" s="402"/>
      <c r="Q47" s="402"/>
      <c r="R47" s="402"/>
    </row>
    <row r="48" spans="1:18" ht="15.75" customHeight="1" x14ac:dyDescent="0.25">
      <c r="A48" s="423"/>
      <c r="B48" s="445" t="s">
        <v>590</v>
      </c>
      <c r="C48" s="417" t="s">
        <v>1</v>
      </c>
      <c r="D48" s="417" t="s">
        <v>504</v>
      </c>
      <c r="E48" s="442">
        <f>IF(D48="Sim",10*15,0)</f>
        <v>150</v>
      </c>
      <c r="F48" s="417">
        <v>272.87529999999998</v>
      </c>
      <c r="G48" s="443">
        <f>IF(D48="sim",E48*F48,0)</f>
        <v>40931.294999999998</v>
      </c>
      <c r="H48" s="425"/>
      <c r="P48" s="402"/>
      <c r="Q48" s="402"/>
      <c r="R48" s="402"/>
    </row>
    <row r="49" spans="1:18" ht="15.75" customHeight="1" x14ac:dyDescent="0.25">
      <c r="A49" s="423"/>
      <c r="B49" s="445" t="s">
        <v>591</v>
      </c>
      <c r="C49" s="417" t="s">
        <v>1</v>
      </c>
      <c r="D49" s="417" t="s">
        <v>505</v>
      </c>
      <c r="E49" s="442">
        <f>IF(D49="Sim",ROUNDUP(25,),0)</f>
        <v>0</v>
      </c>
      <c r="F49" s="417">
        <v>0</v>
      </c>
      <c r="G49" s="443">
        <f>IF(D49="sim",E49*F49,0)</f>
        <v>0</v>
      </c>
      <c r="H49" s="425"/>
      <c r="P49" s="402"/>
      <c r="Q49" s="402"/>
      <c r="R49" s="402"/>
    </row>
    <row r="50" spans="1:18" ht="15.75" customHeight="1" thickBot="1" x14ac:dyDescent="0.3">
      <c r="A50" s="423"/>
      <c r="B50" s="445" t="s">
        <v>592</v>
      </c>
      <c r="C50" s="417" t="s">
        <v>1</v>
      </c>
      <c r="D50" s="417" t="s">
        <v>504</v>
      </c>
      <c r="E50" s="442">
        <f>IF(D50="Sim",ROUNDUP(25,),0)</f>
        <v>25</v>
      </c>
      <c r="F50" s="417">
        <v>0</v>
      </c>
      <c r="G50" s="443">
        <f>IF(D50="sim",E50*F50,0)</f>
        <v>0</v>
      </c>
      <c r="H50" s="425"/>
      <c r="P50" s="402"/>
      <c r="Q50" s="402"/>
      <c r="R50" s="402"/>
    </row>
    <row r="51" spans="1:18" ht="15.75" customHeight="1" thickBot="1" x14ac:dyDescent="0.3">
      <c r="A51" s="436"/>
      <c r="B51" s="1074" t="s">
        <v>8</v>
      </c>
      <c r="C51" s="1075"/>
      <c r="D51" s="1075"/>
      <c r="E51" s="1075"/>
      <c r="F51" s="1076"/>
      <c r="G51" s="446">
        <f>SUM(G36:G50)</f>
        <v>100896.42718</v>
      </c>
      <c r="H51" s="425"/>
      <c r="P51" s="402"/>
      <c r="Q51" s="402"/>
      <c r="R51" s="402"/>
    </row>
    <row r="52" spans="1:18" ht="15.75" customHeight="1" x14ac:dyDescent="0.25">
      <c r="A52" s="447"/>
      <c r="B52" s="448"/>
      <c r="C52" s="448"/>
      <c r="D52" s="448"/>
      <c r="E52" s="449"/>
      <c r="F52" s="448"/>
      <c r="G52" s="450"/>
      <c r="H52" s="425"/>
      <c r="O52" s="405" t="s">
        <v>501</v>
      </c>
      <c r="P52" s="402">
        <f>0.6*ROUNDUP(P21/20,)</f>
        <v>0</v>
      </c>
      <c r="Q52" s="402" t="s">
        <v>11</v>
      </c>
    </row>
    <row r="53" spans="1:18" ht="15.75" customHeight="1" x14ac:dyDescent="0.25">
      <c r="A53" s="447"/>
      <c r="B53" s="451" t="s">
        <v>506</v>
      </c>
      <c r="C53" s="448"/>
      <c r="D53" s="448"/>
      <c r="E53" s="449"/>
      <c r="F53" s="448"/>
      <c r="G53" s="450"/>
      <c r="H53" s="425"/>
      <c r="O53" s="405"/>
      <c r="P53" s="402"/>
      <c r="Q53" s="402"/>
    </row>
    <row r="54" spans="1:18" ht="15.75" customHeight="1" x14ac:dyDescent="0.25">
      <c r="A54" s="447"/>
      <c r="B54" s="451"/>
      <c r="C54" s="448"/>
      <c r="D54" s="448"/>
      <c r="E54" s="449"/>
      <c r="F54" s="448"/>
      <c r="G54" s="450"/>
      <c r="H54" s="425"/>
      <c r="O54" s="405" t="s">
        <v>502</v>
      </c>
      <c r="P54" s="402">
        <f>0.8*ROUNDUP(P21/10,)</f>
        <v>0</v>
      </c>
      <c r="Q54" s="402" t="s">
        <v>11</v>
      </c>
    </row>
    <row r="55" spans="1:18" ht="15.75" customHeight="1" x14ac:dyDescent="0.6">
      <c r="A55" s="329" t="s">
        <v>507</v>
      </c>
      <c r="B55" s="330"/>
      <c r="C55" s="330"/>
      <c r="D55" s="331"/>
      <c r="E55" s="332"/>
      <c r="F55" s="332"/>
      <c r="G55" s="332"/>
      <c r="H55" s="333"/>
      <c r="O55" s="405"/>
      <c r="P55" s="402"/>
      <c r="Q55" s="402"/>
    </row>
    <row r="56" spans="1:18" ht="15.75" customHeight="1" thickBot="1" x14ac:dyDescent="0.65">
      <c r="A56" s="335"/>
      <c r="B56" s="336"/>
      <c r="C56" s="336"/>
      <c r="D56" s="337"/>
      <c r="E56" s="338"/>
      <c r="F56" s="338"/>
      <c r="G56" s="338"/>
      <c r="H56" s="339"/>
      <c r="O56" s="405"/>
      <c r="P56" s="402"/>
      <c r="Q56" s="402"/>
    </row>
    <row r="57" spans="1:18" ht="15.75" customHeight="1" x14ac:dyDescent="0.6">
      <c r="A57" s="335"/>
      <c r="B57" s="438" t="s">
        <v>0</v>
      </c>
      <c r="C57" s="439" t="s">
        <v>46</v>
      </c>
      <c r="D57" s="439" t="s">
        <v>503</v>
      </c>
      <c r="E57" s="439" t="s">
        <v>49</v>
      </c>
      <c r="F57" s="439" t="s">
        <v>301</v>
      </c>
      <c r="G57" s="440" t="s">
        <v>302</v>
      </c>
      <c r="H57" s="339"/>
      <c r="P57" s="402"/>
      <c r="Q57" s="402"/>
    </row>
    <row r="58" spans="1:18" ht="15.75" customHeight="1" x14ac:dyDescent="0.6">
      <c r="A58" s="335"/>
      <c r="B58" s="445" t="s">
        <v>593</v>
      </c>
      <c r="C58" s="417" t="s">
        <v>96</v>
      </c>
      <c r="D58" s="417" t="s">
        <v>504</v>
      </c>
      <c r="E58" s="442">
        <v>1</v>
      </c>
      <c r="F58" s="417">
        <v>7891.02</v>
      </c>
      <c r="G58" s="443">
        <f t="shared" ref="G58:G63" si="1">IF(D58="sim",E58*F58,0)</f>
        <v>7891.02</v>
      </c>
      <c r="H58" s="339"/>
      <c r="O58" s="405" t="s">
        <v>508</v>
      </c>
      <c r="P58" s="402">
        <v>8</v>
      </c>
      <c r="Q58" s="402" t="s">
        <v>509</v>
      </c>
    </row>
    <row r="59" spans="1:18" ht="15.75" customHeight="1" x14ac:dyDescent="0.6">
      <c r="A59" s="335"/>
      <c r="B59" s="445" t="s">
        <v>594</v>
      </c>
      <c r="C59" s="417" t="s">
        <v>1</v>
      </c>
      <c r="D59" s="417" t="s">
        <v>505</v>
      </c>
      <c r="E59" s="442"/>
      <c r="F59" s="417"/>
      <c r="G59" s="443">
        <f t="shared" si="1"/>
        <v>0</v>
      </c>
      <c r="H59" s="339"/>
      <c r="P59" s="402">
        <f>P58*P8</f>
        <v>40</v>
      </c>
      <c r="Q59" s="402" t="s">
        <v>11</v>
      </c>
    </row>
    <row r="60" spans="1:18" ht="15.75" customHeight="1" x14ac:dyDescent="0.25">
      <c r="A60" s="423"/>
      <c r="B60" s="445" t="s">
        <v>595</v>
      </c>
      <c r="C60" s="417" t="s">
        <v>1</v>
      </c>
      <c r="D60" s="417" t="s">
        <v>505</v>
      </c>
      <c r="E60" s="442"/>
      <c r="F60" s="417"/>
      <c r="G60" s="443">
        <f t="shared" si="1"/>
        <v>0</v>
      </c>
      <c r="H60" s="425"/>
      <c r="P60" s="402"/>
      <c r="Q60" s="402"/>
    </row>
    <row r="61" spans="1:18" ht="15.75" customHeight="1" x14ac:dyDescent="0.25">
      <c r="A61" s="423"/>
      <c r="B61" s="445" t="s">
        <v>596</v>
      </c>
      <c r="C61" s="417" t="s">
        <v>1</v>
      </c>
      <c r="D61" s="417" t="s">
        <v>505</v>
      </c>
      <c r="E61" s="442"/>
      <c r="F61" s="417"/>
      <c r="G61" s="443">
        <f t="shared" si="1"/>
        <v>0</v>
      </c>
      <c r="H61" s="425"/>
      <c r="O61" s="405" t="s">
        <v>510</v>
      </c>
      <c r="P61" s="402">
        <f>IF(P4&lt;20000,100,100+((P4-20000)/1000)*5)</f>
        <v>100</v>
      </c>
      <c r="Q61" s="402" t="s">
        <v>1</v>
      </c>
    </row>
    <row r="62" spans="1:18" ht="15.75" customHeight="1" x14ac:dyDescent="0.25">
      <c r="A62" s="423"/>
      <c r="B62" s="445" t="s">
        <v>597</v>
      </c>
      <c r="C62" s="417" t="s">
        <v>1</v>
      </c>
      <c r="D62" s="417" t="s">
        <v>505</v>
      </c>
      <c r="E62" s="442"/>
      <c r="F62" s="417"/>
      <c r="G62" s="443">
        <f t="shared" si="1"/>
        <v>0</v>
      </c>
      <c r="H62" s="425"/>
      <c r="P62" s="402"/>
      <c r="Q62" s="402"/>
    </row>
    <row r="63" spans="1:18" ht="15.75" customHeight="1" thickBot="1" x14ac:dyDescent="0.3">
      <c r="A63" s="423"/>
      <c r="B63" s="445"/>
      <c r="C63" s="417"/>
      <c r="D63" s="417"/>
      <c r="E63" s="442"/>
      <c r="F63" s="417"/>
      <c r="G63" s="443">
        <f t="shared" si="1"/>
        <v>0</v>
      </c>
      <c r="H63" s="425"/>
      <c r="P63" s="402"/>
      <c r="Q63" s="402"/>
    </row>
    <row r="64" spans="1:18" ht="15.75" customHeight="1" thickBot="1" x14ac:dyDescent="0.3">
      <c r="A64" s="436"/>
      <c r="B64" s="1074" t="s">
        <v>8</v>
      </c>
      <c r="C64" s="1075"/>
      <c r="D64" s="1075"/>
      <c r="E64" s="1075"/>
      <c r="F64" s="1076"/>
      <c r="G64" s="446">
        <f>SUM(G58:G63)</f>
        <v>7891.02</v>
      </c>
      <c r="H64" s="425"/>
      <c r="O64" s="405" t="s">
        <v>294</v>
      </c>
      <c r="P64" s="402">
        <f>P6*800</f>
        <v>52000</v>
      </c>
      <c r="Q64" s="402" t="s">
        <v>511</v>
      </c>
    </row>
    <row r="65" spans="1:19" ht="15.75" customHeight="1" x14ac:dyDescent="0.25">
      <c r="A65" s="447"/>
      <c r="B65" s="448"/>
      <c r="C65" s="448"/>
      <c r="D65" s="448"/>
      <c r="E65" s="449"/>
      <c r="F65" s="448"/>
      <c r="G65" s="450"/>
      <c r="H65" s="425"/>
      <c r="P65" s="402"/>
      <c r="Q65" s="402"/>
    </row>
    <row r="66" spans="1:19" ht="15.75" customHeight="1" x14ac:dyDescent="0.25">
      <c r="A66" s="447"/>
      <c r="B66" s="451"/>
      <c r="C66" s="448"/>
      <c r="D66" s="448"/>
      <c r="E66" s="449"/>
      <c r="F66" s="448"/>
      <c r="G66" s="450"/>
      <c r="H66" s="425"/>
      <c r="O66" s="405" t="s">
        <v>297</v>
      </c>
      <c r="P66" s="402">
        <f>P6*500</f>
        <v>32500</v>
      </c>
      <c r="Q66" s="402" t="s">
        <v>512</v>
      </c>
      <c r="R66" s="405" t="s">
        <v>513</v>
      </c>
    </row>
    <row r="67" spans="1:19" ht="15.75" customHeight="1" thickBot="1" x14ac:dyDescent="0.3">
      <c r="A67" s="452"/>
      <c r="B67" s="453"/>
      <c r="C67" s="453"/>
      <c r="D67" s="453"/>
      <c r="E67" s="453"/>
      <c r="F67" s="453"/>
      <c r="G67" s="453"/>
      <c r="H67" s="454"/>
      <c r="P67" s="402"/>
      <c r="Q67" s="402"/>
    </row>
    <row r="68" spans="1:19" ht="15.75" customHeight="1" x14ac:dyDescent="0.25">
      <c r="P68" s="402"/>
      <c r="Q68" s="402"/>
    </row>
    <row r="69" spans="1:19" ht="15.75" customHeight="1" x14ac:dyDescent="0.25">
      <c r="O69" s="405" t="s">
        <v>299</v>
      </c>
      <c r="P69" s="402">
        <v>1</v>
      </c>
      <c r="Q69" s="402" t="s">
        <v>514</v>
      </c>
      <c r="R69" s="405">
        <v>20</v>
      </c>
      <c r="S69" s="405" t="s">
        <v>515</v>
      </c>
    </row>
    <row r="70" spans="1:19" ht="15.75" customHeight="1" x14ac:dyDescent="0.25">
      <c r="P70" s="402">
        <f>ROUNDUP(P6/R69,)</f>
        <v>4</v>
      </c>
      <c r="Q70" s="402"/>
    </row>
  </sheetData>
  <mergeCells count="7">
    <mergeCell ref="B64:F64"/>
    <mergeCell ref="O3:Q3"/>
    <mergeCell ref="S3:U3"/>
    <mergeCell ref="A4:H4"/>
    <mergeCell ref="B26:E26"/>
    <mergeCell ref="B31:E31"/>
    <mergeCell ref="B51:F51"/>
  </mergeCells>
  <dataValidations count="1">
    <dataValidation type="list" allowBlank="1" showInputMessage="1" showErrorMessage="1" sqref="D36:D50 D58:D63" xr:uid="{763AA7D4-ACA3-4A42-8EB2-BEB47D484482}">
      <formula1>"Sim,Não"</formula1>
    </dataValidation>
  </dataValidations>
  <pageMargins left="0.511811024" right="0.511811024" top="0.78740157499999996" bottom="0.78740157499999996" header="0" footer="0"/>
  <pageSetup paperSize="9" scale="6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2143F-DE94-4861-B42A-0F952945B1F0}">
  <sheetPr>
    <tabColor theme="0" tint="-0.34998626667073579"/>
    <outlinePr summaryBelow="0"/>
    <pageSetUpPr fitToPage="1"/>
  </sheetPr>
  <dimension ref="A1:L13"/>
  <sheetViews>
    <sheetView showGridLines="0" zoomScale="85" zoomScaleNormal="85" workbookViewId="0">
      <selection activeCell="F12" sqref="F12"/>
    </sheetView>
  </sheetViews>
  <sheetFormatPr defaultColWidth="9.140625" defaultRowHeight="18.75" outlineLevelRow="1" outlineLevelCol="1" x14ac:dyDescent="0.55000000000000004"/>
  <cols>
    <col min="1" max="1" width="5.5703125" style="552" customWidth="1"/>
    <col min="2" max="2" width="51.28515625" style="552" customWidth="1"/>
    <col min="3" max="3" width="7.85546875" style="576" bestFit="1" customWidth="1"/>
    <col min="4" max="4" width="15.7109375" style="552" customWidth="1"/>
    <col min="5" max="5" width="12" style="577" customWidth="1"/>
    <col min="6" max="6" width="20.5703125" style="578" customWidth="1"/>
    <col min="7" max="7" width="100.5703125" style="577" customWidth="1" outlineLevel="1"/>
    <col min="8" max="8" width="5.5703125" style="552" customWidth="1"/>
    <col min="9" max="9" width="12.42578125" style="552" customWidth="1"/>
    <col min="10" max="10" width="15.28515625" style="552" customWidth="1"/>
    <col min="11" max="11" width="20.5703125" style="552" customWidth="1"/>
    <col min="12" max="12" width="6.28515625" style="552" customWidth="1"/>
    <col min="13" max="13" width="18.28515625" style="552" customWidth="1"/>
    <col min="14" max="14" width="26.28515625" style="552" customWidth="1"/>
    <col min="15" max="16384" width="9.140625" style="552"/>
  </cols>
  <sheetData>
    <row r="1" spans="1:12" x14ac:dyDescent="0.55000000000000004">
      <c r="A1" s="1082"/>
      <c r="B1" s="1083"/>
      <c r="C1" s="548" t="s">
        <v>124</v>
      </c>
      <c r="D1" s="549" t="str">
        <f>'Obra '!D1</f>
        <v>Porto Cerro</v>
      </c>
      <c r="E1" s="550"/>
      <c r="F1" s="550"/>
      <c r="G1" s="551"/>
    </row>
    <row r="2" spans="1:12" x14ac:dyDescent="0.55000000000000004">
      <c r="A2" s="1084"/>
      <c r="B2" s="1085"/>
      <c r="C2" s="236" t="s">
        <v>100</v>
      </c>
      <c r="D2" s="549" t="str">
        <f>'Obra '!D2</f>
        <v>XPCon Empreendimentos</v>
      </c>
      <c r="E2" s="553"/>
      <c r="F2" s="553"/>
      <c r="G2" s="554"/>
    </row>
    <row r="3" spans="1:12" x14ac:dyDescent="0.55000000000000004">
      <c r="A3" s="1086"/>
      <c r="B3" s="1087"/>
      <c r="C3" s="236" t="s">
        <v>101</v>
      </c>
      <c r="D3" s="549" t="str">
        <f>'Obra '!D3</f>
        <v>R01 - 03/09/2025</v>
      </c>
      <c r="E3" s="553"/>
      <c r="F3" s="553"/>
      <c r="G3" s="555"/>
    </row>
    <row r="4" spans="1:12" ht="19.5" customHeight="1" x14ac:dyDescent="0.55000000000000004">
      <c r="A4" s="1088" t="s">
        <v>627</v>
      </c>
      <c r="B4" s="1088"/>
      <c r="C4" s="1088"/>
      <c r="D4" s="1088"/>
      <c r="E4" s="1088"/>
      <c r="F4" s="1088"/>
      <c r="G4" s="1088"/>
    </row>
    <row r="5" spans="1:12" s="563" customFormat="1" ht="37.5" x14ac:dyDescent="0.2">
      <c r="A5" s="556" t="s">
        <v>15</v>
      </c>
      <c r="B5" s="557" t="s">
        <v>311</v>
      </c>
      <c r="C5" s="557" t="s">
        <v>260</v>
      </c>
      <c r="D5" s="558" t="s">
        <v>312</v>
      </c>
      <c r="E5" s="559" t="s">
        <v>313</v>
      </c>
      <c r="F5" s="560" t="s">
        <v>314</v>
      </c>
      <c r="G5" s="561" t="s">
        <v>202</v>
      </c>
      <c r="H5" s="562"/>
    </row>
    <row r="6" spans="1:12" s="563" customFormat="1" ht="16.899999999999999" customHeight="1" x14ac:dyDescent="0.2">
      <c r="A6" s="111"/>
      <c r="B6" s="112" t="s">
        <v>315</v>
      </c>
      <c r="C6" s="111"/>
      <c r="D6" s="112"/>
      <c r="E6" s="111"/>
      <c r="F6" s="112">
        <f>SUM(F7:F12)</f>
        <v>38456.655624999999</v>
      </c>
      <c r="G6" s="111"/>
      <c r="H6" s="562"/>
    </row>
    <row r="7" spans="1:12" s="563" customFormat="1" ht="16.899999999999999" customHeight="1" outlineLevel="1" x14ac:dyDescent="0.2">
      <c r="A7" s="237">
        <v>1</v>
      </c>
      <c r="B7" s="564" t="s">
        <v>316</v>
      </c>
      <c r="C7" s="237" t="s">
        <v>151</v>
      </c>
      <c r="D7" s="238">
        <v>1450</v>
      </c>
      <c r="E7" s="565">
        <v>1</v>
      </c>
      <c r="F7" s="566">
        <f t="shared" ref="F7:F12" si="0">$D7*E7</f>
        <v>1450</v>
      </c>
      <c r="G7" s="567"/>
      <c r="H7" s="562"/>
      <c r="I7" s="568"/>
      <c r="K7" s="569"/>
    </row>
    <row r="8" spans="1:12" s="563" customFormat="1" ht="16.899999999999999" customHeight="1" outlineLevel="1" x14ac:dyDescent="0.2">
      <c r="A8" s="237">
        <f>A7+1</f>
        <v>2</v>
      </c>
      <c r="B8" s="564" t="s">
        <v>628</v>
      </c>
      <c r="C8" s="237" t="s">
        <v>317</v>
      </c>
      <c r="D8" s="238">
        <v>20</v>
      </c>
      <c r="E8" s="565">
        <f>(Aço_Infraestrutura!M29+Supraestrutura!M69+Supraestrutura!N69+Supraestrutura!O69)/8*4</f>
        <v>1005.74325</v>
      </c>
      <c r="F8" s="566">
        <f t="shared" si="0"/>
        <v>20114.864999999998</v>
      </c>
      <c r="G8" s="567" t="s">
        <v>318</v>
      </c>
      <c r="H8" s="562"/>
      <c r="I8" s="570"/>
      <c r="K8" s="569"/>
      <c r="L8" s="571"/>
    </row>
    <row r="9" spans="1:12" s="563" customFormat="1" ht="16.899999999999999" customHeight="1" outlineLevel="1" x14ac:dyDescent="0.2">
      <c r="A9" s="237">
        <f>A8+1</f>
        <v>3</v>
      </c>
      <c r="B9" s="564" t="s">
        <v>629</v>
      </c>
      <c r="C9" s="237" t="s">
        <v>317</v>
      </c>
      <c r="D9" s="238">
        <v>20</v>
      </c>
      <c r="E9" s="565">
        <v>0</v>
      </c>
      <c r="F9" s="566">
        <f t="shared" si="0"/>
        <v>0</v>
      </c>
      <c r="G9" s="567" t="s">
        <v>318</v>
      </c>
      <c r="H9" s="562"/>
      <c r="I9" s="570"/>
      <c r="K9" s="569"/>
      <c r="L9" s="571"/>
    </row>
    <row r="10" spans="1:12" s="563" customFormat="1" ht="16.899999999999999" customHeight="1" outlineLevel="1" x14ac:dyDescent="0.2">
      <c r="A10" s="237">
        <f>A9+1</f>
        <v>4</v>
      </c>
      <c r="B10" s="564" t="s">
        <v>630</v>
      </c>
      <c r="C10" s="237" t="s">
        <v>317</v>
      </c>
      <c r="D10" s="238">
        <v>20</v>
      </c>
      <c r="E10" s="565">
        <v>0</v>
      </c>
      <c r="F10" s="566">
        <f t="shared" si="0"/>
        <v>0</v>
      </c>
      <c r="G10" s="567" t="s">
        <v>318</v>
      </c>
      <c r="H10" s="562"/>
      <c r="I10" s="570"/>
      <c r="K10" s="569"/>
      <c r="L10" s="571"/>
    </row>
    <row r="11" spans="1:12" s="563" customFormat="1" ht="56.25" outlineLevel="1" x14ac:dyDescent="0.2">
      <c r="A11" s="237">
        <f>A8+1</f>
        <v>3</v>
      </c>
      <c r="B11" s="564" t="s">
        <v>319</v>
      </c>
      <c r="C11" s="237" t="s">
        <v>320</v>
      </c>
      <c r="D11" s="238">
        <v>12.5</v>
      </c>
      <c r="E11" s="565">
        <f>E8+E9+E10</f>
        <v>1005.74325</v>
      </c>
      <c r="F11" s="566">
        <f t="shared" si="0"/>
        <v>12571.790625</v>
      </c>
      <c r="G11" s="567"/>
      <c r="H11" s="562"/>
      <c r="I11" s="568"/>
      <c r="K11" s="569"/>
    </row>
    <row r="12" spans="1:12" s="563" customFormat="1" ht="75" outlineLevel="1" x14ac:dyDescent="0.2">
      <c r="A12" s="237">
        <f>A11+1</f>
        <v>4</v>
      </c>
      <c r="B12" s="564" t="s">
        <v>321</v>
      </c>
      <c r="C12" s="239" t="s">
        <v>322</v>
      </c>
      <c r="D12" s="240">
        <v>480</v>
      </c>
      <c r="E12" s="565">
        <v>9</v>
      </c>
      <c r="F12" s="572">
        <f t="shared" si="0"/>
        <v>4320</v>
      </c>
      <c r="G12" s="573" t="s">
        <v>323</v>
      </c>
      <c r="H12" s="562"/>
      <c r="I12" s="568"/>
      <c r="K12" s="569"/>
    </row>
    <row r="13" spans="1:12" s="563" customFormat="1" ht="16.899999999999999" customHeight="1" x14ac:dyDescent="0.2">
      <c r="A13" s="241"/>
      <c r="B13" s="241"/>
      <c r="C13" s="1089" t="s">
        <v>324</v>
      </c>
      <c r="D13" s="1090"/>
      <c r="E13" s="574"/>
      <c r="F13" s="575">
        <f>F6</f>
        <v>38456.655624999999</v>
      </c>
      <c r="G13" s="111"/>
      <c r="H13" s="562"/>
      <c r="I13" s="568"/>
      <c r="K13" s="569"/>
    </row>
  </sheetData>
  <sheetProtection selectLockedCells="1"/>
  <mergeCells count="3">
    <mergeCell ref="A1:B3"/>
    <mergeCell ref="A4:G4"/>
    <mergeCell ref="C13:D13"/>
  </mergeCells>
  <conditionalFormatting sqref="D7:D12">
    <cfRule type="cellIs" dxfId="15294" priority="10" operator="equal">
      <formula>#REF!</formula>
    </cfRule>
  </conditionalFormatting>
  <printOptions horizontalCentered="1"/>
  <pageMargins left="0.31496062992125984" right="0.11811023622047245" top="0.39370078740157483" bottom="0.19685039370078741" header="0.11811023622047245" footer="0"/>
  <pageSetup paperSize="8" scale="44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23">
    <tabColor theme="0" tint="-0.34998626667073579"/>
    <pageSetUpPr fitToPage="1"/>
  </sheetPr>
  <dimension ref="A1:S127"/>
  <sheetViews>
    <sheetView showGridLines="0" view="pageBreakPreview" zoomScale="80" zoomScaleNormal="90" zoomScaleSheetLayoutView="80" workbookViewId="0">
      <pane ySplit="7" topLeftCell="A8" activePane="bottomLeft" state="frozen"/>
      <selection activeCell="D35" sqref="D35"/>
      <selection pane="bottomLeft" activeCell="I27" sqref="G27:I27"/>
    </sheetView>
  </sheetViews>
  <sheetFormatPr defaultRowHeight="11.25" x14ac:dyDescent="0.2"/>
  <cols>
    <col min="1" max="1" width="31.85546875" style="4" customWidth="1"/>
    <col min="2" max="2" width="15.28515625" style="4" bestFit="1" customWidth="1"/>
    <col min="3" max="3" width="7.5703125" style="4" bestFit="1" customWidth="1"/>
    <col min="4" max="4" width="10.5703125" style="4" customWidth="1"/>
    <col min="5" max="5" width="10.140625" style="4" customWidth="1"/>
    <col min="6" max="6" width="25" style="4" bestFit="1" customWidth="1"/>
    <col min="7" max="7" width="9" style="4" customWidth="1"/>
    <col min="8" max="8" width="10.42578125" style="4" customWidth="1"/>
    <col min="9" max="9" width="11" style="4" customWidth="1"/>
    <col min="10" max="10" width="10" style="4" customWidth="1"/>
    <col min="11" max="11" width="9" style="4" bestFit="1" customWidth="1"/>
    <col min="12" max="12" width="10.7109375" style="4" customWidth="1"/>
    <col min="13" max="14" width="16.42578125" style="11" customWidth="1"/>
    <col min="15" max="15" width="12.140625" style="11" customWidth="1"/>
    <col min="16" max="16" width="13.140625" style="4" customWidth="1"/>
    <col min="17" max="17" width="12.85546875" style="4" customWidth="1"/>
    <col min="18" max="258" width="9.140625" style="4"/>
    <col min="259" max="260" width="11" style="4" customWidth="1"/>
    <col min="261" max="261" width="17.85546875" style="4" customWidth="1"/>
    <col min="262" max="262" width="7.140625" style="4" customWidth="1"/>
    <col min="263" max="264" width="9.140625" style="4"/>
    <col min="265" max="266" width="6.7109375" style="4" customWidth="1"/>
    <col min="267" max="268" width="8.42578125" style="4" customWidth="1"/>
    <col min="269" max="269" width="10" style="4" customWidth="1"/>
    <col min="270" max="270" width="8.42578125" style="4" customWidth="1"/>
    <col min="271" max="271" width="10.7109375" style="4" customWidth="1"/>
    <col min="272" max="272" width="9.7109375" style="4" customWidth="1"/>
    <col min="273" max="514" width="9.140625" style="4"/>
    <col min="515" max="516" width="11" style="4" customWidth="1"/>
    <col min="517" max="517" width="17.85546875" style="4" customWidth="1"/>
    <col min="518" max="518" width="7.140625" style="4" customWidth="1"/>
    <col min="519" max="520" width="9.140625" style="4"/>
    <col min="521" max="522" width="6.7109375" style="4" customWidth="1"/>
    <col min="523" max="524" width="8.42578125" style="4" customWidth="1"/>
    <col min="525" max="525" width="10" style="4" customWidth="1"/>
    <col min="526" max="526" width="8.42578125" style="4" customWidth="1"/>
    <col min="527" max="527" width="10.7109375" style="4" customWidth="1"/>
    <col min="528" max="528" width="9.7109375" style="4" customWidth="1"/>
    <col min="529" max="770" width="9.140625" style="4"/>
    <col min="771" max="772" width="11" style="4" customWidth="1"/>
    <col min="773" max="773" width="17.85546875" style="4" customWidth="1"/>
    <col min="774" max="774" width="7.140625" style="4" customWidth="1"/>
    <col min="775" max="776" width="9.140625" style="4"/>
    <col min="777" max="778" width="6.7109375" style="4" customWidth="1"/>
    <col min="779" max="780" width="8.42578125" style="4" customWidth="1"/>
    <col min="781" max="781" width="10" style="4" customWidth="1"/>
    <col min="782" max="782" width="8.42578125" style="4" customWidth="1"/>
    <col min="783" max="783" width="10.7109375" style="4" customWidth="1"/>
    <col min="784" max="784" width="9.7109375" style="4" customWidth="1"/>
    <col min="785" max="1026" width="9.140625" style="4"/>
    <col min="1027" max="1028" width="11" style="4" customWidth="1"/>
    <col min="1029" max="1029" width="17.85546875" style="4" customWidth="1"/>
    <col min="1030" max="1030" width="7.140625" style="4" customWidth="1"/>
    <col min="1031" max="1032" width="9.140625" style="4"/>
    <col min="1033" max="1034" width="6.7109375" style="4" customWidth="1"/>
    <col min="1035" max="1036" width="8.42578125" style="4" customWidth="1"/>
    <col min="1037" max="1037" width="10" style="4" customWidth="1"/>
    <col min="1038" max="1038" width="8.42578125" style="4" customWidth="1"/>
    <col min="1039" max="1039" width="10.7109375" style="4" customWidth="1"/>
    <col min="1040" max="1040" width="9.7109375" style="4" customWidth="1"/>
    <col min="1041" max="1282" width="9.140625" style="4"/>
    <col min="1283" max="1284" width="11" style="4" customWidth="1"/>
    <col min="1285" max="1285" width="17.85546875" style="4" customWidth="1"/>
    <col min="1286" max="1286" width="7.140625" style="4" customWidth="1"/>
    <col min="1287" max="1288" width="9.140625" style="4"/>
    <col min="1289" max="1290" width="6.7109375" style="4" customWidth="1"/>
    <col min="1291" max="1292" width="8.42578125" style="4" customWidth="1"/>
    <col min="1293" max="1293" width="10" style="4" customWidth="1"/>
    <col min="1294" max="1294" width="8.42578125" style="4" customWidth="1"/>
    <col min="1295" max="1295" width="10.7109375" style="4" customWidth="1"/>
    <col min="1296" max="1296" width="9.7109375" style="4" customWidth="1"/>
    <col min="1297" max="1538" width="9.140625" style="4"/>
    <col min="1539" max="1540" width="11" style="4" customWidth="1"/>
    <col min="1541" max="1541" width="17.85546875" style="4" customWidth="1"/>
    <col min="1542" max="1542" width="7.140625" style="4" customWidth="1"/>
    <col min="1543" max="1544" width="9.140625" style="4"/>
    <col min="1545" max="1546" width="6.7109375" style="4" customWidth="1"/>
    <col min="1547" max="1548" width="8.42578125" style="4" customWidth="1"/>
    <col min="1549" max="1549" width="10" style="4" customWidth="1"/>
    <col min="1550" max="1550" width="8.42578125" style="4" customWidth="1"/>
    <col min="1551" max="1551" width="10.7109375" style="4" customWidth="1"/>
    <col min="1552" max="1552" width="9.7109375" style="4" customWidth="1"/>
    <col min="1553" max="1794" width="9.140625" style="4"/>
    <col min="1795" max="1796" width="11" style="4" customWidth="1"/>
    <col min="1797" max="1797" width="17.85546875" style="4" customWidth="1"/>
    <col min="1798" max="1798" width="7.140625" style="4" customWidth="1"/>
    <col min="1799" max="1800" width="9.140625" style="4"/>
    <col min="1801" max="1802" width="6.7109375" style="4" customWidth="1"/>
    <col min="1803" max="1804" width="8.42578125" style="4" customWidth="1"/>
    <col min="1805" max="1805" width="10" style="4" customWidth="1"/>
    <col min="1806" max="1806" width="8.42578125" style="4" customWidth="1"/>
    <col min="1807" max="1807" width="10.7109375" style="4" customWidth="1"/>
    <col min="1808" max="1808" width="9.7109375" style="4" customWidth="1"/>
    <col min="1809" max="2050" width="9.140625" style="4"/>
    <col min="2051" max="2052" width="11" style="4" customWidth="1"/>
    <col min="2053" max="2053" width="17.85546875" style="4" customWidth="1"/>
    <col min="2054" max="2054" width="7.140625" style="4" customWidth="1"/>
    <col min="2055" max="2056" width="9.140625" style="4"/>
    <col min="2057" max="2058" width="6.7109375" style="4" customWidth="1"/>
    <col min="2059" max="2060" width="8.42578125" style="4" customWidth="1"/>
    <col min="2061" max="2061" width="10" style="4" customWidth="1"/>
    <col min="2062" max="2062" width="8.42578125" style="4" customWidth="1"/>
    <col min="2063" max="2063" width="10.7109375" style="4" customWidth="1"/>
    <col min="2064" max="2064" width="9.7109375" style="4" customWidth="1"/>
    <col min="2065" max="2306" width="9.140625" style="4"/>
    <col min="2307" max="2308" width="11" style="4" customWidth="1"/>
    <col min="2309" max="2309" width="17.85546875" style="4" customWidth="1"/>
    <col min="2310" max="2310" width="7.140625" style="4" customWidth="1"/>
    <col min="2311" max="2312" width="9.140625" style="4"/>
    <col min="2313" max="2314" width="6.7109375" style="4" customWidth="1"/>
    <col min="2315" max="2316" width="8.42578125" style="4" customWidth="1"/>
    <col min="2317" max="2317" width="10" style="4" customWidth="1"/>
    <col min="2318" max="2318" width="8.42578125" style="4" customWidth="1"/>
    <col min="2319" max="2319" width="10.7109375" style="4" customWidth="1"/>
    <col min="2320" max="2320" width="9.7109375" style="4" customWidth="1"/>
    <col min="2321" max="2562" width="9.140625" style="4"/>
    <col min="2563" max="2564" width="11" style="4" customWidth="1"/>
    <col min="2565" max="2565" width="17.85546875" style="4" customWidth="1"/>
    <col min="2566" max="2566" width="7.140625" style="4" customWidth="1"/>
    <col min="2567" max="2568" width="9.140625" style="4"/>
    <col min="2569" max="2570" width="6.7109375" style="4" customWidth="1"/>
    <col min="2571" max="2572" width="8.42578125" style="4" customWidth="1"/>
    <col min="2573" max="2573" width="10" style="4" customWidth="1"/>
    <col min="2574" max="2574" width="8.42578125" style="4" customWidth="1"/>
    <col min="2575" max="2575" width="10.7109375" style="4" customWidth="1"/>
    <col min="2576" max="2576" width="9.7109375" style="4" customWidth="1"/>
    <col min="2577" max="2818" width="9.140625" style="4"/>
    <col min="2819" max="2820" width="11" style="4" customWidth="1"/>
    <col min="2821" max="2821" width="17.85546875" style="4" customWidth="1"/>
    <col min="2822" max="2822" width="7.140625" style="4" customWidth="1"/>
    <col min="2823" max="2824" width="9.140625" style="4"/>
    <col min="2825" max="2826" width="6.7109375" style="4" customWidth="1"/>
    <col min="2827" max="2828" width="8.42578125" style="4" customWidth="1"/>
    <col min="2829" max="2829" width="10" style="4" customWidth="1"/>
    <col min="2830" max="2830" width="8.42578125" style="4" customWidth="1"/>
    <col min="2831" max="2831" width="10.7109375" style="4" customWidth="1"/>
    <col min="2832" max="2832" width="9.7109375" style="4" customWidth="1"/>
    <col min="2833" max="3074" width="9.140625" style="4"/>
    <col min="3075" max="3076" width="11" style="4" customWidth="1"/>
    <col min="3077" max="3077" width="17.85546875" style="4" customWidth="1"/>
    <col min="3078" max="3078" width="7.140625" style="4" customWidth="1"/>
    <col min="3079" max="3080" width="9.140625" style="4"/>
    <col min="3081" max="3082" width="6.7109375" style="4" customWidth="1"/>
    <col min="3083" max="3084" width="8.42578125" style="4" customWidth="1"/>
    <col min="3085" max="3085" width="10" style="4" customWidth="1"/>
    <col min="3086" max="3086" width="8.42578125" style="4" customWidth="1"/>
    <col min="3087" max="3087" width="10.7109375" style="4" customWidth="1"/>
    <col min="3088" max="3088" width="9.7109375" style="4" customWidth="1"/>
    <col min="3089" max="3330" width="9.140625" style="4"/>
    <col min="3331" max="3332" width="11" style="4" customWidth="1"/>
    <col min="3333" max="3333" width="17.85546875" style="4" customWidth="1"/>
    <col min="3334" max="3334" width="7.140625" style="4" customWidth="1"/>
    <col min="3335" max="3336" width="9.140625" style="4"/>
    <col min="3337" max="3338" width="6.7109375" style="4" customWidth="1"/>
    <col min="3339" max="3340" width="8.42578125" style="4" customWidth="1"/>
    <col min="3341" max="3341" width="10" style="4" customWidth="1"/>
    <col min="3342" max="3342" width="8.42578125" style="4" customWidth="1"/>
    <col min="3343" max="3343" width="10.7109375" style="4" customWidth="1"/>
    <col min="3344" max="3344" width="9.7109375" style="4" customWidth="1"/>
    <col min="3345" max="3586" width="9.140625" style="4"/>
    <col min="3587" max="3588" width="11" style="4" customWidth="1"/>
    <col min="3589" max="3589" width="17.85546875" style="4" customWidth="1"/>
    <col min="3590" max="3590" width="7.140625" style="4" customWidth="1"/>
    <col min="3591" max="3592" width="9.140625" style="4"/>
    <col min="3593" max="3594" width="6.7109375" style="4" customWidth="1"/>
    <col min="3595" max="3596" width="8.42578125" style="4" customWidth="1"/>
    <col min="3597" max="3597" width="10" style="4" customWidth="1"/>
    <col min="3598" max="3598" width="8.42578125" style="4" customWidth="1"/>
    <col min="3599" max="3599" width="10.7109375" style="4" customWidth="1"/>
    <col min="3600" max="3600" width="9.7109375" style="4" customWidth="1"/>
    <col min="3601" max="3842" width="9.140625" style="4"/>
    <col min="3843" max="3844" width="11" style="4" customWidth="1"/>
    <col min="3845" max="3845" width="17.85546875" style="4" customWidth="1"/>
    <col min="3846" max="3846" width="7.140625" style="4" customWidth="1"/>
    <col min="3847" max="3848" width="9.140625" style="4"/>
    <col min="3849" max="3850" width="6.7109375" style="4" customWidth="1"/>
    <col min="3851" max="3852" width="8.42578125" style="4" customWidth="1"/>
    <col min="3853" max="3853" width="10" style="4" customWidth="1"/>
    <col min="3854" max="3854" width="8.42578125" style="4" customWidth="1"/>
    <col min="3855" max="3855" width="10.7109375" style="4" customWidth="1"/>
    <col min="3856" max="3856" width="9.7109375" style="4" customWidth="1"/>
    <col min="3857" max="4098" width="9.140625" style="4"/>
    <col min="4099" max="4100" width="11" style="4" customWidth="1"/>
    <col min="4101" max="4101" width="17.85546875" style="4" customWidth="1"/>
    <col min="4102" max="4102" width="7.140625" style="4" customWidth="1"/>
    <col min="4103" max="4104" width="9.140625" style="4"/>
    <col min="4105" max="4106" width="6.7109375" style="4" customWidth="1"/>
    <col min="4107" max="4108" width="8.42578125" style="4" customWidth="1"/>
    <col min="4109" max="4109" width="10" style="4" customWidth="1"/>
    <col min="4110" max="4110" width="8.42578125" style="4" customWidth="1"/>
    <col min="4111" max="4111" width="10.7109375" style="4" customWidth="1"/>
    <col min="4112" max="4112" width="9.7109375" style="4" customWidth="1"/>
    <col min="4113" max="4354" width="9.140625" style="4"/>
    <col min="4355" max="4356" width="11" style="4" customWidth="1"/>
    <col min="4357" max="4357" width="17.85546875" style="4" customWidth="1"/>
    <col min="4358" max="4358" width="7.140625" style="4" customWidth="1"/>
    <col min="4359" max="4360" width="9.140625" style="4"/>
    <col min="4361" max="4362" width="6.7109375" style="4" customWidth="1"/>
    <col min="4363" max="4364" width="8.42578125" style="4" customWidth="1"/>
    <col min="4365" max="4365" width="10" style="4" customWidth="1"/>
    <col min="4366" max="4366" width="8.42578125" style="4" customWidth="1"/>
    <col min="4367" max="4367" width="10.7109375" style="4" customWidth="1"/>
    <col min="4368" max="4368" width="9.7109375" style="4" customWidth="1"/>
    <col min="4369" max="4610" width="9.140625" style="4"/>
    <col min="4611" max="4612" width="11" style="4" customWidth="1"/>
    <col min="4613" max="4613" width="17.85546875" style="4" customWidth="1"/>
    <col min="4614" max="4614" width="7.140625" style="4" customWidth="1"/>
    <col min="4615" max="4616" width="9.140625" style="4"/>
    <col min="4617" max="4618" width="6.7109375" style="4" customWidth="1"/>
    <col min="4619" max="4620" width="8.42578125" style="4" customWidth="1"/>
    <col min="4621" max="4621" width="10" style="4" customWidth="1"/>
    <col min="4622" max="4622" width="8.42578125" style="4" customWidth="1"/>
    <col min="4623" max="4623" width="10.7109375" style="4" customWidth="1"/>
    <col min="4624" max="4624" width="9.7109375" style="4" customWidth="1"/>
    <col min="4625" max="4866" width="9.140625" style="4"/>
    <col min="4867" max="4868" width="11" style="4" customWidth="1"/>
    <col min="4869" max="4869" width="17.85546875" style="4" customWidth="1"/>
    <col min="4870" max="4870" width="7.140625" style="4" customWidth="1"/>
    <col min="4871" max="4872" width="9.140625" style="4"/>
    <col min="4873" max="4874" width="6.7109375" style="4" customWidth="1"/>
    <col min="4875" max="4876" width="8.42578125" style="4" customWidth="1"/>
    <col min="4877" max="4877" width="10" style="4" customWidth="1"/>
    <col min="4878" max="4878" width="8.42578125" style="4" customWidth="1"/>
    <col min="4879" max="4879" width="10.7109375" style="4" customWidth="1"/>
    <col min="4880" max="4880" width="9.7109375" style="4" customWidth="1"/>
    <col min="4881" max="5122" width="9.140625" style="4"/>
    <col min="5123" max="5124" width="11" style="4" customWidth="1"/>
    <col min="5125" max="5125" width="17.85546875" style="4" customWidth="1"/>
    <col min="5126" max="5126" width="7.140625" style="4" customWidth="1"/>
    <col min="5127" max="5128" width="9.140625" style="4"/>
    <col min="5129" max="5130" width="6.7109375" style="4" customWidth="1"/>
    <col min="5131" max="5132" width="8.42578125" style="4" customWidth="1"/>
    <col min="5133" max="5133" width="10" style="4" customWidth="1"/>
    <col min="5134" max="5134" width="8.42578125" style="4" customWidth="1"/>
    <col min="5135" max="5135" width="10.7109375" style="4" customWidth="1"/>
    <col min="5136" max="5136" width="9.7109375" style="4" customWidth="1"/>
    <col min="5137" max="5378" width="9.140625" style="4"/>
    <col min="5379" max="5380" width="11" style="4" customWidth="1"/>
    <col min="5381" max="5381" width="17.85546875" style="4" customWidth="1"/>
    <col min="5382" max="5382" width="7.140625" style="4" customWidth="1"/>
    <col min="5383" max="5384" width="9.140625" style="4"/>
    <col min="5385" max="5386" width="6.7109375" style="4" customWidth="1"/>
    <col min="5387" max="5388" width="8.42578125" style="4" customWidth="1"/>
    <col min="5389" max="5389" width="10" style="4" customWidth="1"/>
    <col min="5390" max="5390" width="8.42578125" style="4" customWidth="1"/>
    <col min="5391" max="5391" width="10.7109375" style="4" customWidth="1"/>
    <col min="5392" max="5392" width="9.7109375" style="4" customWidth="1"/>
    <col min="5393" max="5634" width="9.140625" style="4"/>
    <col min="5635" max="5636" width="11" style="4" customWidth="1"/>
    <col min="5637" max="5637" width="17.85546875" style="4" customWidth="1"/>
    <col min="5638" max="5638" width="7.140625" style="4" customWidth="1"/>
    <col min="5639" max="5640" width="9.140625" style="4"/>
    <col min="5641" max="5642" width="6.7109375" style="4" customWidth="1"/>
    <col min="5643" max="5644" width="8.42578125" style="4" customWidth="1"/>
    <col min="5645" max="5645" width="10" style="4" customWidth="1"/>
    <col min="5646" max="5646" width="8.42578125" style="4" customWidth="1"/>
    <col min="5647" max="5647" width="10.7109375" style="4" customWidth="1"/>
    <col min="5648" max="5648" width="9.7109375" style="4" customWidth="1"/>
    <col min="5649" max="5890" width="9.140625" style="4"/>
    <col min="5891" max="5892" width="11" style="4" customWidth="1"/>
    <col min="5893" max="5893" width="17.85546875" style="4" customWidth="1"/>
    <col min="5894" max="5894" width="7.140625" style="4" customWidth="1"/>
    <col min="5895" max="5896" width="9.140625" style="4"/>
    <col min="5897" max="5898" width="6.7109375" style="4" customWidth="1"/>
    <col min="5899" max="5900" width="8.42578125" style="4" customWidth="1"/>
    <col min="5901" max="5901" width="10" style="4" customWidth="1"/>
    <col min="5902" max="5902" width="8.42578125" style="4" customWidth="1"/>
    <col min="5903" max="5903" width="10.7109375" style="4" customWidth="1"/>
    <col min="5904" max="5904" width="9.7109375" style="4" customWidth="1"/>
    <col min="5905" max="6146" width="9.140625" style="4"/>
    <col min="6147" max="6148" width="11" style="4" customWidth="1"/>
    <col min="6149" max="6149" width="17.85546875" style="4" customWidth="1"/>
    <col min="6150" max="6150" width="7.140625" style="4" customWidth="1"/>
    <col min="6151" max="6152" width="9.140625" style="4"/>
    <col min="6153" max="6154" width="6.7109375" style="4" customWidth="1"/>
    <col min="6155" max="6156" width="8.42578125" style="4" customWidth="1"/>
    <col min="6157" max="6157" width="10" style="4" customWidth="1"/>
    <col min="6158" max="6158" width="8.42578125" style="4" customWidth="1"/>
    <col min="6159" max="6159" width="10.7109375" style="4" customWidth="1"/>
    <col min="6160" max="6160" width="9.7109375" style="4" customWidth="1"/>
    <col min="6161" max="6402" width="9.140625" style="4"/>
    <col min="6403" max="6404" width="11" style="4" customWidth="1"/>
    <col min="6405" max="6405" width="17.85546875" style="4" customWidth="1"/>
    <col min="6406" max="6406" width="7.140625" style="4" customWidth="1"/>
    <col min="6407" max="6408" width="9.140625" style="4"/>
    <col min="6409" max="6410" width="6.7109375" style="4" customWidth="1"/>
    <col min="6411" max="6412" width="8.42578125" style="4" customWidth="1"/>
    <col min="6413" max="6413" width="10" style="4" customWidth="1"/>
    <col min="6414" max="6414" width="8.42578125" style="4" customWidth="1"/>
    <col min="6415" max="6415" width="10.7109375" style="4" customWidth="1"/>
    <col min="6416" max="6416" width="9.7109375" style="4" customWidth="1"/>
    <col min="6417" max="6658" width="9.140625" style="4"/>
    <col min="6659" max="6660" width="11" style="4" customWidth="1"/>
    <col min="6661" max="6661" width="17.85546875" style="4" customWidth="1"/>
    <col min="6662" max="6662" width="7.140625" style="4" customWidth="1"/>
    <col min="6663" max="6664" width="9.140625" style="4"/>
    <col min="6665" max="6666" width="6.7109375" style="4" customWidth="1"/>
    <col min="6667" max="6668" width="8.42578125" style="4" customWidth="1"/>
    <col min="6669" max="6669" width="10" style="4" customWidth="1"/>
    <col min="6670" max="6670" width="8.42578125" style="4" customWidth="1"/>
    <col min="6671" max="6671" width="10.7109375" style="4" customWidth="1"/>
    <col min="6672" max="6672" width="9.7109375" style="4" customWidth="1"/>
    <col min="6673" max="6914" width="9.140625" style="4"/>
    <col min="6915" max="6916" width="11" style="4" customWidth="1"/>
    <col min="6917" max="6917" width="17.85546875" style="4" customWidth="1"/>
    <col min="6918" max="6918" width="7.140625" style="4" customWidth="1"/>
    <col min="6919" max="6920" width="9.140625" style="4"/>
    <col min="6921" max="6922" width="6.7109375" style="4" customWidth="1"/>
    <col min="6923" max="6924" width="8.42578125" style="4" customWidth="1"/>
    <col min="6925" max="6925" width="10" style="4" customWidth="1"/>
    <col min="6926" max="6926" width="8.42578125" style="4" customWidth="1"/>
    <col min="6927" max="6927" width="10.7109375" style="4" customWidth="1"/>
    <col min="6928" max="6928" width="9.7109375" style="4" customWidth="1"/>
    <col min="6929" max="7170" width="9.140625" style="4"/>
    <col min="7171" max="7172" width="11" style="4" customWidth="1"/>
    <col min="7173" max="7173" width="17.85546875" style="4" customWidth="1"/>
    <col min="7174" max="7174" width="7.140625" style="4" customWidth="1"/>
    <col min="7175" max="7176" width="9.140625" style="4"/>
    <col min="7177" max="7178" width="6.7109375" style="4" customWidth="1"/>
    <col min="7179" max="7180" width="8.42578125" style="4" customWidth="1"/>
    <col min="7181" max="7181" width="10" style="4" customWidth="1"/>
    <col min="7182" max="7182" width="8.42578125" style="4" customWidth="1"/>
    <col min="7183" max="7183" width="10.7109375" style="4" customWidth="1"/>
    <col min="7184" max="7184" width="9.7109375" style="4" customWidth="1"/>
    <col min="7185" max="7426" width="9.140625" style="4"/>
    <col min="7427" max="7428" width="11" style="4" customWidth="1"/>
    <col min="7429" max="7429" width="17.85546875" style="4" customWidth="1"/>
    <col min="7430" max="7430" width="7.140625" style="4" customWidth="1"/>
    <col min="7431" max="7432" width="9.140625" style="4"/>
    <col min="7433" max="7434" width="6.7109375" style="4" customWidth="1"/>
    <col min="7435" max="7436" width="8.42578125" style="4" customWidth="1"/>
    <col min="7437" max="7437" width="10" style="4" customWidth="1"/>
    <col min="7438" max="7438" width="8.42578125" style="4" customWidth="1"/>
    <col min="7439" max="7439" width="10.7109375" style="4" customWidth="1"/>
    <col min="7440" max="7440" width="9.7109375" style="4" customWidth="1"/>
    <col min="7441" max="7682" width="9.140625" style="4"/>
    <col min="7683" max="7684" width="11" style="4" customWidth="1"/>
    <col min="7685" max="7685" width="17.85546875" style="4" customWidth="1"/>
    <col min="7686" max="7686" width="7.140625" style="4" customWidth="1"/>
    <col min="7687" max="7688" width="9.140625" style="4"/>
    <col min="7689" max="7690" width="6.7109375" style="4" customWidth="1"/>
    <col min="7691" max="7692" width="8.42578125" style="4" customWidth="1"/>
    <col min="7693" max="7693" width="10" style="4" customWidth="1"/>
    <col min="7694" max="7694" width="8.42578125" style="4" customWidth="1"/>
    <col min="7695" max="7695" width="10.7109375" style="4" customWidth="1"/>
    <col min="7696" max="7696" width="9.7109375" style="4" customWidth="1"/>
    <col min="7697" max="7938" width="9.140625" style="4"/>
    <col min="7939" max="7940" width="11" style="4" customWidth="1"/>
    <col min="7941" max="7941" width="17.85546875" style="4" customWidth="1"/>
    <col min="7942" max="7942" width="7.140625" style="4" customWidth="1"/>
    <col min="7943" max="7944" width="9.140625" style="4"/>
    <col min="7945" max="7946" width="6.7109375" style="4" customWidth="1"/>
    <col min="7947" max="7948" width="8.42578125" style="4" customWidth="1"/>
    <col min="7949" max="7949" width="10" style="4" customWidth="1"/>
    <col min="7950" max="7950" width="8.42578125" style="4" customWidth="1"/>
    <col min="7951" max="7951" width="10.7109375" style="4" customWidth="1"/>
    <col min="7952" max="7952" width="9.7109375" style="4" customWidth="1"/>
    <col min="7953" max="8194" width="9.140625" style="4"/>
    <col min="8195" max="8196" width="11" style="4" customWidth="1"/>
    <col min="8197" max="8197" width="17.85546875" style="4" customWidth="1"/>
    <col min="8198" max="8198" width="7.140625" style="4" customWidth="1"/>
    <col min="8199" max="8200" width="9.140625" style="4"/>
    <col min="8201" max="8202" width="6.7109375" style="4" customWidth="1"/>
    <col min="8203" max="8204" width="8.42578125" style="4" customWidth="1"/>
    <col min="8205" max="8205" width="10" style="4" customWidth="1"/>
    <col min="8206" max="8206" width="8.42578125" style="4" customWidth="1"/>
    <col min="8207" max="8207" width="10.7109375" style="4" customWidth="1"/>
    <col min="8208" max="8208" width="9.7109375" style="4" customWidth="1"/>
    <col min="8209" max="8450" width="9.140625" style="4"/>
    <col min="8451" max="8452" width="11" style="4" customWidth="1"/>
    <col min="8453" max="8453" width="17.85546875" style="4" customWidth="1"/>
    <col min="8454" max="8454" width="7.140625" style="4" customWidth="1"/>
    <col min="8455" max="8456" width="9.140625" style="4"/>
    <col min="8457" max="8458" width="6.7109375" style="4" customWidth="1"/>
    <col min="8459" max="8460" width="8.42578125" style="4" customWidth="1"/>
    <col min="8461" max="8461" width="10" style="4" customWidth="1"/>
    <col min="8462" max="8462" width="8.42578125" style="4" customWidth="1"/>
    <col min="8463" max="8463" width="10.7109375" style="4" customWidth="1"/>
    <col min="8464" max="8464" width="9.7109375" style="4" customWidth="1"/>
    <col min="8465" max="8706" width="9.140625" style="4"/>
    <col min="8707" max="8708" width="11" style="4" customWidth="1"/>
    <col min="8709" max="8709" width="17.85546875" style="4" customWidth="1"/>
    <col min="8710" max="8710" width="7.140625" style="4" customWidth="1"/>
    <col min="8711" max="8712" width="9.140625" style="4"/>
    <col min="8713" max="8714" width="6.7109375" style="4" customWidth="1"/>
    <col min="8715" max="8716" width="8.42578125" style="4" customWidth="1"/>
    <col min="8717" max="8717" width="10" style="4" customWidth="1"/>
    <col min="8718" max="8718" width="8.42578125" style="4" customWidth="1"/>
    <col min="8719" max="8719" width="10.7109375" style="4" customWidth="1"/>
    <col min="8720" max="8720" width="9.7109375" style="4" customWidth="1"/>
    <col min="8721" max="8962" width="9.140625" style="4"/>
    <col min="8963" max="8964" width="11" style="4" customWidth="1"/>
    <col min="8965" max="8965" width="17.85546875" style="4" customWidth="1"/>
    <col min="8966" max="8966" width="7.140625" style="4" customWidth="1"/>
    <col min="8967" max="8968" width="9.140625" style="4"/>
    <col min="8969" max="8970" width="6.7109375" style="4" customWidth="1"/>
    <col min="8971" max="8972" width="8.42578125" style="4" customWidth="1"/>
    <col min="8973" max="8973" width="10" style="4" customWidth="1"/>
    <col min="8974" max="8974" width="8.42578125" style="4" customWidth="1"/>
    <col min="8975" max="8975" width="10.7109375" style="4" customWidth="1"/>
    <col min="8976" max="8976" width="9.7109375" style="4" customWidth="1"/>
    <col min="8977" max="9218" width="9.140625" style="4"/>
    <col min="9219" max="9220" width="11" style="4" customWidth="1"/>
    <col min="9221" max="9221" width="17.85546875" style="4" customWidth="1"/>
    <col min="9222" max="9222" width="7.140625" style="4" customWidth="1"/>
    <col min="9223" max="9224" width="9.140625" style="4"/>
    <col min="9225" max="9226" width="6.7109375" style="4" customWidth="1"/>
    <col min="9227" max="9228" width="8.42578125" style="4" customWidth="1"/>
    <col min="9229" max="9229" width="10" style="4" customWidth="1"/>
    <col min="9230" max="9230" width="8.42578125" style="4" customWidth="1"/>
    <col min="9231" max="9231" width="10.7109375" style="4" customWidth="1"/>
    <col min="9232" max="9232" width="9.7109375" style="4" customWidth="1"/>
    <col min="9233" max="9474" width="9.140625" style="4"/>
    <col min="9475" max="9476" width="11" style="4" customWidth="1"/>
    <col min="9477" max="9477" width="17.85546875" style="4" customWidth="1"/>
    <col min="9478" max="9478" width="7.140625" style="4" customWidth="1"/>
    <col min="9479" max="9480" width="9.140625" style="4"/>
    <col min="9481" max="9482" width="6.7109375" style="4" customWidth="1"/>
    <col min="9483" max="9484" width="8.42578125" style="4" customWidth="1"/>
    <col min="9485" max="9485" width="10" style="4" customWidth="1"/>
    <col min="9486" max="9486" width="8.42578125" style="4" customWidth="1"/>
    <col min="9487" max="9487" width="10.7109375" style="4" customWidth="1"/>
    <col min="9488" max="9488" width="9.7109375" style="4" customWidth="1"/>
    <col min="9489" max="9730" width="9.140625" style="4"/>
    <col min="9731" max="9732" width="11" style="4" customWidth="1"/>
    <col min="9733" max="9733" width="17.85546875" style="4" customWidth="1"/>
    <col min="9734" max="9734" width="7.140625" style="4" customWidth="1"/>
    <col min="9735" max="9736" width="9.140625" style="4"/>
    <col min="9737" max="9738" width="6.7109375" style="4" customWidth="1"/>
    <col min="9739" max="9740" width="8.42578125" style="4" customWidth="1"/>
    <col min="9741" max="9741" width="10" style="4" customWidth="1"/>
    <col min="9742" max="9742" width="8.42578125" style="4" customWidth="1"/>
    <col min="9743" max="9743" width="10.7109375" style="4" customWidth="1"/>
    <col min="9744" max="9744" width="9.7109375" style="4" customWidth="1"/>
    <col min="9745" max="9986" width="9.140625" style="4"/>
    <col min="9987" max="9988" width="11" style="4" customWidth="1"/>
    <col min="9989" max="9989" width="17.85546875" style="4" customWidth="1"/>
    <col min="9990" max="9990" width="7.140625" style="4" customWidth="1"/>
    <col min="9991" max="9992" width="9.140625" style="4"/>
    <col min="9993" max="9994" width="6.7109375" style="4" customWidth="1"/>
    <col min="9995" max="9996" width="8.42578125" style="4" customWidth="1"/>
    <col min="9997" max="9997" width="10" style="4" customWidth="1"/>
    <col min="9998" max="9998" width="8.42578125" style="4" customWidth="1"/>
    <col min="9999" max="9999" width="10.7109375" style="4" customWidth="1"/>
    <col min="10000" max="10000" width="9.7109375" style="4" customWidth="1"/>
    <col min="10001" max="10242" width="9.140625" style="4"/>
    <col min="10243" max="10244" width="11" style="4" customWidth="1"/>
    <col min="10245" max="10245" width="17.85546875" style="4" customWidth="1"/>
    <col min="10246" max="10246" width="7.140625" style="4" customWidth="1"/>
    <col min="10247" max="10248" width="9.140625" style="4"/>
    <col min="10249" max="10250" width="6.7109375" style="4" customWidth="1"/>
    <col min="10251" max="10252" width="8.42578125" style="4" customWidth="1"/>
    <col min="10253" max="10253" width="10" style="4" customWidth="1"/>
    <col min="10254" max="10254" width="8.42578125" style="4" customWidth="1"/>
    <col min="10255" max="10255" width="10.7109375" style="4" customWidth="1"/>
    <col min="10256" max="10256" width="9.7109375" style="4" customWidth="1"/>
    <col min="10257" max="10498" width="9.140625" style="4"/>
    <col min="10499" max="10500" width="11" style="4" customWidth="1"/>
    <col min="10501" max="10501" width="17.85546875" style="4" customWidth="1"/>
    <col min="10502" max="10502" width="7.140625" style="4" customWidth="1"/>
    <col min="10503" max="10504" width="9.140625" style="4"/>
    <col min="10505" max="10506" width="6.7109375" style="4" customWidth="1"/>
    <col min="10507" max="10508" width="8.42578125" style="4" customWidth="1"/>
    <col min="10509" max="10509" width="10" style="4" customWidth="1"/>
    <col min="10510" max="10510" width="8.42578125" style="4" customWidth="1"/>
    <col min="10511" max="10511" width="10.7109375" style="4" customWidth="1"/>
    <col min="10512" max="10512" width="9.7109375" style="4" customWidth="1"/>
    <col min="10513" max="10754" width="9.140625" style="4"/>
    <col min="10755" max="10756" width="11" style="4" customWidth="1"/>
    <col min="10757" max="10757" width="17.85546875" style="4" customWidth="1"/>
    <col min="10758" max="10758" width="7.140625" style="4" customWidth="1"/>
    <col min="10759" max="10760" width="9.140625" style="4"/>
    <col min="10761" max="10762" width="6.7109375" style="4" customWidth="1"/>
    <col min="10763" max="10764" width="8.42578125" style="4" customWidth="1"/>
    <col min="10765" max="10765" width="10" style="4" customWidth="1"/>
    <col min="10766" max="10766" width="8.42578125" style="4" customWidth="1"/>
    <col min="10767" max="10767" width="10.7109375" style="4" customWidth="1"/>
    <col min="10768" max="10768" width="9.7109375" style="4" customWidth="1"/>
    <col min="10769" max="11010" width="9.140625" style="4"/>
    <col min="11011" max="11012" width="11" style="4" customWidth="1"/>
    <col min="11013" max="11013" width="17.85546875" style="4" customWidth="1"/>
    <col min="11014" max="11014" width="7.140625" style="4" customWidth="1"/>
    <col min="11015" max="11016" width="9.140625" style="4"/>
    <col min="11017" max="11018" width="6.7109375" style="4" customWidth="1"/>
    <col min="11019" max="11020" width="8.42578125" style="4" customWidth="1"/>
    <col min="11021" max="11021" width="10" style="4" customWidth="1"/>
    <col min="11022" max="11022" width="8.42578125" style="4" customWidth="1"/>
    <col min="11023" max="11023" width="10.7109375" style="4" customWidth="1"/>
    <col min="11024" max="11024" width="9.7109375" style="4" customWidth="1"/>
    <col min="11025" max="11266" width="9.140625" style="4"/>
    <col min="11267" max="11268" width="11" style="4" customWidth="1"/>
    <col min="11269" max="11269" width="17.85546875" style="4" customWidth="1"/>
    <col min="11270" max="11270" width="7.140625" style="4" customWidth="1"/>
    <col min="11271" max="11272" width="9.140625" style="4"/>
    <col min="11273" max="11274" width="6.7109375" style="4" customWidth="1"/>
    <col min="11275" max="11276" width="8.42578125" style="4" customWidth="1"/>
    <col min="11277" max="11277" width="10" style="4" customWidth="1"/>
    <col min="11278" max="11278" width="8.42578125" style="4" customWidth="1"/>
    <col min="11279" max="11279" width="10.7109375" style="4" customWidth="1"/>
    <col min="11280" max="11280" width="9.7109375" style="4" customWidth="1"/>
    <col min="11281" max="11522" width="9.140625" style="4"/>
    <col min="11523" max="11524" width="11" style="4" customWidth="1"/>
    <col min="11525" max="11525" width="17.85546875" style="4" customWidth="1"/>
    <col min="11526" max="11526" width="7.140625" style="4" customWidth="1"/>
    <col min="11527" max="11528" width="9.140625" style="4"/>
    <col min="11529" max="11530" width="6.7109375" style="4" customWidth="1"/>
    <col min="11531" max="11532" width="8.42578125" style="4" customWidth="1"/>
    <col min="11533" max="11533" width="10" style="4" customWidth="1"/>
    <col min="11534" max="11534" width="8.42578125" style="4" customWidth="1"/>
    <col min="11535" max="11535" width="10.7109375" style="4" customWidth="1"/>
    <col min="11536" max="11536" width="9.7109375" style="4" customWidth="1"/>
    <col min="11537" max="11778" width="9.140625" style="4"/>
    <col min="11779" max="11780" width="11" style="4" customWidth="1"/>
    <col min="11781" max="11781" width="17.85546875" style="4" customWidth="1"/>
    <col min="11782" max="11782" width="7.140625" style="4" customWidth="1"/>
    <col min="11783" max="11784" width="9.140625" style="4"/>
    <col min="11785" max="11786" width="6.7109375" style="4" customWidth="1"/>
    <col min="11787" max="11788" width="8.42578125" style="4" customWidth="1"/>
    <col min="11789" max="11789" width="10" style="4" customWidth="1"/>
    <col min="11790" max="11790" width="8.42578125" style="4" customWidth="1"/>
    <col min="11791" max="11791" width="10.7109375" style="4" customWidth="1"/>
    <col min="11792" max="11792" width="9.7109375" style="4" customWidth="1"/>
    <col min="11793" max="12034" width="9.140625" style="4"/>
    <col min="12035" max="12036" width="11" style="4" customWidth="1"/>
    <col min="12037" max="12037" width="17.85546875" style="4" customWidth="1"/>
    <col min="12038" max="12038" width="7.140625" style="4" customWidth="1"/>
    <col min="12039" max="12040" width="9.140625" style="4"/>
    <col min="12041" max="12042" width="6.7109375" style="4" customWidth="1"/>
    <col min="12043" max="12044" width="8.42578125" style="4" customWidth="1"/>
    <col min="12045" max="12045" width="10" style="4" customWidth="1"/>
    <col min="12046" max="12046" width="8.42578125" style="4" customWidth="1"/>
    <col min="12047" max="12047" width="10.7109375" style="4" customWidth="1"/>
    <col min="12048" max="12048" width="9.7109375" style="4" customWidth="1"/>
    <col min="12049" max="12290" width="9.140625" style="4"/>
    <col min="12291" max="12292" width="11" style="4" customWidth="1"/>
    <col min="12293" max="12293" width="17.85546875" style="4" customWidth="1"/>
    <col min="12294" max="12294" width="7.140625" style="4" customWidth="1"/>
    <col min="12295" max="12296" width="9.140625" style="4"/>
    <col min="12297" max="12298" width="6.7109375" style="4" customWidth="1"/>
    <col min="12299" max="12300" width="8.42578125" style="4" customWidth="1"/>
    <col min="12301" max="12301" width="10" style="4" customWidth="1"/>
    <col min="12302" max="12302" width="8.42578125" style="4" customWidth="1"/>
    <col min="12303" max="12303" width="10.7109375" style="4" customWidth="1"/>
    <col min="12304" max="12304" width="9.7109375" style="4" customWidth="1"/>
    <col min="12305" max="12546" width="9.140625" style="4"/>
    <col min="12547" max="12548" width="11" style="4" customWidth="1"/>
    <col min="12549" max="12549" width="17.85546875" style="4" customWidth="1"/>
    <col min="12550" max="12550" width="7.140625" style="4" customWidth="1"/>
    <col min="12551" max="12552" width="9.140625" style="4"/>
    <col min="12553" max="12554" width="6.7109375" style="4" customWidth="1"/>
    <col min="12555" max="12556" width="8.42578125" style="4" customWidth="1"/>
    <col min="12557" max="12557" width="10" style="4" customWidth="1"/>
    <col min="12558" max="12558" width="8.42578125" style="4" customWidth="1"/>
    <col min="12559" max="12559" width="10.7109375" style="4" customWidth="1"/>
    <col min="12560" max="12560" width="9.7109375" style="4" customWidth="1"/>
    <col min="12561" max="12802" width="9.140625" style="4"/>
    <col min="12803" max="12804" width="11" style="4" customWidth="1"/>
    <col min="12805" max="12805" width="17.85546875" style="4" customWidth="1"/>
    <col min="12806" max="12806" width="7.140625" style="4" customWidth="1"/>
    <col min="12807" max="12808" width="9.140625" style="4"/>
    <col min="12809" max="12810" width="6.7109375" style="4" customWidth="1"/>
    <col min="12811" max="12812" width="8.42578125" style="4" customWidth="1"/>
    <col min="12813" max="12813" width="10" style="4" customWidth="1"/>
    <col min="12814" max="12814" width="8.42578125" style="4" customWidth="1"/>
    <col min="12815" max="12815" width="10.7109375" style="4" customWidth="1"/>
    <col min="12816" max="12816" width="9.7109375" style="4" customWidth="1"/>
    <col min="12817" max="13058" width="9.140625" style="4"/>
    <col min="13059" max="13060" width="11" style="4" customWidth="1"/>
    <col min="13061" max="13061" width="17.85546875" style="4" customWidth="1"/>
    <col min="13062" max="13062" width="7.140625" style="4" customWidth="1"/>
    <col min="13063" max="13064" width="9.140625" style="4"/>
    <col min="13065" max="13066" width="6.7109375" style="4" customWidth="1"/>
    <col min="13067" max="13068" width="8.42578125" style="4" customWidth="1"/>
    <col min="13069" max="13069" width="10" style="4" customWidth="1"/>
    <col min="13070" max="13070" width="8.42578125" style="4" customWidth="1"/>
    <col min="13071" max="13071" width="10.7109375" style="4" customWidth="1"/>
    <col min="13072" max="13072" width="9.7109375" style="4" customWidth="1"/>
    <col min="13073" max="13314" width="9.140625" style="4"/>
    <col min="13315" max="13316" width="11" style="4" customWidth="1"/>
    <col min="13317" max="13317" width="17.85546875" style="4" customWidth="1"/>
    <col min="13318" max="13318" width="7.140625" style="4" customWidth="1"/>
    <col min="13319" max="13320" width="9.140625" style="4"/>
    <col min="13321" max="13322" width="6.7109375" style="4" customWidth="1"/>
    <col min="13323" max="13324" width="8.42578125" style="4" customWidth="1"/>
    <col min="13325" max="13325" width="10" style="4" customWidth="1"/>
    <col min="13326" max="13326" width="8.42578125" style="4" customWidth="1"/>
    <col min="13327" max="13327" width="10.7109375" style="4" customWidth="1"/>
    <col min="13328" max="13328" width="9.7109375" style="4" customWidth="1"/>
    <col min="13329" max="13570" width="9.140625" style="4"/>
    <col min="13571" max="13572" width="11" style="4" customWidth="1"/>
    <col min="13573" max="13573" width="17.85546875" style="4" customWidth="1"/>
    <col min="13574" max="13574" width="7.140625" style="4" customWidth="1"/>
    <col min="13575" max="13576" width="9.140625" style="4"/>
    <col min="13577" max="13578" width="6.7109375" style="4" customWidth="1"/>
    <col min="13579" max="13580" width="8.42578125" style="4" customWidth="1"/>
    <col min="13581" max="13581" width="10" style="4" customWidth="1"/>
    <col min="13582" max="13582" width="8.42578125" style="4" customWidth="1"/>
    <col min="13583" max="13583" width="10.7109375" style="4" customWidth="1"/>
    <col min="13584" max="13584" width="9.7109375" style="4" customWidth="1"/>
    <col min="13585" max="13826" width="9.140625" style="4"/>
    <col min="13827" max="13828" width="11" style="4" customWidth="1"/>
    <col min="13829" max="13829" width="17.85546875" style="4" customWidth="1"/>
    <col min="13830" max="13830" width="7.140625" style="4" customWidth="1"/>
    <col min="13831" max="13832" width="9.140625" style="4"/>
    <col min="13833" max="13834" width="6.7109375" style="4" customWidth="1"/>
    <col min="13835" max="13836" width="8.42578125" style="4" customWidth="1"/>
    <col min="13837" max="13837" width="10" style="4" customWidth="1"/>
    <col min="13838" max="13838" width="8.42578125" style="4" customWidth="1"/>
    <col min="13839" max="13839" width="10.7109375" style="4" customWidth="1"/>
    <col min="13840" max="13840" width="9.7109375" style="4" customWidth="1"/>
    <col min="13841" max="14082" width="9.140625" style="4"/>
    <col min="14083" max="14084" width="11" style="4" customWidth="1"/>
    <col min="14085" max="14085" width="17.85546875" style="4" customWidth="1"/>
    <col min="14086" max="14086" width="7.140625" style="4" customWidth="1"/>
    <col min="14087" max="14088" width="9.140625" style="4"/>
    <col min="14089" max="14090" width="6.7109375" style="4" customWidth="1"/>
    <col min="14091" max="14092" width="8.42578125" style="4" customWidth="1"/>
    <col min="14093" max="14093" width="10" style="4" customWidth="1"/>
    <col min="14094" max="14094" width="8.42578125" style="4" customWidth="1"/>
    <col min="14095" max="14095" width="10.7109375" style="4" customWidth="1"/>
    <col min="14096" max="14096" width="9.7109375" style="4" customWidth="1"/>
    <col min="14097" max="14338" width="9.140625" style="4"/>
    <col min="14339" max="14340" width="11" style="4" customWidth="1"/>
    <col min="14341" max="14341" width="17.85546875" style="4" customWidth="1"/>
    <col min="14342" max="14342" width="7.140625" style="4" customWidth="1"/>
    <col min="14343" max="14344" width="9.140625" style="4"/>
    <col min="14345" max="14346" width="6.7109375" style="4" customWidth="1"/>
    <col min="14347" max="14348" width="8.42578125" style="4" customWidth="1"/>
    <col min="14349" max="14349" width="10" style="4" customWidth="1"/>
    <col min="14350" max="14350" width="8.42578125" style="4" customWidth="1"/>
    <col min="14351" max="14351" width="10.7109375" style="4" customWidth="1"/>
    <col min="14352" max="14352" width="9.7109375" style="4" customWidth="1"/>
    <col min="14353" max="14594" width="9.140625" style="4"/>
    <col min="14595" max="14596" width="11" style="4" customWidth="1"/>
    <col min="14597" max="14597" width="17.85546875" style="4" customWidth="1"/>
    <col min="14598" max="14598" width="7.140625" style="4" customWidth="1"/>
    <col min="14599" max="14600" width="9.140625" style="4"/>
    <col min="14601" max="14602" width="6.7109375" style="4" customWidth="1"/>
    <col min="14603" max="14604" width="8.42578125" style="4" customWidth="1"/>
    <col min="14605" max="14605" width="10" style="4" customWidth="1"/>
    <col min="14606" max="14606" width="8.42578125" style="4" customWidth="1"/>
    <col min="14607" max="14607" width="10.7109375" style="4" customWidth="1"/>
    <col min="14608" max="14608" width="9.7109375" style="4" customWidth="1"/>
    <col min="14609" max="14850" width="9.140625" style="4"/>
    <col min="14851" max="14852" width="11" style="4" customWidth="1"/>
    <col min="14853" max="14853" width="17.85546875" style="4" customWidth="1"/>
    <col min="14854" max="14854" width="7.140625" style="4" customWidth="1"/>
    <col min="14855" max="14856" width="9.140625" style="4"/>
    <col min="14857" max="14858" width="6.7109375" style="4" customWidth="1"/>
    <col min="14859" max="14860" width="8.42578125" style="4" customWidth="1"/>
    <col min="14861" max="14861" width="10" style="4" customWidth="1"/>
    <col min="14862" max="14862" width="8.42578125" style="4" customWidth="1"/>
    <col min="14863" max="14863" width="10.7109375" style="4" customWidth="1"/>
    <col min="14864" max="14864" width="9.7109375" style="4" customWidth="1"/>
    <col min="14865" max="15106" width="9.140625" style="4"/>
    <col min="15107" max="15108" width="11" style="4" customWidth="1"/>
    <col min="15109" max="15109" width="17.85546875" style="4" customWidth="1"/>
    <col min="15110" max="15110" width="7.140625" style="4" customWidth="1"/>
    <col min="15111" max="15112" width="9.140625" style="4"/>
    <col min="15113" max="15114" width="6.7109375" style="4" customWidth="1"/>
    <col min="15115" max="15116" width="8.42578125" style="4" customWidth="1"/>
    <col min="15117" max="15117" width="10" style="4" customWidth="1"/>
    <col min="15118" max="15118" width="8.42578125" style="4" customWidth="1"/>
    <col min="15119" max="15119" width="10.7109375" style="4" customWidth="1"/>
    <col min="15120" max="15120" width="9.7109375" style="4" customWidth="1"/>
    <col min="15121" max="15362" width="9.140625" style="4"/>
    <col min="15363" max="15364" width="11" style="4" customWidth="1"/>
    <col min="15365" max="15365" width="17.85546875" style="4" customWidth="1"/>
    <col min="15366" max="15366" width="7.140625" style="4" customWidth="1"/>
    <col min="15367" max="15368" width="9.140625" style="4"/>
    <col min="15369" max="15370" width="6.7109375" style="4" customWidth="1"/>
    <col min="15371" max="15372" width="8.42578125" style="4" customWidth="1"/>
    <col min="15373" max="15373" width="10" style="4" customWidth="1"/>
    <col min="15374" max="15374" width="8.42578125" style="4" customWidth="1"/>
    <col min="15375" max="15375" width="10.7109375" style="4" customWidth="1"/>
    <col min="15376" max="15376" width="9.7109375" style="4" customWidth="1"/>
    <col min="15377" max="15618" width="9.140625" style="4"/>
    <col min="15619" max="15620" width="11" style="4" customWidth="1"/>
    <col min="15621" max="15621" width="17.85546875" style="4" customWidth="1"/>
    <col min="15622" max="15622" width="7.140625" style="4" customWidth="1"/>
    <col min="15623" max="15624" width="9.140625" style="4"/>
    <col min="15625" max="15626" width="6.7109375" style="4" customWidth="1"/>
    <col min="15627" max="15628" width="8.42578125" style="4" customWidth="1"/>
    <col min="15629" max="15629" width="10" style="4" customWidth="1"/>
    <col min="15630" max="15630" width="8.42578125" style="4" customWidth="1"/>
    <col min="15631" max="15631" width="10.7109375" style="4" customWidth="1"/>
    <col min="15632" max="15632" width="9.7109375" style="4" customWidth="1"/>
    <col min="15633" max="15874" width="9.140625" style="4"/>
    <col min="15875" max="15876" width="11" style="4" customWidth="1"/>
    <col min="15877" max="15877" width="17.85546875" style="4" customWidth="1"/>
    <col min="15878" max="15878" width="7.140625" style="4" customWidth="1"/>
    <col min="15879" max="15880" width="9.140625" style="4"/>
    <col min="15881" max="15882" width="6.7109375" style="4" customWidth="1"/>
    <col min="15883" max="15884" width="8.42578125" style="4" customWidth="1"/>
    <col min="15885" max="15885" width="10" style="4" customWidth="1"/>
    <col min="15886" max="15886" width="8.42578125" style="4" customWidth="1"/>
    <col min="15887" max="15887" width="10.7109375" style="4" customWidth="1"/>
    <col min="15888" max="15888" width="9.7109375" style="4" customWidth="1"/>
    <col min="15889" max="16130" width="9.140625" style="4"/>
    <col min="16131" max="16132" width="11" style="4" customWidth="1"/>
    <col min="16133" max="16133" width="17.85546875" style="4" customWidth="1"/>
    <col min="16134" max="16134" width="7.140625" style="4" customWidth="1"/>
    <col min="16135" max="16136" width="9.140625" style="4"/>
    <col min="16137" max="16138" width="6.7109375" style="4" customWidth="1"/>
    <col min="16139" max="16140" width="8.42578125" style="4" customWidth="1"/>
    <col min="16141" max="16141" width="10" style="4" customWidth="1"/>
    <col min="16142" max="16142" width="8.42578125" style="4" customWidth="1"/>
    <col min="16143" max="16143" width="10.7109375" style="4" customWidth="1"/>
    <col min="16144" max="16144" width="9.7109375" style="4" customWidth="1"/>
    <col min="16145" max="16384" width="9.140625" style="4"/>
  </cols>
  <sheetData>
    <row r="1" spans="1:19" s="16" customFormat="1" ht="15" customHeight="1" x14ac:dyDescent="0.2">
      <c r="A1" s="120"/>
      <c r="B1" s="135" t="s">
        <v>124</v>
      </c>
      <c r="C1" s="117" t="str">
        <f>'Obra '!D1</f>
        <v>Porto Cerro</v>
      </c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584"/>
      <c r="O1" s="260"/>
      <c r="P1" s="235"/>
      <c r="Q1" s="20"/>
      <c r="R1" s="20"/>
      <c r="S1" s="20"/>
    </row>
    <row r="2" spans="1:19" s="67" customFormat="1" ht="15" customHeight="1" x14ac:dyDescent="0.2">
      <c r="A2" s="143"/>
      <c r="B2" s="135" t="s">
        <v>100</v>
      </c>
      <c r="C2" s="117" t="str">
        <f>'Obra '!D2</f>
        <v>XPCon Empreendimentos</v>
      </c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6"/>
      <c r="O2" s="261"/>
      <c r="P2" s="262"/>
    </row>
    <row r="3" spans="1:19" s="67" customFormat="1" ht="15" customHeight="1" x14ac:dyDescent="0.2">
      <c r="A3" s="121"/>
      <c r="B3" s="135" t="s">
        <v>101</v>
      </c>
      <c r="C3" s="117" t="str">
        <f>'Obra '!D3</f>
        <v>R01 - 03/09/2025</v>
      </c>
      <c r="D3" s="117"/>
      <c r="E3" s="117"/>
      <c r="F3" s="117"/>
      <c r="G3" s="117"/>
      <c r="H3" s="117"/>
      <c r="I3" s="117"/>
      <c r="J3" s="117"/>
      <c r="K3" s="118"/>
      <c r="L3" s="117"/>
      <c r="M3" s="118"/>
      <c r="N3" s="585"/>
      <c r="O3" s="263"/>
      <c r="P3" s="264"/>
    </row>
    <row r="4" spans="1:19" s="19" customFormat="1" ht="20.45" customHeight="1" x14ac:dyDescent="0.2">
      <c r="A4" s="1047" t="s">
        <v>102</v>
      </c>
      <c r="B4" s="1047"/>
      <c r="C4" s="1047"/>
      <c r="D4" s="1047"/>
      <c r="E4" s="1047"/>
      <c r="F4" s="1047"/>
      <c r="G4" s="1047"/>
      <c r="H4" s="1047"/>
      <c r="I4" s="1047"/>
      <c r="J4" s="1047"/>
      <c r="K4" s="1047"/>
      <c r="L4" s="1094"/>
      <c r="M4" s="1094"/>
      <c r="N4" s="1094"/>
      <c r="O4" s="1094"/>
      <c r="P4" s="1094"/>
    </row>
    <row r="5" spans="1:19" ht="12" customHeight="1" x14ac:dyDescent="0.2">
      <c r="A5" s="1096" t="s">
        <v>6</v>
      </c>
      <c r="B5" s="1099" t="s">
        <v>9</v>
      </c>
      <c r="C5" s="1099" t="s">
        <v>16</v>
      </c>
      <c r="D5" s="1100" t="s">
        <v>19</v>
      </c>
      <c r="E5" s="1101"/>
      <c r="F5" s="1101"/>
      <c r="G5" s="1102"/>
      <c r="H5" s="1103" t="s">
        <v>8</v>
      </c>
      <c r="I5" s="1099" t="s">
        <v>20</v>
      </c>
      <c r="J5" s="1099" t="s">
        <v>66</v>
      </c>
      <c r="K5" s="1095" t="s">
        <v>51</v>
      </c>
      <c r="L5" s="1096"/>
      <c r="M5" s="582" t="s">
        <v>411</v>
      </c>
      <c r="N5" s="583"/>
      <c r="O5" s="583"/>
      <c r="P5" s="93" t="s">
        <v>67</v>
      </c>
    </row>
    <row r="6" spans="1:19" ht="11.25" customHeight="1" x14ac:dyDescent="0.2">
      <c r="A6" s="1096"/>
      <c r="B6" s="1099"/>
      <c r="C6" s="1099"/>
      <c r="D6" s="96" t="s">
        <v>68</v>
      </c>
      <c r="E6" s="96" t="s">
        <v>69</v>
      </c>
      <c r="F6" s="96" t="s">
        <v>70</v>
      </c>
      <c r="G6" s="96" t="s">
        <v>7</v>
      </c>
      <c r="H6" s="1104"/>
      <c r="I6" s="1105"/>
      <c r="J6" s="1105"/>
      <c r="K6" s="1097"/>
      <c r="L6" s="1098"/>
      <c r="M6" s="255"/>
      <c r="N6" s="256"/>
      <c r="O6" s="256"/>
      <c r="P6" s="97" t="s">
        <v>71</v>
      </c>
    </row>
    <row r="7" spans="1:19" ht="12" customHeight="1" x14ac:dyDescent="0.2">
      <c r="A7" s="1096"/>
      <c r="B7" s="1099"/>
      <c r="C7" s="1099"/>
      <c r="D7" s="94" t="s">
        <v>3</v>
      </c>
      <c r="E7" s="94" t="s">
        <v>3</v>
      </c>
      <c r="F7" s="94" t="s">
        <v>3</v>
      </c>
      <c r="G7" s="94" t="s">
        <v>3</v>
      </c>
      <c r="H7" s="95" t="s">
        <v>3</v>
      </c>
      <c r="I7" s="95" t="s">
        <v>4</v>
      </c>
      <c r="J7" s="95" t="s">
        <v>4</v>
      </c>
      <c r="K7" s="98" t="s">
        <v>4</v>
      </c>
      <c r="L7" s="96" t="s">
        <v>9</v>
      </c>
      <c r="M7" s="104">
        <v>6.3</v>
      </c>
      <c r="N7" s="104">
        <v>12.5</v>
      </c>
      <c r="O7" s="104">
        <v>16</v>
      </c>
      <c r="P7" s="259">
        <f>SUM(M9:O12)</f>
        <v>14240.454545454544</v>
      </c>
    </row>
    <row r="8" spans="1:19" s="40" customFormat="1" ht="17.45" customHeight="1" x14ac:dyDescent="0.2">
      <c r="A8" s="109" t="s">
        <v>1248</v>
      </c>
      <c r="B8" s="109"/>
      <c r="C8" s="109"/>
      <c r="D8" s="109"/>
      <c r="E8" s="109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44"/>
    </row>
    <row r="9" spans="1:19" s="40" customFormat="1" ht="24" x14ac:dyDescent="0.2">
      <c r="A9" s="55" t="s">
        <v>104</v>
      </c>
      <c r="B9" s="45" t="s">
        <v>76</v>
      </c>
      <c r="C9" s="46">
        <v>8</v>
      </c>
      <c r="D9" s="47"/>
      <c r="E9" s="249">
        <v>23</v>
      </c>
      <c r="F9" s="48">
        <f>IF(B9="","",VLOOKUP(B9,$F$14:$G$22,2,0))</f>
        <v>0.4</v>
      </c>
      <c r="G9" s="48">
        <f>IF(C9="","",ROUNDUP((E9-D9),1))</f>
        <v>23</v>
      </c>
      <c r="H9" s="48">
        <f>IF(C9="","",C9*G9)</f>
        <v>184</v>
      </c>
      <c r="I9" s="48">
        <f>IF(C9="","",PI()*((F9/2)^2)*H9)</f>
        <v>23.122121930420878</v>
      </c>
      <c r="J9" s="48">
        <f>IF(C9="","",I9*1.3)</f>
        <v>30.058758509547143</v>
      </c>
      <c r="K9" s="49">
        <f>IF(C9="","",I9)</f>
        <v>23.122121930420878</v>
      </c>
      <c r="L9" s="74" t="s">
        <v>53</v>
      </c>
      <c r="M9" s="1106">
        <f>2920.1/1.1</f>
        <v>2654.6363636363635</v>
      </c>
      <c r="N9" s="1106">
        <f>1288.1/1.1</f>
        <v>1170.9999999999998</v>
      </c>
      <c r="O9" s="1106">
        <f>11456.3/1.1</f>
        <v>10414.81818181818</v>
      </c>
      <c r="P9" s="1109">
        <f>P7/K13</f>
        <v>15.925788196992819</v>
      </c>
    </row>
    <row r="10" spans="1:19" s="40" customFormat="1" ht="24" x14ac:dyDescent="0.2">
      <c r="A10" s="55" t="s">
        <v>104</v>
      </c>
      <c r="B10" s="45" t="s">
        <v>77</v>
      </c>
      <c r="C10" s="46">
        <v>16</v>
      </c>
      <c r="D10" s="47"/>
      <c r="E10" s="249">
        <v>23</v>
      </c>
      <c r="F10" s="48">
        <f>IF(B10="","",VLOOKUP(B10,$F$14:$G$22,2,0))</f>
        <v>0.5</v>
      </c>
      <c r="G10" s="48">
        <f>IF(C10="","",ROUNDUP((E10-D10),1))</f>
        <v>23</v>
      </c>
      <c r="H10" s="48">
        <f>IF(C10="","",C10*G10)</f>
        <v>368</v>
      </c>
      <c r="I10" s="48">
        <f>IF(C10="","",PI()*((F10/2)^2)*H10)</f>
        <v>72.256631032565238</v>
      </c>
      <c r="J10" s="48">
        <f>IF(C10="","",I10*1.3)</f>
        <v>93.933620342334819</v>
      </c>
      <c r="K10" s="49">
        <f>IF(C10="","",I10)</f>
        <v>72.256631032565238</v>
      </c>
      <c r="L10" s="74" t="s">
        <v>53</v>
      </c>
      <c r="M10" s="1107"/>
      <c r="N10" s="1107"/>
      <c r="O10" s="1107"/>
      <c r="P10" s="1110"/>
    </row>
    <row r="11" spans="1:19" s="40" customFormat="1" ht="24" x14ac:dyDescent="0.2">
      <c r="A11" s="55" t="s">
        <v>104</v>
      </c>
      <c r="B11" s="45" t="s">
        <v>72</v>
      </c>
      <c r="C11" s="46">
        <v>33</v>
      </c>
      <c r="D11" s="47"/>
      <c r="E11" s="249">
        <v>23</v>
      </c>
      <c r="F11" s="48">
        <f>IF(B11="","",VLOOKUP(B11,$F$14:$G$22,2,0))</f>
        <v>0.6</v>
      </c>
      <c r="G11" s="48">
        <f>IF(C11="","",ROUNDUP((E11-D11),1))</f>
        <v>23</v>
      </c>
      <c r="H11" s="48">
        <f>IF(C11="","",C11*G11)</f>
        <v>759</v>
      </c>
      <c r="I11" s="48">
        <f>IF(C11="","",PI()*((F11/2)^2)*H11)</f>
        <v>214.60219416671879</v>
      </c>
      <c r="J11" s="48">
        <f>IF(C11="","",I11*1.3)</f>
        <v>278.98285241673443</v>
      </c>
      <c r="K11" s="49">
        <f>IF(C11="","",I11)</f>
        <v>214.60219416671879</v>
      </c>
      <c r="L11" s="74" t="s">
        <v>53</v>
      </c>
      <c r="M11" s="1107"/>
      <c r="N11" s="1107"/>
      <c r="O11" s="1107"/>
      <c r="P11" s="1110"/>
    </row>
    <row r="12" spans="1:19" s="40" customFormat="1" ht="24.75" thickBot="1" x14ac:dyDescent="0.25">
      <c r="A12" s="55" t="s">
        <v>104</v>
      </c>
      <c r="B12" s="45" t="s">
        <v>73</v>
      </c>
      <c r="C12" s="46">
        <v>66</v>
      </c>
      <c r="D12" s="47"/>
      <c r="E12" s="249">
        <v>23</v>
      </c>
      <c r="F12" s="48">
        <f>IF(B12="","",VLOOKUP(B12,$F$14:$G$22,2,0))</f>
        <v>0.7</v>
      </c>
      <c r="G12" s="48">
        <f>IF(C12="","",ROUNDUP((E12-D12),1))</f>
        <v>23</v>
      </c>
      <c r="H12" s="48">
        <f>IF(C12="","",C12*G12)</f>
        <v>1518</v>
      </c>
      <c r="I12" s="48">
        <f>IF(C12="","",PI()*((F12/2)^2)*H12)</f>
        <v>584.1948618982899</v>
      </c>
      <c r="J12" s="48">
        <f>IF(C12="","",I12*1.3)</f>
        <v>759.45332046777685</v>
      </c>
      <c r="K12" s="49">
        <f>IF(C12="","",I12)</f>
        <v>584.1948618982899</v>
      </c>
      <c r="L12" s="74" t="s">
        <v>53</v>
      </c>
      <c r="M12" s="1108"/>
      <c r="N12" s="1108"/>
      <c r="O12" s="1108"/>
      <c r="P12" s="1111"/>
    </row>
    <row r="13" spans="1:19" s="40" customFormat="1" ht="15" customHeight="1" thickTop="1" thickBot="1" x14ac:dyDescent="0.25">
      <c r="A13" s="56" t="s">
        <v>14</v>
      </c>
      <c r="B13" s="38" t="s">
        <v>75</v>
      </c>
      <c r="C13" s="57">
        <f>SUM(C8:C12)</f>
        <v>123</v>
      </c>
      <c r="D13" s="57"/>
      <c r="E13" s="58"/>
      <c r="F13" s="59"/>
      <c r="G13" s="58"/>
      <c r="H13" s="60">
        <f>SUM(H8:H12)</f>
        <v>2829</v>
      </c>
      <c r="I13" s="60">
        <f>SUM(I$8:I12)</f>
        <v>894.17580902799477</v>
      </c>
      <c r="J13" s="60">
        <f>SUM(J$8:J12)</f>
        <v>1162.4285517363933</v>
      </c>
      <c r="K13" s="60">
        <f>SUM(K$8:K12)</f>
        <v>894.17580902799477</v>
      </c>
      <c r="L13" s="60"/>
      <c r="M13" s="60">
        <f>SUM(M$8:M12)</f>
        <v>2654.6363636363635</v>
      </c>
      <c r="N13" s="60">
        <f>SUM(N$8:N12)</f>
        <v>1170.9999999999998</v>
      </c>
      <c r="O13" s="60">
        <f>SUM(O$8:O12)</f>
        <v>10414.81818181818</v>
      </c>
      <c r="P13" s="61">
        <f>SUM(P$8:P12)</f>
        <v>15.925788196992819</v>
      </c>
    </row>
    <row r="14" spans="1:19" s="40" customFormat="1" ht="15" customHeight="1" thickTop="1" x14ac:dyDescent="0.2">
      <c r="A14" s="54" t="s">
        <v>59</v>
      </c>
      <c r="C14" s="62"/>
      <c r="F14" s="53" t="s">
        <v>192</v>
      </c>
      <c r="G14" s="75">
        <v>0.35</v>
      </c>
      <c r="H14" s="63">
        <f t="shared" ref="H14:H22" si="0">SUMIF($B$8:$B$12,$F14,$H$8:$H$12)</f>
        <v>0</v>
      </c>
      <c r="I14" s="50"/>
      <c r="J14" s="50"/>
      <c r="K14" s="51">
        <f t="shared" ref="K14:K22" si="1">SUMIF($L$8:$L$12,$L14,$K$8:$K$12)</f>
        <v>0</v>
      </c>
      <c r="L14" s="52" t="s">
        <v>65</v>
      </c>
      <c r="M14" s="258"/>
      <c r="N14" s="258"/>
      <c r="O14" s="258"/>
      <c r="P14" s="50"/>
    </row>
    <row r="15" spans="1:19" s="40" customFormat="1" ht="15" customHeight="1" x14ac:dyDescent="0.2">
      <c r="A15" s="50"/>
      <c r="B15" s="50"/>
      <c r="C15" s="50"/>
      <c r="D15" s="50"/>
      <c r="F15" s="53" t="s">
        <v>76</v>
      </c>
      <c r="G15" s="75">
        <v>0.4</v>
      </c>
      <c r="H15" s="51">
        <f t="shared" si="0"/>
        <v>184</v>
      </c>
      <c r="I15" s="50"/>
      <c r="J15" s="50"/>
      <c r="K15" s="51">
        <f t="shared" si="1"/>
        <v>0</v>
      </c>
      <c r="L15" s="52" t="s">
        <v>64</v>
      </c>
      <c r="M15" s="258"/>
      <c r="N15" s="258"/>
      <c r="O15" s="258"/>
      <c r="P15" s="50"/>
    </row>
    <row r="16" spans="1:19" s="40" customFormat="1" ht="15" customHeight="1" x14ac:dyDescent="0.2">
      <c r="A16" s="50"/>
      <c r="B16" s="50"/>
      <c r="C16" s="50"/>
      <c r="D16" s="50"/>
      <c r="F16" s="53" t="s">
        <v>77</v>
      </c>
      <c r="G16" s="75">
        <v>0.5</v>
      </c>
      <c r="H16" s="51">
        <f t="shared" si="0"/>
        <v>368</v>
      </c>
      <c r="I16" s="50"/>
      <c r="J16" s="50"/>
      <c r="K16" s="51">
        <f t="shared" si="1"/>
        <v>0</v>
      </c>
      <c r="L16" s="52" t="s">
        <v>62</v>
      </c>
      <c r="M16" s="258"/>
      <c r="N16" s="258"/>
      <c r="O16" s="258"/>
      <c r="P16" s="50"/>
    </row>
    <row r="17" spans="1:16" s="40" customFormat="1" ht="15" customHeight="1" x14ac:dyDescent="0.2">
      <c r="A17" s="50"/>
      <c r="B17" s="50"/>
      <c r="C17" s="50"/>
      <c r="D17" s="50"/>
      <c r="F17" s="53" t="s">
        <v>72</v>
      </c>
      <c r="G17" s="75">
        <v>0.6</v>
      </c>
      <c r="H17" s="51">
        <f t="shared" si="0"/>
        <v>759</v>
      </c>
      <c r="I17" s="50"/>
      <c r="J17" s="50"/>
      <c r="K17" s="51">
        <f t="shared" si="1"/>
        <v>0</v>
      </c>
      <c r="L17" s="52" t="s">
        <v>63</v>
      </c>
      <c r="M17" s="258"/>
      <c r="N17" s="258"/>
      <c r="O17" s="258"/>
      <c r="P17" s="50"/>
    </row>
    <row r="18" spans="1:16" s="40" customFormat="1" ht="15" customHeight="1" x14ac:dyDescent="0.2">
      <c r="A18" s="50"/>
      <c r="B18" s="50"/>
      <c r="C18" s="50"/>
      <c r="D18" s="50"/>
      <c r="F18" s="53" t="s">
        <v>73</v>
      </c>
      <c r="G18" s="75">
        <v>0.7</v>
      </c>
      <c r="H18" s="51">
        <f t="shared" si="0"/>
        <v>1518</v>
      </c>
      <c r="I18" s="50"/>
      <c r="J18" s="50"/>
      <c r="K18" s="51">
        <f t="shared" si="1"/>
        <v>894.17580902799477</v>
      </c>
      <c r="L18" s="52" t="s">
        <v>53</v>
      </c>
      <c r="M18" s="258"/>
      <c r="N18" s="258"/>
      <c r="O18" s="258"/>
      <c r="P18" s="50"/>
    </row>
    <row r="19" spans="1:16" s="40" customFormat="1" ht="15" customHeight="1" x14ac:dyDescent="0.2">
      <c r="A19" s="50"/>
      <c r="B19" s="50"/>
      <c r="C19" s="50"/>
      <c r="D19" s="50"/>
      <c r="F19" s="53" t="s">
        <v>74</v>
      </c>
      <c r="G19" s="75">
        <v>0.8</v>
      </c>
      <c r="H19" s="51">
        <f t="shared" si="0"/>
        <v>0</v>
      </c>
      <c r="I19" s="50"/>
      <c r="J19" s="50"/>
      <c r="K19" s="51">
        <f t="shared" si="1"/>
        <v>0</v>
      </c>
      <c r="L19" s="52" t="s">
        <v>81</v>
      </c>
      <c r="M19" s="258"/>
      <c r="N19" s="258"/>
      <c r="O19" s="258"/>
      <c r="P19" s="50"/>
    </row>
    <row r="20" spans="1:16" s="40" customFormat="1" ht="15" customHeight="1" x14ac:dyDescent="0.2">
      <c r="A20" s="50"/>
      <c r="B20" s="50"/>
      <c r="C20" s="50"/>
      <c r="D20" s="50"/>
      <c r="F20" s="53" t="s">
        <v>82</v>
      </c>
      <c r="G20" s="75">
        <v>0.9</v>
      </c>
      <c r="H20" s="51">
        <f t="shared" si="0"/>
        <v>0</v>
      </c>
      <c r="I20" s="50"/>
      <c r="J20" s="50"/>
      <c r="K20" s="51">
        <f t="shared" si="1"/>
        <v>0</v>
      </c>
      <c r="L20" s="52" t="s">
        <v>81</v>
      </c>
      <c r="M20" s="258"/>
      <c r="N20" s="258"/>
      <c r="O20" s="258"/>
      <c r="P20" s="50"/>
    </row>
    <row r="21" spans="1:16" ht="12" x14ac:dyDescent="0.2">
      <c r="F21" s="53" t="s">
        <v>78</v>
      </c>
      <c r="G21" s="75">
        <v>0.7</v>
      </c>
      <c r="H21" s="51">
        <f t="shared" si="0"/>
        <v>0</v>
      </c>
      <c r="I21" s="50"/>
      <c r="K21" s="51">
        <f t="shared" si="1"/>
        <v>0</v>
      </c>
      <c r="L21" s="52" t="s">
        <v>81</v>
      </c>
      <c r="M21" s="258"/>
      <c r="N21" s="258"/>
      <c r="O21" s="258"/>
    </row>
    <row r="22" spans="1:16" ht="12" x14ac:dyDescent="0.2">
      <c r="F22" s="53" t="s">
        <v>50</v>
      </c>
      <c r="G22" s="76"/>
      <c r="H22" s="51">
        <f t="shared" si="0"/>
        <v>0</v>
      </c>
      <c r="I22" s="50"/>
      <c r="K22" s="51">
        <f t="shared" si="1"/>
        <v>0</v>
      </c>
      <c r="L22" s="52" t="s">
        <v>81</v>
      </c>
      <c r="M22" s="258"/>
      <c r="N22" s="258"/>
      <c r="O22" s="258"/>
    </row>
    <row r="103" spans="1:16" ht="17.45" customHeight="1" x14ac:dyDescent="0.2">
      <c r="A103" s="1091" t="s">
        <v>122</v>
      </c>
      <c r="B103" s="1092"/>
      <c r="C103" s="1092"/>
      <c r="D103" s="1092"/>
      <c r="E103" s="1092"/>
      <c r="F103" s="1092"/>
      <c r="G103" s="1092"/>
      <c r="H103" s="1092"/>
      <c r="I103" s="1092"/>
      <c r="J103" s="1092"/>
      <c r="K103" s="1092"/>
      <c r="L103" s="1092"/>
      <c r="M103" s="1092"/>
      <c r="N103" s="1092"/>
      <c r="O103" s="1092"/>
      <c r="P103" s="1093"/>
    </row>
    <row r="104" spans="1:16" x14ac:dyDescent="0.2">
      <c r="A104" s="154" t="s">
        <v>123</v>
      </c>
    </row>
    <row r="122" spans="10:10" x14ac:dyDescent="0.2">
      <c r="J122" s="150"/>
    </row>
    <row r="123" spans="10:10" x14ac:dyDescent="0.2">
      <c r="J123" s="150"/>
    </row>
    <row r="124" spans="10:10" x14ac:dyDescent="0.2">
      <c r="J124" s="150"/>
    </row>
    <row r="125" spans="10:10" x14ac:dyDescent="0.2">
      <c r="J125" s="150"/>
    </row>
    <row r="126" spans="10:10" x14ac:dyDescent="0.2">
      <c r="J126" s="151"/>
    </row>
    <row r="127" spans="10:10" x14ac:dyDescent="0.2">
      <c r="J127" s="152"/>
    </row>
  </sheetData>
  <mergeCells count="14">
    <mergeCell ref="A103:P103"/>
    <mergeCell ref="A4:P4"/>
    <mergeCell ref="K5:L6"/>
    <mergeCell ref="A5:A7"/>
    <mergeCell ref="B5:B7"/>
    <mergeCell ref="C5:C7"/>
    <mergeCell ref="D5:G5"/>
    <mergeCell ref="H5:H6"/>
    <mergeCell ref="I5:I6"/>
    <mergeCell ref="J5:J6"/>
    <mergeCell ref="M9:M12"/>
    <mergeCell ref="N9:N12"/>
    <mergeCell ref="O9:O12"/>
    <mergeCell ref="P9:P12"/>
  </mergeCells>
  <phoneticPr fontId="37" type="noConversion"/>
  <dataValidations disablePrompts="1" count="3">
    <dataValidation type="list" allowBlank="1" showInputMessage="1" showErrorMessage="1" sqref="L8:O8" xr:uid="{00000000-0002-0000-0500-000000000000}">
      <formula1>$L$14:$L$19</formula1>
    </dataValidation>
    <dataValidation type="list" allowBlank="1" showInputMessage="1" showErrorMessage="1" sqref="L9:L12" xr:uid="{00000000-0002-0000-0500-000001000000}">
      <formula1>$L$14:$L$22</formula1>
    </dataValidation>
    <dataValidation type="list" allowBlank="1" showInputMessage="1" showErrorMessage="1" sqref="B9:B12" xr:uid="{00000000-0002-0000-0500-000002000000}">
      <formula1>$F$14:$F$22</formula1>
    </dataValidation>
  </dataValidations>
  <printOptions horizontalCentered="1"/>
  <pageMargins left="0.39370078740157483" right="0" top="0.39370078740157483" bottom="0.39370078740157483" header="0" footer="0.19685039370078741"/>
  <pageSetup paperSize="9" scale="29" orientation="portrait" r:id="rId1"/>
  <headerFooter alignWithMargins="0">
    <oddFooter>&amp;L&amp;F - &amp;A&amp;R&amp;P /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23F28-FBBB-4EE2-9560-4BE401A2AAB0}">
  <sheetPr>
    <tabColor theme="0" tint="-0.34998626667073579"/>
    <pageSetUpPr fitToPage="1"/>
  </sheetPr>
  <dimension ref="A1:AG171"/>
  <sheetViews>
    <sheetView showGridLines="0" view="pageBreakPreview" zoomScale="85" zoomScaleNormal="70" zoomScaleSheetLayoutView="85" workbookViewId="0">
      <pane xSplit="9" ySplit="9" topLeftCell="J10" activePane="bottomRight" state="frozen"/>
      <selection activeCell="C121" sqref="C121"/>
      <selection pane="topRight" activeCell="C121" sqref="C121"/>
      <selection pane="bottomLeft" activeCell="C121" sqref="C121"/>
      <selection pane="bottomRight" activeCell="O16" sqref="O16"/>
    </sheetView>
  </sheetViews>
  <sheetFormatPr defaultRowHeight="11.25" x14ac:dyDescent="0.2"/>
  <cols>
    <col min="1" max="1" width="13.7109375" style="4" customWidth="1"/>
    <col min="2" max="2" width="8" style="4" customWidth="1"/>
    <col min="3" max="3" width="7.28515625" style="4" customWidth="1"/>
    <col min="4" max="4" width="11.42578125" style="4" customWidth="1"/>
    <col min="5" max="5" width="20.7109375" style="4" bestFit="1" customWidth="1"/>
    <col min="6" max="7" width="11.42578125" style="4" customWidth="1"/>
    <col min="8" max="8" width="16.5703125" style="4" bestFit="1" customWidth="1"/>
    <col min="9" max="13" width="11.42578125" style="4" customWidth="1"/>
    <col min="14" max="14" width="9.5703125" style="4" bestFit="1" customWidth="1"/>
    <col min="15" max="15" width="11.42578125" style="4" customWidth="1"/>
    <col min="16" max="16" width="14.7109375" style="4" bestFit="1" customWidth="1"/>
    <col min="17" max="20" width="11.42578125" style="4" customWidth="1"/>
    <col min="21" max="21" width="10.28515625" style="4" customWidth="1"/>
    <col min="22" max="22" width="6.85546875" style="4" bestFit="1" customWidth="1"/>
    <col min="23" max="23" width="6.5703125" style="4" customWidth="1"/>
    <col min="24" max="28" width="9.140625" style="4"/>
    <col min="29" max="29" width="1.5703125" style="4" customWidth="1"/>
    <col min="30" max="254" width="9.140625" style="4"/>
    <col min="255" max="255" width="18.7109375" style="4" customWidth="1"/>
    <col min="256" max="256" width="25.140625" style="4" customWidth="1"/>
    <col min="257" max="259" width="7.5703125" style="4" customWidth="1"/>
    <col min="260" max="262" width="6.7109375" style="4" customWidth="1"/>
    <col min="263" max="266" width="7.5703125" style="4" customWidth="1"/>
    <col min="267" max="267" width="8.140625" style="4" customWidth="1"/>
    <col min="268" max="268" width="8.42578125" style="4" customWidth="1"/>
    <col min="269" max="269" width="9.28515625" style="4" customWidth="1"/>
    <col min="270" max="270" width="8.42578125" style="4" customWidth="1"/>
    <col min="271" max="271" width="11.28515625" style="4" customWidth="1"/>
    <col min="272" max="272" width="9.28515625" style="4" customWidth="1"/>
    <col min="273" max="510" width="9.140625" style="4"/>
    <col min="511" max="511" width="18.7109375" style="4" customWidth="1"/>
    <col min="512" max="512" width="25.140625" style="4" customWidth="1"/>
    <col min="513" max="515" width="7.5703125" style="4" customWidth="1"/>
    <col min="516" max="518" width="6.7109375" style="4" customWidth="1"/>
    <col min="519" max="522" width="7.5703125" style="4" customWidth="1"/>
    <col min="523" max="523" width="8.140625" style="4" customWidth="1"/>
    <col min="524" max="524" width="8.42578125" style="4" customWidth="1"/>
    <col min="525" max="525" width="9.28515625" style="4" customWidth="1"/>
    <col min="526" max="526" width="8.42578125" style="4" customWidth="1"/>
    <col min="527" max="527" width="11.28515625" style="4" customWidth="1"/>
    <col min="528" max="528" width="9.28515625" style="4" customWidth="1"/>
    <col min="529" max="766" width="9.140625" style="4"/>
    <col min="767" max="767" width="18.7109375" style="4" customWidth="1"/>
    <col min="768" max="768" width="25.140625" style="4" customWidth="1"/>
    <col min="769" max="771" width="7.5703125" style="4" customWidth="1"/>
    <col min="772" max="774" width="6.7109375" style="4" customWidth="1"/>
    <col min="775" max="778" width="7.5703125" style="4" customWidth="1"/>
    <col min="779" max="779" width="8.140625" style="4" customWidth="1"/>
    <col min="780" max="780" width="8.42578125" style="4" customWidth="1"/>
    <col min="781" max="781" width="9.28515625" style="4" customWidth="1"/>
    <col min="782" max="782" width="8.42578125" style="4" customWidth="1"/>
    <col min="783" max="783" width="11.28515625" style="4" customWidth="1"/>
    <col min="784" max="784" width="9.28515625" style="4" customWidth="1"/>
    <col min="785" max="1022" width="9.140625" style="4"/>
    <col min="1023" max="1023" width="18.7109375" style="4" customWidth="1"/>
    <col min="1024" max="1024" width="25.140625" style="4" customWidth="1"/>
    <col min="1025" max="1027" width="7.5703125" style="4" customWidth="1"/>
    <col min="1028" max="1030" width="6.7109375" style="4" customWidth="1"/>
    <col min="1031" max="1034" width="7.5703125" style="4" customWidth="1"/>
    <col min="1035" max="1035" width="8.140625" style="4" customWidth="1"/>
    <col min="1036" max="1036" width="8.42578125" style="4" customWidth="1"/>
    <col min="1037" max="1037" width="9.28515625" style="4" customWidth="1"/>
    <col min="1038" max="1038" width="8.42578125" style="4" customWidth="1"/>
    <col min="1039" max="1039" width="11.28515625" style="4" customWidth="1"/>
    <col min="1040" max="1040" width="9.28515625" style="4" customWidth="1"/>
    <col min="1041" max="1278" width="9.140625" style="4"/>
    <col min="1279" max="1279" width="18.7109375" style="4" customWidth="1"/>
    <col min="1280" max="1280" width="25.140625" style="4" customWidth="1"/>
    <col min="1281" max="1283" width="7.5703125" style="4" customWidth="1"/>
    <col min="1284" max="1286" width="6.7109375" style="4" customWidth="1"/>
    <col min="1287" max="1290" width="7.5703125" style="4" customWidth="1"/>
    <col min="1291" max="1291" width="8.140625" style="4" customWidth="1"/>
    <col min="1292" max="1292" width="8.42578125" style="4" customWidth="1"/>
    <col min="1293" max="1293" width="9.28515625" style="4" customWidth="1"/>
    <col min="1294" max="1294" width="8.42578125" style="4" customWidth="1"/>
    <col min="1295" max="1295" width="11.28515625" style="4" customWidth="1"/>
    <col min="1296" max="1296" width="9.28515625" style="4" customWidth="1"/>
    <col min="1297" max="1534" width="9.140625" style="4"/>
    <col min="1535" max="1535" width="18.7109375" style="4" customWidth="1"/>
    <col min="1536" max="1536" width="25.140625" style="4" customWidth="1"/>
    <col min="1537" max="1539" width="7.5703125" style="4" customWidth="1"/>
    <col min="1540" max="1542" width="6.7109375" style="4" customWidth="1"/>
    <col min="1543" max="1546" width="7.5703125" style="4" customWidth="1"/>
    <col min="1547" max="1547" width="8.140625" style="4" customWidth="1"/>
    <col min="1548" max="1548" width="8.42578125" style="4" customWidth="1"/>
    <col min="1549" max="1549" width="9.28515625" style="4" customWidth="1"/>
    <col min="1550" max="1550" width="8.42578125" style="4" customWidth="1"/>
    <col min="1551" max="1551" width="11.28515625" style="4" customWidth="1"/>
    <col min="1552" max="1552" width="9.28515625" style="4" customWidth="1"/>
    <col min="1553" max="1790" width="9.140625" style="4"/>
    <col min="1791" max="1791" width="18.7109375" style="4" customWidth="1"/>
    <col min="1792" max="1792" width="25.140625" style="4" customWidth="1"/>
    <col min="1793" max="1795" width="7.5703125" style="4" customWidth="1"/>
    <col min="1796" max="1798" width="6.7109375" style="4" customWidth="1"/>
    <col min="1799" max="1802" width="7.5703125" style="4" customWidth="1"/>
    <col min="1803" max="1803" width="8.140625" style="4" customWidth="1"/>
    <col min="1804" max="1804" width="8.42578125" style="4" customWidth="1"/>
    <col min="1805" max="1805" width="9.28515625" style="4" customWidth="1"/>
    <col min="1806" max="1806" width="8.42578125" style="4" customWidth="1"/>
    <col min="1807" max="1807" width="11.28515625" style="4" customWidth="1"/>
    <col min="1808" max="1808" width="9.28515625" style="4" customWidth="1"/>
    <col min="1809" max="2046" width="9.140625" style="4"/>
    <col min="2047" max="2047" width="18.7109375" style="4" customWidth="1"/>
    <col min="2048" max="2048" width="25.140625" style="4" customWidth="1"/>
    <col min="2049" max="2051" width="7.5703125" style="4" customWidth="1"/>
    <col min="2052" max="2054" width="6.7109375" style="4" customWidth="1"/>
    <col min="2055" max="2058" width="7.5703125" style="4" customWidth="1"/>
    <col min="2059" max="2059" width="8.140625" style="4" customWidth="1"/>
    <col min="2060" max="2060" width="8.42578125" style="4" customWidth="1"/>
    <col min="2061" max="2061" width="9.28515625" style="4" customWidth="1"/>
    <col min="2062" max="2062" width="8.42578125" style="4" customWidth="1"/>
    <col min="2063" max="2063" width="11.28515625" style="4" customWidth="1"/>
    <col min="2064" max="2064" width="9.28515625" style="4" customWidth="1"/>
    <col min="2065" max="2302" width="9.140625" style="4"/>
    <col min="2303" max="2303" width="18.7109375" style="4" customWidth="1"/>
    <col min="2304" max="2304" width="25.140625" style="4" customWidth="1"/>
    <col min="2305" max="2307" width="7.5703125" style="4" customWidth="1"/>
    <col min="2308" max="2310" width="6.7109375" style="4" customWidth="1"/>
    <col min="2311" max="2314" width="7.5703125" style="4" customWidth="1"/>
    <col min="2315" max="2315" width="8.140625" style="4" customWidth="1"/>
    <col min="2316" max="2316" width="8.42578125" style="4" customWidth="1"/>
    <col min="2317" max="2317" width="9.28515625" style="4" customWidth="1"/>
    <col min="2318" max="2318" width="8.42578125" style="4" customWidth="1"/>
    <col min="2319" max="2319" width="11.28515625" style="4" customWidth="1"/>
    <col min="2320" max="2320" width="9.28515625" style="4" customWidth="1"/>
    <col min="2321" max="2558" width="9.140625" style="4"/>
    <col min="2559" max="2559" width="18.7109375" style="4" customWidth="1"/>
    <col min="2560" max="2560" width="25.140625" style="4" customWidth="1"/>
    <col min="2561" max="2563" width="7.5703125" style="4" customWidth="1"/>
    <col min="2564" max="2566" width="6.7109375" style="4" customWidth="1"/>
    <col min="2567" max="2570" width="7.5703125" style="4" customWidth="1"/>
    <col min="2571" max="2571" width="8.140625" style="4" customWidth="1"/>
    <col min="2572" max="2572" width="8.42578125" style="4" customWidth="1"/>
    <col min="2573" max="2573" width="9.28515625" style="4" customWidth="1"/>
    <col min="2574" max="2574" width="8.42578125" style="4" customWidth="1"/>
    <col min="2575" max="2575" width="11.28515625" style="4" customWidth="1"/>
    <col min="2576" max="2576" width="9.28515625" style="4" customWidth="1"/>
    <col min="2577" max="2814" width="9.140625" style="4"/>
    <col min="2815" max="2815" width="18.7109375" style="4" customWidth="1"/>
    <col min="2816" max="2816" width="25.140625" style="4" customWidth="1"/>
    <col min="2817" max="2819" width="7.5703125" style="4" customWidth="1"/>
    <col min="2820" max="2822" width="6.7109375" style="4" customWidth="1"/>
    <col min="2823" max="2826" width="7.5703125" style="4" customWidth="1"/>
    <col min="2827" max="2827" width="8.140625" style="4" customWidth="1"/>
    <col min="2828" max="2828" width="8.42578125" style="4" customWidth="1"/>
    <col min="2829" max="2829" width="9.28515625" style="4" customWidth="1"/>
    <col min="2830" max="2830" width="8.42578125" style="4" customWidth="1"/>
    <col min="2831" max="2831" width="11.28515625" style="4" customWidth="1"/>
    <col min="2832" max="2832" width="9.28515625" style="4" customWidth="1"/>
    <col min="2833" max="3070" width="9.140625" style="4"/>
    <col min="3071" max="3071" width="18.7109375" style="4" customWidth="1"/>
    <col min="3072" max="3072" width="25.140625" style="4" customWidth="1"/>
    <col min="3073" max="3075" width="7.5703125" style="4" customWidth="1"/>
    <col min="3076" max="3078" width="6.7109375" style="4" customWidth="1"/>
    <col min="3079" max="3082" width="7.5703125" style="4" customWidth="1"/>
    <col min="3083" max="3083" width="8.140625" style="4" customWidth="1"/>
    <col min="3084" max="3084" width="8.42578125" style="4" customWidth="1"/>
    <col min="3085" max="3085" width="9.28515625" style="4" customWidth="1"/>
    <col min="3086" max="3086" width="8.42578125" style="4" customWidth="1"/>
    <col min="3087" max="3087" width="11.28515625" style="4" customWidth="1"/>
    <col min="3088" max="3088" width="9.28515625" style="4" customWidth="1"/>
    <col min="3089" max="3326" width="9.140625" style="4"/>
    <col min="3327" max="3327" width="18.7109375" style="4" customWidth="1"/>
    <col min="3328" max="3328" width="25.140625" style="4" customWidth="1"/>
    <col min="3329" max="3331" width="7.5703125" style="4" customWidth="1"/>
    <col min="3332" max="3334" width="6.7109375" style="4" customWidth="1"/>
    <col min="3335" max="3338" width="7.5703125" style="4" customWidth="1"/>
    <col min="3339" max="3339" width="8.140625" style="4" customWidth="1"/>
    <col min="3340" max="3340" width="8.42578125" style="4" customWidth="1"/>
    <col min="3341" max="3341" width="9.28515625" style="4" customWidth="1"/>
    <col min="3342" max="3342" width="8.42578125" style="4" customWidth="1"/>
    <col min="3343" max="3343" width="11.28515625" style="4" customWidth="1"/>
    <col min="3344" max="3344" width="9.28515625" style="4" customWidth="1"/>
    <col min="3345" max="3582" width="9.140625" style="4"/>
    <col min="3583" max="3583" width="18.7109375" style="4" customWidth="1"/>
    <col min="3584" max="3584" width="25.140625" style="4" customWidth="1"/>
    <col min="3585" max="3587" width="7.5703125" style="4" customWidth="1"/>
    <col min="3588" max="3590" width="6.7109375" style="4" customWidth="1"/>
    <col min="3591" max="3594" width="7.5703125" style="4" customWidth="1"/>
    <col min="3595" max="3595" width="8.140625" style="4" customWidth="1"/>
    <col min="3596" max="3596" width="8.42578125" style="4" customWidth="1"/>
    <col min="3597" max="3597" width="9.28515625" style="4" customWidth="1"/>
    <col min="3598" max="3598" width="8.42578125" style="4" customWidth="1"/>
    <col min="3599" max="3599" width="11.28515625" style="4" customWidth="1"/>
    <col min="3600" max="3600" width="9.28515625" style="4" customWidth="1"/>
    <col min="3601" max="3838" width="9.140625" style="4"/>
    <col min="3839" max="3839" width="18.7109375" style="4" customWidth="1"/>
    <col min="3840" max="3840" width="25.140625" style="4" customWidth="1"/>
    <col min="3841" max="3843" width="7.5703125" style="4" customWidth="1"/>
    <col min="3844" max="3846" width="6.7109375" style="4" customWidth="1"/>
    <col min="3847" max="3850" width="7.5703125" style="4" customWidth="1"/>
    <col min="3851" max="3851" width="8.140625" style="4" customWidth="1"/>
    <col min="3852" max="3852" width="8.42578125" style="4" customWidth="1"/>
    <col min="3853" max="3853" width="9.28515625" style="4" customWidth="1"/>
    <col min="3854" max="3854" width="8.42578125" style="4" customWidth="1"/>
    <col min="3855" max="3855" width="11.28515625" style="4" customWidth="1"/>
    <col min="3856" max="3856" width="9.28515625" style="4" customWidth="1"/>
    <col min="3857" max="4094" width="9.140625" style="4"/>
    <col min="4095" max="4095" width="18.7109375" style="4" customWidth="1"/>
    <col min="4096" max="4096" width="25.140625" style="4" customWidth="1"/>
    <col min="4097" max="4099" width="7.5703125" style="4" customWidth="1"/>
    <col min="4100" max="4102" width="6.7109375" style="4" customWidth="1"/>
    <col min="4103" max="4106" width="7.5703125" style="4" customWidth="1"/>
    <col min="4107" max="4107" width="8.140625" style="4" customWidth="1"/>
    <col min="4108" max="4108" width="8.42578125" style="4" customWidth="1"/>
    <col min="4109" max="4109" width="9.28515625" style="4" customWidth="1"/>
    <col min="4110" max="4110" width="8.42578125" style="4" customWidth="1"/>
    <col min="4111" max="4111" width="11.28515625" style="4" customWidth="1"/>
    <col min="4112" max="4112" width="9.28515625" style="4" customWidth="1"/>
    <col min="4113" max="4350" width="9.140625" style="4"/>
    <col min="4351" max="4351" width="18.7109375" style="4" customWidth="1"/>
    <col min="4352" max="4352" width="25.140625" style="4" customWidth="1"/>
    <col min="4353" max="4355" width="7.5703125" style="4" customWidth="1"/>
    <col min="4356" max="4358" width="6.7109375" style="4" customWidth="1"/>
    <col min="4359" max="4362" width="7.5703125" style="4" customWidth="1"/>
    <col min="4363" max="4363" width="8.140625" style="4" customWidth="1"/>
    <col min="4364" max="4364" width="8.42578125" style="4" customWidth="1"/>
    <col min="4365" max="4365" width="9.28515625" style="4" customWidth="1"/>
    <col min="4366" max="4366" width="8.42578125" style="4" customWidth="1"/>
    <col min="4367" max="4367" width="11.28515625" style="4" customWidth="1"/>
    <col min="4368" max="4368" width="9.28515625" style="4" customWidth="1"/>
    <col min="4369" max="4606" width="9.140625" style="4"/>
    <col min="4607" max="4607" width="18.7109375" style="4" customWidth="1"/>
    <col min="4608" max="4608" width="25.140625" style="4" customWidth="1"/>
    <col min="4609" max="4611" width="7.5703125" style="4" customWidth="1"/>
    <col min="4612" max="4614" width="6.7109375" style="4" customWidth="1"/>
    <col min="4615" max="4618" width="7.5703125" style="4" customWidth="1"/>
    <col min="4619" max="4619" width="8.140625" style="4" customWidth="1"/>
    <col min="4620" max="4620" width="8.42578125" style="4" customWidth="1"/>
    <col min="4621" max="4621" width="9.28515625" style="4" customWidth="1"/>
    <col min="4622" max="4622" width="8.42578125" style="4" customWidth="1"/>
    <col min="4623" max="4623" width="11.28515625" style="4" customWidth="1"/>
    <col min="4624" max="4624" width="9.28515625" style="4" customWidth="1"/>
    <col min="4625" max="4862" width="9.140625" style="4"/>
    <col min="4863" max="4863" width="18.7109375" style="4" customWidth="1"/>
    <col min="4864" max="4864" width="25.140625" style="4" customWidth="1"/>
    <col min="4865" max="4867" width="7.5703125" style="4" customWidth="1"/>
    <col min="4868" max="4870" width="6.7109375" style="4" customWidth="1"/>
    <col min="4871" max="4874" width="7.5703125" style="4" customWidth="1"/>
    <col min="4875" max="4875" width="8.140625" style="4" customWidth="1"/>
    <col min="4876" max="4876" width="8.42578125" style="4" customWidth="1"/>
    <col min="4877" max="4877" width="9.28515625" style="4" customWidth="1"/>
    <col min="4878" max="4878" width="8.42578125" style="4" customWidth="1"/>
    <col min="4879" max="4879" width="11.28515625" style="4" customWidth="1"/>
    <col min="4880" max="4880" width="9.28515625" style="4" customWidth="1"/>
    <col min="4881" max="5118" width="9.140625" style="4"/>
    <col min="5119" max="5119" width="18.7109375" style="4" customWidth="1"/>
    <col min="5120" max="5120" width="25.140625" style="4" customWidth="1"/>
    <col min="5121" max="5123" width="7.5703125" style="4" customWidth="1"/>
    <col min="5124" max="5126" width="6.7109375" style="4" customWidth="1"/>
    <col min="5127" max="5130" width="7.5703125" style="4" customWidth="1"/>
    <col min="5131" max="5131" width="8.140625" style="4" customWidth="1"/>
    <col min="5132" max="5132" width="8.42578125" style="4" customWidth="1"/>
    <col min="5133" max="5133" width="9.28515625" style="4" customWidth="1"/>
    <col min="5134" max="5134" width="8.42578125" style="4" customWidth="1"/>
    <col min="5135" max="5135" width="11.28515625" style="4" customWidth="1"/>
    <col min="5136" max="5136" width="9.28515625" style="4" customWidth="1"/>
    <col min="5137" max="5374" width="9.140625" style="4"/>
    <col min="5375" max="5375" width="18.7109375" style="4" customWidth="1"/>
    <col min="5376" max="5376" width="25.140625" style="4" customWidth="1"/>
    <col min="5377" max="5379" width="7.5703125" style="4" customWidth="1"/>
    <col min="5380" max="5382" width="6.7109375" style="4" customWidth="1"/>
    <col min="5383" max="5386" width="7.5703125" style="4" customWidth="1"/>
    <col min="5387" max="5387" width="8.140625" style="4" customWidth="1"/>
    <col min="5388" max="5388" width="8.42578125" style="4" customWidth="1"/>
    <col min="5389" max="5389" width="9.28515625" style="4" customWidth="1"/>
    <col min="5390" max="5390" width="8.42578125" style="4" customWidth="1"/>
    <col min="5391" max="5391" width="11.28515625" style="4" customWidth="1"/>
    <col min="5392" max="5392" width="9.28515625" style="4" customWidth="1"/>
    <col min="5393" max="5630" width="9.140625" style="4"/>
    <col min="5631" max="5631" width="18.7109375" style="4" customWidth="1"/>
    <col min="5632" max="5632" width="25.140625" style="4" customWidth="1"/>
    <col min="5633" max="5635" width="7.5703125" style="4" customWidth="1"/>
    <col min="5636" max="5638" width="6.7109375" style="4" customWidth="1"/>
    <col min="5639" max="5642" width="7.5703125" style="4" customWidth="1"/>
    <col min="5643" max="5643" width="8.140625" style="4" customWidth="1"/>
    <col min="5644" max="5644" width="8.42578125" style="4" customWidth="1"/>
    <col min="5645" max="5645" width="9.28515625" style="4" customWidth="1"/>
    <col min="5646" max="5646" width="8.42578125" style="4" customWidth="1"/>
    <col min="5647" max="5647" width="11.28515625" style="4" customWidth="1"/>
    <col min="5648" max="5648" width="9.28515625" style="4" customWidth="1"/>
    <col min="5649" max="5886" width="9.140625" style="4"/>
    <col min="5887" max="5887" width="18.7109375" style="4" customWidth="1"/>
    <col min="5888" max="5888" width="25.140625" style="4" customWidth="1"/>
    <col min="5889" max="5891" width="7.5703125" style="4" customWidth="1"/>
    <col min="5892" max="5894" width="6.7109375" style="4" customWidth="1"/>
    <col min="5895" max="5898" width="7.5703125" style="4" customWidth="1"/>
    <col min="5899" max="5899" width="8.140625" style="4" customWidth="1"/>
    <col min="5900" max="5900" width="8.42578125" style="4" customWidth="1"/>
    <col min="5901" max="5901" width="9.28515625" style="4" customWidth="1"/>
    <col min="5902" max="5902" width="8.42578125" style="4" customWidth="1"/>
    <col min="5903" max="5903" width="11.28515625" style="4" customWidth="1"/>
    <col min="5904" max="5904" width="9.28515625" style="4" customWidth="1"/>
    <col min="5905" max="6142" width="9.140625" style="4"/>
    <col min="6143" max="6143" width="18.7109375" style="4" customWidth="1"/>
    <col min="6144" max="6144" width="25.140625" style="4" customWidth="1"/>
    <col min="6145" max="6147" width="7.5703125" style="4" customWidth="1"/>
    <col min="6148" max="6150" width="6.7109375" style="4" customWidth="1"/>
    <col min="6151" max="6154" width="7.5703125" style="4" customWidth="1"/>
    <col min="6155" max="6155" width="8.140625" style="4" customWidth="1"/>
    <col min="6156" max="6156" width="8.42578125" style="4" customWidth="1"/>
    <col min="6157" max="6157" width="9.28515625" style="4" customWidth="1"/>
    <col min="6158" max="6158" width="8.42578125" style="4" customWidth="1"/>
    <col min="6159" max="6159" width="11.28515625" style="4" customWidth="1"/>
    <col min="6160" max="6160" width="9.28515625" style="4" customWidth="1"/>
    <col min="6161" max="6398" width="9.140625" style="4"/>
    <col min="6399" max="6399" width="18.7109375" style="4" customWidth="1"/>
    <col min="6400" max="6400" width="25.140625" style="4" customWidth="1"/>
    <col min="6401" max="6403" width="7.5703125" style="4" customWidth="1"/>
    <col min="6404" max="6406" width="6.7109375" style="4" customWidth="1"/>
    <col min="6407" max="6410" width="7.5703125" style="4" customWidth="1"/>
    <col min="6411" max="6411" width="8.140625" style="4" customWidth="1"/>
    <col min="6412" max="6412" width="8.42578125" style="4" customWidth="1"/>
    <col min="6413" max="6413" width="9.28515625" style="4" customWidth="1"/>
    <col min="6414" max="6414" width="8.42578125" style="4" customWidth="1"/>
    <col min="6415" max="6415" width="11.28515625" style="4" customWidth="1"/>
    <col min="6416" max="6416" width="9.28515625" style="4" customWidth="1"/>
    <col min="6417" max="6654" width="9.140625" style="4"/>
    <col min="6655" max="6655" width="18.7109375" style="4" customWidth="1"/>
    <col min="6656" max="6656" width="25.140625" style="4" customWidth="1"/>
    <col min="6657" max="6659" width="7.5703125" style="4" customWidth="1"/>
    <col min="6660" max="6662" width="6.7109375" style="4" customWidth="1"/>
    <col min="6663" max="6666" width="7.5703125" style="4" customWidth="1"/>
    <col min="6667" max="6667" width="8.140625" style="4" customWidth="1"/>
    <col min="6668" max="6668" width="8.42578125" style="4" customWidth="1"/>
    <col min="6669" max="6669" width="9.28515625" style="4" customWidth="1"/>
    <col min="6670" max="6670" width="8.42578125" style="4" customWidth="1"/>
    <col min="6671" max="6671" width="11.28515625" style="4" customWidth="1"/>
    <col min="6672" max="6672" width="9.28515625" style="4" customWidth="1"/>
    <col min="6673" max="6910" width="9.140625" style="4"/>
    <col min="6911" max="6911" width="18.7109375" style="4" customWidth="1"/>
    <col min="6912" max="6912" width="25.140625" style="4" customWidth="1"/>
    <col min="6913" max="6915" width="7.5703125" style="4" customWidth="1"/>
    <col min="6916" max="6918" width="6.7109375" style="4" customWidth="1"/>
    <col min="6919" max="6922" width="7.5703125" style="4" customWidth="1"/>
    <col min="6923" max="6923" width="8.140625" style="4" customWidth="1"/>
    <col min="6924" max="6924" width="8.42578125" style="4" customWidth="1"/>
    <col min="6925" max="6925" width="9.28515625" style="4" customWidth="1"/>
    <col min="6926" max="6926" width="8.42578125" style="4" customWidth="1"/>
    <col min="6927" max="6927" width="11.28515625" style="4" customWidth="1"/>
    <col min="6928" max="6928" width="9.28515625" style="4" customWidth="1"/>
    <col min="6929" max="7166" width="9.140625" style="4"/>
    <col min="7167" max="7167" width="18.7109375" style="4" customWidth="1"/>
    <col min="7168" max="7168" width="25.140625" style="4" customWidth="1"/>
    <col min="7169" max="7171" width="7.5703125" style="4" customWidth="1"/>
    <col min="7172" max="7174" width="6.7109375" style="4" customWidth="1"/>
    <col min="7175" max="7178" width="7.5703125" style="4" customWidth="1"/>
    <col min="7179" max="7179" width="8.140625" style="4" customWidth="1"/>
    <col min="7180" max="7180" width="8.42578125" style="4" customWidth="1"/>
    <col min="7181" max="7181" width="9.28515625" style="4" customWidth="1"/>
    <col min="7182" max="7182" width="8.42578125" style="4" customWidth="1"/>
    <col min="7183" max="7183" width="11.28515625" style="4" customWidth="1"/>
    <col min="7184" max="7184" width="9.28515625" style="4" customWidth="1"/>
    <col min="7185" max="7422" width="9.140625" style="4"/>
    <col min="7423" max="7423" width="18.7109375" style="4" customWidth="1"/>
    <col min="7424" max="7424" width="25.140625" style="4" customWidth="1"/>
    <col min="7425" max="7427" width="7.5703125" style="4" customWidth="1"/>
    <col min="7428" max="7430" width="6.7109375" style="4" customWidth="1"/>
    <col min="7431" max="7434" width="7.5703125" style="4" customWidth="1"/>
    <col min="7435" max="7435" width="8.140625" style="4" customWidth="1"/>
    <col min="7436" max="7436" width="8.42578125" style="4" customWidth="1"/>
    <col min="7437" max="7437" width="9.28515625" style="4" customWidth="1"/>
    <col min="7438" max="7438" width="8.42578125" style="4" customWidth="1"/>
    <col min="7439" max="7439" width="11.28515625" style="4" customWidth="1"/>
    <col min="7440" max="7440" width="9.28515625" style="4" customWidth="1"/>
    <col min="7441" max="7678" width="9.140625" style="4"/>
    <col min="7679" max="7679" width="18.7109375" style="4" customWidth="1"/>
    <col min="7680" max="7680" width="25.140625" style="4" customWidth="1"/>
    <col min="7681" max="7683" width="7.5703125" style="4" customWidth="1"/>
    <col min="7684" max="7686" width="6.7109375" style="4" customWidth="1"/>
    <col min="7687" max="7690" width="7.5703125" style="4" customWidth="1"/>
    <col min="7691" max="7691" width="8.140625" style="4" customWidth="1"/>
    <col min="7692" max="7692" width="8.42578125" style="4" customWidth="1"/>
    <col min="7693" max="7693" width="9.28515625" style="4" customWidth="1"/>
    <col min="7694" max="7694" width="8.42578125" style="4" customWidth="1"/>
    <col min="7695" max="7695" width="11.28515625" style="4" customWidth="1"/>
    <col min="7696" max="7696" width="9.28515625" style="4" customWidth="1"/>
    <col min="7697" max="7934" width="9.140625" style="4"/>
    <col min="7935" max="7935" width="18.7109375" style="4" customWidth="1"/>
    <col min="7936" max="7936" width="25.140625" style="4" customWidth="1"/>
    <col min="7937" max="7939" width="7.5703125" style="4" customWidth="1"/>
    <col min="7940" max="7942" width="6.7109375" style="4" customWidth="1"/>
    <col min="7943" max="7946" width="7.5703125" style="4" customWidth="1"/>
    <col min="7947" max="7947" width="8.140625" style="4" customWidth="1"/>
    <col min="7948" max="7948" width="8.42578125" style="4" customWidth="1"/>
    <col min="7949" max="7949" width="9.28515625" style="4" customWidth="1"/>
    <col min="7950" max="7950" width="8.42578125" style="4" customWidth="1"/>
    <col min="7951" max="7951" width="11.28515625" style="4" customWidth="1"/>
    <col min="7952" max="7952" width="9.28515625" style="4" customWidth="1"/>
    <col min="7953" max="8190" width="9.140625" style="4"/>
    <col min="8191" max="8191" width="18.7109375" style="4" customWidth="1"/>
    <col min="8192" max="8192" width="25.140625" style="4" customWidth="1"/>
    <col min="8193" max="8195" width="7.5703125" style="4" customWidth="1"/>
    <col min="8196" max="8198" width="6.7109375" style="4" customWidth="1"/>
    <col min="8199" max="8202" width="7.5703125" style="4" customWidth="1"/>
    <col min="8203" max="8203" width="8.140625" style="4" customWidth="1"/>
    <col min="8204" max="8204" width="8.42578125" style="4" customWidth="1"/>
    <col min="8205" max="8205" width="9.28515625" style="4" customWidth="1"/>
    <col min="8206" max="8206" width="8.42578125" style="4" customWidth="1"/>
    <col min="8207" max="8207" width="11.28515625" style="4" customWidth="1"/>
    <col min="8208" max="8208" width="9.28515625" style="4" customWidth="1"/>
    <col min="8209" max="8446" width="9.140625" style="4"/>
    <col min="8447" max="8447" width="18.7109375" style="4" customWidth="1"/>
    <col min="8448" max="8448" width="25.140625" style="4" customWidth="1"/>
    <col min="8449" max="8451" width="7.5703125" style="4" customWidth="1"/>
    <col min="8452" max="8454" width="6.7109375" style="4" customWidth="1"/>
    <col min="8455" max="8458" width="7.5703125" style="4" customWidth="1"/>
    <col min="8459" max="8459" width="8.140625" style="4" customWidth="1"/>
    <col min="8460" max="8460" width="8.42578125" style="4" customWidth="1"/>
    <col min="8461" max="8461" width="9.28515625" style="4" customWidth="1"/>
    <col min="8462" max="8462" width="8.42578125" style="4" customWidth="1"/>
    <col min="8463" max="8463" width="11.28515625" style="4" customWidth="1"/>
    <col min="8464" max="8464" width="9.28515625" style="4" customWidth="1"/>
    <col min="8465" max="8702" width="9.140625" style="4"/>
    <col min="8703" max="8703" width="18.7109375" style="4" customWidth="1"/>
    <col min="8704" max="8704" width="25.140625" style="4" customWidth="1"/>
    <col min="8705" max="8707" width="7.5703125" style="4" customWidth="1"/>
    <col min="8708" max="8710" width="6.7109375" style="4" customWidth="1"/>
    <col min="8711" max="8714" width="7.5703125" style="4" customWidth="1"/>
    <col min="8715" max="8715" width="8.140625" style="4" customWidth="1"/>
    <col min="8716" max="8716" width="8.42578125" style="4" customWidth="1"/>
    <col min="8717" max="8717" width="9.28515625" style="4" customWidth="1"/>
    <col min="8718" max="8718" width="8.42578125" style="4" customWidth="1"/>
    <col min="8719" max="8719" width="11.28515625" style="4" customWidth="1"/>
    <col min="8720" max="8720" width="9.28515625" style="4" customWidth="1"/>
    <col min="8721" max="8958" width="9.140625" style="4"/>
    <col min="8959" max="8959" width="18.7109375" style="4" customWidth="1"/>
    <col min="8960" max="8960" width="25.140625" style="4" customWidth="1"/>
    <col min="8961" max="8963" width="7.5703125" style="4" customWidth="1"/>
    <col min="8964" max="8966" width="6.7109375" style="4" customWidth="1"/>
    <col min="8967" max="8970" width="7.5703125" style="4" customWidth="1"/>
    <col min="8971" max="8971" width="8.140625" style="4" customWidth="1"/>
    <col min="8972" max="8972" width="8.42578125" style="4" customWidth="1"/>
    <col min="8973" max="8973" width="9.28515625" style="4" customWidth="1"/>
    <col min="8974" max="8974" width="8.42578125" style="4" customWidth="1"/>
    <col min="8975" max="8975" width="11.28515625" style="4" customWidth="1"/>
    <col min="8976" max="8976" width="9.28515625" style="4" customWidth="1"/>
    <col min="8977" max="9214" width="9.140625" style="4"/>
    <col min="9215" max="9215" width="18.7109375" style="4" customWidth="1"/>
    <col min="9216" max="9216" width="25.140625" style="4" customWidth="1"/>
    <col min="9217" max="9219" width="7.5703125" style="4" customWidth="1"/>
    <col min="9220" max="9222" width="6.7109375" style="4" customWidth="1"/>
    <col min="9223" max="9226" width="7.5703125" style="4" customWidth="1"/>
    <col min="9227" max="9227" width="8.140625" style="4" customWidth="1"/>
    <col min="9228" max="9228" width="8.42578125" style="4" customWidth="1"/>
    <col min="9229" max="9229" width="9.28515625" style="4" customWidth="1"/>
    <col min="9230" max="9230" width="8.42578125" style="4" customWidth="1"/>
    <col min="9231" max="9231" width="11.28515625" style="4" customWidth="1"/>
    <col min="9232" max="9232" width="9.28515625" style="4" customWidth="1"/>
    <col min="9233" max="9470" width="9.140625" style="4"/>
    <col min="9471" max="9471" width="18.7109375" style="4" customWidth="1"/>
    <col min="9472" max="9472" width="25.140625" style="4" customWidth="1"/>
    <col min="9473" max="9475" width="7.5703125" style="4" customWidth="1"/>
    <col min="9476" max="9478" width="6.7109375" style="4" customWidth="1"/>
    <col min="9479" max="9482" width="7.5703125" style="4" customWidth="1"/>
    <col min="9483" max="9483" width="8.140625" style="4" customWidth="1"/>
    <col min="9484" max="9484" width="8.42578125" style="4" customWidth="1"/>
    <col min="9485" max="9485" width="9.28515625" style="4" customWidth="1"/>
    <col min="9486" max="9486" width="8.42578125" style="4" customWidth="1"/>
    <col min="9487" max="9487" width="11.28515625" style="4" customWidth="1"/>
    <col min="9488" max="9488" width="9.28515625" style="4" customWidth="1"/>
    <col min="9489" max="9726" width="9.140625" style="4"/>
    <col min="9727" max="9727" width="18.7109375" style="4" customWidth="1"/>
    <col min="9728" max="9728" width="25.140625" style="4" customWidth="1"/>
    <col min="9729" max="9731" width="7.5703125" style="4" customWidth="1"/>
    <col min="9732" max="9734" width="6.7109375" style="4" customWidth="1"/>
    <col min="9735" max="9738" width="7.5703125" style="4" customWidth="1"/>
    <col min="9739" max="9739" width="8.140625" style="4" customWidth="1"/>
    <col min="9740" max="9740" width="8.42578125" style="4" customWidth="1"/>
    <col min="9741" max="9741" width="9.28515625" style="4" customWidth="1"/>
    <col min="9742" max="9742" width="8.42578125" style="4" customWidth="1"/>
    <col min="9743" max="9743" width="11.28515625" style="4" customWidth="1"/>
    <col min="9744" max="9744" width="9.28515625" style="4" customWidth="1"/>
    <col min="9745" max="9982" width="9.140625" style="4"/>
    <col min="9983" max="9983" width="18.7109375" style="4" customWidth="1"/>
    <col min="9984" max="9984" width="25.140625" style="4" customWidth="1"/>
    <col min="9985" max="9987" width="7.5703125" style="4" customWidth="1"/>
    <col min="9988" max="9990" width="6.7109375" style="4" customWidth="1"/>
    <col min="9991" max="9994" width="7.5703125" style="4" customWidth="1"/>
    <col min="9995" max="9995" width="8.140625" style="4" customWidth="1"/>
    <col min="9996" max="9996" width="8.42578125" style="4" customWidth="1"/>
    <col min="9997" max="9997" width="9.28515625" style="4" customWidth="1"/>
    <col min="9998" max="9998" width="8.42578125" style="4" customWidth="1"/>
    <col min="9999" max="9999" width="11.28515625" style="4" customWidth="1"/>
    <col min="10000" max="10000" width="9.28515625" style="4" customWidth="1"/>
    <col min="10001" max="10238" width="9.140625" style="4"/>
    <col min="10239" max="10239" width="18.7109375" style="4" customWidth="1"/>
    <col min="10240" max="10240" width="25.140625" style="4" customWidth="1"/>
    <col min="10241" max="10243" width="7.5703125" style="4" customWidth="1"/>
    <col min="10244" max="10246" width="6.7109375" style="4" customWidth="1"/>
    <col min="10247" max="10250" width="7.5703125" style="4" customWidth="1"/>
    <col min="10251" max="10251" width="8.140625" style="4" customWidth="1"/>
    <col min="10252" max="10252" width="8.42578125" style="4" customWidth="1"/>
    <col min="10253" max="10253" width="9.28515625" style="4" customWidth="1"/>
    <col min="10254" max="10254" width="8.42578125" style="4" customWidth="1"/>
    <col min="10255" max="10255" width="11.28515625" style="4" customWidth="1"/>
    <col min="10256" max="10256" width="9.28515625" style="4" customWidth="1"/>
    <col min="10257" max="10494" width="9.140625" style="4"/>
    <col min="10495" max="10495" width="18.7109375" style="4" customWidth="1"/>
    <col min="10496" max="10496" width="25.140625" style="4" customWidth="1"/>
    <col min="10497" max="10499" width="7.5703125" style="4" customWidth="1"/>
    <col min="10500" max="10502" width="6.7109375" style="4" customWidth="1"/>
    <col min="10503" max="10506" width="7.5703125" style="4" customWidth="1"/>
    <col min="10507" max="10507" width="8.140625" style="4" customWidth="1"/>
    <col min="10508" max="10508" width="8.42578125" style="4" customWidth="1"/>
    <col min="10509" max="10509" width="9.28515625" style="4" customWidth="1"/>
    <col min="10510" max="10510" width="8.42578125" style="4" customWidth="1"/>
    <col min="10511" max="10511" width="11.28515625" style="4" customWidth="1"/>
    <col min="10512" max="10512" width="9.28515625" style="4" customWidth="1"/>
    <col min="10513" max="10750" width="9.140625" style="4"/>
    <col min="10751" max="10751" width="18.7109375" style="4" customWidth="1"/>
    <col min="10752" max="10752" width="25.140625" style="4" customWidth="1"/>
    <col min="10753" max="10755" width="7.5703125" style="4" customWidth="1"/>
    <col min="10756" max="10758" width="6.7109375" style="4" customWidth="1"/>
    <col min="10759" max="10762" width="7.5703125" style="4" customWidth="1"/>
    <col min="10763" max="10763" width="8.140625" style="4" customWidth="1"/>
    <col min="10764" max="10764" width="8.42578125" style="4" customWidth="1"/>
    <col min="10765" max="10765" width="9.28515625" style="4" customWidth="1"/>
    <col min="10766" max="10766" width="8.42578125" style="4" customWidth="1"/>
    <col min="10767" max="10767" width="11.28515625" style="4" customWidth="1"/>
    <col min="10768" max="10768" width="9.28515625" style="4" customWidth="1"/>
    <col min="10769" max="11006" width="9.140625" style="4"/>
    <col min="11007" max="11007" width="18.7109375" style="4" customWidth="1"/>
    <col min="11008" max="11008" width="25.140625" style="4" customWidth="1"/>
    <col min="11009" max="11011" width="7.5703125" style="4" customWidth="1"/>
    <col min="11012" max="11014" width="6.7109375" style="4" customWidth="1"/>
    <col min="11015" max="11018" width="7.5703125" style="4" customWidth="1"/>
    <col min="11019" max="11019" width="8.140625" style="4" customWidth="1"/>
    <col min="11020" max="11020" width="8.42578125" style="4" customWidth="1"/>
    <col min="11021" max="11021" width="9.28515625" style="4" customWidth="1"/>
    <col min="11022" max="11022" width="8.42578125" style="4" customWidth="1"/>
    <col min="11023" max="11023" width="11.28515625" style="4" customWidth="1"/>
    <col min="11024" max="11024" width="9.28515625" style="4" customWidth="1"/>
    <col min="11025" max="11262" width="9.140625" style="4"/>
    <col min="11263" max="11263" width="18.7109375" style="4" customWidth="1"/>
    <col min="11264" max="11264" width="25.140625" style="4" customWidth="1"/>
    <col min="11265" max="11267" width="7.5703125" style="4" customWidth="1"/>
    <col min="11268" max="11270" width="6.7109375" style="4" customWidth="1"/>
    <col min="11271" max="11274" width="7.5703125" style="4" customWidth="1"/>
    <col min="11275" max="11275" width="8.140625" style="4" customWidth="1"/>
    <col min="11276" max="11276" width="8.42578125" style="4" customWidth="1"/>
    <col min="11277" max="11277" width="9.28515625" style="4" customWidth="1"/>
    <col min="11278" max="11278" width="8.42578125" style="4" customWidth="1"/>
    <col min="11279" max="11279" width="11.28515625" style="4" customWidth="1"/>
    <col min="11280" max="11280" width="9.28515625" style="4" customWidth="1"/>
    <col min="11281" max="11518" width="9.140625" style="4"/>
    <col min="11519" max="11519" width="18.7109375" style="4" customWidth="1"/>
    <col min="11520" max="11520" width="25.140625" style="4" customWidth="1"/>
    <col min="11521" max="11523" width="7.5703125" style="4" customWidth="1"/>
    <col min="11524" max="11526" width="6.7109375" style="4" customWidth="1"/>
    <col min="11527" max="11530" width="7.5703125" style="4" customWidth="1"/>
    <col min="11531" max="11531" width="8.140625" style="4" customWidth="1"/>
    <col min="11532" max="11532" width="8.42578125" style="4" customWidth="1"/>
    <col min="11533" max="11533" width="9.28515625" style="4" customWidth="1"/>
    <col min="11534" max="11534" width="8.42578125" style="4" customWidth="1"/>
    <col min="11535" max="11535" width="11.28515625" style="4" customWidth="1"/>
    <col min="11536" max="11536" width="9.28515625" style="4" customWidth="1"/>
    <col min="11537" max="11774" width="9.140625" style="4"/>
    <col min="11775" max="11775" width="18.7109375" style="4" customWidth="1"/>
    <col min="11776" max="11776" width="25.140625" style="4" customWidth="1"/>
    <col min="11777" max="11779" width="7.5703125" style="4" customWidth="1"/>
    <col min="11780" max="11782" width="6.7109375" style="4" customWidth="1"/>
    <col min="11783" max="11786" width="7.5703125" style="4" customWidth="1"/>
    <col min="11787" max="11787" width="8.140625" style="4" customWidth="1"/>
    <col min="11788" max="11788" width="8.42578125" style="4" customWidth="1"/>
    <col min="11789" max="11789" width="9.28515625" style="4" customWidth="1"/>
    <col min="11790" max="11790" width="8.42578125" style="4" customWidth="1"/>
    <col min="11791" max="11791" width="11.28515625" style="4" customWidth="1"/>
    <col min="11792" max="11792" width="9.28515625" style="4" customWidth="1"/>
    <col min="11793" max="12030" width="9.140625" style="4"/>
    <col min="12031" max="12031" width="18.7109375" style="4" customWidth="1"/>
    <col min="12032" max="12032" width="25.140625" style="4" customWidth="1"/>
    <col min="12033" max="12035" width="7.5703125" style="4" customWidth="1"/>
    <col min="12036" max="12038" width="6.7109375" style="4" customWidth="1"/>
    <col min="12039" max="12042" width="7.5703125" style="4" customWidth="1"/>
    <col min="12043" max="12043" width="8.140625" style="4" customWidth="1"/>
    <col min="12044" max="12044" width="8.42578125" style="4" customWidth="1"/>
    <col min="12045" max="12045" width="9.28515625" style="4" customWidth="1"/>
    <col min="12046" max="12046" width="8.42578125" style="4" customWidth="1"/>
    <col min="12047" max="12047" width="11.28515625" style="4" customWidth="1"/>
    <col min="12048" max="12048" width="9.28515625" style="4" customWidth="1"/>
    <col min="12049" max="12286" width="9.140625" style="4"/>
    <col min="12287" max="12287" width="18.7109375" style="4" customWidth="1"/>
    <col min="12288" max="12288" width="25.140625" style="4" customWidth="1"/>
    <col min="12289" max="12291" width="7.5703125" style="4" customWidth="1"/>
    <col min="12292" max="12294" width="6.7109375" style="4" customWidth="1"/>
    <col min="12295" max="12298" width="7.5703125" style="4" customWidth="1"/>
    <col min="12299" max="12299" width="8.140625" style="4" customWidth="1"/>
    <col min="12300" max="12300" width="8.42578125" style="4" customWidth="1"/>
    <col min="12301" max="12301" width="9.28515625" style="4" customWidth="1"/>
    <col min="12302" max="12302" width="8.42578125" style="4" customWidth="1"/>
    <col min="12303" max="12303" width="11.28515625" style="4" customWidth="1"/>
    <col min="12304" max="12304" width="9.28515625" style="4" customWidth="1"/>
    <col min="12305" max="12542" width="9.140625" style="4"/>
    <col min="12543" max="12543" width="18.7109375" style="4" customWidth="1"/>
    <col min="12544" max="12544" width="25.140625" style="4" customWidth="1"/>
    <col min="12545" max="12547" width="7.5703125" style="4" customWidth="1"/>
    <col min="12548" max="12550" width="6.7109375" style="4" customWidth="1"/>
    <col min="12551" max="12554" width="7.5703125" style="4" customWidth="1"/>
    <col min="12555" max="12555" width="8.140625" style="4" customWidth="1"/>
    <col min="12556" max="12556" width="8.42578125" style="4" customWidth="1"/>
    <col min="12557" max="12557" width="9.28515625" style="4" customWidth="1"/>
    <col min="12558" max="12558" width="8.42578125" style="4" customWidth="1"/>
    <col min="12559" max="12559" width="11.28515625" style="4" customWidth="1"/>
    <col min="12560" max="12560" width="9.28515625" style="4" customWidth="1"/>
    <col min="12561" max="12798" width="9.140625" style="4"/>
    <col min="12799" max="12799" width="18.7109375" style="4" customWidth="1"/>
    <col min="12800" max="12800" width="25.140625" style="4" customWidth="1"/>
    <col min="12801" max="12803" width="7.5703125" style="4" customWidth="1"/>
    <col min="12804" max="12806" width="6.7109375" style="4" customWidth="1"/>
    <col min="12807" max="12810" width="7.5703125" style="4" customWidth="1"/>
    <col min="12811" max="12811" width="8.140625" style="4" customWidth="1"/>
    <col min="12812" max="12812" width="8.42578125" style="4" customWidth="1"/>
    <col min="12813" max="12813" width="9.28515625" style="4" customWidth="1"/>
    <col min="12814" max="12814" width="8.42578125" style="4" customWidth="1"/>
    <col min="12815" max="12815" width="11.28515625" style="4" customWidth="1"/>
    <col min="12816" max="12816" width="9.28515625" style="4" customWidth="1"/>
    <col min="12817" max="13054" width="9.140625" style="4"/>
    <col min="13055" max="13055" width="18.7109375" style="4" customWidth="1"/>
    <col min="13056" max="13056" width="25.140625" style="4" customWidth="1"/>
    <col min="13057" max="13059" width="7.5703125" style="4" customWidth="1"/>
    <col min="13060" max="13062" width="6.7109375" style="4" customWidth="1"/>
    <col min="13063" max="13066" width="7.5703125" style="4" customWidth="1"/>
    <col min="13067" max="13067" width="8.140625" style="4" customWidth="1"/>
    <col min="13068" max="13068" width="8.42578125" style="4" customWidth="1"/>
    <col min="13069" max="13069" width="9.28515625" style="4" customWidth="1"/>
    <col min="13070" max="13070" width="8.42578125" style="4" customWidth="1"/>
    <col min="13071" max="13071" width="11.28515625" style="4" customWidth="1"/>
    <col min="13072" max="13072" width="9.28515625" style="4" customWidth="1"/>
    <col min="13073" max="13310" width="9.140625" style="4"/>
    <col min="13311" max="13311" width="18.7109375" style="4" customWidth="1"/>
    <col min="13312" max="13312" width="25.140625" style="4" customWidth="1"/>
    <col min="13313" max="13315" width="7.5703125" style="4" customWidth="1"/>
    <col min="13316" max="13318" width="6.7109375" style="4" customWidth="1"/>
    <col min="13319" max="13322" width="7.5703125" style="4" customWidth="1"/>
    <col min="13323" max="13323" width="8.140625" style="4" customWidth="1"/>
    <col min="13324" max="13324" width="8.42578125" style="4" customWidth="1"/>
    <col min="13325" max="13325" width="9.28515625" style="4" customWidth="1"/>
    <col min="13326" max="13326" width="8.42578125" style="4" customWidth="1"/>
    <col min="13327" max="13327" width="11.28515625" style="4" customWidth="1"/>
    <col min="13328" max="13328" width="9.28515625" style="4" customWidth="1"/>
    <col min="13329" max="13566" width="9.140625" style="4"/>
    <col min="13567" max="13567" width="18.7109375" style="4" customWidth="1"/>
    <col min="13568" max="13568" width="25.140625" style="4" customWidth="1"/>
    <col min="13569" max="13571" width="7.5703125" style="4" customWidth="1"/>
    <col min="13572" max="13574" width="6.7109375" style="4" customWidth="1"/>
    <col min="13575" max="13578" width="7.5703125" style="4" customWidth="1"/>
    <col min="13579" max="13579" width="8.140625" style="4" customWidth="1"/>
    <col min="13580" max="13580" width="8.42578125" style="4" customWidth="1"/>
    <col min="13581" max="13581" width="9.28515625" style="4" customWidth="1"/>
    <col min="13582" max="13582" width="8.42578125" style="4" customWidth="1"/>
    <col min="13583" max="13583" width="11.28515625" style="4" customWidth="1"/>
    <col min="13584" max="13584" width="9.28515625" style="4" customWidth="1"/>
    <col min="13585" max="13822" width="9.140625" style="4"/>
    <col min="13823" max="13823" width="18.7109375" style="4" customWidth="1"/>
    <col min="13824" max="13824" width="25.140625" style="4" customWidth="1"/>
    <col min="13825" max="13827" width="7.5703125" style="4" customWidth="1"/>
    <col min="13828" max="13830" width="6.7109375" style="4" customWidth="1"/>
    <col min="13831" max="13834" width="7.5703125" style="4" customWidth="1"/>
    <col min="13835" max="13835" width="8.140625" style="4" customWidth="1"/>
    <col min="13836" max="13836" width="8.42578125" style="4" customWidth="1"/>
    <col min="13837" max="13837" width="9.28515625" style="4" customWidth="1"/>
    <col min="13838" max="13838" width="8.42578125" style="4" customWidth="1"/>
    <col min="13839" max="13839" width="11.28515625" style="4" customWidth="1"/>
    <col min="13840" max="13840" width="9.28515625" style="4" customWidth="1"/>
    <col min="13841" max="14078" width="9.140625" style="4"/>
    <col min="14079" max="14079" width="18.7109375" style="4" customWidth="1"/>
    <col min="14080" max="14080" width="25.140625" style="4" customWidth="1"/>
    <col min="14081" max="14083" width="7.5703125" style="4" customWidth="1"/>
    <col min="14084" max="14086" width="6.7109375" style="4" customWidth="1"/>
    <col min="14087" max="14090" width="7.5703125" style="4" customWidth="1"/>
    <col min="14091" max="14091" width="8.140625" style="4" customWidth="1"/>
    <col min="14092" max="14092" width="8.42578125" style="4" customWidth="1"/>
    <col min="14093" max="14093" width="9.28515625" style="4" customWidth="1"/>
    <col min="14094" max="14094" width="8.42578125" style="4" customWidth="1"/>
    <col min="14095" max="14095" width="11.28515625" style="4" customWidth="1"/>
    <col min="14096" max="14096" width="9.28515625" style="4" customWidth="1"/>
    <col min="14097" max="14334" width="9.140625" style="4"/>
    <col min="14335" max="14335" width="18.7109375" style="4" customWidth="1"/>
    <col min="14336" max="14336" width="25.140625" style="4" customWidth="1"/>
    <col min="14337" max="14339" width="7.5703125" style="4" customWidth="1"/>
    <col min="14340" max="14342" width="6.7109375" style="4" customWidth="1"/>
    <col min="14343" max="14346" width="7.5703125" style="4" customWidth="1"/>
    <col min="14347" max="14347" width="8.140625" style="4" customWidth="1"/>
    <col min="14348" max="14348" width="8.42578125" style="4" customWidth="1"/>
    <col min="14349" max="14349" width="9.28515625" style="4" customWidth="1"/>
    <col min="14350" max="14350" width="8.42578125" style="4" customWidth="1"/>
    <col min="14351" max="14351" width="11.28515625" style="4" customWidth="1"/>
    <col min="14352" max="14352" width="9.28515625" style="4" customWidth="1"/>
    <col min="14353" max="14590" width="9.140625" style="4"/>
    <col min="14591" max="14591" width="18.7109375" style="4" customWidth="1"/>
    <col min="14592" max="14592" width="25.140625" style="4" customWidth="1"/>
    <col min="14593" max="14595" width="7.5703125" style="4" customWidth="1"/>
    <col min="14596" max="14598" width="6.7109375" style="4" customWidth="1"/>
    <col min="14599" max="14602" width="7.5703125" style="4" customWidth="1"/>
    <col min="14603" max="14603" width="8.140625" style="4" customWidth="1"/>
    <col min="14604" max="14604" width="8.42578125" style="4" customWidth="1"/>
    <col min="14605" max="14605" width="9.28515625" style="4" customWidth="1"/>
    <col min="14606" max="14606" width="8.42578125" style="4" customWidth="1"/>
    <col min="14607" max="14607" width="11.28515625" style="4" customWidth="1"/>
    <col min="14608" max="14608" width="9.28515625" style="4" customWidth="1"/>
    <col min="14609" max="14846" width="9.140625" style="4"/>
    <col min="14847" max="14847" width="18.7109375" style="4" customWidth="1"/>
    <col min="14848" max="14848" width="25.140625" style="4" customWidth="1"/>
    <col min="14849" max="14851" width="7.5703125" style="4" customWidth="1"/>
    <col min="14852" max="14854" width="6.7109375" style="4" customWidth="1"/>
    <col min="14855" max="14858" width="7.5703125" style="4" customWidth="1"/>
    <col min="14859" max="14859" width="8.140625" style="4" customWidth="1"/>
    <col min="14860" max="14860" width="8.42578125" style="4" customWidth="1"/>
    <col min="14861" max="14861" width="9.28515625" style="4" customWidth="1"/>
    <col min="14862" max="14862" width="8.42578125" style="4" customWidth="1"/>
    <col min="14863" max="14863" width="11.28515625" style="4" customWidth="1"/>
    <col min="14864" max="14864" width="9.28515625" style="4" customWidth="1"/>
    <col min="14865" max="15102" width="9.140625" style="4"/>
    <col min="15103" max="15103" width="18.7109375" style="4" customWidth="1"/>
    <col min="15104" max="15104" width="25.140625" style="4" customWidth="1"/>
    <col min="15105" max="15107" width="7.5703125" style="4" customWidth="1"/>
    <col min="15108" max="15110" width="6.7109375" style="4" customWidth="1"/>
    <col min="15111" max="15114" width="7.5703125" style="4" customWidth="1"/>
    <col min="15115" max="15115" width="8.140625" style="4" customWidth="1"/>
    <col min="15116" max="15116" width="8.42578125" style="4" customWidth="1"/>
    <col min="15117" max="15117" width="9.28515625" style="4" customWidth="1"/>
    <col min="15118" max="15118" width="8.42578125" style="4" customWidth="1"/>
    <col min="15119" max="15119" width="11.28515625" style="4" customWidth="1"/>
    <col min="15120" max="15120" width="9.28515625" style="4" customWidth="1"/>
    <col min="15121" max="15358" width="9.140625" style="4"/>
    <col min="15359" max="15359" width="18.7109375" style="4" customWidth="1"/>
    <col min="15360" max="15360" width="25.140625" style="4" customWidth="1"/>
    <col min="15361" max="15363" width="7.5703125" style="4" customWidth="1"/>
    <col min="15364" max="15366" width="6.7109375" style="4" customWidth="1"/>
    <col min="15367" max="15370" width="7.5703125" style="4" customWidth="1"/>
    <col min="15371" max="15371" width="8.140625" style="4" customWidth="1"/>
    <col min="15372" max="15372" width="8.42578125" style="4" customWidth="1"/>
    <col min="15373" max="15373" width="9.28515625" style="4" customWidth="1"/>
    <col min="15374" max="15374" width="8.42578125" style="4" customWidth="1"/>
    <col min="15375" max="15375" width="11.28515625" style="4" customWidth="1"/>
    <col min="15376" max="15376" width="9.28515625" style="4" customWidth="1"/>
    <col min="15377" max="15614" width="9.140625" style="4"/>
    <col min="15615" max="15615" width="18.7109375" style="4" customWidth="1"/>
    <col min="15616" max="15616" width="25.140625" style="4" customWidth="1"/>
    <col min="15617" max="15619" width="7.5703125" style="4" customWidth="1"/>
    <col min="15620" max="15622" width="6.7109375" style="4" customWidth="1"/>
    <col min="15623" max="15626" width="7.5703125" style="4" customWidth="1"/>
    <col min="15627" max="15627" width="8.140625" style="4" customWidth="1"/>
    <col min="15628" max="15628" width="8.42578125" style="4" customWidth="1"/>
    <col min="15629" max="15629" width="9.28515625" style="4" customWidth="1"/>
    <col min="15630" max="15630" width="8.42578125" style="4" customWidth="1"/>
    <col min="15631" max="15631" width="11.28515625" style="4" customWidth="1"/>
    <col min="15632" max="15632" width="9.28515625" style="4" customWidth="1"/>
    <col min="15633" max="15870" width="9.140625" style="4"/>
    <col min="15871" max="15871" width="18.7109375" style="4" customWidth="1"/>
    <col min="15872" max="15872" width="25.140625" style="4" customWidth="1"/>
    <col min="15873" max="15875" width="7.5703125" style="4" customWidth="1"/>
    <col min="15876" max="15878" width="6.7109375" style="4" customWidth="1"/>
    <col min="15879" max="15882" width="7.5703125" style="4" customWidth="1"/>
    <col min="15883" max="15883" width="8.140625" style="4" customWidth="1"/>
    <col min="15884" max="15884" width="8.42578125" style="4" customWidth="1"/>
    <col min="15885" max="15885" width="9.28515625" style="4" customWidth="1"/>
    <col min="15886" max="15886" width="8.42578125" style="4" customWidth="1"/>
    <col min="15887" max="15887" width="11.28515625" style="4" customWidth="1"/>
    <col min="15888" max="15888" width="9.28515625" style="4" customWidth="1"/>
    <col min="15889" max="16126" width="9.140625" style="4"/>
    <col min="16127" max="16127" width="18.7109375" style="4" customWidth="1"/>
    <col min="16128" max="16128" width="25.140625" style="4" customWidth="1"/>
    <col min="16129" max="16131" width="7.5703125" style="4" customWidth="1"/>
    <col min="16132" max="16134" width="6.7109375" style="4" customWidth="1"/>
    <col min="16135" max="16138" width="7.5703125" style="4" customWidth="1"/>
    <col min="16139" max="16139" width="8.140625" style="4" customWidth="1"/>
    <col min="16140" max="16140" width="8.42578125" style="4" customWidth="1"/>
    <col min="16141" max="16141" width="9.28515625" style="4" customWidth="1"/>
    <col min="16142" max="16142" width="8.42578125" style="4" customWidth="1"/>
    <col min="16143" max="16143" width="11.28515625" style="4" customWidth="1"/>
    <col min="16144" max="16144" width="9.28515625" style="4" customWidth="1"/>
    <col min="16145" max="16384" width="9.140625" style="4"/>
  </cols>
  <sheetData>
    <row r="1" spans="1:33" s="16" customFormat="1" ht="15" customHeight="1" x14ac:dyDescent="0.2">
      <c r="A1" s="122"/>
      <c r="B1" s="131"/>
      <c r="C1" s="129"/>
      <c r="D1" s="135" t="s">
        <v>599</v>
      </c>
      <c r="E1" s="117" t="str">
        <f>'Obra '!D1</f>
        <v>Porto Cerro</v>
      </c>
      <c r="F1" s="117"/>
      <c r="G1" s="116"/>
      <c r="H1" s="116"/>
      <c r="I1" s="116"/>
      <c r="J1" s="116"/>
      <c r="K1" s="116"/>
      <c r="L1" s="116"/>
      <c r="M1" s="116"/>
      <c r="N1" s="130"/>
      <c r="O1" s="130"/>
      <c r="P1" s="130"/>
      <c r="Q1" s="130"/>
      <c r="R1" s="130"/>
      <c r="S1" s="130"/>
      <c r="T1" s="130"/>
      <c r="U1" s="130"/>
      <c r="V1" s="128"/>
      <c r="W1" s="129"/>
      <c r="Y1" s="172"/>
    </row>
    <row r="2" spans="1:33" s="67" customFormat="1" ht="15" customHeight="1" x14ac:dyDescent="0.2">
      <c r="A2" s="124"/>
      <c r="C2" s="145"/>
      <c r="D2" s="135" t="s">
        <v>600</v>
      </c>
      <c r="E2" s="136" t="str">
        <f>'Obra '!D2</f>
        <v>XPCon Empreendimentos</v>
      </c>
      <c r="F2" s="117"/>
      <c r="G2" s="117"/>
      <c r="H2" s="117"/>
      <c r="I2" s="117"/>
      <c r="J2" s="117"/>
      <c r="K2" s="117"/>
      <c r="L2" s="117"/>
      <c r="M2" s="117"/>
      <c r="N2" s="144"/>
      <c r="O2" s="144"/>
      <c r="P2" s="144"/>
      <c r="Q2" s="144"/>
      <c r="R2" s="144"/>
      <c r="S2" s="144"/>
      <c r="T2" s="144"/>
      <c r="U2" s="144"/>
      <c r="V2" s="146"/>
      <c r="W2" s="145"/>
    </row>
    <row r="3" spans="1:33" s="67" customFormat="1" ht="15" customHeight="1" x14ac:dyDescent="0.2">
      <c r="A3" s="132"/>
      <c r="B3" s="147"/>
      <c r="C3" s="148"/>
      <c r="D3" s="135" t="s">
        <v>601</v>
      </c>
      <c r="E3" s="117" t="str">
        <f>'Obra '!D3</f>
        <v>R01 - 03/09/2025</v>
      </c>
      <c r="F3" s="117"/>
      <c r="G3" s="117"/>
      <c r="H3" s="117"/>
      <c r="I3" s="117"/>
      <c r="J3" s="117"/>
      <c r="K3" s="118"/>
      <c r="L3" s="119"/>
      <c r="M3" s="133"/>
      <c r="N3" s="144"/>
      <c r="O3" s="144"/>
      <c r="P3" s="144"/>
      <c r="Q3" s="144"/>
      <c r="R3" s="144"/>
      <c r="S3" s="479"/>
      <c r="T3" s="480"/>
      <c r="U3" s="480"/>
      <c r="V3" s="149"/>
      <c r="W3" s="148"/>
    </row>
    <row r="4" spans="1:33" s="17" customFormat="1" ht="22.15" customHeight="1" x14ac:dyDescent="0.2">
      <c r="A4" s="481" t="s">
        <v>105</v>
      </c>
      <c r="B4" s="482"/>
      <c r="C4" s="482"/>
      <c r="D4" s="482"/>
      <c r="E4" s="482"/>
      <c r="F4" s="482"/>
      <c r="G4" s="482"/>
      <c r="H4" s="482"/>
      <c r="I4" s="482"/>
      <c r="J4" s="482"/>
      <c r="K4" s="482"/>
      <c r="L4" s="482"/>
      <c r="M4" s="482"/>
      <c r="N4" s="482"/>
      <c r="O4" s="482"/>
      <c r="P4" s="482"/>
      <c r="Q4" s="482"/>
      <c r="R4" s="482"/>
      <c r="S4" s="482"/>
      <c r="T4" s="482"/>
      <c r="U4" s="482"/>
      <c r="V4" s="482"/>
      <c r="W4" s="483"/>
    </row>
    <row r="5" spans="1:33" ht="24" x14ac:dyDescent="0.2">
      <c r="E5" s="1147"/>
      <c r="F5" s="91" t="s">
        <v>602</v>
      </c>
      <c r="G5" s="91" t="s">
        <v>603</v>
      </c>
      <c r="H5" s="91" t="s">
        <v>604</v>
      </c>
      <c r="I5" s="91" t="s">
        <v>456</v>
      </c>
      <c r="J5" s="214" t="s">
        <v>605</v>
      </c>
      <c r="K5" s="95" t="s">
        <v>606</v>
      </c>
      <c r="L5" s="95" t="s">
        <v>607</v>
      </c>
      <c r="M5" s="91" t="s">
        <v>115</v>
      </c>
      <c r="N5" s="484" t="s">
        <v>608</v>
      </c>
      <c r="O5" s="233" t="s">
        <v>609</v>
      </c>
      <c r="P5" s="233" t="s">
        <v>610</v>
      </c>
      <c r="Q5" s="233" t="s">
        <v>611</v>
      </c>
      <c r="R5" s="233" t="s">
        <v>612</v>
      </c>
      <c r="S5" s="233" t="s">
        <v>613</v>
      </c>
      <c r="T5" s="1149" t="s">
        <v>614</v>
      </c>
    </row>
    <row r="6" spans="1:33" ht="15.75" customHeight="1" x14ac:dyDescent="0.2">
      <c r="E6" s="1148"/>
      <c r="F6" s="91" t="s">
        <v>1</v>
      </c>
      <c r="G6" s="91" t="s">
        <v>4</v>
      </c>
      <c r="H6" s="91" t="s">
        <v>1</v>
      </c>
      <c r="I6" s="91" t="s">
        <v>4</v>
      </c>
      <c r="J6" s="91" t="s">
        <v>4</v>
      </c>
      <c r="K6" s="91" t="s">
        <v>4</v>
      </c>
      <c r="L6" s="91" t="s">
        <v>4</v>
      </c>
      <c r="M6" s="91" t="s">
        <v>1</v>
      </c>
      <c r="N6" s="91" t="s">
        <v>1</v>
      </c>
      <c r="O6" s="91" t="s">
        <v>4</v>
      </c>
      <c r="P6" s="91" t="s">
        <v>4</v>
      </c>
      <c r="Q6" s="91" t="s">
        <v>4</v>
      </c>
      <c r="R6" s="91" t="s">
        <v>4</v>
      </c>
      <c r="S6" s="91" t="s">
        <v>4</v>
      </c>
      <c r="T6" s="1095"/>
    </row>
    <row r="7" spans="1:33" ht="24.75" customHeight="1" x14ac:dyDescent="0.2">
      <c r="A7" s="5"/>
      <c r="B7" s="5"/>
      <c r="C7" s="5"/>
      <c r="E7" s="485" t="s">
        <v>615</v>
      </c>
      <c r="F7" s="485"/>
      <c r="G7" s="485">
        <f>L36+L50+L68+L125+L146+L158</f>
        <v>1297.6939106</v>
      </c>
      <c r="H7" s="485">
        <f>M36+M50+M68+M125+M146+M158</f>
        <v>403.15005000000002</v>
      </c>
      <c r="I7" s="485">
        <f>N36+N50+N68+N125+N146+N158</f>
        <v>1014.4908828499999</v>
      </c>
      <c r="J7" s="485">
        <f>O36+O50+O68+O125+O146+O158</f>
        <v>368.16393607499998</v>
      </c>
      <c r="K7" s="485">
        <f>Q36+Q50+Q68+Q125+Q146+Q158</f>
        <v>14.314152</v>
      </c>
      <c r="L7" s="485">
        <f>R36+R50+R68+R125+R146+R158</f>
        <v>16.087139000000001</v>
      </c>
      <c r="M7" s="485">
        <f>S36+S50+S68+S125+S146+S158</f>
        <v>717.75368272111484</v>
      </c>
      <c r="N7" s="485">
        <f>T36+T50+T68+T125+T146+T158</f>
        <v>1063.6374250000001</v>
      </c>
      <c r="O7" s="485">
        <f>SUMIF($V$11:$V$158,O$5,$U$11:$U$158)</f>
        <v>0</v>
      </c>
      <c r="P7" s="485">
        <f>SUMIF($V$11:$V$158,P$5,$U$11:$U$158)</f>
        <v>0</v>
      </c>
      <c r="Q7" s="485">
        <f>SUMIF($V$11:$V$158,Q$5,$U$11:$U$158)</f>
        <v>0</v>
      </c>
      <c r="R7" s="485">
        <f>SUMIF($V$11:$V$158,R$5,$U$11:$U$158)</f>
        <v>0</v>
      </c>
      <c r="S7" s="485">
        <f>SUMIF($V$11:$V$158,S$5,$U$11:$U$158)</f>
        <v>283.20302775000016</v>
      </c>
      <c r="T7" s="485"/>
    </row>
    <row r="8" spans="1:33" ht="24.75" customHeight="1" x14ac:dyDescent="0.2">
      <c r="A8" s="5"/>
      <c r="B8" s="5"/>
      <c r="C8" s="5"/>
      <c r="E8" s="485" t="s">
        <v>616</v>
      </c>
      <c r="F8" s="485">
        <f>$K$170</f>
        <v>0</v>
      </c>
      <c r="G8" s="485">
        <f>L170</f>
        <v>0</v>
      </c>
      <c r="H8" s="485">
        <f>M170</f>
        <v>0</v>
      </c>
      <c r="I8" s="485">
        <f>N170</f>
        <v>0</v>
      </c>
      <c r="J8" s="485">
        <f>O170</f>
        <v>0</v>
      </c>
      <c r="K8" s="485">
        <f>Q170</f>
        <v>0</v>
      </c>
      <c r="L8" s="485">
        <f>R170</f>
        <v>0</v>
      </c>
      <c r="M8" s="485">
        <f>S170</f>
        <v>0</v>
      </c>
      <c r="N8" s="485">
        <f>T170</f>
        <v>0</v>
      </c>
      <c r="O8" s="485">
        <f>SUMIF($V$162:$V$170,O$5,$U$162:$U$170)</f>
        <v>0</v>
      </c>
      <c r="P8" s="485">
        <f>SUMIF($V$162:$V$170,P$5,$U$162:$U$170)</f>
        <v>0</v>
      </c>
      <c r="Q8" s="485">
        <f>SUMIF($V$162:$V$170,Q$5,$U$162:$U$170)</f>
        <v>0</v>
      </c>
      <c r="R8" s="485">
        <f>SUMIF($V$162:$V$170,R$5,$U$162:$U$170)</f>
        <v>0</v>
      </c>
      <c r="S8" s="485">
        <f>SUMIF($V$162:$V$170,S$5,$U$162:$U$170)</f>
        <v>0</v>
      </c>
      <c r="T8" s="485"/>
    </row>
    <row r="9" spans="1:33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33" s="17" customFormat="1" ht="22.15" customHeight="1" x14ac:dyDescent="0.2">
      <c r="A10" s="1150" t="s">
        <v>617</v>
      </c>
      <c r="B10" s="1151"/>
      <c r="C10" s="1151"/>
      <c r="D10" s="1151"/>
      <c r="E10" s="1151"/>
      <c r="F10" s="1151"/>
      <c r="G10" s="1151"/>
      <c r="H10" s="1151"/>
      <c r="I10" s="1151"/>
      <c r="J10" s="1151"/>
      <c r="K10" s="1151"/>
      <c r="L10" s="1151"/>
      <c r="M10" s="1151"/>
      <c r="N10" s="1151"/>
      <c r="O10" s="1151"/>
      <c r="P10" s="1151"/>
      <c r="Q10" s="1151"/>
      <c r="R10" s="1151"/>
      <c r="S10" s="1151"/>
      <c r="T10" s="1151"/>
      <c r="U10" s="1151"/>
      <c r="V10" s="1152"/>
      <c r="AC10" s="4"/>
      <c r="AD10" s="4"/>
      <c r="AE10" s="4"/>
      <c r="AF10" s="4"/>
      <c r="AG10" s="4"/>
    </row>
    <row r="11" spans="1:33" s="40" customFormat="1" ht="15" customHeight="1" x14ac:dyDescent="0.2">
      <c r="A11" s="1134" t="s">
        <v>6</v>
      </c>
      <c r="B11" s="486"/>
      <c r="C11" s="486"/>
      <c r="D11" s="486"/>
      <c r="E11" s="487"/>
      <c r="F11" s="488" t="s">
        <v>16</v>
      </c>
      <c r="G11" s="489" t="s">
        <v>449</v>
      </c>
      <c r="H11" s="490"/>
      <c r="I11" s="490"/>
      <c r="J11" s="1121" t="s">
        <v>21</v>
      </c>
      <c r="K11" s="1122"/>
      <c r="L11" s="491" t="s">
        <v>450</v>
      </c>
      <c r="M11" s="492"/>
      <c r="N11" s="492"/>
      <c r="O11" s="492"/>
      <c r="P11" s="492"/>
      <c r="Q11" s="492"/>
      <c r="R11" s="492"/>
      <c r="S11" s="492"/>
      <c r="T11" s="493"/>
      <c r="U11" s="492"/>
      <c r="V11" s="267"/>
      <c r="X11" s="4" t="s">
        <v>618</v>
      </c>
      <c r="Y11" s="4"/>
      <c r="Z11" s="4"/>
      <c r="AA11" s="4"/>
      <c r="AC11" s="4"/>
      <c r="AD11" s="4"/>
      <c r="AE11" s="4"/>
      <c r="AF11" s="4"/>
      <c r="AG11" s="4"/>
    </row>
    <row r="12" spans="1:33" s="40" customFormat="1" ht="12.75" customHeight="1" x14ac:dyDescent="0.2">
      <c r="A12" s="1135"/>
      <c r="B12" s="486"/>
      <c r="C12" s="486"/>
      <c r="D12" s="486"/>
      <c r="E12" s="487"/>
      <c r="F12" s="488"/>
      <c r="G12" s="494" t="s">
        <v>47</v>
      </c>
      <c r="H12" s="495" t="s">
        <v>35</v>
      </c>
      <c r="I12" s="495" t="s">
        <v>42</v>
      </c>
      <c r="J12" s="496" t="s">
        <v>453</v>
      </c>
      <c r="K12" s="496" t="s">
        <v>52</v>
      </c>
      <c r="L12" s="497" t="s">
        <v>454</v>
      </c>
      <c r="M12" s="497" t="s">
        <v>455</v>
      </c>
      <c r="N12" s="497" t="s">
        <v>456</v>
      </c>
      <c r="O12" s="497" t="s">
        <v>457</v>
      </c>
      <c r="P12" s="1153" t="s">
        <v>619</v>
      </c>
      <c r="Q12" s="1154"/>
      <c r="R12" s="1155"/>
      <c r="S12" s="497" t="s">
        <v>458</v>
      </c>
      <c r="T12" s="497" t="s">
        <v>459</v>
      </c>
      <c r="U12" s="497" t="s">
        <v>80</v>
      </c>
      <c r="V12" s="269" t="s">
        <v>45</v>
      </c>
      <c r="X12" s="4"/>
      <c r="Y12" s="4"/>
      <c r="Z12" s="4"/>
      <c r="AA12" s="4"/>
      <c r="AC12" s="4"/>
      <c r="AD12" s="4"/>
      <c r="AE12" s="4"/>
      <c r="AF12" s="4"/>
      <c r="AG12" s="4"/>
    </row>
    <row r="13" spans="1:33" s="40" customFormat="1" ht="12.75" customHeight="1" x14ac:dyDescent="0.2">
      <c r="A13" s="1136"/>
      <c r="B13" s="486"/>
      <c r="C13" s="486"/>
      <c r="D13" s="486"/>
      <c r="E13" s="487"/>
      <c r="F13" s="488"/>
      <c r="G13" s="498" t="s">
        <v>28</v>
      </c>
      <c r="H13" s="499" t="s">
        <v>29</v>
      </c>
      <c r="I13" s="499" t="s">
        <v>30</v>
      </c>
      <c r="J13" s="500" t="s">
        <v>3</v>
      </c>
      <c r="K13" s="500" t="s">
        <v>3</v>
      </c>
      <c r="L13" s="500" t="s">
        <v>4</v>
      </c>
      <c r="M13" s="500" t="s">
        <v>1</v>
      </c>
      <c r="N13" s="500" t="s">
        <v>4</v>
      </c>
      <c r="O13" s="500" t="s">
        <v>4</v>
      </c>
      <c r="P13" s="501" t="s">
        <v>460</v>
      </c>
      <c r="Q13" s="502" t="s">
        <v>4</v>
      </c>
      <c r="R13" s="502" t="s">
        <v>4</v>
      </c>
      <c r="S13" s="500" t="s">
        <v>1</v>
      </c>
      <c r="T13" s="500" t="s">
        <v>1</v>
      </c>
      <c r="U13" s="500" t="s">
        <v>4</v>
      </c>
      <c r="V13" s="478"/>
      <c r="X13" s="4"/>
      <c r="Y13" s="4"/>
      <c r="Z13" s="4"/>
      <c r="AA13" s="4"/>
      <c r="AC13" s="4"/>
      <c r="AD13" s="4"/>
      <c r="AE13" s="4"/>
      <c r="AF13" s="4"/>
      <c r="AG13" s="4"/>
    </row>
    <row r="14" spans="1:33" s="43" customFormat="1" ht="16.149999999999999" customHeight="1" x14ac:dyDescent="0.2">
      <c r="A14" s="250" t="s">
        <v>658</v>
      </c>
      <c r="B14" s="250"/>
      <c r="C14" s="250"/>
      <c r="D14" s="250"/>
      <c r="E14" s="250"/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73"/>
      <c r="Q14" s="181" t="s">
        <v>620</v>
      </c>
      <c r="R14" s="181" t="s">
        <v>80</v>
      </c>
      <c r="S14" s="250"/>
      <c r="T14" s="250"/>
      <c r="U14" s="250"/>
      <c r="V14" s="250"/>
      <c r="X14" s="4"/>
      <c r="Y14" s="4"/>
      <c r="Z14" s="4"/>
      <c r="AA14" s="4"/>
      <c r="AC14" s="4"/>
      <c r="AD14" s="4"/>
      <c r="AE14" s="4"/>
      <c r="AF14" s="4"/>
      <c r="AG14" s="4"/>
    </row>
    <row r="15" spans="1:33" s="43" customFormat="1" ht="15" customHeight="1" x14ac:dyDescent="0.2">
      <c r="A15" s="188" t="s">
        <v>659</v>
      </c>
      <c r="B15" s="164"/>
      <c r="C15" s="164"/>
      <c r="D15" s="164"/>
      <c r="E15" s="164"/>
      <c r="F15" s="165">
        <v>7</v>
      </c>
      <c r="G15" s="166">
        <v>0.7</v>
      </c>
      <c r="H15" s="166">
        <v>0.7</v>
      </c>
      <c r="I15" s="166">
        <f>0.5+0.15-0.05</f>
        <v>0.6</v>
      </c>
      <c r="J15" s="73">
        <f>IF(I15&lt;=1,0.6,1.2)</f>
        <v>0.6</v>
      </c>
      <c r="K15" s="167"/>
      <c r="L15" s="73">
        <f>(G15+J15)*(I15+K15+P15)*(H15+J15)*F15</f>
        <v>7.6894999999999971</v>
      </c>
      <c r="M15" s="73">
        <f>(G15)*(H15)*F15</f>
        <v>3.4299999999999997</v>
      </c>
      <c r="N15" s="73">
        <f>+L15-U15</f>
        <v>5.6314999999999973</v>
      </c>
      <c r="O15" s="73">
        <f>(L15-N15)*1.3</f>
        <v>2.6753999999999998</v>
      </c>
      <c r="P15" s="279">
        <v>0.05</v>
      </c>
      <c r="Q15" s="158"/>
      <c r="R15" s="158">
        <f>M15*$P$15</f>
        <v>0.17149999999999999</v>
      </c>
      <c r="S15" s="167">
        <f>(2*G15+H15*2)*I15*F15</f>
        <v>11.76</v>
      </c>
      <c r="T15" s="167">
        <f>(M15+((G15+H15)*I15)*2)*F15</f>
        <v>35.769999999999996</v>
      </c>
      <c r="U15" s="167">
        <f>G15*I15*H15*F15</f>
        <v>2.0579999999999998</v>
      </c>
      <c r="V15" s="159" t="s">
        <v>613</v>
      </c>
      <c r="X15" s="4"/>
      <c r="Y15" s="4"/>
      <c r="Z15" s="4"/>
      <c r="AA15" s="4"/>
      <c r="AC15" s="4"/>
      <c r="AD15" s="4"/>
      <c r="AE15" s="4"/>
      <c r="AF15" s="4"/>
      <c r="AG15" s="4"/>
    </row>
    <row r="16" spans="1:33" s="43" customFormat="1" ht="15" customHeight="1" x14ac:dyDescent="0.2">
      <c r="A16" s="188" t="s">
        <v>660</v>
      </c>
      <c r="B16" s="186"/>
      <c r="C16" s="186"/>
      <c r="D16" s="186"/>
      <c r="E16" s="186"/>
      <c r="F16" s="171">
        <v>2</v>
      </c>
      <c r="G16" s="47">
        <v>0.8</v>
      </c>
      <c r="H16" s="47">
        <v>0.8</v>
      </c>
      <c r="I16" s="47">
        <f>0.6+0.15-0.05</f>
        <v>0.7</v>
      </c>
      <c r="J16" s="167">
        <f>IF(I16&lt;=1,0.6,1.2)</f>
        <v>0.6</v>
      </c>
      <c r="K16" s="170"/>
      <c r="L16" s="73">
        <f>(G16+J16)*(I16+K16+P16)*(H16+J16)*F16</f>
        <v>2.9399999999999995</v>
      </c>
      <c r="M16" s="167">
        <f>(G16)*(H16)*F16</f>
        <v>1.2800000000000002</v>
      </c>
      <c r="N16" s="167">
        <f>+L16-U16</f>
        <v>2.0439999999999996</v>
      </c>
      <c r="O16" s="167">
        <f>(L16-N16)*1.3</f>
        <v>1.1647999999999998</v>
      </c>
      <c r="P16" s="279">
        <v>0.05</v>
      </c>
      <c r="Q16" s="158"/>
      <c r="R16" s="158">
        <f>M16*$P$15</f>
        <v>6.4000000000000015E-2</v>
      </c>
      <c r="S16" s="170">
        <f>(2*G16+H16*2)*I16*F16</f>
        <v>4.4799999999999995</v>
      </c>
      <c r="T16" s="170">
        <f>(M16+((G16+H16)*I16)*2)*F16</f>
        <v>7.04</v>
      </c>
      <c r="U16" s="170">
        <f>G16*I16*H16*F16</f>
        <v>0.89599999999999991</v>
      </c>
      <c r="V16" s="159" t="s">
        <v>613</v>
      </c>
      <c r="X16" s="4"/>
      <c r="Y16" s="4"/>
      <c r="Z16" s="4"/>
      <c r="AA16" s="4"/>
      <c r="AC16" s="4"/>
      <c r="AD16" s="4"/>
      <c r="AE16" s="4"/>
      <c r="AF16" s="4"/>
      <c r="AG16" s="4"/>
    </row>
    <row r="17" spans="1:33" s="43" customFormat="1" ht="15" customHeight="1" x14ac:dyDescent="0.2">
      <c r="A17" s="188" t="s">
        <v>661</v>
      </c>
      <c r="B17" s="164"/>
      <c r="C17" s="164"/>
      <c r="D17" s="164"/>
      <c r="E17" s="164"/>
      <c r="F17" s="165">
        <v>1</v>
      </c>
      <c r="G17" s="166">
        <v>2.75</v>
      </c>
      <c r="H17" s="166">
        <v>1</v>
      </c>
      <c r="I17" s="166">
        <f>0.6+0.15-0.05</f>
        <v>0.7</v>
      </c>
      <c r="J17" s="185">
        <f>IF(I17&lt;=1,0.6,1.2)</f>
        <v>0.6</v>
      </c>
      <c r="K17" s="73"/>
      <c r="L17" s="73">
        <f>(G17+J17)*(I17+K17+P17)*(H17+J17)*F17</f>
        <v>4.0200000000000005</v>
      </c>
      <c r="M17" s="170">
        <f>(G17)*(H17)*F17</f>
        <v>2.75</v>
      </c>
      <c r="N17" s="170">
        <f>+L17-U17</f>
        <v>2.0950000000000006</v>
      </c>
      <c r="O17" s="170">
        <f>(L17-N17)*1.3</f>
        <v>2.5024999999999999</v>
      </c>
      <c r="P17" s="279">
        <v>0.05</v>
      </c>
      <c r="Q17" s="158"/>
      <c r="R17" s="158">
        <f>M17*$P$15</f>
        <v>0.13750000000000001</v>
      </c>
      <c r="S17" s="170">
        <f>(2*G17+H17*2)*I17*F17</f>
        <v>5.25</v>
      </c>
      <c r="T17" s="170">
        <f>(M17+((G17+H17)*I17)*2)*F17</f>
        <v>8</v>
      </c>
      <c r="U17" s="170">
        <f>G17*I17*H17*F17</f>
        <v>1.9249999999999998</v>
      </c>
      <c r="V17" s="159" t="s">
        <v>613</v>
      </c>
      <c r="X17" s="4"/>
      <c r="Y17" s="4"/>
      <c r="Z17" s="4"/>
      <c r="AA17" s="4"/>
      <c r="AC17" s="4"/>
      <c r="AD17" s="4"/>
      <c r="AE17" s="4"/>
      <c r="AF17" s="4"/>
      <c r="AG17" s="4"/>
    </row>
    <row r="18" spans="1:33" s="43" customFormat="1" ht="15" customHeight="1" x14ac:dyDescent="0.2">
      <c r="A18" s="188" t="s">
        <v>662</v>
      </c>
      <c r="B18" s="186"/>
      <c r="C18" s="186"/>
      <c r="D18" s="186"/>
      <c r="E18" s="186"/>
      <c r="F18" s="171">
        <v>2</v>
      </c>
      <c r="G18" s="47">
        <v>2.75</v>
      </c>
      <c r="H18" s="47">
        <v>1</v>
      </c>
      <c r="I18" s="47">
        <f>0.8+0.15-0.05</f>
        <v>0.9</v>
      </c>
      <c r="J18" s="185">
        <f>IF(I18&lt;=1,0.6,1.2)</f>
        <v>0.6</v>
      </c>
      <c r="K18" s="73"/>
      <c r="L18" s="73">
        <f>(G18+J18)*(I18+K18+P18)*(H18+J18)*F18</f>
        <v>10.184000000000001</v>
      </c>
      <c r="M18" s="170">
        <f>(G18)*(H18)*F18</f>
        <v>5.5</v>
      </c>
      <c r="N18" s="170">
        <f>+L18-U18</f>
        <v>5.2340000000000009</v>
      </c>
      <c r="O18" s="170">
        <f>(L18-N18)*1.3</f>
        <v>6.4350000000000005</v>
      </c>
      <c r="P18" s="279">
        <v>0.05</v>
      </c>
      <c r="Q18" s="158"/>
      <c r="R18" s="158">
        <f>M18*$P$15</f>
        <v>0.27500000000000002</v>
      </c>
      <c r="S18" s="170">
        <f>(2*G18+H18*2)*I18*F18</f>
        <v>13.5</v>
      </c>
      <c r="T18" s="170">
        <f>(M18+((G18+H18)*I18)*2)*F18</f>
        <v>24.5</v>
      </c>
      <c r="U18" s="170">
        <f>G18*I18*H18*F18</f>
        <v>4.95</v>
      </c>
      <c r="V18" s="159" t="s">
        <v>613</v>
      </c>
      <c r="X18" s="17"/>
      <c r="Y18" s="17"/>
    </row>
    <row r="19" spans="1:33" s="43" customFormat="1" ht="15" customHeight="1" x14ac:dyDescent="0.2">
      <c r="A19" s="188" t="s">
        <v>663</v>
      </c>
      <c r="B19" s="186"/>
      <c r="C19" s="186"/>
      <c r="D19" s="186"/>
      <c r="E19" s="186"/>
      <c r="F19" s="171">
        <v>1</v>
      </c>
      <c r="G19" s="47">
        <v>0.7</v>
      </c>
      <c r="H19" s="47">
        <v>0.7</v>
      </c>
      <c r="I19" s="47">
        <f>0.5+0.15-0.05</f>
        <v>0.6</v>
      </c>
      <c r="J19" s="185">
        <f>IF(I19&lt;=1,0.6,1.2)</f>
        <v>0.6</v>
      </c>
      <c r="K19" s="73"/>
      <c r="L19" s="73">
        <f>(G19+J19)*(I19+K19+P19)*(H19+J19)*F19</f>
        <v>1.0984999999999996</v>
      </c>
      <c r="M19" s="170">
        <f>(G19)*(H19)*F19</f>
        <v>0.48999999999999994</v>
      </c>
      <c r="N19" s="170">
        <f>+L19-U19</f>
        <v>0.80449999999999955</v>
      </c>
      <c r="O19" s="170">
        <f>(L19-N19)*1.3</f>
        <v>0.38220000000000004</v>
      </c>
      <c r="P19" s="279">
        <v>0.05</v>
      </c>
      <c r="Q19" s="158"/>
      <c r="R19" s="158">
        <f>M19*$P$15</f>
        <v>2.4499999999999997E-2</v>
      </c>
      <c r="S19" s="170">
        <f>(2*G19+H19*2)*I19*F19</f>
        <v>1.68</v>
      </c>
      <c r="T19" s="170">
        <f>(M19+((G19+H19)*I19)*2)*F19</f>
        <v>2.17</v>
      </c>
      <c r="U19" s="170">
        <f>G19*I19*H19*F19</f>
        <v>0.29399999999999998</v>
      </c>
      <c r="V19" s="159" t="s">
        <v>613</v>
      </c>
      <c r="X19" s="17"/>
      <c r="Y19" s="17"/>
    </row>
    <row r="20" spans="1:33" s="43" customFormat="1" ht="16.149999999999999" customHeight="1" x14ac:dyDescent="0.2">
      <c r="A20" s="250" t="s">
        <v>664</v>
      </c>
      <c r="B20" s="250"/>
      <c r="C20" s="250"/>
      <c r="D20" s="250"/>
      <c r="E20" s="250"/>
      <c r="F20" s="250"/>
      <c r="G20" s="250"/>
      <c r="H20" s="250"/>
      <c r="I20" s="250"/>
      <c r="J20" s="250"/>
      <c r="K20" s="250"/>
      <c r="L20" s="250"/>
      <c r="M20" s="250"/>
      <c r="N20" s="250"/>
      <c r="O20" s="250"/>
      <c r="P20" s="273"/>
      <c r="Q20" s="181" t="s">
        <v>620</v>
      </c>
      <c r="R20" s="181" t="s">
        <v>80</v>
      </c>
      <c r="S20" s="250"/>
      <c r="T20" s="250"/>
      <c r="U20" s="250"/>
      <c r="V20" s="250"/>
      <c r="X20" s="4"/>
      <c r="Y20" s="4"/>
      <c r="Z20" s="4"/>
      <c r="AA20" s="4"/>
      <c r="AC20" s="4"/>
      <c r="AD20" s="4"/>
      <c r="AE20" s="4"/>
      <c r="AF20" s="4"/>
      <c r="AG20" s="4"/>
    </row>
    <row r="21" spans="1:33" s="43" customFormat="1" ht="15" customHeight="1" x14ac:dyDescent="0.2">
      <c r="A21" s="188" t="s">
        <v>665</v>
      </c>
      <c r="B21" s="186"/>
      <c r="C21" s="186"/>
      <c r="D21" s="186"/>
      <c r="E21" s="186"/>
      <c r="F21" s="171">
        <v>4</v>
      </c>
      <c r="G21" s="47">
        <v>4.5</v>
      </c>
      <c r="H21" s="47">
        <v>1</v>
      </c>
      <c r="I21" s="47">
        <f>1.6+0.15-0.05</f>
        <v>1.7</v>
      </c>
      <c r="J21" s="185">
        <f t="shared" ref="J21:J35" si="0">IF(I21&lt;=1,0.6,1.2)</f>
        <v>1.2</v>
      </c>
      <c r="K21" s="73"/>
      <c r="L21" s="73">
        <f t="shared" ref="L21:L35" si="1">(G21+J21)*(I21+K21+P21)*(H21+J21)*F21</f>
        <v>87.78</v>
      </c>
      <c r="M21" s="170">
        <f t="shared" ref="M21:M35" si="2">(G21)*(H21)*F21</f>
        <v>18</v>
      </c>
      <c r="N21" s="170">
        <f t="shared" ref="N21:N35" si="3">+L21-U21</f>
        <v>57.180000000000007</v>
      </c>
      <c r="O21" s="170">
        <f t="shared" ref="O21:O35" si="4">(L21-N21)*1.3</f>
        <v>39.779999999999994</v>
      </c>
      <c r="P21" s="279">
        <v>0.05</v>
      </c>
      <c r="Q21" s="158"/>
      <c r="R21" s="158">
        <f t="shared" ref="R21:R35" si="5">M21*$P$15</f>
        <v>0.9</v>
      </c>
      <c r="S21" s="170">
        <f t="shared" ref="S21:S35" si="6">(2*G21+H21*2)*I21*F21</f>
        <v>74.8</v>
      </c>
      <c r="T21" s="170">
        <f t="shared" ref="T21:T35" si="7">(M21+((G21+H21)*I21)*2)*F21</f>
        <v>146.80000000000001</v>
      </c>
      <c r="U21" s="170">
        <f t="shared" ref="U21:U35" si="8">G21*I21*H21*F21</f>
        <v>30.599999999999998</v>
      </c>
      <c r="V21" s="159" t="s">
        <v>613</v>
      </c>
      <c r="X21" s="17"/>
      <c r="Y21" s="17"/>
    </row>
    <row r="22" spans="1:33" s="43" customFormat="1" ht="15" customHeight="1" x14ac:dyDescent="0.2">
      <c r="A22" s="188" t="s">
        <v>666</v>
      </c>
      <c r="B22" s="186"/>
      <c r="C22" s="186"/>
      <c r="D22" s="186"/>
      <c r="E22" s="186"/>
      <c r="F22" s="171">
        <v>1</v>
      </c>
      <c r="G22" s="47">
        <v>3.4750000000000001</v>
      </c>
      <c r="H22" s="47">
        <v>3.4750000000000001</v>
      </c>
      <c r="I22" s="47">
        <f>1.65+0.15-0.05</f>
        <v>1.7499999999999998</v>
      </c>
      <c r="J22" s="185">
        <f t="shared" si="0"/>
        <v>1.2</v>
      </c>
      <c r="K22" s="73"/>
      <c r="L22" s="73">
        <f t="shared" si="1"/>
        <v>39.340124999999993</v>
      </c>
      <c r="M22" s="170">
        <f t="shared" si="2"/>
        <v>12.075625</v>
      </c>
      <c r="N22" s="170">
        <f t="shared" si="3"/>
        <v>18.207781249999993</v>
      </c>
      <c r="O22" s="170">
        <f t="shared" si="4"/>
        <v>27.472046875</v>
      </c>
      <c r="P22" s="279">
        <v>0.05</v>
      </c>
      <c r="Q22" s="158"/>
      <c r="R22" s="158">
        <f t="shared" si="5"/>
        <v>0.60378125000000005</v>
      </c>
      <c r="S22" s="170">
        <f t="shared" si="6"/>
        <v>24.324999999999999</v>
      </c>
      <c r="T22" s="170">
        <f t="shared" si="7"/>
        <v>36.400624999999998</v>
      </c>
      <c r="U22" s="170">
        <f t="shared" si="8"/>
        <v>21.13234375</v>
      </c>
      <c r="V22" s="159" t="s">
        <v>613</v>
      </c>
      <c r="X22" s="17"/>
      <c r="Y22" s="17"/>
    </row>
    <row r="23" spans="1:33" s="43" customFormat="1" ht="16.149999999999999" customHeight="1" x14ac:dyDescent="0.2">
      <c r="A23" s="250" t="s">
        <v>670</v>
      </c>
      <c r="B23" s="250"/>
      <c r="C23" s="250"/>
      <c r="D23" s="250"/>
      <c r="E23" s="250"/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73"/>
      <c r="Q23" s="181" t="s">
        <v>620</v>
      </c>
      <c r="R23" s="181" t="s">
        <v>80</v>
      </c>
      <c r="S23" s="250"/>
      <c r="T23" s="250"/>
      <c r="U23" s="250"/>
      <c r="V23" s="250"/>
      <c r="X23" s="4"/>
      <c r="Y23" s="4"/>
      <c r="Z23" s="4"/>
      <c r="AA23" s="4"/>
      <c r="AC23" s="4"/>
      <c r="AD23" s="4"/>
      <c r="AE23" s="4"/>
      <c r="AF23" s="4"/>
      <c r="AG23" s="4"/>
    </row>
    <row r="24" spans="1:33" s="43" customFormat="1" ht="15" customHeight="1" x14ac:dyDescent="0.2">
      <c r="A24" s="188" t="s">
        <v>671</v>
      </c>
      <c r="B24" s="186"/>
      <c r="C24" s="186"/>
      <c r="D24" s="186"/>
      <c r="E24" s="186"/>
      <c r="F24" s="171">
        <v>2</v>
      </c>
      <c r="G24" s="47">
        <v>0.9</v>
      </c>
      <c r="H24" s="47">
        <v>0.9</v>
      </c>
      <c r="I24" s="47">
        <f>0.75+0.15-0.05</f>
        <v>0.85</v>
      </c>
      <c r="J24" s="185">
        <f t="shared" si="0"/>
        <v>0.6</v>
      </c>
      <c r="K24" s="73"/>
      <c r="L24" s="73">
        <f t="shared" si="1"/>
        <v>4.0500000000000007</v>
      </c>
      <c r="M24" s="170">
        <f t="shared" si="2"/>
        <v>1.62</v>
      </c>
      <c r="N24" s="170">
        <f t="shared" si="3"/>
        <v>2.6730000000000009</v>
      </c>
      <c r="O24" s="170">
        <f t="shared" si="4"/>
        <v>1.7900999999999998</v>
      </c>
      <c r="P24" s="279">
        <v>0.05</v>
      </c>
      <c r="Q24" s="158"/>
      <c r="R24" s="158">
        <f t="shared" si="5"/>
        <v>8.1000000000000016E-2</v>
      </c>
      <c r="S24" s="170">
        <f t="shared" si="6"/>
        <v>6.12</v>
      </c>
      <c r="T24" s="170">
        <f t="shared" si="7"/>
        <v>9.36</v>
      </c>
      <c r="U24" s="170">
        <f t="shared" si="8"/>
        <v>1.377</v>
      </c>
      <c r="V24" s="159" t="s">
        <v>613</v>
      </c>
      <c r="X24" s="17"/>
      <c r="Y24" s="17"/>
    </row>
    <row r="25" spans="1:33" s="43" customFormat="1" ht="15" customHeight="1" x14ac:dyDescent="0.2">
      <c r="A25" s="188" t="s">
        <v>672</v>
      </c>
      <c r="B25" s="186"/>
      <c r="C25" s="186"/>
      <c r="D25" s="186"/>
      <c r="E25" s="186"/>
      <c r="F25" s="171">
        <v>1</v>
      </c>
      <c r="G25" s="47">
        <v>2.0499999999999998</v>
      </c>
      <c r="H25" s="47">
        <v>0.8</v>
      </c>
      <c r="I25" s="47">
        <f>0.65+0.15-0.05</f>
        <v>0.75</v>
      </c>
      <c r="J25" s="185">
        <f t="shared" si="0"/>
        <v>0.6</v>
      </c>
      <c r="K25" s="73"/>
      <c r="L25" s="73">
        <f t="shared" si="1"/>
        <v>2.968</v>
      </c>
      <c r="M25" s="170">
        <f t="shared" si="2"/>
        <v>1.64</v>
      </c>
      <c r="N25" s="170">
        <f t="shared" si="3"/>
        <v>1.738</v>
      </c>
      <c r="O25" s="170">
        <f t="shared" si="4"/>
        <v>1.599</v>
      </c>
      <c r="P25" s="279">
        <v>0.05</v>
      </c>
      <c r="Q25" s="158"/>
      <c r="R25" s="158">
        <f t="shared" si="5"/>
        <v>8.2000000000000003E-2</v>
      </c>
      <c r="S25" s="170">
        <f t="shared" si="6"/>
        <v>4.2749999999999995</v>
      </c>
      <c r="T25" s="170">
        <f t="shared" si="7"/>
        <v>5.9149999999999991</v>
      </c>
      <c r="U25" s="170">
        <f t="shared" si="8"/>
        <v>1.23</v>
      </c>
      <c r="V25" s="159" t="s">
        <v>613</v>
      </c>
      <c r="X25" s="17"/>
      <c r="Y25" s="17"/>
    </row>
    <row r="26" spans="1:33" s="43" customFormat="1" ht="15" customHeight="1" x14ac:dyDescent="0.2">
      <c r="A26" s="188" t="s">
        <v>673</v>
      </c>
      <c r="B26" s="186"/>
      <c r="C26" s="186"/>
      <c r="D26" s="186"/>
      <c r="E26" s="186"/>
      <c r="F26" s="171">
        <v>2</v>
      </c>
      <c r="G26" s="47">
        <v>2.0499999999999998</v>
      </c>
      <c r="H26" s="47">
        <v>0.8</v>
      </c>
      <c r="I26" s="47">
        <f>0.65+0.15-0.05</f>
        <v>0.75</v>
      </c>
      <c r="J26" s="185">
        <f t="shared" si="0"/>
        <v>0.6</v>
      </c>
      <c r="K26" s="73"/>
      <c r="L26" s="73">
        <f t="shared" si="1"/>
        <v>5.9359999999999999</v>
      </c>
      <c r="M26" s="170">
        <f t="shared" si="2"/>
        <v>3.28</v>
      </c>
      <c r="N26" s="170">
        <f t="shared" si="3"/>
        <v>3.476</v>
      </c>
      <c r="O26" s="170">
        <f t="shared" si="4"/>
        <v>3.198</v>
      </c>
      <c r="P26" s="279">
        <v>0.05</v>
      </c>
      <c r="Q26" s="158"/>
      <c r="R26" s="158">
        <f t="shared" si="5"/>
        <v>0.16400000000000001</v>
      </c>
      <c r="S26" s="170">
        <f t="shared" si="6"/>
        <v>8.5499999999999989</v>
      </c>
      <c r="T26" s="170">
        <f t="shared" si="7"/>
        <v>15.11</v>
      </c>
      <c r="U26" s="170">
        <f t="shared" si="8"/>
        <v>2.46</v>
      </c>
      <c r="V26" s="159" t="s">
        <v>613</v>
      </c>
      <c r="X26" s="17"/>
      <c r="Y26" s="17"/>
    </row>
    <row r="27" spans="1:33" s="43" customFormat="1" ht="15" customHeight="1" x14ac:dyDescent="0.2">
      <c r="A27" s="188" t="s">
        <v>674</v>
      </c>
      <c r="B27" s="186"/>
      <c r="C27" s="186"/>
      <c r="D27" s="186"/>
      <c r="E27" s="186"/>
      <c r="F27" s="171">
        <v>4</v>
      </c>
      <c r="G27" s="47">
        <v>0.8</v>
      </c>
      <c r="H27" s="47">
        <v>0.8</v>
      </c>
      <c r="I27" s="47">
        <f>0.6+0.15-0.05</f>
        <v>0.7</v>
      </c>
      <c r="J27" s="185">
        <f t="shared" si="0"/>
        <v>0.6</v>
      </c>
      <c r="K27" s="73"/>
      <c r="L27" s="73">
        <f t="shared" si="1"/>
        <v>5.879999999999999</v>
      </c>
      <c r="M27" s="170">
        <f t="shared" si="2"/>
        <v>2.5600000000000005</v>
      </c>
      <c r="N27" s="170">
        <f t="shared" si="3"/>
        <v>4.0879999999999992</v>
      </c>
      <c r="O27" s="170">
        <f t="shared" si="4"/>
        <v>2.3295999999999997</v>
      </c>
      <c r="P27" s="279">
        <v>0.05</v>
      </c>
      <c r="Q27" s="158"/>
      <c r="R27" s="158">
        <f t="shared" si="5"/>
        <v>0.12800000000000003</v>
      </c>
      <c r="S27" s="170">
        <f t="shared" si="6"/>
        <v>8.9599999999999991</v>
      </c>
      <c r="T27" s="170">
        <f t="shared" si="7"/>
        <v>19.200000000000003</v>
      </c>
      <c r="U27" s="170">
        <f t="shared" si="8"/>
        <v>1.7919999999999998</v>
      </c>
      <c r="V27" s="159" t="s">
        <v>613</v>
      </c>
      <c r="X27" s="17"/>
      <c r="Y27" s="17"/>
    </row>
    <row r="28" spans="1:33" s="43" customFormat="1" ht="15" customHeight="1" x14ac:dyDescent="0.2">
      <c r="A28" s="188" t="s">
        <v>675</v>
      </c>
      <c r="B28" s="186"/>
      <c r="C28" s="186"/>
      <c r="D28" s="186"/>
      <c r="E28" s="186"/>
      <c r="F28" s="171">
        <v>7</v>
      </c>
      <c r="G28" s="47">
        <v>2.4</v>
      </c>
      <c r="H28" s="47">
        <v>0.9</v>
      </c>
      <c r="I28" s="47">
        <f>0.75+0.15-0.05</f>
        <v>0.85</v>
      </c>
      <c r="J28" s="185">
        <f t="shared" si="0"/>
        <v>0.6</v>
      </c>
      <c r="K28" s="73"/>
      <c r="L28" s="73">
        <f t="shared" si="1"/>
        <v>28.350000000000005</v>
      </c>
      <c r="M28" s="170">
        <f t="shared" si="2"/>
        <v>15.120000000000001</v>
      </c>
      <c r="N28" s="170">
        <f t="shared" si="3"/>
        <v>15.498000000000005</v>
      </c>
      <c r="O28" s="170">
        <f t="shared" si="4"/>
        <v>16.707599999999999</v>
      </c>
      <c r="P28" s="279">
        <v>0.05</v>
      </c>
      <c r="Q28" s="158"/>
      <c r="R28" s="158">
        <f t="shared" si="5"/>
        <v>0.75600000000000012</v>
      </c>
      <c r="S28" s="170">
        <f t="shared" si="6"/>
        <v>39.269999999999996</v>
      </c>
      <c r="T28" s="170">
        <f t="shared" si="7"/>
        <v>145.11000000000001</v>
      </c>
      <c r="U28" s="170">
        <f t="shared" si="8"/>
        <v>12.852</v>
      </c>
      <c r="V28" s="159" t="s">
        <v>613</v>
      </c>
      <c r="X28" s="17"/>
      <c r="Y28" s="17"/>
    </row>
    <row r="29" spans="1:33" s="43" customFormat="1" ht="15" customHeight="1" x14ac:dyDescent="0.2">
      <c r="A29" s="188" t="s">
        <v>676</v>
      </c>
      <c r="B29" s="186"/>
      <c r="C29" s="186"/>
      <c r="D29" s="186"/>
      <c r="E29" s="186"/>
      <c r="F29" s="171">
        <v>4</v>
      </c>
      <c r="G29" s="47">
        <v>2.4</v>
      </c>
      <c r="H29" s="47">
        <v>0.9</v>
      </c>
      <c r="I29" s="47">
        <f>0.75+0.15-0.05</f>
        <v>0.85</v>
      </c>
      <c r="J29" s="185">
        <f t="shared" si="0"/>
        <v>0.6</v>
      </c>
      <c r="K29" s="73"/>
      <c r="L29" s="73">
        <f t="shared" si="1"/>
        <v>16.200000000000003</v>
      </c>
      <c r="M29" s="170">
        <f t="shared" si="2"/>
        <v>8.64</v>
      </c>
      <c r="N29" s="170">
        <f t="shared" si="3"/>
        <v>8.8560000000000016</v>
      </c>
      <c r="O29" s="170">
        <f t="shared" si="4"/>
        <v>9.5472000000000019</v>
      </c>
      <c r="P29" s="279">
        <v>0.05</v>
      </c>
      <c r="Q29" s="158"/>
      <c r="R29" s="158">
        <f t="shared" si="5"/>
        <v>0.43200000000000005</v>
      </c>
      <c r="S29" s="170">
        <f t="shared" si="6"/>
        <v>22.439999999999998</v>
      </c>
      <c r="T29" s="170">
        <f t="shared" si="7"/>
        <v>57</v>
      </c>
      <c r="U29" s="170">
        <f t="shared" si="8"/>
        <v>7.3440000000000003</v>
      </c>
      <c r="V29" s="159" t="s">
        <v>613</v>
      </c>
      <c r="X29" s="17"/>
      <c r="Y29" s="17"/>
    </row>
    <row r="30" spans="1:33" s="43" customFormat="1" ht="15" customHeight="1" x14ac:dyDescent="0.2">
      <c r="A30" s="188" t="s">
        <v>677</v>
      </c>
      <c r="B30" s="186"/>
      <c r="C30" s="186"/>
      <c r="D30" s="186"/>
      <c r="E30" s="186"/>
      <c r="F30" s="171">
        <v>2</v>
      </c>
      <c r="G30" s="47">
        <v>2.0499999999999998</v>
      </c>
      <c r="H30" s="47">
        <v>0.8</v>
      </c>
      <c r="I30" s="47">
        <f>0.65+0.15-0.05</f>
        <v>0.75</v>
      </c>
      <c r="J30" s="185">
        <f t="shared" si="0"/>
        <v>0.6</v>
      </c>
      <c r="K30" s="73"/>
      <c r="L30" s="73">
        <f t="shared" si="1"/>
        <v>5.9359999999999999</v>
      </c>
      <c r="M30" s="170">
        <f t="shared" si="2"/>
        <v>3.28</v>
      </c>
      <c r="N30" s="170">
        <f t="shared" si="3"/>
        <v>3.476</v>
      </c>
      <c r="O30" s="170">
        <f t="shared" si="4"/>
        <v>3.198</v>
      </c>
      <c r="P30" s="279">
        <v>0.05</v>
      </c>
      <c r="Q30" s="158"/>
      <c r="R30" s="158">
        <f t="shared" si="5"/>
        <v>0.16400000000000001</v>
      </c>
      <c r="S30" s="170">
        <f t="shared" si="6"/>
        <v>8.5499999999999989</v>
      </c>
      <c r="T30" s="170">
        <f t="shared" si="7"/>
        <v>15.11</v>
      </c>
      <c r="U30" s="170">
        <f t="shared" si="8"/>
        <v>2.46</v>
      </c>
      <c r="V30" s="159" t="s">
        <v>613</v>
      </c>
      <c r="X30" s="17"/>
      <c r="Y30" s="17"/>
    </row>
    <row r="31" spans="1:33" s="43" customFormat="1" ht="16.149999999999999" customHeight="1" x14ac:dyDescent="0.2">
      <c r="A31" s="250" t="s">
        <v>678</v>
      </c>
      <c r="B31" s="250"/>
      <c r="C31" s="250"/>
      <c r="D31" s="250"/>
      <c r="E31" s="250"/>
      <c r="F31" s="250"/>
      <c r="G31" s="250"/>
      <c r="H31" s="250"/>
      <c r="I31" s="250"/>
      <c r="J31" s="250"/>
      <c r="K31" s="250"/>
      <c r="L31" s="250"/>
      <c r="M31" s="250"/>
      <c r="N31" s="250"/>
      <c r="O31" s="250"/>
      <c r="P31" s="273"/>
      <c r="Q31" s="181" t="s">
        <v>620</v>
      </c>
      <c r="R31" s="181" t="s">
        <v>80</v>
      </c>
      <c r="S31" s="250"/>
      <c r="T31" s="250"/>
      <c r="U31" s="250"/>
      <c r="V31" s="250"/>
      <c r="X31" s="4"/>
      <c r="Y31" s="4"/>
      <c r="Z31" s="4"/>
      <c r="AA31" s="4"/>
      <c r="AC31" s="4"/>
      <c r="AD31" s="4"/>
      <c r="AE31" s="4"/>
      <c r="AF31" s="4"/>
      <c r="AG31" s="4"/>
    </row>
    <row r="32" spans="1:33" s="43" customFormat="1" ht="15" customHeight="1" x14ac:dyDescent="0.2">
      <c r="A32" s="188" t="s">
        <v>679</v>
      </c>
      <c r="B32" s="186"/>
      <c r="C32" s="186"/>
      <c r="D32" s="186"/>
      <c r="E32" s="186"/>
      <c r="F32" s="171">
        <v>3</v>
      </c>
      <c r="G32" s="47">
        <v>2.75</v>
      </c>
      <c r="H32" s="47">
        <v>2.75</v>
      </c>
      <c r="I32" s="47">
        <f>1.15+0.15-0.05</f>
        <v>1.2499999999999998</v>
      </c>
      <c r="J32" s="185">
        <f t="shared" si="0"/>
        <v>1.2</v>
      </c>
      <c r="K32" s="73"/>
      <c r="L32" s="73">
        <f t="shared" si="1"/>
        <v>60.84975</v>
      </c>
      <c r="M32" s="170">
        <f t="shared" si="2"/>
        <v>22.6875</v>
      </c>
      <c r="N32" s="170">
        <f t="shared" si="3"/>
        <v>32.490375000000007</v>
      </c>
      <c r="O32" s="170">
        <f t="shared" si="4"/>
        <v>36.867187499999993</v>
      </c>
      <c r="P32" s="279">
        <v>0.05</v>
      </c>
      <c r="Q32" s="158"/>
      <c r="R32" s="158">
        <f t="shared" si="5"/>
        <v>1.1343750000000001</v>
      </c>
      <c r="S32" s="170">
        <f t="shared" si="6"/>
        <v>41.249999999999993</v>
      </c>
      <c r="T32" s="170">
        <f t="shared" si="7"/>
        <v>109.3125</v>
      </c>
      <c r="U32" s="170">
        <f t="shared" si="8"/>
        <v>28.359374999999993</v>
      </c>
      <c r="V32" s="159" t="s">
        <v>613</v>
      </c>
      <c r="X32" s="17"/>
      <c r="Y32" s="17"/>
    </row>
    <row r="33" spans="1:33" s="43" customFormat="1" ht="15" customHeight="1" x14ac:dyDescent="0.2">
      <c r="A33" s="188" t="s">
        <v>680</v>
      </c>
      <c r="B33" s="186"/>
      <c r="C33" s="186"/>
      <c r="D33" s="186"/>
      <c r="E33" s="186"/>
      <c r="F33" s="171">
        <v>1</v>
      </c>
      <c r="G33" s="47">
        <v>2.75</v>
      </c>
      <c r="H33" s="47">
        <v>4.5</v>
      </c>
      <c r="I33" s="47">
        <f>2.1+0.15-0.05</f>
        <v>2.2000000000000002</v>
      </c>
      <c r="J33" s="185">
        <f t="shared" si="0"/>
        <v>1.2</v>
      </c>
      <c r="K33" s="73"/>
      <c r="L33" s="73">
        <f t="shared" si="1"/>
        <v>50.658750000000005</v>
      </c>
      <c r="M33" s="170">
        <f t="shared" si="2"/>
        <v>12.375</v>
      </c>
      <c r="N33" s="170">
        <f t="shared" si="3"/>
        <v>23.433750000000003</v>
      </c>
      <c r="O33" s="170">
        <f t="shared" si="4"/>
        <v>35.392500000000005</v>
      </c>
      <c r="P33" s="279">
        <v>0.05</v>
      </c>
      <c r="Q33" s="158"/>
      <c r="R33" s="158">
        <f t="shared" si="5"/>
        <v>0.61875000000000002</v>
      </c>
      <c r="S33" s="170">
        <f t="shared" si="6"/>
        <v>31.900000000000002</v>
      </c>
      <c r="T33" s="170">
        <f t="shared" si="7"/>
        <v>44.275000000000006</v>
      </c>
      <c r="U33" s="170">
        <f t="shared" si="8"/>
        <v>27.225000000000001</v>
      </c>
      <c r="V33" s="159" t="s">
        <v>613</v>
      </c>
      <c r="X33" s="17"/>
      <c r="Y33" s="17"/>
    </row>
    <row r="34" spans="1:33" s="43" customFormat="1" ht="15" customHeight="1" x14ac:dyDescent="0.2">
      <c r="A34" s="188"/>
      <c r="B34" s="186"/>
      <c r="C34" s="186"/>
      <c r="D34" s="186"/>
      <c r="E34" s="186"/>
      <c r="F34" s="171"/>
      <c r="G34" s="47"/>
      <c r="H34" s="47"/>
      <c r="I34" s="47"/>
      <c r="J34" s="185">
        <f t="shared" si="0"/>
        <v>0.6</v>
      </c>
      <c r="K34" s="73"/>
      <c r="L34" s="73">
        <f t="shared" si="1"/>
        <v>0</v>
      </c>
      <c r="M34" s="170">
        <f t="shared" si="2"/>
        <v>0</v>
      </c>
      <c r="N34" s="170">
        <f t="shared" si="3"/>
        <v>0</v>
      </c>
      <c r="O34" s="170">
        <f t="shared" si="4"/>
        <v>0</v>
      </c>
      <c r="P34" s="279">
        <v>0.05</v>
      </c>
      <c r="Q34" s="158"/>
      <c r="R34" s="158">
        <f t="shared" si="5"/>
        <v>0</v>
      </c>
      <c r="S34" s="170">
        <f t="shared" si="6"/>
        <v>0</v>
      </c>
      <c r="T34" s="170">
        <f t="shared" si="7"/>
        <v>0</v>
      </c>
      <c r="U34" s="170">
        <f t="shared" si="8"/>
        <v>0</v>
      </c>
      <c r="V34" s="159" t="s">
        <v>613</v>
      </c>
      <c r="X34" s="17"/>
      <c r="Y34" s="17"/>
    </row>
    <row r="35" spans="1:33" s="43" customFormat="1" ht="15" customHeight="1" thickBot="1" x14ac:dyDescent="0.25">
      <c r="A35" s="188"/>
      <c r="B35" s="186"/>
      <c r="C35" s="186"/>
      <c r="D35" s="186"/>
      <c r="E35" s="186"/>
      <c r="F35" s="171"/>
      <c r="G35" s="47"/>
      <c r="H35" s="47"/>
      <c r="I35" s="47"/>
      <c r="J35" s="185">
        <f t="shared" si="0"/>
        <v>0.6</v>
      </c>
      <c r="K35" s="73"/>
      <c r="L35" s="73">
        <f t="shared" si="1"/>
        <v>0</v>
      </c>
      <c r="M35" s="170">
        <f t="shared" si="2"/>
        <v>0</v>
      </c>
      <c r="N35" s="170">
        <f t="shared" si="3"/>
        <v>0</v>
      </c>
      <c r="O35" s="170">
        <f t="shared" si="4"/>
        <v>0</v>
      </c>
      <c r="P35" s="279">
        <v>0.05</v>
      </c>
      <c r="Q35" s="158"/>
      <c r="R35" s="158">
        <f t="shared" si="5"/>
        <v>0</v>
      </c>
      <c r="S35" s="170">
        <f t="shared" si="6"/>
        <v>0</v>
      </c>
      <c r="T35" s="170">
        <f t="shared" si="7"/>
        <v>0</v>
      </c>
      <c r="U35" s="170">
        <f t="shared" si="8"/>
        <v>0</v>
      </c>
      <c r="V35" s="159" t="s">
        <v>613</v>
      </c>
      <c r="X35" s="17"/>
      <c r="Y35" s="17"/>
    </row>
    <row r="36" spans="1:33" ht="14.25" thickTop="1" thickBot="1" x14ac:dyDescent="0.25">
      <c r="A36" s="38" t="str">
        <f>"TOTAL GERAL - "&amp;A10</f>
        <v>TOTAL GERAL - BLOCOS QUADRADOS RETANGULARES</v>
      </c>
      <c r="B36" s="38"/>
      <c r="C36" s="38"/>
      <c r="D36" s="38"/>
      <c r="E36" s="38"/>
      <c r="F36" s="160"/>
      <c r="G36" s="38"/>
      <c r="H36" s="38"/>
      <c r="I36" s="58"/>
      <c r="J36" s="58"/>
      <c r="K36" s="58"/>
      <c r="L36" s="60">
        <f>SUM(L15:L35)</f>
        <v>333.88062500000001</v>
      </c>
      <c r="M36" s="60">
        <f>SUM(M15:M35)</f>
        <v>114.72812500000001</v>
      </c>
      <c r="N36" s="60">
        <f>SUM(N15:N35)</f>
        <v>186.92590625</v>
      </c>
      <c r="O36" s="60">
        <f>SUM(O15:O35)</f>
        <v>191.04113437499998</v>
      </c>
      <c r="P36" s="60"/>
      <c r="Q36" s="60">
        <f>SUM(Q15:Q35)</f>
        <v>0</v>
      </c>
      <c r="R36" s="60">
        <f>SUM(R15:R35)</f>
        <v>5.7364062500000008</v>
      </c>
      <c r="S36" s="60">
        <f>SUM(S15:S35)</f>
        <v>307.11</v>
      </c>
      <c r="T36" s="60">
        <f>SUM(T15:T35)</f>
        <v>681.07312500000012</v>
      </c>
      <c r="U36" s="60">
        <f>SUM(U15:U35)</f>
        <v>146.95471874999998</v>
      </c>
      <c r="V36" s="88"/>
      <c r="X36" s="17"/>
      <c r="Y36" s="17"/>
    </row>
    <row r="37" spans="1:33" ht="12" thickTop="1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33" ht="22.9" customHeight="1" x14ac:dyDescent="0.2">
      <c r="A38" s="1156" t="s">
        <v>98</v>
      </c>
      <c r="B38" s="1157"/>
      <c r="C38" s="1157"/>
      <c r="D38" s="1157"/>
      <c r="E38" s="1157"/>
      <c r="F38" s="1157"/>
      <c r="G38" s="1157"/>
      <c r="H38" s="1157"/>
      <c r="I38" s="1157"/>
      <c r="J38" s="1157"/>
      <c r="K38" s="1157"/>
      <c r="L38" s="1157"/>
      <c r="M38" s="1157"/>
      <c r="N38" s="1157"/>
      <c r="O38" s="1157"/>
      <c r="P38" s="1157"/>
      <c r="Q38" s="1157"/>
      <c r="R38" s="1157"/>
      <c r="S38" s="1157"/>
      <c r="T38" s="1157"/>
      <c r="U38" s="1157"/>
      <c r="V38" s="1158"/>
      <c r="X38" s="4" t="s">
        <v>618</v>
      </c>
    </row>
    <row r="39" spans="1:33" ht="24" x14ac:dyDescent="0.2">
      <c r="A39" s="1134" t="s">
        <v>6</v>
      </c>
      <c r="B39" s="1138"/>
      <c r="C39" s="503" t="s">
        <v>16</v>
      </c>
      <c r="D39" s="503" t="s">
        <v>84</v>
      </c>
      <c r="E39" s="503" t="s">
        <v>85</v>
      </c>
      <c r="F39" s="503" t="s">
        <v>86</v>
      </c>
      <c r="G39" s="503" t="s">
        <v>87</v>
      </c>
      <c r="H39" s="503" t="s">
        <v>88</v>
      </c>
      <c r="I39" s="503" t="s">
        <v>89</v>
      </c>
      <c r="J39" s="1159" t="s">
        <v>21</v>
      </c>
      <c r="K39" s="1122"/>
      <c r="L39" s="504" t="s">
        <v>450</v>
      </c>
      <c r="M39" s="505"/>
      <c r="N39" s="505"/>
      <c r="O39" s="505"/>
      <c r="P39" s="492"/>
      <c r="Q39" s="492"/>
      <c r="R39" s="492"/>
      <c r="S39" s="492"/>
      <c r="T39" s="493"/>
      <c r="U39" s="492"/>
      <c r="V39" s="492"/>
    </row>
    <row r="40" spans="1:33" ht="12.75" x14ac:dyDescent="0.2">
      <c r="A40" s="1135"/>
      <c r="B40" s="1139"/>
      <c r="C40" s="506" t="s">
        <v>90</v>
      </c>
      <c r="D40" s="506" t="s">
        <v>91</v>
      </c>
      <c r="E40" s="506" t="s">
        <v>92</v>
      </c>
      <c r="F40" s="506" t="s">
        <v>29</v>
      </c>
      <c r="G40" s="506" t="s">
        <v>93</v>
      </c>
      <c r="H40" s="506" t="s">
        <v>94</v>
      </c>
      <c r="I40" s="506" t="s">
        <v>95</v>
      </c>
      <c r="J40" s="496" t="s">
        <v>453</v>
      </c>
      <c r="K40" s="496" t="s">
        <v>52</v>
      </c>
      <c r="L40" s="497" t="s">
        <v>454</v>
      </c>
      <c r="M40" s="497" t="s">
        <v>455</v>
      </c>
      <c r="N40" s="497" t="s">
        <v>456</v>
      </c>
      <c r="O40" s="497" t="s">
        <v>457</v>
      </c>
      <c r="P40" s="1130" t="s">
        <v>619</v>
      </c>
      <c r="Q40" s="1131"/>
      <c r="R40" s="1132"/>
      <c r="S40" s="497" t="s">
        <v>458</v>
      </c>
      <c r="T40" s="497" t="s">
        <v>459</v>
      </c>
      <c r="U40" s="497" t="s">
        <v>80</v>
      </c>
      <c r="V40" s="497" t="s">
        <v>45</v>
      </c>
    </row>
    <row r="41" spans="1:33" ht="12.75" x14ac:dyDescent="0.2">
      <c r="A41" s="1136"/>
      <c r="B41" s="1140"/>
      <c r="C41" s="507" t="s">
        <v>97</v>
      </c>
      <c r="D41" s="507" t="s">
        <v>3</v>
      </c>
      <c r="E41" s="507" t="s">
        <v>3</v>
      </c>
      <c r="F41" s="507" t="s">
        <v>3</v>
      </c>
      <c r="G41" s="507" t="s">
        <v>3</v>
      </c>
      <c r="H41" s="507" t="s">
        <v>3</v>
      </c>
      <c r="I41" s="507" t="s">
        <v>3</v>
      </c>
      <c r="J41" s="500" t="s">
        <v>3</v>
      </c>
      <c r="K41" s="500" t="s">
        <v>3</v>
      </c>
      <c r="L41" s="500" t="s">
        <v>4</v>
      </c>
      <c r="M41" s="500" t="s">
        <v>1</v>
      </c>
      <c r="N41" s="500" t="s">
        <v>4</v>
      </c>
      <c r="O41" s="500" t="s">
        <v>4</v>
      </c>
      <c r="P41" s="501" t="s">
        <v>460</v>
      </c>
      <c r="Q41" s="502" t="s">
        <v>4</v>
      </c>
      <c r="R41" s="502" t="s">
        <v>4</v>
      </c>
      <c r="S41" s="500" t="s">
        <v>1</v>
      </c>
      <c r="T41" s="500" t="s">
        <v>1</v>
      </c>
      <c r="U41" s="500" t="s">
        <v>4</v>
      </c>
      <c r="V41" s="500"/>
    </row>
    <row r="42" spans="1:33" s="43" customFormat="1" ht="16.149999999999999" customHeight="1" x14ac:dyDescent="0.2">
      <c r="A42" s="250" t="s">
        <v>664</v>
      </c>
      <c r="B42" s="250"/>
      <c r="C42" s="250"/>
      <c r="D42" s="250"/>
      <c r="E42" s="250"/>
      <c r="F42" s="250"/>
      <c r="G42" s="250"/>
      <c r="H42" s="250"/>
      <c r="I42" s="250"/>
      <c r="J42" s="250"/>
      <c r="K42" s="250"/>
      <c r="L42" s="250"/>
      <c r="M42" s="250"/>
      <c r="N42" s="250"/>
      <c r="O42" s="250"/>
      <c r="P42" s="273"/>
      <c r="Q42" s="181" t="s">
        <v>620</v>
      </c>
      <c r="R42" s="181" t="s">
        <v>80</v>
      </c>
      <c r="S42" s="250"/>
      <c r="T42" s="250"/>
      <c r="U42" s="250"/>
      <c r="V42" s="250"/>
      <c r="X42" s="4"/>
      <c r="Y42" s="4"/>
      <c r="Z42" s="4"/>
      <c r="AA42" s="4"/>
      <c r="AC42" s="4"/>
      <c r="AD42" s="4"/>
      <c r="AE42" s="4"/>
      <c r="AF42" s="4"/>
      <c r="AG42" s="4"/>
    </row>
    <row r="43" spans="1:33" ht="12" x14ac:dyDescent="0.2">
      <c r="A43" s="188" t="s">
        <v>667</v>
      </c>
      <c r="B43" s="188"/>
      <c r="C43" s="163">
        <v>3</v>
      </c>
      <c r="D43" s="78">
        <f>0.5+0.41+1.105+0.5</f>
        <v>2.5149999999999997</v>
      </c>
      <c r="E43" s="78">
        <v>0.5</v>
      </c>
      <c r="F43" s="78">
        <f>(0.577+0.875)*2</f>
        <v>2.9039999999999999</v>
      </c>
      <c r="G43" s="78">
        <v>2.2799999999999998</v>
      </c>
      <c r="H43" s="78">
        <v>0.52</v>
      </c>
      <c r="I43" s="78">
        <f>0.95+0.15-0.05</f>
        <v>1.0499999999999998</v>
      </c>
      <c r="J43" s="170">
        <v>0.6</v>
      </c>
      <c r="K43" s="158"/>
      <c r="L43" s="158">
        <f>(D43+J43)*(F43+J43)*(I43+P43+K43)*C43</f>
        <v>36.019367999999986</v>
      </c>
      <c r="M43" s="158">
        <f>(((F43+G43)*E43/2)+((F43+H43)*(D43-E43))/2)*C43</f>
        <v>14.237039999999997</v>
      </c>
      <c r="N43" s="158">
        <f>L43-U43</f>
        <v>21.070475999999992</v>
      </c>
      <c r="O43" s="158">
        <f>(L43-N43)*1.3</f>
        <v>19.433559599999992</v>
      </c>
      <c r="P43" s="279">
        <v>0.05</v>
      </c>
      <c r="Q43" s="158"/>
      <c r="R43" s="158">
        <f>M43*P43</f>
        <v>0.71185199999999993</v>
      </c>
      <c r="S43" s="158">
        <f>(G43*I43+H43*I43+(((D43-E43)^2+((F43-H43)/2)^2)^(1/2))*I43*2+(((E43^2)+((F43-G43)/2)^2)^(1/2))*I43*2)*C43</f>
        <v>27.282348722556382</v>
      </c>
      <c r="T43" s="158"/>
      <c r="U43" s="158">
        <f>(((F43+G43)*E43/2)+((F43+H43)*(D43-E43))/2)*I43*C43</f>
        <v>14.948891999999994</v>
      </c>
      <c r="V43" s="159" t="s">
        <v>613</v>
      </c>
    </row>
    <row r="44" spans="1:33" s="43" customFormat="1" ht="16.149999999999999" customHeight="1" x14ac:dyDescent="0.2">
      <c r="A44" s="250" t="s">
        <v>668</v>
      </c>
      <c r="B44" s="250"/>
      <c r="C44" s="250"/>
      <c r="D44" s="250"/>
      <c r="E44" s="250"/>
      <c r="F44" s="250"/>
      <c r="G44" s="250"/>
      <c r="H44" s="250"/>
      <c r="I44" s="250"/>
      <c r="J44" s="250"/>
      <c r="K44" s="250"/>
      <c r="L44" s="250"/>
      <c r="M44" s="250"/>
      <c r="N44" s="250"/>
      <c r="O44" s="250"/>
      <c r="P44" s="273"/>
      <c r="Q44" s="181" t="s">
        <v>620</v>
      </c>
      <c r="R44" s="181" t="s">
        <v>80</v>
      </c>
      <c r="S44" s="250"/>
      <c r="T44" s="250"/>
      <c r="U44" s="250"/>
      <c r="V44" s="250"/>
      <c r="X44" s="4"/>
      <c r="Y44" s="4"/>
      <c r="Z44" s="4"/>
      <c r="AA44" s="4"/>
      <c r="AC44" s="4"/>
      <c r="AD44" s="4"/>
      <c r="AE44" s="4"/>
      <c r="AF44" s="4"/>
      <c r="AG44" s="4"/>
    </row>
    <row r="45" spans="1:33" ht="12" x14ac:dyDescent="0.2">
      <c r="A45" s="188" t="s">
        <v>669</v>
      </c>
      <c r="B45" s="188"/>
      <c r="C45" s="163">
        <v>1</v>
      </c>
      <c r="D45" s="78">
        <v>4.03</v>
      </c>
      <c r="E45" s="78">
        <f>0.5+1.516</f>
        <v>2.016</v>
      </c>
      <c r="F45" s="78">
        <f>0.577+0.875+1.75+1.75+0.875+0.577</f>
        <v>6.4039999999999999</v>
      </c>
      <c r="G45" s="78">
        <v>4.03</v>
      </c>
      <c r="H45" s="78">
        <v>4.03</v>
      </c>
      <c r="I45" s="78">
        <v>2.8</v>
      </c>
      <c r="J45" s="170">
        <v>0.6</v>
      </c>
      <c r="K45" s="158"/>
      <c r="L45" s="158">
        <f>(D45+J45)*(F45+J45)*(I45+P45+K45)*C45</f>
        <v>92.421281999999991</v>
      </c>
      <c r="M45" s="158">
        <f>(((F45+G45)*E45/2)+((F45+H45)*(D45-E45))/2)*C45</f>
        <v>21.024510000000003</v>
      </c>
      <c r="N45" s="158">
        <f>L45-U45</f>
        <v>33.55265399999999</v>
      </c>
      <c r="O45" s="158">
        <f>(L45-N45)*1.3</f>
        <v>76.52921640000001</v>
      </c>
      <c r="P45" s="279">
        <v>0.05</v>
      </c>
      <c r="Q45" s="158"/>
      <c r="R45" s="158">
        <f>M45*P45</f>
        <v>1.0512255000000001</v>
      </c>
      <c r="S45" s="158">
        <f>(G45*I45+H45*I45+(((D45-E45)^2+((F45-H45)/2)^2)^(1/2))*I45*2+(((E45^2)+((F45-G45)/2)^2)^(1/2))*I45*2)*C45</f>
        <v>48.760665532086421</v>
      </c>
      <c r="T45" s="158"/>
      <c r="U45" s="158">
        <f>(((F45+G45)*E45/2)+((F45+H45)*(D45-E45))/2)*I45*C45</f>
        <v>58.868628000000001</v>
      </c>
      <c r="V45" s="159" t="s">
        <v>613</v>
      </c>
    </row>
    <row r="46" spans="1:33" s="43" customFormat="1" ht="16.149999999999999" customHeight="1" x14ac:dyDescent="0.2">
      <c r="A46" s="250" t="s">
        <v>678</v>
      </c>
      <c r="B46" s="250"/>
      <c r="C46" s="250"/>
      <c r="D46" s="250"/>
      <c r="E46" s="250"/>
      <c r="F46" s="250"/>
      <c r="G46" s="250"/>
      <c r="H46" s="250"/>
      <c r="I46" s="250"/>
      <c r="J46" s="250"/>
      <c r="K46" s="250"/>
      <c r="L46" s="250"/>
      <c r="M46" s="250"/>
      <c r="N46" s="250"/>
      <c r="O46" s="250"/>
      <c r="P46" s="273"/>
      <c r="Q46" s="181" t="s">
        <v>620</v>
      </c>
      <c r="R46" s="181" t="s">
        <v>80</v>
      </c>
      <c r="S46" s="250"/>
      <c r="T46" s="250"/>
      <c r="U46" s="250"/>
      <c r="V46" s="250"/>
      <c r="X46" s="4"/>
      <c r="Y46" s="4"/>
      <c r="Z46" s="4"/>
      <c r="AA46" s="4"/>
      <c r="AC46" s="4"/>
      <c r="AD46" s="4"/>
      <c r="AE46" s="4"/>
      <c r="AF46" s="4"/>
      <c r="AG46" s="4"/>
    </row>
    <row r="47" spans="1:33" ht="12" x14ac:dyDescent="0.2">
      <c r="A47" s="188" t="s">
        <v>681</v>
      </c>
      <c r="B47" s="188"/>
      <c r="C47" s="163">
        <v>2</v>
      </c>
      <c r="D47" s="78">
        <f>0.5+1.01+0.505+0.5</f>
        <v>2.5150000000000001</v>
      </c>
      <c r="E47" s="78">
        <v>0.5</v>
      </c>
      <c r="F47" s="78">
        <f>0.577+0.875+0.875+0.577</f>
        <v>2.9039999999999999</v>
      </c>
      <c r="G47" s="78">
        <v>2.2799999999999998</v>
      </c>
      <c r="H47" s="78">
        <v>0.52</v>
      </c>
      <c r="I47" s="78">
        <f>0.95+0.15-0.05</f>
        <v>1.0499999999999998</v>
      </c>
      <c r="J47" s="170">
        <v>0.6</v>
      </c>
      <c r="K47" s="158"/>
      <c r="L47" s="158">
        <f>(D47+J47)*(F47+J47)*(I47+P47+K47)*C47</f>
        <v>24.012912</v>
      </c>
      <c r="M47" s="158">
        <f>(((F47+G47)*E47/2)+((F47+H47)*(D47-E47))/2)*C47</f>
        <v>9.4913600000000002</v>
      </c>
      <c r="N47" s="158">
        <f>L47-U47</f>
        <v>14.046984000000002</v>
      </c>
      <c r="O47" s="158">
        <f>(L47-N47)*1.3</f>
        <v>12.955706399999999</v>
      </c>
      <c r="P47" s="279">
        <v>0.05</v>
      </c>
      <c r="Q47" s="158"/>
      <c r="R47" s="158">
        <f>M47*P47</f>
        <v>0.47456800000000005</v>
      </c>
      <c r="S47" s="158">
        <f>(G47*I47+H47*I47+(((D47-E47)^2+((F47-H47)/2)^2)^(1/2))*I47*2+(((E47^2)+((F47-G47)/2)^2)^(1/2))*I47*2)*C47</f>
        <v>18.188232481704258</v>
      </c>
      <c r="T47" s="158"/>
      <c r="U47" s="158">
        <f>(((F47+G47)*E47/2)+((F47+H47)*(D47-E47))/2)*I47*C47</f>
        <v>9.9659279999999981</v>
      </c>
      <c r="V47" s="159" t="s">
        <v>613</v>
      </c>
    </row>
    <row r="48" spans="1:33" ht="12" x14ac:dyDescent="0.2">
      <c r="A48" s="188" t="s">
        <v>682</v>
      </c>
      <c r="B48" s="188"/>
      <c r="C48" s="163">
        <v>2</v>
      </c>
      <c r="D48" s="78">
        <f>0.45+0.433+0.866+0.45</f>
        <v>2.1990000000000003</v>
      </c>
      <c r="E48" s="78">
        <v>0.45</v>
      </c>
      <c r="F48" s="78">
        <f>0.52+0.75+0.75+0.52</f>
        <v>2.54</v>
      </c>
      <c r="G48" s="78">
        <v>1.96</v>
      </c>
      <c r="H48" s="78">
        <v>0.46</v>
      </c>
      <c r="I48" s="78">
        <f>0.8+0.15-0.05</f>
        <v>0.9</v>
      </c>
      <c r="J48" s="170">
        <v>0.6</v>
      </c>
      <c r="K48" s="158"/>
      <c r="L48" s="158">
        <f>(D48+J48)*(F48+J48)*(I48+P48+K48)*C48</f>
        <v>16.698834000000005</v>
      </c>
      <c r="M48" s="158">
        <f>(((F48+G48)*E48/2)+((F48+H48)*(D48-E48))/2)*C48</f>
        <v>7.2720000000000002</v>
      </c>
      <c r="N48" s="158">
        <f>L48-U48</f>
        <v>10.154034000000005</v>
      </c>
      <c r="O48" s="158">
        <f>(L48-N48)*1.3</f>
        <v>8.5082400000000007</v>
      </c>
      <c r="P48" s="279">
        <v>0.05</v>
      </c>
      <c r="Q48" s="158"/>
      <c r="R48" s="158">
        <f>M48*P48</f>
        <v>0.36360000000000003</v>
      </c>
      <c r="S48" s="158">
        <f>(G48*I48+H48*I48+(((D48-E48)^2+((F48-H48)/2)^2)^(1/2))*I48*2+(((E48^2)+((F48-G48)/2)^2)^(1/2))*I48*2)*C48</f>
        <v>13.608709307437548</v>
      </c>
      <c r="T48" s="158"/>
      <c r="U48" s="158">
        <f>(((F48+G48)*E48/2)+((F48+H48)*(D48-E48))/2)*I48*C48</f>
        <v>6.5448000000000004</v>
      </c>
      <c r="V48" s="159" t="s">
        <v>613</v>
      </c>
    </row>
    <row r="49" spans="1:27" ht="12.75" thickBot="1" x14ac:dyDescent="0.25">
      <c r="A49" s="188" t="s">
        <v>683</v>
      </c>
      <c r="B49" s="188"/>
      <c r="C49" s="163">
        <v>1</v>
      </c>
      <c r="D49" s="78">
        <v>2.1989999999999998</v>
      </c>
      <c r="E49" s="78">
        <v>0.45</v>
      </c>
      <c r="F49" s="78">
        <v>2.54</v>
      </c>
      <c r="G49" s="78">
        <v>1.97</v>
      </c>
      <c r="H49" s="78">
        <v>0.47</v>
      </c>
      <c r="I49" s="78">
        <f>0.65+0.15</f>
        <v>0.8</v>
      </c>
      <c r="J49" s="170">
        <v>0.6</v>
      </c>
      <c r="K49" s="158"/>
      <c r="L49" s="158">
        <f>(D49+J49)*(F49+J49)*(I49+P49+K49)*C49</f>
        <v>7.4705310000000003</v>
      </c>
      <c r="M49" s="158">
        <f>(((F49+G49)*E49/2)+((F49+H49)*(D49-E49))/2)*C49</f>
        <v>3.6469949999999995</v>
      </c>
      <c r="N49" s="158">
        <f>L49-U49</f>
        <v>4.5529350000000006</v>
      </c>
      <c r="O49" s="158">
        <f>(L49-N49)*1.3</f>
        <v>3.7928747999999994</v>
      </c>
      <c r="P49" s="279">
        <v>0.05</v>
      </c>
      <c r="Q49" s="158"/>
      <c r="R49" s="158">
        <f>M49*P49</f>
        <v>0.18234974999999998</v>
      </c>
      <c r="S49" s="158">
        <f>(G49*I49+H49*I49+(((D49-E49)^2+((F49-H49)/2)^2)^(1/2))*I49*2+(((E49^2)+((F49-G49)/2)^2)^(1/2))*I49*2)*C49</f>
        <v>6.055926677330203</v>
      </c>
      <c r="T49" s="158"/>
      <c r="U49" s="158">
        <f>(((F49+G49)*E49/2)+((F49+H49)*(D49-E49))/2)*I49*C49</f>
        <v>2.9175959999999996</v>
      </c>
      <c r="V49" s="159" t="s">
        <v>613</v>
      </c>
    </row>
    <row r="50" spans="1:27" ht="13.5" thickTop="1" thickBot="1" x14ac:dyDescent="0.25">
      <c r="A50" s="38" t="str">
        <f>"TOTAL GERAL - "&amp;A38</f>
        <v>TOTAL GERAL - BLOCOS TRIANGULARES</v>
      </c>
      <c r="B50" s="508"/>
      <c r="C50" s="160"/>
      <c r="D50" s="38"/>
      <c r="E50" s="38"/>
      <c r="F50" s="38"/>
      <c r="G50" s="38"/>
      <c r="H50" s="38"/>
      <c r="I50" s="38"/>
      <c r="J50" s="38"/>
      <c r="K50" s="38"/>
      <c r="L50" s="60">
        <f>SUM(L43:L49)</f>
        <v>176.62292699999998</v>
      </c>
      <c r="M50" s="60">
        <f>SUM(M43:M49)</f>
        <v>55.671904999999995</v>
      </c>
      <c r="N50" s="60">
        <f>SUM(N43:N49)</f>
        <v>83.377082999999999</v>
      </c>
      <c r="O50" s="60">
        <f>SUM(O43:O49)</f>
        <v>121.2195972</v>
      </c>
      <c r="P50" s="60"/>
      <c r="Q50" s="60">
        <f>SUM(Q43:Q49)</f>
        <v>0</v>
      </c>
      <c r="R50" s="60">
        <f>SUM(R43:R49)</f>
        <v>2.7835952500000003</v>
      </c>
      <c r="S50" s="60">
        <f>SUM(S43:S49)</f>
        <v>113.89588272111482</v>
      </c>
      <c r="T50" s="60">
        <f>SUM(T43:T49)</f>
        <v>0</v>
      </c>
      <c r="U50" s="60">
        <f>SUM(U43:U49)</f>
        <v>93.245843999999991</v>
      </c>
      <c r="V50" s="38"/>
    </row>
    <row r="51" spans="1:27" ht="12" thickTop="1" x14ac:dyDescent="0.2"/>
    <row r="53" spans="1:27" s="19" customFormat="1" ht="23.45" hidden="1" customHeight="1" x14ac:dyDescent="0.2">
      <c r="A53" s="1146" t="s">
        <v>447</v>
      </c>
      <c r="B53" s="1133"/>
      <c r="C53" s="1133"/>
      <c r="D53" s="1133"/>
      <c r="E53" s="1133"/>
      <c r="F53" s="1133"/>
      <c r="G53" s="1133"/>
      <c r="H53" s="1133"/>
      <c r="I53" s="1133"/>
      <c r="J53" s="1133"/>
      <c r="K53" s="1133"/>
      <c r="L53" s="1133"/>
      <c r="M53" s="1133"/>
      <c r="N53" s="1133"/>
      <c r="O53" s="1133"/>
      <c r="P53" s="1133"/>
      <c r="Q53" s="1133"/>
      <c r="R53" s="1133"/>
      <c r="S53" s="1133"/>
      <c r="T53" s="1133"/>
      <c r="U53" s="1133"/>
      <c r="V53" s="1133"/>
      <c r="W53" s="134"/>
      <c r="X53" s="4" t="s">
        <v>618</v>
      </c>
      <c r="Y53" s="4"/>
      <c r="Z53" s="4"/>
      <c r="AA53" s="4"/>
    </row>
    <row r="54" spans="1:27" s="40" customFormat="1" ht="15" hidden="1" customHeight="1" x14ac:dyDescent="0.2">
      <c r="A54" s="1134" t="s">
        <v>6</v>
      </c>
      <c r="B54" s="1134"/>
      <c r="C54" s="1141" t="s">
        <v>448</v>
      </c>
      <c r="D54" s="266" t="s">
        <v>449</v>
      </c>
      <c r="E54" s="267"/>
      <c r="F54" s="267"/>
      <c r="G54" s="267"/>
      <c r="H54" s="267"/>
      <c r="I54" s="267"/>
      <c r="J54" s="1144" t="s">
        <v>21</v>
      </c>
      <c r="K54" s="1145"/>
      <c r="L54" s="509" t="s">
        <v>450</v>
      </c>
      <c r="M54" s="510"/>
      <c r="N54" s="510"/>
      <c r="O54" s="510"/>
      <c r="P54" s="267"/>
      <c r="Q54" s="267"/>
      <c r="R54" s="267"/>
      <c r="S54" s="267"/>
      <c r="T54" s="268"/>
      <c r="U54" s="267"/>
      <c r="V54" s="267"/>
      <c r="X54" s="4"/>
      <c r="Y54" s="4"/>
      <c r="Z54" s="4"/>
      <c r="AA54" s="4"/>
    </row>
    <row r="55" spans="1:27" s="40" customFormat="1" ht="15" hidden="1" customHeight="1" x14ac:dyDescent="0.2">
      <c r="A55" s="1135"/>
      <c r="B55" s="1135"/>
      <c r="C55" s="1142"/>
      <c r="D55" s="269" t="s">
        <v>28</v>
      </c>
      <c r="E55" s="269" t="s">
        <v>29</v>
      </c>
      <c r="F55" s="269" t="s">
        <v>451</v>
      </c>
      <c r="G55" s="269" t="s">
        <v>30</v>
      </c>
      <c r="H55" s="269" t="s">
        <v>39</v>
      </c>
      <c r="I55" s="269" t="s">
        <v>452</v>
      </c>
      <c r="J55" s="270" t="s">
        <v>453</v>
      </c>
      <c r="K55" s="270" t="s">
        <v>52</v>
      </c>
      <c r="L55" s="269" t="s">
        <v>454</v>
      </c>
      <c r="M55" s="269" t="s">
        <v>455</v>
      </c>
      <c r="N55" s="269" t="s">
        <v>456</v>
      </c>
      <c r="O55" s="269" t="s">
        <v>457</v>
      </c>
      <c r="P55" s="1130" t="s">
        <v>619</v>
      </c>
      <c r="Q55" s="1131"/>
      <c r="R55" s="1132"/>
      <c r="S55" s="269" t="s">
        <v>458</v>
      </c>
      <c r="T55" s="269" t="s">
        <v>459</v>
      </c>
      <c r="U55" s="269" t="s">
        <v>80</v>
      </c>
      <c r="V55" s="269" t="s">
        <v>45</v>
      </c>
      <c r="X55" s="4"/>
      <c r="Y55" s="4"/>
      <c r="Z55" s="4"/>
      <c r="AA55" s="4"/>
    </row>
    <row r="56" spans="1:27" s="40" customFormat="1" ht="12.75" hidden="1" x14ac:dyDescent="0.2">
      <c r="A56" s="1136"/>
      <c r="B56" s="1136"/>
      <c r="C56" s="1143"/>
      <c r="D56" s="271" t="s">
        <v>3</v>
      </c>
      <c r="E56" s="271" t="s">
        <v>3</v>
      </c>
      <c r="F56" s="271" t="s">
        <v>3</v>
      </c>
      <c r="G56" s="478" t="s">
        <v>3</v>
      </c>
      <c r="H56" s="478" t="s">
        <v>3</v>
      </c>
      <c r="I56" s="478" t="s">
        <v>3</v>
      </c>
      <c r="J56" s="478" t="s">
        <v>3</v>
      </c>
      <c r="K56" s="478" t="s">
        <v>3</v>
      </c>
      <c r="L56" s="478" t="s">
        <v>4</v>
      </c>
      <c r="M56" s="478" t="s">
        <v>1</v>
      </c>
      <c r="N56" s="478" t="s">
        <v>4</v>
      </c>
      <c r="O56" s="478" t="s">
        <v>4</v>
      </c>
      <c r="P56" s="501" t="s">
        <v>460</v>
      </c>
      <c r="Q56" s="502" t="s">
        <v>4</v>
      </c>
      <c r="R56" s="502" t="s">
        <v>4</v>
      </c>
      <c r="S56" s="478" t="s">
        <v>1</v>
      </c>
      <c r="T56" s="478" t="s">
        <v>1</v>
      </c>
      <c r="U56" s="478" t="s">
        <v>4</v>
      </c>
      <c r="V56" s="478"/>
      <c r="X56" s="4"/>
      <c r="Y56" s="4"/>
      <c r="Z56" s="4"/>
      <c r="AA56" s="4"/>
    </row>
    <row r="57" spans="1:27" s="40" customFormat="1" ht="14.45" hidden="1" customHeight="1" x14ac:dyDescent="0.2">
      <c r="A57" s="272" t="s">
        <v>58</v>
      </c>
      <c r="B57" s="511"/>
      <c r="C57" s="273"/>
      <c r="D57" s="274"/>
      <c r="E57" s="273"/>
      <c r="F57" s="275"/>
      <c r="G57" s="274"/>
      <c r="H57" s="273"/>
      <c r="I57" s="275"/>
      <c r="J57" s="274"/>
      <c r="K57" s="274"/>
      <c r="L57" s="273"/>
      <c r="M57" s="274"/>
      <c r="N57" s="274"/>
      <c r="O57" s="274"/>
      <c r="P57" s="273"/>
      <c r="Q57" s="181" t="s">
        <v>620</v>
      </c>
      <c r="R57" s="181" t="s">
        <v>80</v>
      </c>
      <c r="S57" s="274">
        <f t="shared" ref="S57:S67" si="9">(((($D57+$E57)*2)*$F57)*$C57)+(((K57-0.1)*4*G57)*C57)</f>
        <v>0</v>
      </c>
      <c r="T57" s="274"/>
      <c r="U57" s="274">
        <f t="shared" ref="U57:U67" si="10">((($D57*$E57*$F57)+(($I57/6)*(($D57*$E57)+($G57*$H57)+(($D57+$G57)*($E57+$H57)))))*$C57)+((K57-0.1)*G57*H57*C57)</f>
        <v>0</v>
      </c>
      <c r="V57" s="274"/>
      <c r="X57" s="4"/>
      <c r="Y57" s="4"/>
      <c r="Z57" s="4"/>
      <c r="AA57" s="4"/>
    </row>
    <row r="58" spans="1:27" s="40" customFormat="1" ht="14.45" hidden="1" customHeight="1" x14ac:dyDescent="0.2">
      <c r="A58" s="276"/>
      <c r="B58" s="512"/>
      <c r="C58" s="277"/>
      <c r="D58" s="278"/>
      <c r="E58" s="278"/>
      <c r="F58" s="278"/>
      <c r="G58" s="278"/>
      <c r="H58" s="278"/>
      <c r="I58" s="278"/>
      <c r="J58" s="73">
        <f t="shared" ref="J58:J67" si="11">IF((D58+E58)&lt;=1,0.6,1.2)</f>
        <v>0.6</v>
      </c>
      <c r="K58" s="73"/>
      <c r="L58" s="73">
        <f t="shared" ref="L58:L67" si="12">(D58+J58)*(E58+J58)*(F58+I58+P58+K58)*C58</f>
        <v>0</v>
      </c>
      <c r="M58" s="73">
        <f t="shared" ref="M58:M67" si="13">$D58*$E58*$C58</f>
        <v>0</v>
      </c>
      <c r="N58" s="73">
        <f t="shared" ref="N58:N67" si="14">$L58-$U58-R58</f>
        <v>0</v>
      </c>
      <c r="O58" s="73">
        <f t="shared" ref="O58:O67" si="15">(L58-N58)*1.3</f>
        <v>0</v>
      </c>
      <c r="P58" s="279">
        <v>0.1</v>
      </c>
      <c r="Q58" s="73"/>
      <c r="R58" s="73">
        <f>($D58*$E58*$P58)*$C58</f>
        <v>0</v>
      </c>
      <c r="S58" s="73">
        <f t="shared" si="9"/>
        <v>0</v>
      </c>
      <c r="T58" s="73"/>
      <c r="U58" s="73">
        <f t="shared" si="10"/>
        <v>0</v>
      </c>
      <c r="V58" s="159" t="s">
        <v>613</v>
      </c>
      <c r="X58" s="4"/>
      <c r="Y58" s="4"/>
      <c r="Z58" s="4"/>
      <c r="AA58" s="4"/>
    </row>
    <row r="59" spans="1:27" s="40" customFormat="1" ht="14.45" hidden="1" customHeight="1" x14ac:dyDescent="0.2">
      <c r="A59" s="276"/>
      <c r="B59" s="512"/>
      <c r="C59" s="277"/>
      <c r="D59" s="278"/>
      <c r="E59" s="278"/>
      <c r="F59" s="278"/>
      <c r="G59" s="278"/>
      <c r="H59" s="278"/>
      <c r="I59" s="278"/>
      <c r="J59" s="73">
        <f t="shared" si="11"/>
        <v>0.6</v>
      </c>
      <c r="K59" s="73"/>
      <c r="L59" s="73">
        <f t="shared" si="12"/>
        <v>0</v>
      </c>
      <c r="M59" s="73">
        <f t="shared" si="13"/>
        <v>0</v>
      </c>
      <c r="N59" s="73">
        <f t="shared" si="14"/>
        <v>0</v>
      </c>
      <c r="O59" s="73">
        <f t="shared" si="15"/>
        <v>0</v>
      </c>
      <c r="P59" s="279">
        <v>0.1</v>
      </c>
      <c r="Q59" s="73"/>
      <c r="R59" s="73">
        <f t="shared" ref="R59:R67" si="16">($D59*$E59*$P59)*$C59</f>
        <v>0</v>
      </c>
      <c r="S59" s="73">
        <f t="shared" si="9"/>
        <v>0</v>
      </c>
      <c r="T59" s="73"/>
      <c r="U59" s="73">
        <f t="shared" si="10"/>
        <v>0</v>
      </c>
      <c r="V59" s="159" t="s">
        <v>613</v>
      </c>
      <c r="X59" s="4"/>
      <c r="Y59" s="4"/>
      <c r="Z59" s="4"/>
      <c r="AA59" s="4"/>
    </row>
    <row r="60" spans="1:27" s="40" customFormat="1" ht="14.45" hidden="1" customHeight="1" x14ac:dyDescent="0.2">
      <c r="A60" s="276"/>
      <c r="B60" s="512"/>
      <c r="C60" s="277"/>
      <c r="D60" s="278"/>
      <c r="E60" s="278"/>
      <c r="F60" s="278"/>
      <c r="G60" s="278"/>
      <c r="H60" s="278"/>
      <c r="I60" s="278"/>
      <c r="J60" s="73">
        <f t="shared" si="11"/>
        <v>0.6</v>
      </c>
      <c r="K60" s="73"/>
      <c r="L60" s="73">
        <f t="shared" si="12"/>
        <v>0</v>
      </c>
      <c r="M60" s="73">
        <f t="shared" si="13"/>
        <v>0</v>
      </c>
      <c r="N60" s="73">
        <f t="shared" si="14"/>
        <v>0</v>
      </c>
      <c r="O60" s="73">
        <f t="shared" si="15"/>
        <v>0</v>
      </c>
      <c r="P60" s="279">
        <v>0.1</v>
      </c>
      <c r="Q60" s="73"/>
      <c r="R60" s="73">
        <f t="shared" si="16"/>
        <v>0</v>
      </c>
      <c r="S60" s="73">
        <f t="shared" si="9"/>
        <v>0</v>
      </c>
      <c r="T60" s="73"/>
      <c r="U60" s="73">
        <f t="shared" si="10"/>
        <v>0</v>
      </c>
      <c r="V60" s="159" t="s">
        <v>613</v>
      </c>
      <c r="X60" s="4"/>
      <c r="Y60" s="4"/>
      <c r="Z60" s="4"/>
      <c r="AA60" s="4"/>
    </row>
    <row r="61" spans="1:27" s="40" customFormat="1" ht="14.45" hidden="1" customHeight="1" x14ac:dyDescent="0.2">
      <c r="A61" s="276"/>
      <c r="B61" s="512"/>
      <c r="C61" s="277"/>
      <c r="D61" s="278"/>
      <c r="E61" s="278"/>
      <c r="F61" s="278"/>
      <c r="G61" s="278"/>
      <c r="H61" s="278"/>
      <c r="I61" s="278"/>
      <c r="J61" s="73">
        <f t="shared" si="11"/>
        <v>0.6</v>
      </c>
      <c r="K61" s="73"/>
      <c r="L61" s="73">
        <f t="shared" si="12"/>
        <v>0</v>
      </c>
      <c r="M61" s="73">
        <f t="shared" si="13"/>
        <v>0</v>
      </c>
      <c r="N61" s="73">
        <f t="shared" si="14"/>
        <v>0</v>
      </c>
      <c r="O61" s="73">
        <f t="shared" si="15"/>
        <v>0</v>
      </c>
      <c r="P61" s="279">
        <v>0.1</v>
      </c>
      <c r="Q61" s="73"/>
      <c r="R61" s="73">
        <f t="shared" si="16"/>
        <v>0</v>
      </c>
      <c r="S61" s="73">
        <f t="shared" si="9"/>
        <v>0</v>
      </c>
      <c r="T61" s="73"/>
      <c r="U61" s="73">
        <f t="shared" si="10"/>
        <v>0</v>
      </c>
      <c r="V61" s="159" t="s">
        <v>613</v>
      </c>
      <c r="X61" s="4"/>
      <c r="Y61" s="4"/>
      <c r="Z61" s="4"/>
      <c r="AA61" s="4"/>
    </row>
    <row r="62" spans="1:27" s="40" customFormat="1" ht="14.45" hidden="1" customHeight="1" x14ac:dyDescent="0.2">
      <c r="A62" s="276"/>
      <c r="B62" s="512"/>
      <c r="C62" s="277"/>
      <c r="D62" s="278"/>
      <c r="E62" s="278"/>
      <c r="F62" s="278"/>
      <c r="G62" s="278"/>
      <c r="H62" s="278"/>
      <c r="I62" s="278"/>
      <c r="J62" s="73">
        <f t="shared" si="11"/>
        <v>0.6</v>
      </c>
      <c r="K62" s="73"/>
      <c r="L62" s="73">
        <f t="shared" si="12"/>
        <v>0</v>
      </c>
      <c r="M62" s="73">
        <f t="shared" si="13"/>
        <v>0</v>
      </c>
      <c r="N62" s="73">
        <f t="shared" si="14"/>
        <v>0</v>
      </c>
      <c r="O62" s="73">
        <f t="shared" si="15"/>
        <v>0</v>
      </c>
      <c r="P62" s="279">
        <v>0.1</v>
      </c>
      <c r="Q62" s="73"/>
      <c r="R62" s="73">
        <f t="shared" si="16"/>
        <v>0</v>
      </c>
      <c r="S62" s="73">
        <f t="shared" si="9"/>
        <v>0</v>
      </c>
      <c r="T62" s="73"/>
      <c r="U62" s="73">
        <f t="shared" si="10"/>
        <v>0</v>
      </c>
      <c r="V62" s="159" t="s">
        <v>613</v>
      </c>
      <c r="X62" s="4"/>
      <c r="Y62" s="4"/>
      <c r="Z62" s="4"/>
      <c r="AA62" s="4"/>
    </row>
    <row r="63" spans="1:27" s="40" customFormat="1" ht="14.45" hidden="1" customHeight="1" x14ac:dyDescent="0.2">
      <c r="A63" s="276"/>
      <c r="B63" s="512"/>
      <c r="C63" s="277"/>
      <c r="D63" s="278"/>
      <c r="E63" s="278"/>
      <c r="F63" s="278"/>
      <c r="G63" s="278"/>
      <c r="H63" s="278"/>
      <c r="I63" s="278"/>
      <c r="J63" s="73">
        <f t="shared" si="11"/>
        <v>0.6</v>
      </c>
      <c r="K63" s="73"/>
      <c r="L63" s="73">
        <f t="shared" si="12"/>
        <v>0</v>
      </c>
      <c r="M63" s="73">
        <f t="shared" si="13"/>
        <v>0</v>
      </c>
      <c r="N63" s="73">
        <f t="shared" si="14"/>
        <v>0</v>
      </c>
      <c r="O63" s="73">
        <f t="shared" si="15"/>
        <v>0</v>
      </c>
      <c r="P63" s="279">
        <v>0.1</v>
      </c>
      <c r="Q63" s="73"/>
      <c r="R63" s="73">
        <f t="shared" si="16"/>
        <v>0</v>
      </c>
      <c r="S63" s="73">
        <f t="shared" si="9"/>
        <v>0</v>
      </c>
      <c r="T63" s="73"/>
      <c r="U63" s="73">
        <f t="shared" si="10"/>
        <v>0</v>
      </c>
      <c r="V63" s="159" t="s">
        <v>613</v>
      </c>
      <c r="X63" s="4"/>
      <c r="Y63" s="4"/>
      <c r="Z63" s="4"/>
      <c r="AA63" s="4"/>
    </row>
    <row r="64" spans="1:27" s="40" customFormat="1" ht="14.45" hidden="1" customHeight="1" x14ac:dyDescent="0.2">
      <c r="A64" s="276"/>
      <c r="B64" s="512"/>
      <c r="C64" s="277"/>
      <c r="D64" s="278"/>
      <c r="E64" s="278"/>
      <c r="F64" s="278"/>
      <c r="G64" s="278"/>
      <c r="H64" s="278"/>
      <c r="I64" s="278"/>
      <c r="J64" s="73">
        <f t="shared" si="11"/>
        <v>0.6</v>
      </c>
      <c r="K64" s="73"/>
      <c r="L64" s="73">
        <f t="shared" si="12"/>
        <v>0</v>
      </c>
      <c r="M64" s="73">
        <f t="shared" si="13"/>
        <v>0</v>
      </c>
      <c r="N64" s="73">
        <f t="shared" si="14"/>
        <v>0</v>
      </c>
      <c r="O64" s="73">
        <f t="shared" si="15"/>
        <v>0</v>
      </c>
      <c r="P64" s="279">
        <v>0.1</v>
      </c>
      <c r="Q64" s="73"/>
      <c r="R64" s="73">
        <f t="shared" si="16"/>
        <v>0</v>
      </c>
      <c r="S64" s="73">
        <f t="shared" si="9"/>
        <v>0</v>
      </c>
      <c r="T64" s="73"/>
      <c r="U64" s="73">
        <f t="shared" si="10"/>
        <v>0</v>
      </c>
      <c r="V64" s="159" t="s">
        <v>613</v>
      </c>
      <c r="X64" s="4"/>
      <c r="Y64" s="4"/>
      <c r="Z64" s="4"/>
      <c r="AA64" s="4"/>
    </row>
    <row r="65" spans="1:31" s="40" customFormat="1" ht="14.45" hidden="1" customHeight="1" x14ac:dyDescent="0.2">
      <c r="A65" s="276"/>
      <c r="B65" s="512"/>
      <c r="C65" s="277"/>
      <c r="D65" s="278"/>
      <c r="E65" s="278"/>
      <c r="F65" s="280"/>
      <c r="G65" s="278"/>
      <c r="H65" s="278"/>
      <c r="I65" s="280"/>
      <c r="J65" s="73">
        <f t="shared" si="11"/>
        <v>0.6</v>
      </c>
      <c r="K65" s="73"/>
      <c r="L65" s="73">
        <f t="shared" si="12"/>
        <v>0</v>
      </c>
      <c r="M65" s="73">
        <f t="shared" si="13"/>
        <v>0</v>
      </c>
      <c r="N65" s="73">
        <f t="shared" si="14"/>
        <v>0</v>
      </c>
      <c r="O65" s="73">
        <f t="shared" si="15"/>
        <v>0</v>
      </c>
      <c r="P65" s="279">
        <v>0.1</v>
      </c>
      <c r="Q65" s="73"/>
      <c r="R65" s="73">
        <f t="shared" si="16"/>
        <v>0</v>
      </c>
      <c r="S65" s="73">
        <f t="shared" si="9"/>
        <v>0</v>
      </c>
      <c r="T65" s="73"/>
      <c r="U65" s="73">
        <f t="shared" si="10"/>
        <v>0</v>
      </c>
      <c r="V65" s="159" t="s">
        <v>613</v>
      </c>
      <c r="X65" s="4"/>
      <c r="Y65" s="4"/>
      <c r="Z65" s="4"/>
      <c r="AA65" s="4"/>
    </row>
    <row r="66" spans="1:31" s="40" customFormat="1" ht="14.45" hidden="1" customHeight="1" x14ac:dyDescent="0.2">
      <c r="A66" s="276"/>
      <c r="B66" s="512"/>
      <c r="C66" s="277"/>
      <c r="D66" s="278"/>
      <c r="E66" s="278"/>
      <c r="F66" s="280"/>
      <c r="G66" s="278"/>
      <c r="H66" s="278"/>
      <c r="I66" s="280"/>
      <c r="J66" s="73">
        <f t="shared" si="11"/>
        <v>0.6</v>
      </c>
      <c r="K66" s="73"/>
      <c r="L66" s="73">
        <f t="shared" si="12"/>
        <v>0</v>
      </c>
      <c r="M66" s="73">
        <f t="shared" si="13"/>
        <v>0</v>
      </c>
      <c r="N66" s="73">
        <f t="shared" si="14"/>
        <v>0</v>
      </c>
      <c r="O66" s="73">
        <f t="shared" si="15"/>
        <v>0</v>
      </c>
      <c r="P66" s="279">
        <v>0.1</v>
      </c>
      <c r="Q66" s="73"/>
      <c r="R66" s="73">
        <f t="shared" si="16"/>
        <v>0</v>
      </c>
      <c r="S66" s="73">
        <f t="shared" si="9"/>
        <v>0</v>
      </c>
      <c r="T66" s="73"/>
      <c r="U66" s="73">
        <f t="shared" si="10"/>
        <v>0</v>
      </c>
      <c r="V66" s="159" t="s">
        <v>613</v>
      </c>
      <c r="X66" s="4"/>
      <c r="Y66" s="4"/>
      <c r="Z66" s="4"/>
      <c r="AA66" s="4"/>
    </row>
    <row r="67" spans="1:31" s="40" customFormat="1" ht="14.45" hidden="1" customHeight="1" thickBot="1" x14ac:dyDescent="0.25">
      <c r="A67" s="276"/>
      <c r="B67" s="512"/>
      <c r="C67" s="277"/>
      <c r="D67" s="278"/>
      <c r="E67" s="278"/>
      <c r="F67" s="278"/>
      <c r="G67" s="278"/>
      <c r="H67" s="278"/>
      <c r="I67" s="278"/>
      <c r="J67" s="73">
        <f t="shared" si="11"/>
        <v>0.6</v>
      </c>
      <c r="K67" s="73"/>
      <c r="L67" s="73">
        <f t="shared" si="12"/>
        <v>0</v>
      </c>
      <c r="M67" s="73">
        <f t="shared" si="13"/>
        <v>0</v>
      </c>
      <c r="N67" s="73">
        <f t="shared" si="14"/>
        <v>0</v>
      </c>
      <c r="O67" s="73">
        <f t="shared" si="15"/>
        <v>0</v>
      </c>
      <c r="P67" s="279">
        <v>0.1</v>
      </c>
      <c r="Q67" s="73"/>
      <c r="R67" s="73">
        <f t="shared" si="16"/>
        <v>0</v>
      </c>
      <c r="S67" s="73">
        <f t="shared" si="9"/>
        <v>0</v>
      </c>
      <c r="T67" s="73"/>
      <c r="U67" s="73">
        <f t="shared" si="10"/>
        <v>0</v>
      </c>
      <c r="V67" s="159" t="s">
        <v>613</v>
      </c>
      <c r="X67" s="4"/>
      <c r="Y67" s="4"/>
      <c r="Z67" s="4"/>
      <c r="AA67" s="4"/>
    </row>
    <row r="68" spans="1:31" s="40" customFormat="1" ht="14.45" hidden="1" customHeight="1" thickTop="1" thickBot="1" x14ac:dyDescent="0.25">
      <c r="A68" s="38" t="str">
        <f>"TOTAL GERAL - "&amp;A53</f>
        <v>TOTAL GERAL - SAPATAS</v>
      </c>
      <c r="B68" s="508"/>
      <c r="C68" s="160"/>
      <c r="D68" s="160"/>
      <c r="E68" s="160"/>
      <c r="F68" s="160"/>
      <c r="G68" s="160"/>
      <c r="H68" s="160"/>
      <c r="I68" s="160"/>
      <c r="J68" s="160"/>
      <c r="K68" s="160"/>
      <c r="L68" s="160">
        <f>SUM(L57:L67)</f>
        <v>0</v>
      </c>
      <c r="M68" s="160">
        <f>SUM(M57:M67)</f>
        <v>0</v>
      </c>
      <c r="N68" s="160">
        <f>SUM(N57:N67)</f>
        <v>0</v>
      </c>
      <c r="O68" s="160">
        <f>SUM(O57:O67)</f>
        <v>0</v>
      </c>
      <c r="P68" s="160"/>
      <c r="Q68" s="160">
        <f>SUM(Q57:Q67)</f>
        <v>0</v>
      </c>
      <c r="R68" s="160">
        <f>SUM(R57:R67)</f>
        <v>0</v>
      </c>
      <c r="S68" s="160">
        <f>SUM(S57:S67)</f>
        <v>0</v>
      </c>
      <c r="T68" s="160">
        <f>SUM(T57:T67)</f>
        <v>0</v>
      </c>
      <c r="U68" s="160">
        <f>SUM(U57:U67)</f>
        <v>0</v>
      </c>
      <c r="V68" s="160"/>
      <c r="X68" s="4"/>
      <c r="Y68" s="4"/>
      <c r="Z68" s="4"/>
      <c r="AA68" s="4"/>
    </row>
    <row r="69" spans="1:31" s="40" customFormat="1" ht="12" hidden="1" x14ac:dyDescent="0.2">
      <c r="C69" s="50"/>
      <c r="D69" s="50"/>
      <c r="E69" s="50"/>
      <c r="F69" s="50"/>
      <c r="G69" s="50"/>
      <c r="H69" s="50"/>
      <c r="I69" s="50"/>
      <c r="J69" s="50"/>
      <c r="K69" s="281" t="s">
        <v>461</v>
      </c>
      <c r="L69" s="50"/>
      <c r="M69" s="50"/>
      <c r="N69" s="50"/>
      <c r="O69" s="50"/>
      <c r="P69" s="50"/>
      <c r="Q69" s="50"/>
      <c r="R69" s="50"/>
      <c r="S69" s="50"/>
      <c r="T69" s="50"/>
      <c r="U69" s="282"/>
    </row>
    <row r="70" spans="1:31" s="40" customFormat="1" ht="12" hidden="1" x14ac:dyDescent="0.2">
      <c r="C70" s="50"/>
      <c r="D70" s="50"/>
      <c r="E70" s="50"/>
      <c r="F70" s="50"/>
      <c r="G70" s="50"/>
      <c r="H70" s="50"/>
      <c r="I70" s="50"/>
      <c r="J70" s="50"/>
      <c r="K70" s="281"/>
      <c r="L70" s="50"/>
      <c r="M70" s="50"/>
      <c r="N70" s="50"/>
      <c r="O70" s="50"/>
      <c r="P70" s="50"/>
      <c r="Q70" s="50"/>
      <c r="R70" s="50"/>
      <c r="S70" s="50"/>
      <c r="T70" s="50"/>
      <c r="U70" s="282"/>
    </row>
    <row r="71" spans="1:31" s="40" customFormat="1" ht="12" x14ac:dyDescent="0.2">
      <c r="C71" s="50"/>
      <c r="D71" s="50"/>
      <c r="E71" s="50"/>
      <c r="F71" s="50"/>
      <c r="G71" s="50"/>
      <c r="H71" s="50"/>
      <c r="I71" s="50"/>
      <c r="J71" s="50"/>
      <c r="K71" s="281"/>
      <c r="L71" s="50"/>
      <c r="M71" s="50"/>
      <c r="N71" s="50"/>
      <c r="O71" s="50"/>
      <c r="P71" s="50"/>
      <c r="Q71" s="50"/>
      <c r="R71" s="50"/>
      <c r="S71" s="50"/>
      <c r="T71" s="50"/>
      <c r="U71" s="282"/>
    </row>
    <row r="72" spans="1:31" ht="18.75" x14ac:dyDescent="0.2">
      <c r="A72" s="513" t="s">
        <v>126</v>
      </c>
      <c r="B72" s="513"/>
      <c r="C72" s="513"/>
      <c r="D72" s="513"/>
      <c r="E72" s="513"/>
      <c r="F72" s="513"/>
      <c r="G72" s="513"/>
      <c r="H72" s="513"/>
      <c r="I72" s="513"/>
      <c r="J72" s="513"/>
      <c r="K72" s="513"/>
      <c r="L72" s="513"/>
      <c r="M72" s="513"/>
      <c r="N72" s="513"/>
      <c r="O72" s="513"/>
      <c r="P72" s="513"/>
      <c r="Q72" s="513"/>
      <c r="R72" s="513"/>
      <c r="S72" s="513"/>
      <c r="T72" s="513"/>
      <c r="U72" s="513"/>
      <c r="V72" s="513"/>
      <c r="W72" s="40"/>
      <c r="X72" s="40"/>
      <c r="Y72" s="40"/>
      <c r="Z72" s="40"/>
    </row>
    <row r="73" spans="1:31" ht="12.75" x14ac:dyDescent="0.2">
      <c r="A73" s="1134" t="s">
        <v>6</v>
      </c>
      <c r="B73" s="1113"/>
      <c r="C73" s="1113"/>
      <c r="D73" s="1113"/>
      <c r="E73" s="1138" t="s">
        <v>448</v>
      </c>
      <c r="F73" s="492" t="s">
        <v>449</v>
      </c>
      <c r="G73" s="492"/>
      <c r="H73" s="492"/>
      <c r="I73" s="514"/>
      <c r="J73" s="1121" t="s">
        <v>21</v>
      </c>
      <c r="K73" s="1122"/>
      <c r="L73" s="491" t="s">
        <v>450</v>
      </c>
      <c r="M73" s="492"/>
      <c r="N73" s="492"/>
      <c r="O73" s="492"/>
      <c r="P73" s="492"/>
      <c r="Q73" s="492"/>
      <c r="R73" s="492"/>
      <c r="S73" s="492"/>
      <c r="T73" s="493"/>
      <c r="U73" s="492"/>
      <c r="V73" s="492"/>
      <c r="X73" s="284"/>
      <c r="Y73" s="284"/>
      <c r="AE73" s="40"/>
    </row>
    <row r="74" spans="1:31" ht="12.75" x14ac:dyDescent="0.2">
      <c r="A74" s="1135"/>
      <c r="B74" s="1137"/>
      <c r="C74" s="1137"/>
      <c r="D74" s="1137"/>
      <c r="E74" s="1139"/>
      <c r="F74" s="494" t="s">
        <v>34</v>
      </c>
      <c r="G74" s="495" t="s">
        <v>37</v>
      </c>
      <c r="H74" s="495" t="s">
        <v>36</v>
      </c>
      <c r="I74" s="515"/>
      <c r="J74" s="496" t="s">
        <v>453</v>
      </c>
      <c r="K74" s="496" t="s">
        <v>52</v>
      </c>
      <c r="L74" s="497" t="s">
        <v>454</v>
      </c>
      <c r="M74" s="497" t="s">
        <v>455</v>
      </c>
      <c r="N74" s="497" t="s">
        <v>456</v>
      </c>
      <c r="O74" s="497" t="s">
        <v>457</v>
      </c>
      <c r="P74" s="1130" t="s">
        <v>619</v>
      </c>
      <c r="Q74" s="1131"/>
      <c r="R74" s="1132"/>
      <c r="S74" s="497" t="s">
        <v>458</v>
      </c>
      <c r="T74" s="497" t="s">
        <v>459</v>
      </c>
      <c r="U74" s="497" t="s">
        <v>80</v>
      </c>
      <c r="V74" s="497" t="s">
        <v>45</v>
      </c>
      <c r="X74" s="284"/>
      <c r="Y74" s="284"/>
      <c r="AE74" s="40"/>
    </row>
    <row r="75" spans="1:31" ht="12.75" x14ac:dyDescent="0.2">
      <c r="A75" s="1136"/>
      <c r="B75" s="1114"/>
      <c r="C75" s="1114"/>
      <c r="D75" s="1114"/>
      <c r="E75" s="1140"/>
      <c r="F75" s="498" t="s">
        <v>28</v>
      </c>
      <c r="G75" s="499" t="s">
        <v>30</v>
      </c>
      <c r="H75" s="499" t="s">
        <v>29</v>
      </c>
      <c r="I75" s="499" t="s">
        <v>31</v>
      </c>
      <c r="J75" s="500" t="s">
        <v>3</v>
      </c>
      <c r="K75" s="500" t="s">
        <v>3</v>
      </c>
      <c r="L75" s="500" t="s">
        <v>4</v>
      </c>
      <c r="M75" s="500" t="s">
        <v>1</v>
      </c>
      <c r="N75" s="500" t="s">
        <v>4</v>
      </c>
      <c r="O75" s="500" t="s">
        <v>4</v>
      </c>
      <c r="P75" s="501" t="s">
        <v>460</v>
      </c>
      <c r="Q75" s="502" t="s">
        <v>4</v>
      </c>
      <c r="R75" s="502" t="s">
        <v>4</v>
      </c>
      <c r="S75" s="500" t="s">
        <v>1</v>
      </c>
      <c r="T75" s="500" t="s">
        <v>1</v>
      </c>
      <c r="U75" s="500" t="s">
        <v>4</v>
      </c>
      <c r="V75" s="500"/>
    </row>
    <row r="76" spans="1:31" ht="12" x14ac:dyDescent="0.2">
      <c r="A76" s="173" t="s">
        <v>684</v>
      </c>
      <c r="B76" s="175"/>
      <c r="C76" s="175"/>
      <c r="D76" s="175"/>
      <c r="E76" s="175"/>
      <c r="F76" s="174"/>
      <c r="G76" s="174"/>
      <c r="H76" s="174"/>
      <c r="I76" s="175"/>
      <c r="J76" s="174"/>
      <c r="K76" s="175"/>
      <c r="L76" s="175"/>
      <c r="M76" s="175"/>
      <c r="N76" s="175"/>
      <c r="O76" s="175"/>
      <c r="P76" s="273"/>
      <c r="Q76" s="181" t="s">
        <v>620</v>
      </c>
      <c r="R76" s="181" t="s">
        <v>80</v>
      </c>
      <c r="S76" s="175"/>
      <c r="T76" s="176"/>
      <c r="U76" s="175"/>
      <c r="V76" s="174"/>
    </row>
    <row r="77" spans="1:31" ht="12" x14ac:dyDescent="0.2">
      <c r="A77" s="81" t="s">
        <v>685</v>
      </c>
      <c r="B77" s="81"/>
      <c r="C77" s="81"/>
      <c r="D77" s="81"/>
      <c r="E77" s="79">
        <v>2</v>
      </c>
      <c r="F77" s="77">
        <v>0.15</v>
      </c>
      <c r="G77" s="78">
        <v>4.91</v>
      </c>
      <c r="H77" s="77">
        <v>0.95</v>
      </c>
      <c r="I77" s="80">
        <v>2</v>
      </c>
      <c r="J77" s="73">
        <f t="shared" ref="J77:J97" si="17">IF(H77&lt;=1,0.6,1.2)</f>
        <v>0.6</v>
      </c>
      <c r="K77" s="73"/>
      <c r="L77" s="73">
        <f t="shared" ref="L77:L97" si="18">((F77+J77)*(H77+K77)*G77)*E77</f>
        <v>6.9967499999999996</v>
      </c>
      <c r="M77" s="73">
        <f t="shared" ref="M77:M97" si="19">(F77)*(G77)*E77</f>
        <v>1.4730000000000001</v>
      </c>
      <c r="N77" s="73">
        <f t="shared" ref="N77:N97" si="20">L77-U77</f>
        <v>5.5973999999999995</v>
      </c>
      <c r="O77" s="73">
        <f t="shared" ref="O77:O97" si="21">(L77-N77)*1.3</f>
        <v>1.8191550000000001</v>
      </c>
      <c r="P77" s="279">
        <v>0.05</v>
      </c>
      <c r="Q77" s="73"/>
      <c r="R77" s="73">
        <f>M77*$P77</f>
        <v>7.3650000000000007E-2</v>
      </c>
      <c r="S77" s="73">
        <f t="shared" ref="S77:S97" si="22">((G77*H77*I77))*E77</f>
        <v>18.658000000000001</v>
      </c>
      <c r="T77" s="177">
        <f t="shared" ref="T77:T97" si="23">S77+G77*F77</f>
        <v>19.394500000000001</v>
      </c>
      <c r="U77" s="73">
        <f t="shared" ref="U77:U97" si="24">F77*H77*G77*E77</f>
        <v>1.3993499999999999</v>
      </c>
      <c r="V77" s="159" t="s">
        <v>613</v>
      </c>
    </row>
    <row r="78" spans="1:31" ht="12" x14ac:dyDescent="0.2">
      <c r="A78" s="81" t="s">
        <v>686</v>
      </c>
      <c r="B78" s="81"/>
      <c r="C78" s="81"/>
      <c r="D78" s="81"/>
      <c r="E78" s="79">
        <v>2</v>
      </c>
      <c r="F78" s="77">
        <v>0.15</v>
      </c>
      <c r="G78" s="78">
        <v>1.05</v>
      </c>
      <c r="H78" s="77">
        <v>0.95</v>
      </c>
      <c r="I78" s="80">
        <v>2</v>
      </c>
      <c r="J78" s="73">
        <f t="shared" si="17"/>
        <v>0.6</v>
      </c>
      <c r="K78" s="73"/>
      <c r="L78" s="73">
        <f t="shared" si="18"/>
        <v>1.4962499999999999</v>
      </c>
      <c r="M78" s="73">
        <f t="shared" si="19"/>
        <v>0.315</v>
      </c>
      <c r="N78" s="73">
        <f t="shared" si="20"/>
        <v>1.1969999999999998</v>
      </c>
      <c r="O78" s="73">
        <f t="shared" si="21"/>
        <v>0.38902500000000001</v>
      </c>
      <c r="P78" s="279">
        <v>0.05</v>
      </c>
      <c r="Q78" s="73"/>
      <c r="R78" s="73">
        <f>M78*$P78</f>
        <v>1.575E-2</v>
      </c>
      <c r="S78" s="73">
        <f t="shared" si="22"/>
        <v>3.9899999999999998</v>
      </c>
      <c r="T78" s="177">
        <f t="shared" si="23"/>
        <v>4.1475</v>
      </c>
      <c r="U78" s="73">
        <f t="shared" si="24"/>
        <v>0.29924999999999996</v>
      </c>
      <c r="V78" s="159" t="s">
        <v>613</v>
      </c>
    </row>
    <row r="79" spans="1:31" ht="12" x14ac:dyDescent="0.2">
      <c r="A79" s="81" t="s">
        <v>687</v>
      </c>
      <c r="B79" s="81"/>
      <c r="C79" s="81"/>
      <c r="D79" s="81"/>
      <c r="E79" s="79">
        <v>1</v>
      </c>
      <c r="F79" s="77">
        <v>0.7</v>
      </c>
      <c r="G79" s="78">
        <v>3.75</v>
      </c>
      <c r="H79" s="77">
        <v>0.45</v>
      </c>
      <c r="I79" s="80">
        <v>2</v>
      </c>
      <c r="J79" s="73">
        <f t="shared" si="17"/>
        <v>0.6</v>
      </c>
      <c r="K79" s="73"/>
      <c r="L79" s="73">
        <f t="shared" si="18"/>
        <v>2.1937499999999996</v>
      </c>
      <c r="M79" s="73">
        <f t="shared" si="19"/>
        <v>2.625</v>
      </c>
      <c r="N79" s="73">
        <f t="shared" si="20"/>
        <v>1.0124999999999997</v>
      </c>
      <c r="O79" s="73">
        <f t="shared" si="21"/>
        <v>1.535625</v>
      </c>
      <c r="P79" s="279">
        <v>0.05</v>
      </c>
      <c r="Q79" s="73"/>
      <c r="R79" s="73">
        <f>M79*$P79</f>
        <v>0.13125000000000001</v>
      </c>
      <c r="S79" s="73">
        <f t="shared" si="22"/>
        <v>3.375</v>
      </c>
      <c r="T79" s="177">
        <f t="shared" si="23"/>
        <v>6</v>
      </c>
      <c r="U79" s="73">
        <f t="shared" si="24"/>
        <v>1.1812499999999999</v>
      </c>
      <c r="V79" s="159" t="s">
        <v>613</v>
      </c>
    </row>
    <row r="80" spans="1:31" ht="12" x14ac:dyDescent="0.2">
      <c r="A80" s="81" t="s">
        <v>688</v>
      </c>
      <c r="B80" s="81"/>
      <c r="C80" s="81"/>
      <c r="D80" s="81"/>
      <c r="E80" s="79">
        <v>1</v>
      </c>
      <c r="F80" s="77">
        <v>0.2</v>
      </c>
      <c r="G80" s="78">
        <v>3.17</v>
      </c>
      <c r="H80" s="77">
        <v>0.45</v>
      </c>
      <c r="I80" s="80">
        <v>2</v>
      </c>
      <c r="J80" s="73">
        <f t="shared" si="17"/>
        <v>0.6</v>
      </c>
      <c r="K80" s="73"/>
      <c r="L80" s="73">
        <f t="shared" si="18"/>
        <v>1.1412000000000002</v>
      </c>
      <c r="M80" s="73">
        <f t="shared" si="19"/>
        <v>0.63400000000000001</v>
      </c>
      <c r="N80" s="73">
        <f t="shared" si="20"/>
        <v>0.85590000000000011</v>
      </c>
      <c r="O80" s="73">
        <f t="shared" si="21"/>
        <v>0.37089000000000016</v>
      </c>
      <c r="P80" s="279">
        <v>0.05</v>
      </c>
      <c r="Q80" s="73"/>
      <c r="R80" s="73">
        <f>M80*$P80</f>
        <v>3.1699999999999999E-2</v>
      </c>
      <c r="S80" s="73">
        <f t="shared" si="22"/>
        <v>2.8530000000000002</v>
      </c>
      <c r="T80" s="177">
        <f t="shared" si="23"/>
        <v>3.4870000000000001</v>
      </c>
      <c r="U80" s="73">
        <f t="shared" si="24"/>
        <v>0.28530000000000005</v>
      </c>
      <c r="V80" s="159" t="s">
        <v>613</v>
      </c>
    </row>
    <row r="81" spans="1:22" ht="12" x14ac:dyDescent="0.2">
      <c r="A81" s="81" t="s">
        <v>689</v>
      </c>
      <c r="B81" s="81"/>
      <c r="C81" s="81"/>
      <c r="D81" s="81"/>
      <c r="E81" s="79">
        <v>1</v>
      </c>
      <c r="F81" s="77">
        <v>0.2</v>
      </c>
      <c r="G81" s="78">
        <f>3.191+4.987+6.949+5.57+3.422</f>
        <v>24.119000000000003</v>
      </c>
      <c r="H81" s="77">
        <v>0.45</v>
      </c>
      <c r="I81" s="80">
        <v>2</v>
      </c>
      <c r="J81" s="73">
        <f t="shared" si="17"/>
        <v>0.6</v>
      </c>
      <c r="K81" s="73"/>
      <c r="L81" s="73">
        <f t="shared" si="18"/>
        <v>8.6828400000000023</v>
      </c>
      <c r="M81" s="73">
        <f t="shared" si="19"/>
        <v>4.8238000000000012</v>
      </c>
      <c r="N81" s="73">
        <f t="shared" si="20"/>
        <v>6.5121300000000018</v>
      </c>
      <c r="O81" s="73">
        <f t="shared" si="21"/>
        <v>2.8219230000000008</v>
      </c>
      <c r="P81" s="279">
        <v>0.05</v>
      </c>
      <c r="Q81" s="73"/>
      <c r="R81" s="73">
        <f>M81*$P81</f>
        <v>0.24119000000000007</v>
      </c>
      <c r="S81" s="73">
        <f t="shared" si="22"/>
        <v>21.707100000000004</v>
      </c>
      <c r="T81" s="177">
        <f t="shared" si="23"/>
        <v>26.530900000000006</v>
      </c>
      <c r="U81" s="73">
        <f t="shared" si="24"/>
        <v>2.1707100000000006</v>
      </c>
      <c r="V81" s="159" t="s">
        <v>613</v>
      </c>
    </row>
    <row r="82" spans="1:22" ht="12" x14ac:dyDescent="0.2">
      <c r="A82" s="81" t="s">
        <v>690</v>
      </c>
      <c r="B82" s="81"/>
      <c r="C82" s="81"/>
      <c r="D82" s="81"/>
      <c r="E82" s="79">
        <v>1</v>
      </c>
      <c r="F82" s="77">
        <v>0.2</v>
      </c>
      <c r="G82" s="78">
        <v>5.37</v>
      </c>
      <c r="H82" s="77">
        <v>0.45</v>
      </c>
      <c r="I82" s="80">
        <v>2</v>
      </c>
      <c r="J82" s="73">
        <f t="shared" si="17"/>
        <v>0.6</v>
      </c>
      <c r="K82" s="73"/>
      <c r="L82" s="73">
        <f t="shared" si="18"/>
        <v>1.9332000000000003</v>
      </c>
      <c r="M82" s="73">
        <f t="shared" si="19"/>
        <v>1.0740000000000001</v>
      </c>
      <c r="N82" s="73">
        <f t="shared" si="20"/>
        <v>1.4499000000000002</v>
      </c>
      <c r="O82" s="73">
        <f t="shared" si="21"/>
        <v>0.62829000000000013</v>
      </c>
      <c r="P82" s="279">
        <v>0.05</v>
      </c>
      <c r="Q82" s="73"/>
      <c r="R82" s="73">
        <f t="shared" ref="R82:R97" si="25">M82*$P82</f>
        <v>5.3700000000000005E-2</v>
      </c>
      <c r="S82" s="73">
        <f t="shared" si="22"/>
        <v>4.8330000000000002</v>
      </c>
      <c r="T82" s="177">
        <f t="shared" si="23"/>
        <v>5.907</v>
      </c>
      <c r="U82" s="73">
        <f t="shared" si="24"/>
        <v>0.48330000000000006</v>
      </c>
      <c r="V82" s="159" t="s">
        <v>613</v>
      </c>
    </row>
    <row r="83" spans="1:22" ht="12" x14ac:dyDescent="0.2">
      <c r="A83" s="81" t="s">
        <v>691</v>
      </c>
      <c r="B83" s="81"/>
      <c r="C83" s="81"/>
      <c r="D83" s="81"/>
      <c r="E83" s="79">
        <v>1</v>
      </c>
      <c r="F83" s="77">
        <v>0.25</v>
      </c>
      <c r="G83" s="78">
        <v>4.7430000000000003</v>
      </c>
      <c r="H83" s="77">
        <v>0.45</v>
      </c>
      <c r="I83" s="80">
        <v>2</v>
      </c>
      <c r="J83" s="73">
        <f t="shared" si="17"/>
        <v>0.6</v>
      </c>
      <c r="K83" s="73"/>
      <c r="L83" s="73">
        <f t="shared" si="18"/>
        <v>1.8141975000000001</v>
      </c>
      <c r="M83" s="73">
        <f t="shared" si="19"/>
        <v>1.1857500000000001</v>
      </c>
      <c r="N83" s="73">
        <f t="shared" si="20"/>
        <v>1.28061</v>
      </c>
      <c r="O83" s="73">
        <f t="shared" si="21"/>
        <v>0.69366375000000013</v>
      </c>
      <c r="P83" s="279">
        <v>0.05</v>
      </c>
      <c r="Q83" s="73"/>
      <c r="R83" s="73">
        <f t="shared" si="25"/>
        <v>5.9287500000000007E-2</v>
      </c>
      <c r="S83" s="73">
        <f t="shared" si="22"/>
        <v>4.2687000000000008</v>
      </c>
      <c r="T83" s="177">
        <f t="shared" si="23"/>
        <v>5.4544500000000014</v>
      </c>
      <c r="U83" s="73">
        <f t="shared" si="24"/>
        <v>0.5335875000000001</v>
      </c>
      <c r="V83" s="159" t="s">
        <v>613</v>
      </c>
    </row>
    <row r="84" spans="1:22" ht="12" x14ac:dyDescent="0.2">
      <c r="A84" s="81" t="s">
        <v>692</v>
      </c>
      <c r="B84" s="81"/>
      <c r="C84" s="81"/>
      <c r="D84" s="81"/>
      <c r="E84" s="79">
        <v>1</v>
      </c>
      <c r="F84" s="77">
        <v>0.8</v>
      </c>
      <c r="G84" s="78">
        <f>2.054+0.4</f>
        <v>2.4539999999999997</v>
      </c>
      <c r="H84" s="77">
        <v>0.45</v>
      </c>
      <c r="I84" s="80">
        <v>2</v>
      </c>
      <c r="J84" s="73">
        <f t="shared" si="17"/>
        <v>0.6</v>
      </c>
      <c r="K84" s="73"/>
      <c r="L84" s="73">
        <f t="shared" si="18"/>
        <v>1.5460199999999999</v>
      </c>
      <c r="M84" s="73">
        <f t="shared" si="19"/>
        <v>1.9631999999999998</v>
      </c>
      <c r="N84" s="73">
        <f t="shared" si="20"/>
        <v>0.66257999999999995</v>
      </c>
      <c r="O84" s="73">
        <f t="shared" si="21"/>
        <v>1.1484719999999999</v>
      </c>
      <c r="P84" s="279">
        <v>0.05</v>
      </c>
      <c r="Q84" s="73"/>
      <c r="R84" s="73">
        <f t="shared" si="25"/>
        <v>9.8159999999999997E-2</v>
      </c>
      <c r="S84" s="73">
        <f t="shared" si="22"/>
        <v>2.2085999999999997</v>
      </c>
      <c r="T84" s="177">
        <f t="shared" si="23"/>
        <v>4.1717999999999993</v>
      </c>
      <c r="U84" s="73">
        <f t="shared" si="24"/>
        <v>0.88344</v>
      </c>
      <c r="V84" s="159" t="s">
        <v>613</v>
      </c>
    </row>
    <row r="85" spans="1:22" ht="12" x14ac:dyDescent="0.2">
      <c r="A85" s="81" t="s">
        <v>693</v>
      </c>
      <c r="B85" s="81"/>
      <c r="C85" s="81"/>
      <c r="D85" s="81"/>
      <c r="E85" s="79">
        <v>2</v>
      </c>
      <c r="F85" s="77">
        <v>0.9</v>
      </c>
      <c r="G85" s="78">
        <v>3.22</v>
      </c>
      <c r="H85" s="77">
        <v>0.45</v>
      </c>
      <c r="I85" s="80">
        <v>2</v>
      </c>
      <c r="J85" s="73">
        <f t="shared" si="17"/>
        <v>0.6</v>
      </c>
      <c r="K85" s="73"/>
      <c r="L85" s="73">
        <f t="shared" si="18"/>
        <v>4.3470000000000004</v>
      </c>
      <c r="M85" s="73">
        <f t="shared" si="19"/>
        <v>5.7960000000000003</v>
      </c>
      <c r="N85" s="73">
        <f t="shared" si="20"/>
        <v>1.7387999999999999</v>
      </c>
      <c r="O85" s="73">
        <f t="shared" si="21"/>
        <v>3.3906600000000009</v>
      </c>
      <c r="P85" s="279">
        <v>0.05</v>
      </c>
      <c r="Q85" s="73"/>
      <c r="R85" s="73">
        <f t="shared" si="25"/>
        <v>0.2898</v>
      </c>
      <c r="S85" s="73">
        <f t="shared" si="22"/>
        <v>5.7960000000000003</v>
      </c>
      <c r="T85" s="177">
        <f t="shared" si="23"/>
        <v>8.6940000000000008</v>
      </c>
      <c r="U85" s="73">
        <f t="shared" si="24"/>
        <v>2.6082000000000005</v>
      </c>
      <c r="V85" s="159" t="s">
        <v>613</v>
      </c>
    </row>
    <row r="86" spans="1:22" ht="12" x14ac:dyDescent="0.2">
      <c r="A86" s="81" t="s">
        <v>694</v>
      </c>
      <c r="B86" s="81"/>
      <c r="C86" s="81"/>
      <c r="D86" s="81"/>
      <c r="E86" s="79">
        <v>1</v>
      </c>
      <c r="F86" s="77">
        <v>0.25</v>
      </c>
      <c r="G86" s="78">
        <f>4.73+5.652</f>
        <v>10.382000000000001</v>
      </c>
      <c r="H86" s="77">
        <v>0.45</v>
      </c>
      <c r="I86" s="80">
        <v>2</v>
      </c>
      <c r="J86" s="73">
        <f t="shared" si="17"/>
        <v>0.6</v>
      </c>
      <c r="K86" s="73"/>
      <c r="L86" s="73">
        <f t="shared" si="18"/>
        <v>3.9711150000000006</v>
      </c>
      <c r="M86" s="73">
        <f t="shared" si="19"/>
        <v>2.5955000000000004</v>
      </c>
      <c r="N86" s="73">
        <f t="shared" si="20"/>
        <v>2.8031400000000004</v>
      </c>
      <c r="O86" s="73">
        <f t="shared" si="21"/>
        <v>1.5183675000000003</v>
      </c>
      <c r="P86" s="279">
        <v>0.05</v>
      </c>
      <c r="Q86" s="73"/>
      <c r="R86" s="73">
        <f t="shared" si="25"/>
        <v>0.12977500000000003</v>
      </c>
      <c r="S86" s="73">
        <f t="shared" si="22"/>
        <v>9.3438000000000017</v>
      </c>
      <c r="T86" s="177">
        <f t="shared" si="23"/>
        <v>11.939300000000003</v>
      </c>
      <c r="U86" s="73">
        <f t="shared" si="24"/>
        <v>1.1679750000000002</v>
      </c>
      <c r="V86" s="159" t="s">
        <v>613</v>
      </c>
    </row>
    <row r="87" spans="1:22" ht="12" x14ac:dyDescent="0.2">
      <c r="A87" s="81" t="s">
        <v>695</v>
      </c>
      <c r="B87" s="81"/>
      <c r="C87" s="81"/>
      <c r="D87" s="81"/>
      <c r="E87" s="79">
        <v>1</v>
      </c>
      <c r="F87" s="77">
        <v>0.8</v>
      </c>
      <c r="G87" s="78">
        <v>3.17</v>
      </c>
      <c r="H87" s="77">
        <v>0.45</v>
      </c>
      <c r="I87" s="80">
        <v>2</v>
      </c>
      <c r="J87" s="73">
        <f t="shared" si="17"/>
        <v>0.6</v>
      </c>
      <c r="K87" s="73"/>
      <c r="L87" s="73">
        <f t="shared" si="18"/>
        <v>1.9970999999999999</v>
      </c>
      <c r="M87" s="73">
        <f t="shared" si="19"/>
        <v>2.536</v>
      </c>
      <c r="N87" s="73">
        <f t="shared" si="20"/>
        <v>0.85589999999999966</v>
      </c>
      <c r="O87" s="73">
        <f t="shared" si="21"/>
        <v>1.4835600000000004</v>
      </c>
      <c r="P87" s="279">
        <v>0.05</v>
      </c>
      <c r="Q87" s="73"/>
      <c r="R87" s="73">
        <f t="shared" si="25"/>
        <v>0.1268</v>
      </c>
      <c r="S87" s="73">
        <f t="shared" si="22"/>
        <v>2.8530000000000002</v>
      </c>
      <c r="T87" s="177">
        <f t="shared" si="23"/>
        <v>5.3890000000000002</v>
      </c>
      <c r="U87" s="73">
        <f t="shared" si="24"/>
        <v>1.1412000000000002</v>
      </c>
      <c r="V87" s="159" t="s">
        <v>613</v>
      </c>
    </row>
    <row r="88" spans="1:22" ht="12" x14ac:dyDescent="0.2">
      <c r="A88" s="81" t="s">
        <v>696</v>
      </c>
      <c r="B88" s="81"/>
      <c r="C88" s="81"/>
      <c r="D88" s="81"/>
      <c r="E88" s="79">
        <v>1</v>
      </c>
      <c r="F88" s="77">
        <f>0.9</f>
        <v>0.9</v>
      </c>
      <c r="G88" s="78">
        <v>3.17</v>
      </c>
      <c r="H88" s="77">
        <v>0.45</v>
      </c>
      <c r="I88" s="80">
        <v>2</v>
      </c>
      <c r="J88" s="73">
        <f t="shared" si="17"/>
        <v>0.6</v>
      </c>
      <c r="K88" s="73"/>
      <c r="L88" s="73">
        <f t="shared" si="18"/>
        <v>2.1397500000000003</v>
      </c>
      <c r="M88" s="73">
        <f t="shared" si="19"/>
        <v>2.8530000000000002</v>
      </c>
      <c r="N88" s="73">
        <f t="shared" si="20"/>
        <v>0.85590000000000011</v>
      </c>
      <c r="O88" s="73">
        <f t="shared" si="21"/>
        <v>1.6690050000000003</v>
      </c>
      <c r="P88" s="279">
        <v>0.05</v>
      </c>
      <c r="Q88" s="73"/>
      <c r="R88" s="73">
        <f t="shared" si="25"/>
        <v>0.14265000000000003</v>
      </c>
      <c r="S88" s="73">
        <f t="shared" si="22"/>
        <v>2.8530000000000002</v>
      </c>
      <c r="T88" s="177">
        <f t="shared" si="23"/>
        <v>5.7060000000000004</v>
      </c>
      <c r="U88" s="73">
        <f t="shared" si="24"/>
        <v>1.2838500000000002</v>
      </c>
      <c r="V88" s="159" t="s">
        <v>613</v>
      </c>
    </row>
    <row r="89" spans="1:22" ht="12" x14ac:dyDescent="0.2">
      <c r="A89" s="173" t="s">
        <v>697</v>
      </c>
      <c r="B89" s="175"/>
      <c r="C89" s="175"/>
      <c r="D89" s="175"/>
      <c r="E89" s="175"/>
      <c r="F89" s="174"/>
      <c r="G89" s="174"/>
      <c r="H89" s="174"/>
      <c r="I89" s="175"/>
      <c r="J89" s="174"/>
      <c r="K89" s="175"/>
      <c r="L89" s="175"/>
      <c r="M89" s="175"/>
      <c r="N89" s="175"/>
      <c r="O89" s="175"/>
      <c r="P89" s="273"/>
      <c r="Q89" s="181" t="s">
        <v>620</v>
      </c>
      <c r="R89" s="181" t="s">
        <v>80</v>
      </c>
      <c r="S89" s="175"/>
      <c r="T89" s="176"/>
      <c r="U89" s="175"/>
      <c r="V89" s="174"/>
    </row>
    <row r="90" spans="1:22" ht="12" x14ac:dyDescent="0.2">
      <c r="A90" s="81" t="s">
        <v>698</v>
      </c>
      <c r="B90" s="81"/>
      <c r="C90" s="81"/>
      <c r="D90" s="81"/>
      <c r="E90" s="79">
        <v>1</v>
      </c>
      <c r="F90" s="77">
        <v>0.17</v>
      </c>
      <c r="G90" s="78">
        <v>2.2400000000000002</v>
      </c>
      <c r="H90" s="77">
        <v>0.45</v>
      </c>
      <c r="I90" s="80">
        <v>2</v>
      </c>
      <c r="J90" s="73">
        <f t="shared" si="17"/>
        <v>0.6</v>
      </c>
      <c r="K90" s="73"/>
      <c r="L90" s="73">
        <f t="shared" si="18"/>
        <v>0.77616000000000018</v>
      </c>
      <c r="M90" s="73">
        <f t="shared" si="19"/>
        <v>0.38080000000000008</v>
      </c>
      <c r="N90" s="73">
        <f t="shared" si="20"/>
        <v>0.60480000000000012</v>
      </c>
      <c r="O90" s="73">
        <f t="shared" si="21"/>
        <v>0.2227680000000001</v>
      </c>
      <c r="P90" s="279">
        <v>0.1</v>
      </c>
      <c r="Q90" s="73"/>
      <c r="R90" s="73">
        <f t="shared" si="25"/>
        <v>3.808000000000001E-2</v>
      </c>
      <c r="S90" s="73">
        <f t="shared" si="22"/>
        <v>2.0160000000000005</v>
      </c>
      <c r="T90" s="177">
        <f t="shared" si="23"/>
        <v>2.3968000000000007</v>
      </c>
      <c r="U90" s="73">
        <f t="shared" si="24"/>
        <v>0.17136000000000004</v>
      </c>
      <c r="V90" s="159" t="s">
        <v>613</v>
      </c>
    </row>
    <row r="91" spans="1:22" ht="12" x14ac:dyDescent="0.2">
      <c r="A91" s="81" t="s">
        <v>699</v>
      </c>
      <c r="B91" s="81"/>
      <c r="C91" s="81"/>
      <c r="D91" s="81"/>
      <c r="E91" s="79">
        <v>1</v>
      </c>
      <c r="F91" s="77">
        <v>0.14000000000000001</v>
      </c>
      <c r="G91" s="78">
        <v>4.09</v>
      </c>
      <c r="H91" s="77">
        <v>1.65</v>
      </c>
      <c r="I91" s="80">
        <v>2</v>
      </c>
      <c r="J91" s="73">
        <f t="shared" si="17"/>
        <v>1.2</v>
      </c>
      <c r="K91" s="73"/>
      <c r="L91" s="73">
        <f t="shared" si="18"/>
        <v>9.0429899999999996</v>
      </c>
      <c r="M91" s="73">
        <f t="shared" si="19"/>
        <v>0.5726</v>
      </c>
      <c r="N91" s="73">
        <f t="shared" si="20"/>
        <v>8.0982000000000003</v>
      </c>
      <c r="O91" s="73">
        <f t="shared" si="21"/>
        <v>1.2282269999999993</v>
      </c>
      <c r="P91" s="279">
        <v>0.1</v>
      </c>
      <c r="Q91" s="73"/>
      <c r="R91" s="73">
        <f t="shared" si="25"/>
        <v>5.7260000000000005E-2</v>
      </c>
      <c r="S91" s="73">
        <f t="shared" si="22"/>
        <v>13.496999999999998</v>
      </c>
      <c r="T91" s="177">
        <f t="shared" si="23"/>
        <v>14.069599999999998</v>
      </c>
      <c r="U91" s="73">
        <f t="shared" si="24"/>
        <v>0.94479000000000002</v>
      </c>
      <c r="V91" s="159" t="s">
        <v>613</v>
      </c>
    </row>
    <row r="92" spans="1:22" ht="12" x14ac:dyDescent="0.2">
      <c r="A92" s="81" t="s">
        <v>700</v>
      </c>
      <c r="B92" s="81"/>
      <c r="C92" s="81"/>
      <c r="D92" s="81"/>
      <c r="E92" s="79">
        <v>1</v>
      </c>
      <c r="F92" s="77">
        <v>0.8</v>
      </c>
      <c r="G92" s="78">
        <v>3.23</v>
      </c>
      <c r="H92" s="77">
        <v>0.45</v>
      </c>
      <c r="I92" s="80">
        <v>2</v>
      </c>
      <c r="J92" s="73">
        <f t="shared" si="17"/>
        <v>0.6</v>
      </c>
      <c r="K92" s="73"/>
      <c r="L92" s="73">
        <f t="shared" si="18"/>
        <v>2.0348999999999999</v>
      </c>
      <c r="M92" s="73">
        <f t="shared" si="19"/>
        <v>2.5840000000000001</v>
      </c>
      <c r="N92" s="73">
        <f t="shared" si="20"/>
        <v>0.87209999999999988</v>
      </c>
      <c r="O92" s="73">
        <f t="shared" si="21"/>
        <v>1.5116400000000001</v>
      </c>
      <c r="P92" s="279">
        <v>0.1</v>
      </c>
      <c r="Q92" s="73"/>
      <c r="R92" s="73">
        <f t="shared" si="25"/>
        <v>0.25840000000000002</v>
      </c>
      <c r="S92" s="73">
        <f t="shared" si="22"/>
        <v>2.907</v>
      </c>
      <c r="T92" s="177">
        <f t="shared" si="23"/>
        <v>5.4909999999999997</v>
      </c>
      <c r="U92" s="73">
        <f t="shared" si="24"/>
        <v>1.1628000000000001</v>
      </c>
      <c r="V92" s="159" t="s">
        <v>613</v>
      </c>
    </row>
    <row r="93" spans="1:22" ht="12" x14ac:dyDescent="0.2">
      <c r="A93" s="81" t="s">
        <v>701</v>
      </c>
      <c r="B93" s="81"/>
      <c r="C93" s="81"/>
      <c r="D93" s="81"/>
      <c r="E93" s="79">
        <v>1</v>
      </c>
      <c r="F93" s="77">
        <v>0.25</v>
      </c>
      <c r="G93" s="78">
        <v>2.2400000000000002</v>
      </c>
      <c r="H93" s="77">
        <v>0.45</v>
      </c>
      <c r="I93" s="80">
        <v>2</v>
      </c>
      <c r="J93" s="73">
        <f t="shared" si="17"/>
        <v>0.6</v>
      </c>
      <c r="K93" s="73"/>
      <c r="L93" s="73">
        <f t="shared" si="18"/>
        <v>0.85680000000000012</v>
      </c>
      <c r="M93" s="73">
        <f t="shared" si="19"/>
        <v>0.56000000000000005</v>
      </c>
      <c r="N93" s="73">
        <f t="shared" si="20"/>
        <v>0.6048</v>
      </c>
      <c r="O93" s="73">
        <f t="shared" si="21"/>
        <v>0.32760000000000017</v>
      </c>
      <c r="P93" s="279">
        <v>0.1</v>
      </c>
      <c r="Q93" s="73"/>
      <c r="R93" s="73">
        <f t="shared" si="25"/>
        <v>5.6000000000000008E-2</v>
      </c>
      <c r="S93" s="73">
        <f t="shared" si="22"/>
        <v>2.0160000000000005</v>
      </c>
      <c r="T93" s="177">
        <f t="shared" si="23"/>
        <v>2.5760000000000005</v>
      </c>
      <c r="U93" s="73">
        <f t="shared" si="24"/>
        <v>0.25200000000000006</v>
      </c>
      <c r="V93" s="159" t="s">
        <v>613</v>
      </c>
    </row>
    <row r="94" spans="1:22" ht="12" x14ac:dyDescent="0.2">
      <c r="A94" s="81" t="s">
        <v>702</v>
      </c>
      <c r="B94" s="81"/>
      <c r="C94" s="81"/>
      <c r="D94" s="81"/>
      <c r="E94" s="79">
        <v>1</v>
      </c>
      <c r="F94" s="77">
        <v>0.8</v>
      </c>
      <c r="G94" s="78">
        <v>3.17</v>
      </c>
      <c r="H94" s="77">
        <v>0.45</v>
      </c>
      <c r="I94" s="80">
        <v>2</v>
      </c>
      <c r="J94" s="73">
        <f t="shared" si="17"/>
        <v>0.6</v>
      </c>
      <c r="K94" s="73"/>
      <c r="L94" s="73">
        <f t="shared" si="18"/>
        <v>1.9970999999999999</v>
      </c>
      <c r="M94" s="73">
        <f t="shared" si="19"/>
        <v>2.536</v>
      </c>
      <c r="N94" s="73">
        <f t="shared" si="20"/>
        <v>0.85589999999999966</v>
      </c>
      <c r="O94" s="73">
        <f t="shared" si="21"/>
        <v>1.4835600000000004</v>
      </c>
      <c r="P94" s="279">
        <v>0.1</v>
      </c>
      <c r="Q94" s="73"/>
      <c r="R94" s="73">
        <f t="shared" si="25"/>
        <v>0.25359999999999999</v>
      </c>
      <c r="S94" s="73">
        <f t="shared" si="22"/>
        <v>2.8530000000000002</v>
      </c>
      <c r="T94" s="177">
        <f t="shared" si="23"/>
        <v>5.3890000000000002</v>
      </c>
      <c r="U94" s="73">
        <f t="shared" si="24"/>
        <v>1.1412000000000002</v>
      </c>
      <c r="V94" s="159" t="s">
        <v>613</v>
      </c>
    </row>
    <row r="95" spans="1:22" ht="12" x14ac:dyDescent="0.2">
      <c r="A95" s="81" t="s">
        <v>703</v>
      </c>
      <c r="B95" s="81"/>
      <c r="C95" s="81"/>
      <c r="D95" s="81"/>
      <c r="E95" s="79">
        <v>1</v>
      </c>
      <c r="F95" s="77">
        <v>0.2</v>
      </c>
      <c r="G95" s="78">
        <v>3.17</v>
      </c>
      <c r="H95" s="77">
        <v>0.45</v>
      </c>
      <c r="I95" s="80">
        <v>2</v>
      </c>
      <c r="J95" s="73">
        <f t="shared" si="17"/>
        <v>0.6</v>
      </c>
      <c r="K95" s="73"/>
      <c r="L95" s="73">
        <f t="shared" si="18"/>
        <v>1.1412000000000002</v>
      </c>
      <c r="M95" s="73">
        <f t="shared" si="19"/>
        <v>0.63400000000000001</v>
      </c>
      <c r="N95" s="73">
        <f t="shared" si="20"/>
        <v>0.85590000000000011</v>
      </c>
      <c r="O95" s="73">
        <f t="shared" si="21"/>
        <v>0.37089000000000016</v>
      </c>
      <c r="P95" s="279">
        <v>0.1</v>
      </c>
      <c r="Q95" s="73"/>
      <c r="R95" s="73">
        <f t="shared" si="25"/>
        <v>6.3399999999999998E-2</v>
      </c>
      <c r="S95" s="73">
        <f t="shared" si="22"/>
        <v>2.8530000000000002</v>
      </c>
      <c r="T95" s="177">
        <f t="shared" si="23"/>
        <v>3.4870000000000001</v>
      </c>
      <c r="U95" s="73">
        <f t="shared" si="24"/>
        <v>0.28530000000000005</v>
      </c>
      <c r="V95" s="159" t="s">
        <v>613</v>
      </c>
    </row>
    <row r="96" spans="1:22" ht="12" x14ac:dyDescent="0.2">
      <c r="A96" s="81" t="s">
        <v>704</v>
      </c>
      <c r="B96" s="81"/>
      <c r="C96" s="81"/>
      <c r="D96" s="81"/>
      <c r="E96" s="79">
        <v>1</v>
      </c>
      <c r="F96" s="77">
        <v>0.8</v>
      </c>
      <c r="G96" s="78">
        <v>3.75</v>
      </c>
      <c r="H96" s="77">
        <v>0.45</v>
      </c>
      <c r="I96" s="80">
        <v>2</v>
      </c>
      <c r="J96" s="73">
        <f t="shared" si="17"/>
        <v>0.6</v>
      </c>
      <c r="K96" s="73"/>
      <c r="L96" s="73">
        <f t="shared" si="18"/>
        <v>2.3624999999999998</v>
      </c>
      <c r="M96" s="73">
        <f t="shared" si="19"/>
        <v>3</v>
      </c>
      <c r="N96" s="73">
        <f t="shared" si="20"/>
        <v>1.0124999999999997</v>
      </c>
      <c r="O96" s="73">
        <f t="shared" si="21"/>
        <v>1.7550000000000001</v>
      </c>
      <c r="P96" s="279">
        <v>0.1</v>
      </c>
      <c r="Q96" s="73"/>
      <c r="R96" s="73">
        <f t="shared" si="25"/>
        <v>0.30000000000000004</v>
      </c>
      <c r="S96" s="73">
        <f t="shared" si="22"/>
        <v>3.375</v>
      </c>
      <c r="T96" s="177">
        <f t="shared" si="23"/>
        <v>6.375</v>
      </c>
      <c r="U96" s="73">
        <f t="shared" si="24"/>
        <v>1.35</v>
      </c>
      <c r="V96" s="159" t="s">
        <v>613</v>
      </c>
    </row>
    <row r="97" spans="1:22" ht="12" x14ac:dyDescent="0.2">
      <c r="A97" s="81" t="s">
        <v>705</v>
      </c>
      <c r="B97" s="81"/>
      <c r="C97" s="81"/>
      <c r="D97" s="81"/>
      <c r="E97" s="79">
        <v>1</v>
      </c>
      <c r="F97" s="77">
        <v>0.2</v>
      </c>
      <c r="G97" s="78">
        <v>5.38</v>
      </c>
      <c r="H97" s="77">
        <v>0.45</v>
      </c>
      <c r="I97" s="80">
        <v>2</v>
      </c>
      <c r="J97" s="73">
        <f t="shared" si="17"/>
        <v>0.6</v>
      </c>
      <c r="K97" s="73"/>
      <c r="L97" s="73">
        <f t="shared" si="18"/>
        <v>1.9368000000000003</v>
      </c>
      <c r="M97" s="73">
        <f t="shared" si="19"/>
        <v>1.0760000000000001</v>
      </c>
      <c r="N97" s="73">
        <f t="shared" si="20"/>
        <v>1.4526000000000003</v>
      </c>
      <c r="O97" s="73">
        <f t="shared" si="21"/>
        <v>0.62946000000000002</v>
      </c>
      <c r="P97" s="279">
        <v>0.1</v>
      </c>
      <c r="Q97" s="73"/>
      <c r="R97" s="73">
        <f t="shared" si="25"/>
        <v>0.10760000000000002</v>
      </c>
      <c r="S97" s="73">
        <f t="shared" si="22"/>
        <v>4.8419999999999996</v>
      </c>
      <c r="T97" s="177">
        <f t="shared" si="23"/>
        <v>5.9179999999999993</v>
      </c>
      <c r="U97" s="73">
        <f t="shared" si="24"/>
        <v>0.48420000000000007</v>
      </c>
      <c r="V97" s="159" t="s">
        <v>613</v>
      </c>
    </row>
    <row r="98" spans="1:22" ht="12" x14ac:dyDescent="0.2">
      <c r="A98" s="81" t="s">
        <v>706</v>
      </c>
      <c r="B98" s="81"/>
      <c r="C98" s="81"/>
      <c r="D98" s="81"/>
      <c r="E98" s="79">
        <v>1</v>
      </c>
      <c r="F98" s="77">
        <v>0.17</v>
      </c>
      <c r="G98" s="78">
        <v>3.39</v>
      </c>
      <c r="H98" s="77">
        <v>0.45</v>
      </c>
      <c r="I98" s="80">
        <v>2</v>
      </c>
      <c r="J98" s="73">
        <f t="shared" ref="J98:J110" si="26">IF(H98&lt;=1,0.6,1.2)</f>
        <v>0.6</v>
      </c>
      <c r="K98" s="73"/>
      <c r="L98" s="73">
        <f t="shared" ref="L98:L110" si="27">((F98+J98)*(H98+K98)*G98)*E98</f>
        <v>1.1746350000000001</v>
      </c>
      <c r="M98" s="73">
        <f t="shared" ref="M98:M110" si="28">(F98)*(G98)*E98</f>
        <v>0.57630000000000003</v>
      </c>
      <c r="N98" s="73">
        <f t="shared" ref="N98:N110" si="29">L98-U98</f>
        <v>0.9153</v>
      </c>
      <c r="O98" s="73">
        <f t="shared" ref="O98:O110" si="30">(L98-N98)*1.3</f>
        <v>0.33713550000000014</v>
      </c>
      <c r="P98" s="279">
        <v>0.1</v>
      </c>
      <c r="Q98" s="73"/>
      <c r="R98" s="73">
        <f t="shared" ref="R98:R110" si="31">M98*$P98</f>
        <v>5.7630000000000008E-2</v>
      </c>
      <c r="S98" s="73">
        <f t="shared" ref="S98:S110" si="32">((G98*H98*I98))*E98</f>
        <v>3.0510000000000002</v>
      </c>
      <c r="T98" s="177">
        <f t="shared" ref="T98:T110" si="33">S98+G98*F98</f>
        <v>3.6273</v>
      </c>
      <c r="U98" s="73">
        <f t="shared" ref="U98:U110" si="34">F98*H98*G98*E98</f>
        <v>0.25933500000000004</v>
      </c>
      <c r="V98" s="159" t="s">
        <v>613</v>
      </c>
    </row>
    <row r="99" spans="1:22" ht="12" x14ac:dyDescent="0.2">
      <c r="A99" s="81" t="s">
        <v>707</v>
      </c>
      <c r="B99" s="81"/>
      <c r="C99" s="81"/>
      <c r="D99" s="81"/>
      <c r="E99" s="79">
        <v>1</v>
      </c>
      <c r="F99" s="77">
        <v>0.2</v>
      </c>
      <c r="G99" s="78">
        <f>4.8+6.367+5.913+8.669+6.684</f>
        <v>32.433</v>
      </c>
      <c r="H99" s="77">
        <v>0.45</v>
      </c>
      <c r="I99" s="80">
        <v>2</v>
      </c>
      <c r="J99" s="73">
        <f t="shared" si="26"/>
        <v>0.6</v>
      </c>
      <c r="K99" s="73"/>
      <c r="L99" s="73">
        <f t="shared" si="27"/>
        <v>11.675880000000001</v>
      </c>
      <c r="M99" s="73">
        <f t="shared" si="28"/>
        <v>6.4866000000000001</v>
      </c>
      <c r="N99" s="73">
        <f t="shared" si="29"/>
        <v>8.7569100000000013</v>
      </c>
      <c r="O99" s="73">
        <f t="shared" si="30"/>
        <v>3.7946610000000001</v>
      </c>
      <c r="P99" s="279">
        <v>0.1</v>
      </c>
      <c r="Q99" s="73"/>
      <c r="R99" s="73">
        <f t="shared" si="31"/>
        <v>0.64866000000000001</v>
      </c>
      <c r="S99" s="73">
        <f t="shared" si="32"/>
        <v>29.189700000000002</v>
      </c>
      <c r="T99" s="177">
        <f t="shared" si="33"/>
        <v>35.676300000000005</v>
      </c>
      <c r="U99" s="73">
        <f t="shared" si="34"/>
        <v>2.9189700000000003</v>
      </c>
      <c r="V99" s="159" t="s">
        <v>613</v>
      </c>
    </row>
    <row r="100" spans="1:22" ht="12" x14ac:dyDescent="0.2">
      <c r="A100" s="81" t="s">
        <v>708</v>
      </c>
      <c r="B100" s="81"/>
      <c r="C100" s="81"/>
      <c r="D100" s="81"/>
      <c r="E100" s="79">
        <v>1</v>
      </c>
      <c r="F100" s="77">
        <v>0.25</v>
      </c>
      <c r="G100" s="78">
        <f>5.616+4.613+7.37</f>
        <v>17.599</v>
      </c>
      <c r="H100" s="77">
        <v>0.45</v>
      </c>
      <c r="I100" s="80">
        <v>2</v>
      </c>
      <c r="J100" s="73">
        <f t="shared" si="26"/>
        <v>0.6</v>
      </c>
      <c r="K100" s="73"/>
      <c r="L100" s="73">
        <f t="shared" si="27"/>
        <v>6.7316175000000005</v>
      </c>
      <c r="M100" s="73">
        <f t="shared" si="28"/>
        <v>4.39975</v>
      </c>
      <c r="N100" s="73">
        <f t="shared" si="29"/>
        <v>4.7517300000000002</v>
      </c>
      <c r="O100" s="73">
        <f t="shared" si="30"/>
        <v>2.5738537500000005</v>
      </c>
      <c r="P100" s="279">
        <v>0.1</v>
      </c>
      <c r="Q100" s="73"/>
      <c r="R100" s="73">
        <f t="shared" si="31"/>
        <v>0.439975</v>
      </c>
      <c r="S100" s="73">
        <f t="shared" si="32"/>
        <v>15.8391</v>
      </c>
      <c r="T100" s="177">
        <f t="shared" si="33"/>
        <v>20.238849999999999</v>
      </c>
      <c r="U100" s="73">
        <f t="shared" si="34"/>
        <v>1.9798875</v>
      </c>
      <c r="V100" s="159" t="s">
        <v>613</v>
      </c>
    </row>
    <row r="101" spans="1:22" ht="12" x14ac:dyDescent="0.2">
      <c r="A101" s="81" t="s">
        <v>709</v>
      </c>
      <c r="B101" s="81"/>
      <c r="C101" s="81"/>
      <c r="D101" s="81"/>
      <c r="E101" s="79">
        <v>1</v>
      </c>
      <c r="F101" s="77">
        <v>0.2</v>
      </c>
      <c r="G101" s="78">
        <f>1.057+2.508+5.359</f>
        <v>8.9239999999999995</v>
      </c>
      <c r="H101" s="77">
        <v>0.45</v>
      </c>
      <c r="I101" s="80">
        <v>2</v>
      </c>
      <c r="J101" s="73">
        <f t="shared" si="26"/>
        <v>0.6</v>
      </c>
      <c r="K101" s="73"/>
      <c r="L101" s="73">
        <f t="shared" si="27"/>
        <v>3.2126400000000004</v>
      </c>
      <c r="M101" s="73">
        <f t="shared" si="28"/>
        <v>1.7847999999999999</v>
      </c>
      <c r="N101" s="73">
        <f t="shared" si="29"/>
        <v>2.4094800000000003</v>
      </c>
      <c r="O101" s="73">
        <f t="shared" si="30"/>
        <v>1.0441080000000003</v>
      </c>
      <c r="P101" s="279">
        <v>0.1</v>
      </c>
      <c r="Q101" s="73"/>
      <c r="R101" s="73">
        <f t="shared" si="31"/>
        <v>0.17848</v>
      </c>
      <c r="S101" s="73">
        <f t="shared" si="32"/>
        <v>8.0315999999999992</v>
      </c>
      <c r="T101" s="177">
        <f t="shared" si="33"/>
        <v>9.8163999999999998</v>
      </c>
      <c r="U101" s="73">
        <f t="shared" si="34"/>
        <v>0.8031600000000001</v>
      </c>
      <c r="V101" s="159" t="s">
        <v>613</v>
      </c>
    </row>
    <row r="102" spans="1:22" ht="12" x14ac:dyDescent="0.2">
      <c r="A102" s="173" t="s">
        <v>710</v>
      </c>
      <c r="B102" s="175"/>
      <c r="C102" s="175"/>
      <c r="D102" s="175"/>
      <c r="E102" s="175"/>
      <c r="F102" s="174"/>
      <c r="G102" s="174"/>
      <c r="H102" s="174"/>
      <c r="I102" s="175"/>
      <c r="J102" s="174"/>
      <c r="K102" s="175"/>
      <c r="L102" s="175"/>
      <c r="M102" s="175"/>
      <c r="N102" s="175"/>
      <c r="O102" s="175"/>
      <c r="P102" s="273"/>
      <c r="Q102" s="181" t="s">
        <v>620</v>
      </c>
      <c r="R102" s="181" t="s">
        <v>80</v>
      </c>
      <c r="S102" s="175"/>
      <c r="T102" s="176"/>
      <c r="U102" s="175"/>
      <c r="V102" s="174"/>
    </row>
    <row r="103" spans="1:22" ht="12" x14ac:dyDescent="0.2">
      <c r="A103" s="81" t="s">
        <v>711</v>
      </c>
      <c r="B103" s="81"/>
      <c r="C103" s="81"/>
      <c r="D103" s="81"/>
      <c r="E103" s="79">
        <v>1</v>
      </c>
      <c r="F103" s="77">
        <v>0.25</v>
      </c>
      <c r="G103" s="78">
        <v>5</v>
      </c>
      <c r="H103" s="77">
        <v>0.45</v>
      </c>
      <c r="I103" s="80">
        <v>2</v>
      </c>
      <c r="J103" s="73">
        <f t="shared" si="26"/>
        <v>0.6</v>
      </c>
      <c r="K103" s="73"/>
      <c r="L103" s="73">
        <f t="shared" si="27"/>
        <v>1.9125000000000001</v>
      </c>
      <c r="M103" s="73">
        <f t="shared" si="28"/>
        <v>1.25</v>
      </c>
      <c r="N103" s="73">
        <f t="shared" si="29"/>
        <v>1.35</v>
      </c>
      <c r="O103" s="73">
        <f t="shared" si="30"/>
        <v>0.73125000000000007</v>
      </c>
      <c r="P103" s="279">
        <v>0.1</v>
      </c>
      <c r="Q103" s="73"/>
      <c r="R103" s="73">
        <f t="shared" si="31"/>
        <v>0.125</v>
      </c>
      <c r="S103" s="73">
        <f t="shared" si="32"/>
        <v>4.5</v>
      </c>
      <c r="T103" s="177">
        <f t="shared" si="33"/>
        <v>5.75</v>
      </c>
      <c r="U103" s="73">
        <f t="shared" si="34"/>
        <v>0.5625</v>
      </c>
      <c r="V103" s="159" t="s">
        <v>613</v>
      </c>
    </row>
    <row r="104" spans="1:22" ht="12" x14ac:dyDescent="0.2">
      <c r="A104" s="81" t="s">
        <v>712</v>
      </c>
      <c r="B104" s="81"/>
      <c r="C104" s="81"/>
      <c r="D104" s="81"/>
      <c r="E104" s="79">
        <v>1</v>
      </c>
      <c r="F104" s="77">
        <v>0.8</v>
      </c>
      <c r="G104" s="78">
        <v>2.2999999999999998</v>
      </c>
      <c r="H104" s="77">
        <v>0.45</v>
      </c>
      <c r="I104" s="80">
        <v>2</v>
      </c>
      <c r="J104" s="73">
        <f t="shared" si="26"/>
        <v>0.6</v>
      </c>
      <c r="K104" s="73"/>
      <c r="L104" s="73">
        <f t="shared" si="27"/>
        <v>1.4489999999999998</v>
      </c>
      <c r="M104" s="73">
        <f t="shared" si="28"/>
        <v>1.8399999999999999</v>
      </c>
      <c r="N104" s="73">
        <f t="shared" si="29"/>
        <v>0.62099999999999977</v>
      </c>
      <c r="O104" s="73">
        <f t="shared" si="30"/>
        <v>1.0764</v>
      </c>
      <c r="P104" s="279">
        <v>0.1</v>
      </c>
      <c r="Q104" s="73"/>
      <c r="R104" s="73">
        <f t="shared" si="31"/>
        <v>0.184</v>
      </c>
      <c r="S104" s="73">
        <f t="shared" si="32"/>
        <v>2.0699999999999998</v>
      </c>
      <c r="T104" s="177">
        <f t="shared" si="33"/>
        <v>3.9099999999999997</v>
      </c>
      <c r="U104" s="73">
        <f t="shared" si="34"/>
        <v>0.82800000000000007</v>
      </c>
      <c r="V104" s="159" t="s">
        <v>613</v>
      </c>
    </row>
    <row r="105" spans="1:22" ht="12" x14ac:dyDescent="0.2">
      <c r="A105" s="81" t="s">
        <v>713</v>
      </c>
      <c r="B105" s="81"/>
      <c r="C105" s="81"/>
      <c r="D105" s="81"/>
      <c r="E105" s="79">
        <v>1</v>
      </c>
      <c r="F105" s="77">
        <v>0.25</v>
      </c>
      <c r="G105" s="78">
        <v>2.5499999999999998</v>
      </c>
      <c r="H105" s="77">
        <v>0.45</v>
      </c>
      <c r="I105" s="80">
        <v>2</v>
      </c>
      <c r="J105" s="73">
        <f t="shared" si="26"/>
        <v>0.6</v>
      </c>
      <c r="K105" s="73"/>
      <c r="L105" s="73">
        <f t="shared" si="27"/>
        <v>0.97537499999999999</v>
      </c>
      <c r="M105" s="73">
        <f t="shared" si="28"/>
        <v>0.63749999999999996</v>
      </c>
      <c r="N105" s="73">
        <f t="shared" si="29"/>
        <v>0.6885</v>
      </c>
      <c r="O105" s="73">
        <f t="shared" si="30"/>
        <v>0.37293749999999998</v>
      </c>
      <c r="P105" s="279">
        <v>0.1</v>
      </c>
      <c r="Q105" s="73"/>
      <c r="R105" s="73">
        <f t="shared" si="31"/>
        <v>6.3750000000000001E-2</v>
      </c>
      <c r="S105" s="73">
        <f t="shared" si="32"/>
        <v>2.2949999999999999</v>
      </c>
      <c r="T105" s="177">
        <f t="shared" si="33"/>
        <v>2.9325000000000001</v>
      </c>
      <c r="U105" s="73">
        <f t="shared" si="34"/>
        <v>0.28687499999999999</v>
      </c>
      <c r="V105" s="159" t="s">
        <v>613</v>
      </c>
    </row>
    <row r="106" spans="1:22" ht="12" x14ac:dyDescent="0.2">
      <c r="A106" s="81" t="s">
        <v>714</v>
      </c>
      <c r="B106" s="81"/>
      <c r="C106" s="81"/>
      <c r="D106" s="81"/>
      <c r="E106" s="79">
        <v>1</v>
      </c>
      <c r="F106" s="77">
        <v>0.8</v>
      </c>
      <c r="G106" s="78">
        <v>2.2999999999999998</v>
      </c>
      <c r="H106" s="77">
        <f>0.45+0.15</f>
        <v>0.6</v>
      </c>
      <c r="I106" s="80">
        <v>2</v>
      </c>
      <c r="J106" s="73">
        <f t="shared" si="26"/>
        <v>0.6</v>
      </c>
      <c r="K106" s="73"/>
      <c r="L106" s="73">
        <f t="shared" si="27"/>
        <v>1.9319999999999997</v>
      </c>
      <c r="M106" s="73">
        <f t="shared" si="28"/>
        <v>1.8399999999999999</v>
      </c>
      <c r="N106" s="73">
        <f t="shared" si="29"/>
        <v>0.82799999999999985</v>
      </c>
      <c r="O106" s="73">
        <f t="shared" si="30"/>
        <v>1.4351999999999998</v>
      </c>
      <c r="P106" s="279">
        <v>0.1</v>
      </c>
      <c r="Q106" s="73"/>
      <c r="R106" s="73">
        <f t="shared" si="31"/>
        <v>0.184</v>
      </c>
      <c r="S106" s="73">
        <f t="shared" si="32"/>
        <v>2.76</v>
      </c>
      <c r="T106" s="177">
        <f t="shared" si="33"/>
        <v>4.5999999999999996</v>
      </c>
      <c r="U106" s="73">
        <f t="shared" si="34"/>
        <v>1.1039999999999999</v>
      </c>
      <c r="V106" s="159" t="s">
        <v>613</v>
      </c>
    </row>
    <row r="107" spans="1:22" ht="12" x14ac:dyDescent="0.2">
      <c r="A107" s="81" t="s">
        <v>715</v>
      </c>
      <c r="B107" s="81"/>
      <c r="C107" s="81"/>
      <c r="D107" s="81"/>
      <c r="E107" s="79">
        <v>1</v>
      </c>
      <c r="F107" s="77">
        <v>0.25</v>
      </c>
      <c r="G107" s="78">
        <v>2.8</v>
      </c>
      <c r="H107" s="77">
        <v>0.45</v>
      </c>
      <c r="I107" s="80">
        <v>2</v>
      </c>
      <c r="J107" s="73">
        <f t="shared" si="26"/>
        <v>0.6</v>
      </c>
      <c r="K107" s="73"/>
      <c r="L107" s="73">
        <f t="shared" si="27"/>
        <v>1.071</v>
      </c>
      <c r="M107" s="73">
        <f t="shared" si="28"/>
        <v>0.7</v>
      </c>
      <c r="N107" s="73">
        <f t="shared" si="29"/>
        <v>0.75600000000000001</v>
      </c>
      <c r="O107" s="73">
        <f t="shared" si="30"/>
        <v>0.40949999999999992</v>
      </c>
      <c r="P107" s="279">
        <v>0.1</v>
      </c>
      <c r="Q107" s="73"/>
      <c r="R107" s="73">
        <f t="shared" si="31"/>
        <v>6.9999999999999993E-2</v>
      </c>
      <c r="S107" s="73">
        <f t="shared" si="32"/>
        <v>2.52</v>
      </c>
      <c r="T107" s="177">
        <f t="shared" si="33"/>
        <v>3.2199999999999998</v>
      </c>
      <c r="U107" s="73">
        <f t="shared" si="34"/>
        <v>0.315</v>
      </c>
      <c r="V107" s="159" t="s">
        <v>613</v>
      </c>
    </row>
    <row r="108" spans="1:22" ht="12" x14ac:dyDescent="0.2">
      <c r="A108" s="81" t="s">
        <v>716</v>
      </c>
      <c r="B108" s="81"/>
      <c r="C108" s="81"/>
      <c r="D108" s="81"/>
      <c r="E108" s="79">
        <v>1</v>
      </c>
      <c r="F108" s="77">
        <v>0.8</v>
      </c>
      <c r="G108" s="78">
        <v>2.2799999999999998</v>
      </c>
      <c r="H108" s="77">
        <v>0.6</v>
      </c>
      <c r="I108" s="80">
        <v>2</v>
      </c>
      <c r="J108" s="73">
        <f t="shared" si="26"/>
        <v>0.6</v>
      </c>
      <c r="K108" s="73"/>
      <c r="L108" s="73">
        <f t="shared" si="27"/>
        <v>1.9151999999999998</v>
      </c>
      <c r="M108" s="73">
        <f t="shared" si="28"/>
        <v>1.8239999999999998</v>
      </c>
      <c r="N108" s="73">
        <f t="shared" si="29"/>
        <v>0.82079999999999997</v>
      </c>
      <c r="O108" s="73">
        <f t="shared" si="30"/>
        <v>1.4227199999999998</v>
      </c>
      <c r="P108" s="279">
        <v>0.1</v>
      </c>
      <c r="Q108" s="73"/>
      <c r="R108" s="73">
        <f t="shared" si="31"/>
        <v>0.18240000000000001</v>
      </c>
      <c r="S108" s="73">
        <f t="shared" si="32"/>
        <v>2.7359999999999998</v>
      </c>
      <c r="T108" s="177">
        <f t="shared" si="33"/>
        <v>4.5599999999999996</v>
      </c>
      <c r="U108" s="73">
        <f t="shared" si="34"/>
        <v>1.0943999999999998</v>
      </c>
      <c r="V108" s="159" t="s">
        <v>613</v>
      </c>
    </row>
    <row r="109" spans="1:22" ht="12" x14ac:dyDescent="0.2">
      <c r="A109" s="81" t="s">
        <v>717</v>
      </c>
      <c r="B109" s="81"/>
      <c r="C109" s="81"/>
      <c r="D109" s="81"/>
      <c r="E109" s="79">
        <v>1</v>
      </c>
      <c r="F109" s="77">
        <v>0.14000000000000001</v>
      </c>
      <c r="G109" s="78">
        <v>2.44</v>
      </c>
      <c r="H109" s="77">
        <v>1.65</v>
      </c>
      <c r="I109" s="80">
        <v>2</v>
      </c>
      <c r="J109" s="73">
        <f t="shared" si="26"/>
        <v>1.2</v>
      </c>
      <c r="K109" s="73"/>
      <c r="L109" s="73">
        <f t="shared" si="27"/>
        <v>5.3948399999999994</v>
      </c>
      <c r="M109" s="73">
        <f t="shared" si="28"/>
        <v>0.34160000000000001</v>
      </c>
      <c r="N109" s="73">
        <f t="shared" si="29"/>
        <v>4.8311999999999991</v>
      </c>
      <c r="O109" s="73">
        <f t="shared" si="30"/>
        <v>0.73273200000000049</v>
      </c>
      <c r="P109" s="279">
        <v>0.1</v>
      </c>
      <c r="Q109" s="73"/>
      <c r="R109" s="73">
        <f t="shared" si="31"/>
        <v>3.4160000000000003E-2</v>
      </c>
      <c r="S109" s="73">
        <f t="shared" si="32"/>
        <v>8.0519999999999996</v>
      </c>
      <c r="T109" s="177">
        <f t="shared" si="33"/>
        <v>8.3935999999999993</v>
      </c>
      <c r="U109" s="73">
        <f t="shared" si="34"/>
        <v>0.56364000000000003</v>
      </c>
      <c r="V109" s="159" t="s">
        <v>613</v>
      </c>
    </row>
    <row r="110" spans="1:22" ht="12" x14ac:dyDescent="0.2">
      <c r="A110" s="81" t="s">
        <v>718</v>
      </c>
      <c r="B110" s="81"/>
      <c r="C110" s="81"/>
      <c r="D110" s="81"/>
      <c r="E110" s="79">
        <v>1</v>
      </c>
      <c r="F110" s="77">
        <v>0.8</v>
      </c>
      <c r="G110" s="78">
        <v>1.1499999999999999</v>
      </c>
      <c r="H110" s="77">
        <v>0.6</v>
      </c>
      <c r="I110" s="80">
        <v>2</v>
      </c>
      <c r="J110" s="73">
        <f t="shared" si="26"/>
        <v>0.6</v>
      </c>
      <c r="K110" s="73"/>
      <c r="L110" s="73">
        <f t="shared" si="27"/>
        <v>0.96599999999999986</v>
      </c>
      <c r="M110" s="73">
        <f t="shared" si="28"/>
        <v>0.91999999999999993</v>
      </c>
      <c r="N110" s="73">
        <f t="shared" si="29"/>
        <v>0.41399999999999992</v>
      </c>
      <c r="O110" s="73">
        <f t="shared" si="30"/>
        <v>0.7175999999999999</v>
      </c>
      <c r="P110" s="279">
        <v>0.1</v>
      </c>
      <c r="Q110" s="73"/>
      <c r="R110" s="73">
        <f t="shared" si="31"/>
        <v>9.1999999999999998E-2</v>
      </c>
      <c r="S110" s="73">
        <f t="shared" si="32"/>
        <v>1.38</v>
      </c>
      <c r="T110" s="177">
        <f t="shared" si="33"/>
        <v>2.2999999999999998</v>
      </c>
      <c r="U110" s="73">
        <f t="shared" si="34"/>
        <v>0.55199999999999994</v>
      </c>
      <c r="V110" s="159" t="s">
        <v>613</v>
      </c>
    </row>
    <row r="111" spans="1:22" ht="12" x14ac:dyDescent="0.2">
      <c r="A111" s="81" t="s">
        <v>719</v>
      </c>
      <c r="B111" s="81"/>
      <c r="C111" s="81"/>
      <c r="D111" s="81"/>
      <c r="E111" s="79">
        <v>1</v>
      </c>
      <c r="F111" s="77">
        <v>0.25</v>
      </c>
      <c r="G111" s="78">
        <v>2.8</v>
      </c>
      <c r="H111" s="77">
        <v>0.45</v>
      </c>
      <c r="I111" s="80">
        <v>2</v>
      </c>
      <c r="J111" s="73">
        <f t="shared" ref="J111:J124" si="35">IF(H111&lt;=1,0.6,1.2)</f>
        <v>0.6</v>
      </c>
      <c r="K111" s="73"/>
      <c r="L111" s="73">
        <f t="shared" ref="L111:L124" si="36">((F111+J111)*(H111+K111)*G111)*E111</f>
        <v>1.071</v>
      </c>
      <c r="M111" s="73">
        <f t="shared" ref="M111:M124" si="37">(F111)*(G111)*E111</f>
        <v>0.7</v>
      </c>
      <c r="N111" s="73">
        <f t="shared" ref="N111:N124" si="38">L111-U111</f>
        <v>0.75600000000000001</v>
      </c>
      <c r="O111" s="73">
        <f t="shared" ref="O111:O124" si="39">(L111-N111)*1.3</f>
        <v>0.40949999999999992</v>
      </c>
      <c r="P111" s="279">
        <v>0.1</v>
      </c>
      <c r="Q111" s="73"/>
      <c r="R111" s="73">
        <f t="shared" ref="R111:R124" si="40">M111*$P111</f>
        <v>6.9999999999999993E-2</v>
      </c>
      <c r="S111" s="73">
        <f t="shared" ref="S111:S124" si="41">((G111*H111*I111))*E111</f>
        <v>2.52</v>
      </c>
      <c r="T111" s="177">
        <f t="shared" ref="T111:T124" si="42">S111+G111*F111</f>
        <v>3.2199999999999998</v>
      </c>
      <c r="U111" s="73">
        <f t="shared" ref="U111:U124" si="43">F111*H111*G111*E111</f>
        <v>0.315</v>
      </c>
      <c r="V111" s="159" t="s">
        <v>613</v>
      </c>
    </row>
    <row r="112" spans="1:22" ht="12" x14ac:dyDescent="0.2">
      <c r="A112" s="81" t="s">
        <v>720</v>
      </c>
      <c r="B112" s="81"/>
      <c r="C112" s="81"/>
      <c r="D112" s="81"/>
      <c r="E112" s="79">
        <v>1</v>
      </c>
      <c r="F112" s="77">
        <v>0.2</v>
      </c>
      <c r="G112" s="78">
        <f>0.4+6.25+5.2+5.36</f>
        <v>17.21</v>
      </c>
      <c r="H112" s="77">
        <v>0.45</v>
      </c>
      <c r="I112" s="80">
        <v>2</v>
      </c>
      <c r="J112" s="73">
        <f t="shared" si="35"/>
        <v>0.6</v>
      </c>
      <c r="K112" s="73"/>
      <c r="L112" s="73">
        <f t="shared" si="36"/>
        <v>6.1956000000000007</v>
      </c>
      <c r="M112" s="73">
        <f t="shared" si="37"/>
        <v>3.4420000000000002</v>
      </c>
      <c r="N112" s="73">
        <f t="shared" si="38"/>
        <v>4.6467000000000009</v>
      </c>
      <c r="O112" s="73">
        <f t="shared" si="39"/>
        <v>2.0135699999999996</v>
      </c>
      <c r="P112" s="279">
        <v>0.1</v>
      </c>
      <c r="Q112" s="73"/>
      <c r="R112" s="73">
        <f t="shared" si="40"/>
        <v>0.34420000000000006</v>
      </c>
      <c r="S112" s="73">
        <f t="shared" si="41"/>
        <v>15.489000000000001</v>
      </c>
      <c r="T112" s="177">
        <f t="shared" si="42"/>
        <v>18.931000000000001</v>
      </c>
      <c r="U112" s="73">
        <f t="shared" si="43"/>
        <v>1.5489000000000002</v>
      </c>
      <c r="V112" s="159" t="s">
        <v>613</v>
      </c>
    </row>
    <row r="113" spans="1:22" ht="12" x14ac:dyDescent="0.2">
      <c r="A113" s="81" t="s">
        <v>721</v>
      </c>
      <c r="B113" s="81"/>
      <c r="C113" s="81"/>
      <c r="D113" s="81"/>
      <c r="E113" s="79">
        <v>1</v>
      </c>
      <c r="F113" s="77">
        <v>0.8</v>
      </c>
      <c r="G113" s="78">
        <v>3.21</v>
      </c>
      <c r="H113" s="77">
        <v>0.45</v>
      </c>
      <c r="I113" s="80">
        <v>2</v>
      </c>
      <c r="J113" s="73">
        <f t="shared" si="35"/>
        <v>0.6</v>
      </c>
      <c r="K113" s="73"/>
      <c r="L113" s="73">
        <f t="shared" si="36"/>
        <v>2.0223</v>
      </c>
      <c r="M113" s="73">
        <f t="shared" si="37"/>
        <v>2.5680000000000001</v>
      </c>
      <c r="N113" s="73">
        <f t="shared" si="38"/>
        <v>0.8666999999999998</v>
      </c>
      <c r="O113" s="73">
        <f t="shared" si="39"/>
        <v>1.5022800000000003</v>
      </c>
      <c r="P113" s="279">
        <v>0.1</v>
      </c>
      <c r="Q113" s="73"/>
      <c r="R113" s="73">
        <f t="shared" si="40"/>
        <v>0.25680000000000003</v>
      </c>
      <c r="S113" s="73">
        <f t="shared" si="41"/>
        <v>2.8890000000000002</v>
      </c>
      <c r="T113" s="177">
        <f t="shared" si="42"/>
        <v>5.4570000000000007</v>
      </c>
      <c r="U113" s="73">
        <f t="shared" si="43"/>
        <v>1.1556000000000002</v>
      </c>
      <c r="V113" s="159" t="s">
        <v>613</v>
      </c>
    </row>
    <row r="114" spans="1:22" ht="12" x14ac:dyDescent="0.2">
      <c r="A114" s="81" t="s">
        <v>722</v>
      </c>
      <c r="B114" s="81"/>
      <c r="C114" s="81"/>
      <c r="D114" s="81"/>
      <c r="E114" s="79">
        <v>1</v>
      </c>
      <c r="F114" s="77">
        <v>0.8</v>
      </c>
      <c r="G114" s="78">
        <v>3.44</v>
      </c>
      <c r="H114" s="77">
        <v>0.45</v>
      </c>
      <c r="I114" s="80">
        <v>2</v>
      </c>
      <c r="J114" s="73">
        <f t="shared" si="35"/>
        <v>0.6</v>
      </c>
      <c r="K114" s="73"/>
      <c r="L114" s="73">
        <f t="shared" si="36"/>
        <v>2.1671999999999998</v>
      </c>
      <c r="M114" s="73">
        <f t="shared" si="37"/>
        <v>2.7520000000000002</v>
      </c>
      <c r="N114" s="73">
        <f t="shared" si="38"/>
        <v>0.92879999999999963</v>
      </c>
      <c r="O114" s="73">
        <f t="shared" si="39"/>
        <v>1.6099200000000002</v>
      </c>
      <c r="P114" s="279">
        <v>0.1</v>
      </c>
      <c r="Q114" s="73"/>
      <c r="R114" s="73">
        <f t="shared" si="40"/>
        <v>0.27520000000000006</v>
      </c>
      <c r="S114" s="73">
        <f t="shared" si="41"/>
        <v>3.0960000000000001</v>
      </c>
      <c r="T114" s="177">
        <f t="shared" si="42"/>
        <v>5.8480000000000008</v>
      </c>
      <c r="U114" s="73">
        <f t="shared" si="43"/>
        <v>1.2384000000000002</v>
      </c>
      <c r="V114" s="159" t="s">
        <v>613</v>
      </c>
    </row>
    <row r="115" spans="1:22" ht="12" x14ac:dyDescent="0.2">
      <c r="A115" s="81" t="s">
        <v>723</v>
      </c>
      <c r="B115" s="81"/>
      <c r="C115" s="81"/>
      <c r="D115" s="81"/>
      <c r="E115" s="79">
        <v>1</v>
      </c>
      <c r="F115" s="77">
        <v>0.25</v>
      </c>
      <c r="G115" s="78">
        <v>3</v>
      </c>
      <c r="H115" s="77">
        <v>0.45</v>
      </c>
      <c r="I115" s="80">
        <v>2</v>
      </c>
      <c r="J115" s="73">
        <f t="shared" si="35"/>
        <v>0.6</v>
      </c>
      <c r="K115" s="73"/>
      <c r="L115" s="73">
        <f t="shared" si="36"/>
        <v>1.1475</v>
      </c>
      <c r="M115" s="73">
        <f t="shared" si="37"/>
        <v>0.75</v>
      </c>
      <c r="N115" s="73">
        <f t="shared" si="38"/>
        <v>0.80999999999999994</v>
      </c>
      <c r="O115" s="73">
        <f t="shared" si="39"/>
        <v>0.43875000000000003</v>
      </c>
      <c r="P115" s="279">
        <v>0.1</v>
      </c>
      <c r="Q115" s="73"/>
      <c r="R115" s="73">
        <f t="shared" si="40"/>
        <v>7.5000000000000011E-2</v>
      </c>
      <c r="S115" s="73">
        <f t="shared" si="41"/>
        <v>2.7</v>
      </c>
      <c r="T115" s="177">
        <f t="shared" si="42"/>
        <v>3.45</v>
      </c>
      <c r="U115" s="73">
        <f t="shared" si="43"/>
        <v>0.33750000000000002</v>
      </c>
      <c r="V115" s="159" t="s">
        <v>613</v>
      </c>
    </row>
    <row r="116" spans="1:22" ht="12" x14ac:dyDescent="0.2">
      <c r="A116" s="81" t="s">
        <v>724</v>
      </c>
      <c r="B116" s="81"/>
      <c r="C116" s="81"/>
      <c r="D116" s="81"/>
      <c r="E116" s="79">
        <v>1</v>
      </c>
      <c r="F116" s="77">
        <v>0.8</v>
      </c>
      <c r="G116" s="78">
        <v>0.7</v>
      </c>
      <c r="H116" s="77">
        <v>0.45</v>
      </c>
      <c r="I116" s="80">
        <v>2</v>
      </c>
      <c r="J116" s="73">
        <f t="shared" si="35"/>
        <v>0.6</v>
      </c>
      <c r="K116" s="73"/>
      <c r="L116" s="73">
        <f t="shared" si="36"/>
        <v>0.44099999999999995</v>
      </c>
      <c r="M116" s="73">
        <f t="shared" si="37"/>
        <v>0.55999999999999994</v>
      </c>
      <c r="N116" s="73">
        <f t="shared" si="38"/>
        <v>0.18899999999999995</v>
      </c>
      <c r="O116" s="73">
        <f t="shared" si="39"/>
        <v>0.3276</v>
      </c>
      <c r="P116" s="279">
        <v>0.1</v>
      </c>
      <c r="Q116" s="73"/>
      <c r="R116" s="73">
        <f t="shared" si="40"/>
        <v>5.5999999999999994E-2</v>
      </c>
      <c r="S116" s="73">
        <f t="shared" si="41"/>
        <v>0.63</v>
      </c>
      <c r="T116" s="177">
        <f t="shared" si="42"/>
        <v>1.19</v>
      </c>
      <c r="U116" s="73">
        <f t="shared" si="43"/>
        <v>0.252</v>
      </c>
      <c r="V116" s="159" t="s">
        <v>613</v>
      </c>
    </row>
    <row r="117" spans="1:22" ht="12" x14ac:dyDescent="0.2">
      <c r="A117" s="81" t="s">
        <v>725</v>
      </c>
      <c r="B117" s="81"/>
      <c r="C117" s="81"/>
      <c r="D117" s="81"/>
      <c r="E117" s="79">
        <v>1</v>
      </c>
      <c r="F117" s="77">
        <v>0.2</v>
      </c>
      <c r="G117" s="78">
        <f>0.2+2.46+1.11+6.02</f>
        <v>9.7899999999999991</v>
      </c>
      <c r="H117" s="77">
        <v>0.45</v>
      </c>
      <c r="I117" s="80">
        <v>2</v>
      </c>
      <c r="J117" s="73">
        <f t="shared" si="35"/>
        <v>0.6</v>
      </c>
      <c r="K117" s="73"/>
      <c r="L117" s="73">
        <f t="shared" si="36"/>
        <v>3.5244</v>
      </c>
      <c r="M117" s="73">
        <f t="shared" si="37"/>
        <v>1.958</v>
      </c>
      <c r="N117" s="73">
        <f t="shared" si="38"/>
        <v>2.6433</v>
      </c>
      <c r="O117" s="73">
        <f t="shared" si="39"/>
        <v>1.1454299999999999</v>
      </c>
      <c r="P117" s="279">
        <v>0.1</v>
      </c>
      <c r="Q117" s="73"/>
      <c r="R117" s="73">
        <f t="shared" si="40"/>
        <v>0.1958</v>
      </c>
      <c r="S117" s="73">
        <f t="shared" si="41"/>
        <v>8.8109999999999999</v>
      </c>
      <c r="T117" s="177">
        <f t="shared" si="42"/>
        <v>10.769</v>
      </c>
      <c r="U117" s="73">
        <f t="shared" si="43"/>
        <v>0.88109999999999999</v>
      </c>
      <c r="V117" s="159" t="s">
        <v>613</v>
      </c>
    </row>
    <row r="118" spans="1:22" ht="12" x14ac:dyDescent="0.2">
      <c r="A118" s="81" t="s">
        <v>726</v>
      </c>
      <c r="B118" s="81"/>
      <c r="C118" s="81"/>
      <c r="D118" s="81"/>
      <c r="E118" s="79">
        <v>1</v>
      </c>
      <c r="F118" s="77">
        <v>0.2</v>
      </c>
      <c r="G118" s="78">
        <f>3.93+7.103</f>
        <v>11.032999999999999</v>
      </c>
      <c r="H118" s="77">
        <v>0.45</v>
      </c>
      <c r="I118" s="80">
        <v>2</v>
      </c>
      <c r="J118" s="73">
        <f t="shared" si="35"/>
        <v>0.6</v>
      </c>
      <c r="K118" s="73"/>
      <c r="L118" s="73">
        <f t="shared" si="36"/>
        <v>3.9718800000000001</v>
      </c>
      <c r="M118" s="73">
        <f t="shared" si="37"/>
        <v>2.2065999999999999</v>
      </c>
      <c r="N118" s="73">
        <f t="shared" si="38"/>
        <v>2.9789099999999999</v>
      </c>
      <c r="O118" s="73">
        <f t="shared" si="39"/>
        <v>1.2908610000000003</v>
      </c>
      <c r="P118" s="279">
        <v>0.1</v>
      </c>
      <c r="Q118" s="73"/>
      <c r="R118" s="73">
        <f t="shared" si="40"/>
        <v>0.22066</v>
      </c>
      <c r="S118" s="73">
        <f t="shared" si="41"/>
        <v>9.9297000000000004</v>
      </c>
      <c r="T118" s="177">
        <f t="shared" si="42"/>
        <v>12.1363</v>
      </c>
      <c r="U118" s="73">
        <f t="shared" si="43"/>
        <v>0.99297000000000002</v>
      </c>
      <c r="V118" s="159" t="s">
        <v>613</v>
      </c>
    </row>
    <row r="119" spans="1:22" ht="12" x14ac:dyDescent="0.2">
      <c r="A119" s="81" t="s">
        <v>727</v>
      </c>
      <c r="B119" s="81"/>
      <c r="C119" s="81"/>
      <c r="D119" s="81"/>
      <c r="E119" s="79">
        <v>1</v>
      </c>
      <c r="F119" s="77">
        <v>0.17</v>
      </c>
      <c r="G119" s="78">
        <v>2.77</v>
      </c>
      <c r="H119" s="77">
        <v>0.45</v>
      </c>
      <c r="I119" s="80">
        <v>2</v>
      </c>
      <c r="J119" s="73">
        <f t="shared" si="35"/>
        <v>0.6</v>
      </c>
      <c r="K119" s="73"/>
      <c r="L119" s="73">
        <f t="shared" si="36"/>
        <v>0.95980500000000013</v>
      </c>
      <c r="M119" s="73">
        <f t="shared" si="37"/>
        <v>0.47090000000000004</v>
      </c>
      <c r="N119" s="73">
        <f t="shared" si="38"/>
        <v>0.74790000000000012</v>
      </c>
      <c r="O119" s="73">
        <f t="shared" si="39"/>
        <v>0.27547650000000001</v>
      </c>
      <c r="P119" s="279">
        <v>0.1</v>
      </c>
      <c r="Q119" s="73"/>
      <c r="R119" s="73">
        <f t="shared" si="40"/>
        <v>4.7090000000000007E-2</v>
      </c>
      <c r="S119" s="73">
        <f t="shared" si="41"/>
        <v>2.4929999999999999</v>
      </c>
      <c r="T119" s="177">
        <f t="shared" si="42"/>
        <v>2.9638999999999998</v>
      </c>
      <c r="U119" s="73">
        <f t="shared" si="43"/>
        <v>0.21190500000000004</v>
      </c>
      <c r="V119" s="159" t="s">
        <v>613</v>
      </c>
    </row>
    <row r="120" spans="1:22" ht="12" x14ac:dyDescent="0.2">
      <c r="A120" s="81" t="s">
        <v>728</v>
      </c>
      <c r="B120" s="81"/>
      <c r="C120" s="81"/>
      <c r="D120" s="81"/>
      <c r="E120" s="79">
        <v>1</v>
      </c>
      <c r="F120" s="77">
        <v>0.17</v>
      </c>
      <c r="G120" s="78">
        <v>3.24</v>
      </c>
      <c r="H120" s="77">
        <v>0.45</v>
      </c>
      <c r="I120" s="80">
        <v>2</v>
      </c>
      <c r="J120" s="73">
        <f t="shared" si="35"/>
        <v>0.6</v>
      </c>
      <c r="K120" s="73"/>
      <c r="L120" s="73">
        <f t="shared" si="36"/>
        <v>1.1226600000000002</v>
      </c>
      <c r="M120" s="73">
        <f t="shared" si="37"/>
        <v>0.55080000000000007</v>
      </c>
      <c r="N120" s="73">
        <f t="shared" si="38"/>
        <v>0.87480000000000013</v>
      </c>
      <c r="O120" s="73">
        <f t="shared" si="39"/>
        <v>0.32221800000000012</v>
      </c>
      <c r="P120" s="279">
        <v>0.1</v>
      </c>
      <c r="Q120" s="73"/>
      <c r="R120" s="73">
        <f t="shared" si="40"/>
        <v>5.5080000000000011E-2</v>
      </c>
      <c r="S120" s="73">
        <f t="shared" si="41"/>
        <v>2.9160000000000004</v>
      </c>
      <c r="T120" s="177">
        <f t="shared" si="42"/>
        <v>3.4668000000000005</v>
      </c>
      <c r="U120" s="73">
        <f t="shared" si="43"/>
        <v>0.24786000000000005</v>
      </c>
      <c r="V120" s="159" t="s">
        <v>613</v>
      </c>
    </row>
    <row r="121" spans="1:22" ht="12" x14ac:dyDescent="0.2">
      <c r="A121" s="81" t="s">
        <v>729</v>
      </c>
      <c r="B121" s="81"/>
      <c r="C121" s="81"/>
      <c r="D121" s="81"/>
      <c r="E121" s="79">
        <v>1</v>
      </c>
      <c r="F121" s="77">
        <v>0.2</v>
      </c>
      <c r="G121" s="78">
        <f>0.7+2.13+6.5</f>
        <v>9.33</v>
      </c>
      <c r="H121" s="77">
        <v>0.45</v>
      </c>
      <c r="I121" s="80">
        <v>2</v>
      </c>
      <c r="J121" s="73">
        <f t="shared" si="35"/>
        <v>0.6</v>
      </c>
      <c r="K121" s="73"/>
      <c r="L121" s="73">
        <f t="shared" si="36"/>
        <v>3.3588000000000005</v>
      </c>
      <c r="M121" s="73">
        <f t="shared" si="37"/>
        <v>1.8660000000000001</v>
      </c>
      <c r="N121" s="73">
        <f t="shared" si="38"/>
        <v>2.5191000000000003</v>
      </c>
      <c r="O121" s="73">
        <f t="shared" si="39"/>
        <v>1.0916100000000002</v>
      </c>
      <c r="P121" s="279">
        <v>0.1</v>
      </c>
      <c r="Q121" s="73"/>
      <c r="R121" s="73">
        <f t="shared" si="40"/>
        <v>0.18660000000000002</v>
      </c>
      <c r="S121" s="73">
        <f t="shared" si="41"/>
        <v>8.3970000000000002</v>
      </c>
      <c r="T121" s="177">
        <f t="shared" si="42"/>
        <v>10.263</v>
      </c>
      <c r="U121" s="73">
        <f t="shared" si="43"/>
        <v>0.83970000000000011</v>
      </c>
      <c r="V121" s="159" t="s">
        <v>613</v>
      </c>
    </row>
    <row r="122" spans="1:22" ht="12" x14ac:dyDescent="0.2">
      <c r="A122" s="81" t="s">
        <v>730</v>
      </c>
      <c r="B122" s="81"/>
      <c r="C122" s="81"/>
      <c r="D122" s="81"/>
      <c r="E122" s="79">
        <v>1</v>
      </c>
      <c r="F122" s="77">
        <v>0.2</v>
      </c>
      <c r="G122" s="78">
        <v>3.99</v>
      </c>
      <c r="H122" s="77">
        <v>0.45</v>
      </c>
      <c r="I122" s="80">
        <v>2</v>
      </c>
      <c r="J122" s="73">
        <f t="shared" si="35"/>
        <v>0.6</v>
      </c>
      <c r="K122" s="73"/>
      <c r="L122" s="73">
        <f t="shared" si="36"/>
        <v>1.4364000000000003</v>
      </c>
      <c r="M122" s="73">
        <f t="shared" si="37"/>
        <v>0.79800000000000004</v>
      </c>
      <c r="N122" s="73">
        <f t="shared" si="38"/>
        <v>1.0773000000000001</v>
      </c>
      <c r="O122" s="73">
        <f t="shared" si="39"/>
        <v>0.46683000000000024</v>
      </c>
      <c r="P122" s="279">
        <v>0.1</v>
      </c>
      <c r="Q122" s="73"/>
      <c r="R122" s="73">
        <f t="shared" si="40"/>
        <v>7.980000000000001E-2</v>
      </c>
      <c r="S122" s="73">
        <f t="shared" si="41"/>
        <v>3.5910000000000002</v>
      </c>
      <c r="T122" s="177">
        <f t="shared" si="42"/>
        <v>4.3890000000000002</v>
      </c>
      <c r="U122" s="73">
        <f t="shared" si="43"/>
        <v>0.35910000000000009</v>
      </c>
      <c r="V122" s="159" t="s">
        <v>613</v>
      </c>
    </row>
    <row r="123" spans="1:22" ht="12" x14ac:dyDescent="0.2">
      <c r="A123" s="81" t="s">
        <v>731</v>
      </c>
      <c r="B123" s="81"/>
      <c r="C123" s="81"/>
      <c r="D123" s="81"/>
      <c r="E123" s="79">
        <v>1</v>
      </c>
      <c r="F123" s="77">
        <v>0.2</v>
      </c>
      <c r="G123" s="78">
        <f>4.2+7.4+6.42+5.635+6.98+3.55</f>
        <v>34.185000000000002</v>
      </c>
      <c r="H123" s="77">
        <v>0.45</v>
      </c>
      <c r="I123" s="80">
        <v>2</v>
      </c>
      <c r="J123" s="73">
        <f t="shared" si="35"/>
        <v>0.6</v>
      </c>
      <c r="K123" s="73"/>
      <c r="L123" s="73">
        <f t="shared" si="36"/>
        <v>12.306600000000003</v>
      </c>
      <c r="M123" s="73">
        <f t="shared" si="37"/>
        <v>6.8370000000000006</v>
      </c>
      <c r="N123" s="73">
        <f t="shared" si="38"/>
        <v>9.2299500000000023</v>
      </c>
      <c r="O123" s="73">
        <f t="shared" si="39"/>
        <v>3.999645000000001</v>
      </c>
      <c r="P123" s="279">
        <v>0.1</v>
      </c>
      <c r="Q123" s="73"/>
      <c r="R123" s="73">
        <f t="shared" si="40"/>
        <v>0.68370000000000009</v>
      </c>
      <c r="S123" s="73">
        <f t="shared" si="41"/>
        <v>30.766500000000004</v>
      </c>
      <c r="T123" s="177">
        <f t="shared" si="42"/>
        <v>37.603500000000004</v>
      </c>
      <c r="U123" s="73">
        <f t="shared" si="43"/>
        <v>3.0766500000000008</v>
      </c>
      <c r="V123" s="159" t="s">
        <v>613</v>
      </c>
    </row>
    <row r="124" spans="1:22" ht="12.75" thickBot="1" x14ac:dyDescent="0.25">
      <c r="A124" s="81" t="s">
        <v>732</v>
      </c>
      <c r="B124" s="81"/>
      <c r="C124" s="81"/>
      <c r="D124" s="81"/>
      <c r="E124" s="79">
        <v>1</v>
      </c>
      <c r="F124" s="77">
        <v>0.7</v>
      </c>
      <c r="G124" s="78">
        <v>3.33</v>
      </c>
      <c r="H124" s="77">
        <v>0.45</v>
      </c>
      <c r="I124" s="80">
        <v>2</v>
      </c>
      <c r="J124" s="73">
        <f t="shared" si="35"/>
        <v>0.6</v>
      </c>
      <c r="K124" s="73"/>
      <c r="L124" s="73">
        <f t="shared" si="36"/>
        <v>1.9480499999999998</v>
      </c>
      <c r="M124" s="73">
        <f t="shared" si="37"/>
        <v>2.331</v>
      </c>
      <c r="N124" s="73">
        <f t="shared" si="38"/>
        <v>0.89909999999999979</v>
      </c>
      <c r="O124" s="73">
        <f t="shared" si="39"/>
        <v>1.3636350000000002</v>
      </c>
      <c r="P124" s="279">
        <v>0.1</v>
      </c>
      <c r="Q124" s="73"/>
      <c r="R124" s="73">
        <f t="shared" si="40"/>
        <v>0.2331</v>
      </c>
      <c r="S124" s="73">
        <f t="shared" si="41"/>
        <v>2.9970000000000003</v>
      </c>
      <c r="T124" s="177">
        <f t="shared" si="42"/>
        <v>5.3280000000000003</v>
      </c>
      <c r="U124" s="73">
        <f t="shared" si="43"/>
        <v>1.04895</v>
      </c>
      <c r="V124" s="159" t="s">
        <v>613</v>
      </c>
    </row>
    <row r="125" spans="1:22" ht="13.5" thickTop="1" thickBot="1" x14ac:dyDescent="0.25">
      <c r="A125" s="38" t="str">
        <f>"TOTAL GERAL - "&amp;A72</f>
        <v>TOTAL GERAL - VIGAS  FUNDAÇÃO</v>
      </c>
      <c r="B125" s="38"/>
      <c r="C125" s="82"/>
      <c r="D125" s="58"/>
      <c r="E125" s="58"/>
      <c r="F125" s="58"/>
      <c r="G125" s="58"/>
      <c r="H125" s="58"/>
      <c r="I125" s="60"/>
      <c r="J125" s="58"/>
      <c r="K125" s="58"/>
      <c r="L125" s="60">
        <f>SUM(L76:L124)</f>
        <v>138.49150499999999</v>
      </c>
      <c r="M125" s="60">
        <f>SUM(M76:M124)</f>
        <v>89.608500000000006</v>
      </c>
      <c r="N125" s="60">
        <f>SUM(N76:N124)</f>
        <v>95.489039999999989</v>
      </c>
      <c r="O125" s="60">
        <f>SUM(O76:O124)</f>
        <v>55.903204500000008</v>
      </c>
      <c r="P125" s="60"/>
      <c r="Q125" s="60">
        <f>SUM(Q76:Q124)</f>
        <v>0</v>
      </c>
      <c r="R125" s="60">
        <f>SUM(R76:R124)</f>
        <v>7.5671375000000012</v>
      </c>
      <c r="S125" s="60">
        <f>SUM(S76:S124)</f>
        <v>296.74779999999998</v>
      </c>
      <c r="T125" s="60">
        <f>SUM(T76:T124)</f>
        <v>382.56429999999995</v>
      </c>
      <c r="U125" s="60">
        <f>SUM(U76:U124)</f>
        <v>43.002465000000015</v>
      </c>
      <c r="V125" s="84"/>
    </row>
    <row r="126" spans="1:22" ht="12" thickTop="1" x14ac:dyDescent="0.2"/>
    <row r="128" spans="1:22" ht="18.75" hidden="1" x14ac:dyDescent="0.2">
      <c r="A128" s="1133" t="s">
        <v>621</v>
      </c>
      <c r="B128" s="1133"/>
      <c r="C128" s="1133"/>
      <c r="D128" s="1133"/>
      <c r="E128" s="1133"/>
      <c r="F128" s="1133"/>
      <c r="G128" s="1133"/>
      <c r="H128" s="1133"/>
      <c r="I128" s="1133"/>
      <c r="J128" s="1133"/>
      <c r="K128" s="1133"/>
      <c r="L128" s="1133"/>
      <c r="M128" s="1133"/>
      <c r="N128" s="1133"/>
      <c r="O128" s="1133"/>
      <c r="P128" s="1133"/>
      <c r="Q128" s="1133"/>
      <c r="R128" s="1133"/>
      <c r="S128" s="1133"/>
      <c r="T128" s="1133"/>
      <c r="U128" s="1133"/>
      <c r="V128" s="1133"/>
    </row>
    <row r="129" spans="1:22" ht="12.75" hidden="1" x14ac:dyDescent="0.2">
      <c r="A129" s="1134" t="s">
        <v>6</v>
      </c>
      <c r="B129" s="1134"/>
      <c r="C129" s="1113"/>
      <c r="D129" s="1113"/>
      <c r="E129" s="1138" t="s">
        <v>448</v>
      </c>
      <c r="F129" s="492" t="s">
        <v>449</v>
      </c>
      <c r="G129" s="492"/>
      <c r="H129" s="492"/>
      <c r="I129" s="514"/>
      <c r="J129" s="1121" t="s">
        <v>21</v>
      </c>
      <c r="K129" s="1122"/>
      <c r="L129" s="491" t="s">
        <v>450</v>
      </c>
      <c r="M129" s="492"/>
      <c r="N129" s="492"/>
      <c r="O129" s="492"/>
      <c r="P129" s="492"/>
      <c r="Q129" s="492"/>
      <c r="R129" s="492"/>
      <c r="S129" s="492"/>
      <c r="T129" s="493"/>
      <c r="U129" s="492"/>
      <c r="V129" s="492"/>
    </row>
    <row r="130" spans="1:22" ht="12.75" hidden="1" x14ac:dyDescent="0.2">
      <c r="A130" s="1135"/>
      <c r="B130" s="1135"/>
      <c r="C130" s="1137"/>
      <c r="D130" s="1137"/>
      <c r="E130" s="1139"/>
      <c r="F130" s="494" t="s">
        <v>34</v>
      </c>
      <c r="G130" s="495" t="s">
        <v>37</v>
      </c>
      <c r="H130" s="495" t="s">
        <v>36</v>
      </c>
      <c r="I130" s="516" t="s">
        <v>243</v>
      </c>
      <c r="J130" s="496" t="s">
        <v>453</v>
      </c>
      <c r="K130" s="496" t="s">
        <v>52</v>
      </c>
      <c r="L130" s="497" t="s">
        <v>454</v>
      </c>
      <c r="M130" s="497" t="s">
        <v>455</v>
      </c>
      <c r="N130" s="497" t="s">
        <v>456</v>
      </c>
      <c r="O130" s="497" t="s">
        <v>457</v>
      </c>
      <c r="P130" s="1130" t="s">
        <v>619</v>
      </c>
      <c r="Q130" s="1131"/>
      <c r="R130" s="1132"/>
      <c r="S130" s="497" t="s">
        <v>458</v>
      </c>
      <c r="T130" s="497" t="s">
        <v>459</v>
      </c>
      <c r="U130" s="497" t="s">
        <v>80</v>
      </c>
      <c r="V130" s="497" t="s">
        <v>45</v>
      </c>
    </row>
    <row r="131" spans="1:22" ht="12.75" hidden="1" x14ac:dyDescent="0.2">
      <c r="A131" s="1136"/>
      <c r="B131" s="1136"/>
      <c r="C131" s="1114"/>
      <c r="D131" s="1114"/>
      <c r="E131" s="1140"/>
      <c r="F131" s="498" t="s">
        <v>28</v>
      </c>
      <c r="G131" s="499" t="s">
        <v>30</v>
      </c>
      <c r="H131" s="499" t="s">
        <v>29</v>
      </c>
      <c r="I131" s="499" t="s">
        <v>31</v>
      </c>
      <c r="J131" s="500" t="s">
        <v>3</v>
      </c>
      <c r="K131" s="500" t="s">
        <v>3</v>
      </c>
      <c r="L131" s="500" t="s">
        <v>4</v>
      </c>
      <c r="M131" s="500" t="s">
        <v>1</v>
      </c>
      <c r="N131" s="500" t="s">
        <v>4</v>
      </c>
      <c r="O131" s="500" t="s">
        <v>4</v>
      </c>
      <c r="P131" s="501" t="s">
        <v>460</v>
      </c>
      <c r="Q131" s="502" t="s">
        <v>4</v>
      </c>
      <c r="R131" s="502" t="s">
        <v>4</v>
      </c>
      <c r="S131" s="500" t="s">
        <v>1</v>
      </c>
      <c r="T131" s="500" t="s">
        <v>1</v>
      </c>
      <c r="U131" s="500" t="s">
        <v>4</v>
      </c>
      <c r="V131" s="500"/>
    </row>
    <row r="132" spans="1:22" ht="12" hidden="1" x14ac:dyDescent="0.2">
      <c r="A132" s="173" t="s">
        <v>58</v>
      </c>
      <c r="B132" s="175"/>
      <c r="C132" s="175"/>
      <c r="D132" s="175"/>
      <c r="E132" s="175"/>
      <c r="F132" s="174"/>
      <c r="G132" s="174"/>
      <c r="H132" s="174"/>
      <c r="I132" s="175"/>
      <c r="J132" s="174"/>
      <c r="K132" s="175"/>
      <c r="L132" s="175"/>
      <c r="M132" s="175"/>
      <c r="N132" s="175"/>
      <c r="O132" s="175"/>
      <c r="P132" s="273"/>
      <c r="Q132" s="181" t="s">
        <v>620</v>
      </c>
      <c r="R132" s="181" t="s">
        <v>80</v>
      </c>
      <c r="S132" s="175"/>
      <c r="T132" s="176"/>
      <c r="U132" s="175"/>
      <c r="V132" s="174"/>
    </row>
    <row r="133" spans="1:22" ht="12" hidden="1" x14ac:dyDescent="0.2">
      <c r="A133" s="188"/>
      <c r="B133" s="81"/>
      <c r="C133" s="81"/>
      <c r="D133" s="81"/>
      <c r="E133" s="79"/>
      <c r="F133" s="77"/>
      <c r="G133" s="78"/>
      <c r="H133" s="77"/>
      <c r="I133" s="80">
        <v>4</v>
      </c>
      <c r="J133" s="73">
        <f t="shared" ref="J133:J145" si="44">IF(H133&lt;=1,0.6,1.2)</f>
        <v>0.6</v>
      </c>
      <c r="K133" s="73"/>
      <c r="L133" s="73">
        <f t="shared" ref="L133:L145" si="45">((F133+J133)*(H133+K133)*G133)*E133</f>
        <v>0</v>
      </c>
      <c r="M133" s="73">
        <f t="shared" ref="M133:M145" si="46">(F133)*(G133)*E133</f>
        <v>0</v>
      </c>
      <c r="N133" s="73">
        <f t="shared" ref="N133:N145" si="47">L133-U133</f>
        <v>0</v>
      </c>
      <c r="O133" s="73">
        <f>(L133-N133)*1.3</f>
        <v>0</v>
      </c>
      <c r="P133" s="279">
        <v>0.1</v>
      </c>
      <c r="Q133" s="73"/>
      <c r="R133" s="73">
        <f t="shared" ref="R133:R145" si="48">M133*$P133</f>
        <v>0</v>
      </c>
      <c r="S133" s="73">
        <f t="shared" ref="S133:S145" si="49">((G133*H133*I133))*E133</f>
        <v>0</v>
      </c>
      <c r="T133" s="177">
        <f t="shared" ref="T133:T145" si="50">S133+G133*F133</f>
        <v>0</v>
      </c>
      <c r="U133" s="73">
        <f t="shared" ref="U133:U145" si="51">F133*H133*G133*E133</f>
        <v>0</v>
      </c>
      <c r="V133" s="159" t="s">
        <v>613</v>
      </c>
    </row>
    <row r="134" spans="1:22" ht="12" hidden="1" x14ac:dyDescent="0.2">
      <c r="A134" s="188"/>
      <c r="B134" s="81"/>
      <c r="C134" s="81"/>
      <c r="D134" s="81"/>
      <c r="E134" s="79"/>
      <c r="F134" s="77"/>
      <c r="G134" s="78"/>
      <c r="H134" s="77"/>
      <c r="I134" s="80">
        <v>4</v>
      </c>
      <c r="J134" s="73">
        <f t="shared" si="44"/>
        <v>0.6</v>
      </c>
      <c r="K134" s="73"/>
      <c r="L134" s="73">
        <f t="shared" si="45"/>
        <v>0</v>
      </c>
      <c r="M134" s="73">
        <f t="shared" si="46"/>
        <v>0</v>
      </c>
      <c r="N134" s="73">
        <f t="shared" si="47"/>
        <v>0</v>
      </c>
      <c r="O134" s="73">
        <f>(L134-N134)*1.3</f>
        <v>0</v>
      </c>
      <c r="P134" s="279">
        <v>0.1</v>
      </c>
      <c r="Q134" s="73"/>
      <c r="R134" s="73">
        <f t="shared" si="48"/>
        <v>0</v>
      </c>
      <c r="S134" s="73">
        <f t="shared" si="49"/>
        <v>0</v>
      </c>
      <c r="T134" s="177">
        <f t="shared" si="50"/>
        <v>0</v>
      </c>
      <c r="U134" s="73">
        <f t="shared" si="51"/>
        <v>0</v>
      </c>
      <c r="V134" s="159" t="s">
        <v>613</v>
      </c>
    </row>
    <row r="135" spans="1:22" ht="12" hidden="1" x14ac:dyDescent="0.2">
      <c r="A135" s="188"/>
      <c r="B135" s="81"/>
      <c r="C135" s="81"/>
      <c r="D135" s="81"/>
      <c r="E135" s="79"/>
      <c r="F135" s="77"/>
      <c r="G135" s="78"/>
      <c r="H135" s="77"/>
      <c r="I135" s="80">
        <v>4</v>
      </c>
      <c r="J135" s="73">
        <f t="shared" si="44"/>
        <v>0.6</v>
      </c>
      <c r="K135" s="73"/>
      <c r="L135" s="73">
        <f t="shared" si="45"/>
        <v>0</v>
      </c>
      <c r="M135" s="73">
        <f t="shared" si="46"/>
        <v>0</v>
      </c>
      <c r="N135" s="73">
        <f t="shared" si="47"/>
        <v>0</v>
      </c>
      <c r="O135" s="73">
        <f t="shared" ref="O135:O145" si="52">(L135-N135)*1.3</f>
        <v>0</v>
      </c>
      <c r="P135" s="279">
        <v>0.1</v>
      </c>
      <c r="Q135" s="73"/>
      <c r="R135" s="73">
        <f t="shared" si="48"/>
        <v>0</v>
      </c>
      <c r="S135" s="73">
        <f t="shared" si="49"/>
        <v>0</v>
      </c>
      <c r="T135" s="177">
        <f t="shared" si="50"/>
        <v>0</v>
      </c>
      <c r="U135" s="73">
        <f t="shared" si="51"/>
        <v>0</v>
      </c>
      <c r="V135" s="159" t="s">
        <v>613</v>
      </c>
    </row>
    <row r="136" spans="1:22" ht="12" hidden="1" x14ac:dyDescent="0.2">
      <c r="A136" s="188"/>
      <c r="B136" s="81"/>
      <c r="C136" s="81"/>
      <c r="D136" s="81"/>
      <c r="E136" s="79"/>
      <c r="F136" s="77"/>
      <c r="G136" s="78"/>
      <c r="H136" s="77"/>
      <c r="I136" s="80">
        <v>4</v>
      </c>
      <c r="J136" s="73">
        <f t="shared" si="44"/>
        <v>0.6</v>
      </c>
      <c r="K136" s="73"/>
      <c r="L136" s="73">
        <f t="shared" si="45"/>
        <v>0</v>
      </c>
      <c r="M136" s="73">
        <f t="shared" si="46"/>
        <v>0</v>
      </c>
      <c r="N136" s="73">
        <f t="shared" si="47"/>
        <v>0</v>
      </c>
      <c r="O136" s="73">
        <f t="shared" si="52"/>
        <v>0</v>
      </c>
      <c r="P136" s="279">
        <v>0.1</v>
      </c>
      <c r="Q136" s="73"/>
      <c r="R136" s="73">
        <f t="shared" si="48"/>
        <v>0</v>
      </c>
      <c r="S136" s="73">
        <f t="shared" si="49"/>
        <v>0</v>
      </c>
      <c r="T136" s="177">
        <f t="shared" si="50"/>
        <v>0</v>
      </c>
      <c r="U136" s="73">
        <f t="shared" si="51"/>
        <v>0</v>
      </c>
      <c r="V136" s="159" t="s">
        <v>613</v>
      </c>
    </row>
    <row r="137" spans="1:22" ht="12" hidden="1" x14ac:dyDescent="0.2">
      <c r="A137" s="188"/>
      <c r="B137" s="81"/>
      <c r="C137" s="81"/>
      <c r="D137" s="81"/>
      <c r="E137" s="79"/>
      <c r="F137" s="77"/>
      <c r="G137" s="78"/>
      <c r="H137" s="77"/>
      <c r="I137" s="80">
        <v>4</v>
      </c>
      <c r="J137" s="73">
        <f t="shared" si="44"/>
        <v>0.6</v>
      </c>
      <c r="K137" s="73"/>
      <c r="L137" s="73">
        <f t="shared" si="45"/>
        <v>0</v>
      </c>
      <c r="M137" s="73">
        <f t="shared" si="46"/>
        <v>0</v>
      </c>
      <c r="N137" s="73">
        <f t="shared" si="47"/>
        <v>0</v>
      </c>
      <c r="O137" s="73">
        <f t="shared" si="52"/>
        <v>0</v>
      </c>
      <c r="P137" s="279">
        <v>0.1</v>
      </c>
      <c r="Q137" s="73"/>
      <c r="R137" s="73">
        <f t="shared" si="48"/>
        <v>0</v>
      </c>
      <c r="S137" s="73">
        <f t="shared" si="49"/>
        <v>0</v>
      </c>
      <c r="T137" s="177">
        <f t="shared" si="50"/>
        <v>0</v>
      </c>
      <c r="U137" s="73">
        <f t="shared" si="51"/>
        <v>0</v>
      </c>
      <c r="V137" s="159" t="s">
        <v>613</v>
      </c>
    </row>
    <row r="138" spans="1:22" ht="12" hidden="1" x14ac:dyDescent="0.2">
      <c r="A138" s="188"/>
      <c r="B138" s="81"/>
      <c r="C138" s="81"/>
      <c r="D138" s="81"/>
      <c r="E138" s="79"/>
      <c r="F138" s="77"/>
      <c r="G138" s="78"/>
      <c r="H138" s="77"/>
      <c r="I138" s="80">
        <v>4</v>
      </c>
      <c r="J138" s="73">
        <f t="shared" si="44"/>
        <v>0.6</v>
      </c>
      <c r="K138" s="73"/>
      <c r="L138" s="73">
        <f t="shared" si="45"/>
        <v>0</v>
      </c>
      <c r="M138" s="73">
        <f t="shared" si="46"/>
        <v>0</v>
      </c>
      <c r="N138" s="73">
        <f t="shared" si="47"/>
        <v>0</v>
      </c>
      <c r="O138" s="73">
        <f t="shared" si="52"/>
        <v>0</v>
      </c>
      <c r="P138" s="279">
        <v>0.1</v>
      </c>
      <c r="Q138" s="73"/>
      <c r="R138" s="73">
        <f t="shared" si="48"/>
        <v>0</v>
      </c>
      <c r="S138" s="73">
        <f t="shared" si="49"/>
        <v>0</v>
      </c>
      <c r="T138" s="177">
        <f t="shared" si="50"/>
        <v>0</v>
      </c>
      <c r="U138" s="73">
        <f t="shared" si="51"/>
        <v>0</v>
      </c>
      <c r="V138" s="159" t="s">
        <v>613</v>
      </c>
    </row>
    <row r="139" spans="1:22" ht="12" hidden="1" x14ac:dyDescent="0.2">
      <c r="A139" s="188"/>
      <c r="B139" s="81"/>
      <c r="C139" s="81"/>
      <c r="D139" s="81"/>
      <c r="E139" s="79"/>
      <c r="F139" s="77"/>
      <c r="G139" s="78"/>
      <c r="H139" s="77"/>
      <c r="I139" s="80">
        <v>4</v>
      </c>
      <c r="J139" s="73">
        <f t="shared" si="44"/>
        <v>0.6</v>
      </c>
      <c r="K139" s="73"/>
      <c r="L139" s="73">
        <f t="shared" si="45"/>
        <v>0</v>
      </c>
      <c r="M139" s="73">
        <f t="shared" si="46"/>
        <v>0</v>
      </c>
      <c r="N139" s="73">
        <f t="shared" si="47"/>
        <v>0</v>
      </c>
      <c r="O139" s="73">
        <f t="shared" si="52"/>
        <v>0</v>
      </c>
      <c r="P139" s="279">
        <v>0.1</v>
      </c>
      <c r="Q139" s="73"/>
      <c r="R139" s="73">
        <f t="shared" si="48"/>
        <v>0</v>
      </c>
      <c r="S139" s="73">
        <f t="shared" si="49"/>
        <v>0</v>
      </c>
      <c r="T139" s="177">
        <f t="shared" si="50"/>
        <v>0</v>
      </c>
      <c r="U139" s="73">
        <f t="shared" si="51"/>
        <v>0</v>
      </c>
      <c r="V139" s="159" t="s">
        <v>613</v>
      </c>
    </row>
    <row r="140" spans="1:22" ht="12" hidden="1" x14ac:dyDescent="0.2">
      <c r="A140" s="188"/>
      <c r="B140" s="81"/>
      <c r="C140" s="81"/>
      <c r="D140" s="81"/>
      <c r="E140" s="79"/>
      <c r="F140" s="77"/>
      <c r="G140" s="78"/>
      <c r="H140" s="77"/>
      <c r="I140" s="80">
        <v>4</v>
      </c>
      <c r="J140" s="73">
        <f t="shared" si="44"/>
        <v>0.6</v>
      </c>
      <c r="K140" s="73"/>
      <c r="L140" s="73">
        <f t="shared" si="45"/>
        <v>0</v>
      </c>
      <c r="M140" s="73">
        <f t="shared" si="46"/>
        <v>0</v>
      </c>
      <c r="N140" s="73">
        <f t="shared" si="47"/>
        <v>0</v>
      </c>
      <c r="O140" s="73">
        <f t="shared" si="52"/>
        <v>0</v>
      </c>
      <c r="P140" s="279">
        <v>0.1</v>
      </c>
      <c r="Q140" s="73"/>
      <c r="R140" s="73">
        <f t="shared" si="48"/>
        <v>0</v>
      </c>
      <c r="S140" s="73">
        <f t="shared" si="49"/>
        <v>0</v>
      </c>
      <c r="T140" s="177">
        <f t="shared" si="50"/>
        <v>0</v>
      </c>
      <c r="U140" s="73">
        <f t="shared" si="51"/>
        <v>0</v>
      </c>
      <c r="V140" s="159" t="s">
        <v>613</v>
      </c>
    </row>
    <row r="141" spans="1:22" ht="12" hidden="1" x14ac:dyDescent="0.2">
      <c r="A141" s="188"/>
      <c r="B141" s="81"/>
      <c r="C141" s="81"/>
      <c r="D141" s="81"/>
      <c r="E141" s="79"/>
      <c r="F141" s="77"/>
      <c r="G141" s="78"/>
      <c r="H141" s="77"/>
      <c r="I141" s="80">
        <v>4</v>
      </c>
      <c r="J141" s="73">
        <f t="shared" si="44"/>
        <v>0.6</v>
      </c>
      <c r="K141" s="73"/>
      <c r="L141" s="73">
        <f t="shared" si="45"/>
        <v>0</v>
      </c>
      <c r="M141" s="73">
        <f t="shared" si="46"/>
        <v>0</v>
      </c>
      <c r="N141" s="73">
        <f t="shared" si="47"/>
        <v>0</v>
      </c>
      <c r="O141" s="73">
        <f t="shared" si="52"/>
        <v>0</v>
      </c>
      <c r="P141" s="279">
        <v>0.1</v>
      </c>
      <c r="Q141" s="73"/>
      <c r="R141" s="73">
        <f t="shared" si="48"/>
        <v>0</v>
      </c>
      <c r="S141" s="73">
        <f t="shared" si="49"/>
        <v>0</v>
      </c>
      <c r="T141" s="177">
        <f t="shared" si="50"/>
        <v>0</v>
      </c>
      <c r="U141" s="73">
        <f t="shared" si="51"/>
        <v>0</v>
      </c>
      <c r="V141" s="159" t="s">
        <v>613</v>
      </c>
    </row>
    <row r="142" spans="1:22" ht="12" hidden="1" x14ac:dyDescent="0.2">
      <c r="A142" s="188"/>
      <c r="B142" s="81"/>
      <c r="C142" s="81"/>
      <c r="D142" s="81"/>
      <c r="E142" s="79"/>
      <c r="F142" s="77"/>
      <c r="G142" s="78"/>
      <c r="H142" s="77"/>
      <c r="I142" s="80">
        <v>4</v>
      </c>
      <c r="J142" s="73">
        <f t="shared" si="44"/>
        <v>0.6</v>
      </c>
      <c r="K142" s="73"/>
      <c r="L142" s="73">
        <f t="shared" si="45"/>
        <v>0</v>
      </c>
      <c r="M142" s="73">
        <f t="shared" si="46"/>
        <v>0</v>
      </c>
      <c r="N142" s="73">
        <f t="shared" si="47"/>
        <v>0</v>
      </c>
      <c r="O142" s="73">
        <f t="shared" si="52"/>
        <v>0</v>
      </c>
      <c r="P142" s="279">
        <v>0.1</v>
      </c>
      <c r="Q142" s="73"/>
      <c r="R142" s="73">
        <f t="shared" si="48"/>
        <v>0</v>
      </c>
      <c r="S142" s="73">
        <f t="shared" si="49"/>
        <v>0</v>
      </c>
      <c r="T142" s="177">
        <f t="shared" si="50"/>
        <v>0</v>
      </c>
      <c r="U142" s="73">
        <f t="shared" si="51"/>
        <v>0</v>
      </c>
      <c r="V142" s="159" t="s">
        <v>613</v>
      </c>
    </row>
    <row r="143" spans="1:22" ht="12" hidden="1" x14ac:dyDescent="0.2">
      <c r="A143" s="188"/>
      <c r="B143" s="81"/>
      <c r="C143" s="81"/>
      <c r="D143" s="81"/>
      <c r="E143" s="79"/>
      <c r="F143" s="77"/>
      <c r="G143" s="78"/>
      <c r="H143" s="77"/>
      <c r="I143" s="80">
        <v>4</v>
      </c>
      <c r="J143" s="73">
        <f t="shared" si="44"/>
        <v>0.6</v>
      </c>
      <c r="K143" s="73"/>
      <c r="L143" s="73">
        <f t="shared" si="45"/>
        <v>0</v>
      </c>
      <c r="M143" s="73">
        <f t="shared" si="46"/>
        <v>0</v>
      </c>
      <c r="N143" s="73">
        <f t="shared" si="47"/>
        <v>0</v>
      </c>
      <c r="O143" s="73">
        <f t="shared" si="52"/>
        <v>0</v>
      </c>
      <c r="P143" s="279">
        <v>0.1</v>
      </c>
      <c r="Q143" s="73"/>
      <c r="R143" s="73">
        <f t="shared" si="48"/>
        <v>0</v>
      </c>
      <c r="S143" s="73">
        <f t="shared" si="49"/>
        <v>0</v>
      </c>
      <c r="T143" s="177">
        <f t="shared" si="50"/>
        <v>0</v>
      </c>
      <c r="U143" s="73">
        <f t="shared" si="51"/>
        <v>0</v>
      </c>
      <c r="V143" s="159" t="s">
        <v>613</v>
      </c>
    </row>
    <row r="144" spans="1:22" ht="12" hidden="1" x14ac:dyDescent="0.2">
      <c r="A144" s="517"/>
      <c r="B144" s="81"/>
      <c r="C144" s="81"/>
      <c r="D144" s="81"/>
      <c r="E144" s="79"/>
      <c r="F144" s="77"/>
      <c r="G144" s="78"/>
      <c r="H144" s="77"/>
      <c r="I144" s="80">
        <v>4</v>
      </c>
      <c r="J144" s="73">
        <f t="shared" si="44"/>
        <v>0.6</v>
      </c>
      <c r="K144" s="73"/>
      <c r="L144" s="73">
        <f t="shared" si="45"/>
        <v>0</v>
      </c>
      <c r="M144" s="73">
        <f t="shared" si="46"/>
        <v>0</v>
      </c>
      <c r="N144" s="73">
        <f t="shared" si="47"/>
        <v>0</v>
      </c>
      <c r="O144" s="73">
        <f t="shared" si="52"/>
        <v>0</v>
      </c>
      <c r="P144" s="279">
        <v>0.1</v>
      </c>
      <c r="Q144" s="73"/>
      <c r="R144" s="73">
        <f t="shared" si="48"/>
        <v>0</v>
      </c>
      <c r="S144" s="73">
        <f t="shared" si="49"/>
        <v>0</v>
      </c>
      <c r="T144" s="177">
        <f t="shared" si="50"/>
        <v>0</v>
      </c>
      <c r="U144" s="73">
        <f t="shared" si="51"/>
        <v>0</v>
      </c>
      <c r="V144" s="159" t="s">
        <v>613</v>
      </c>
    </row>
    <row r="145" spans="1:23" ht="12.75" hidden="1" thickBot="1" x14ac:dyDescent="0.25">
      <c r="A145" s="81"/>
      <c r="B145" s="81"/>
      <c r="C145" s="81"/>
      <c r="D145" s="81"/>
      <c r="E145" s="79"/>
      <c r="F145" s="77"/>
      <c r="G145" s="78"/>
      <c r="H145" s="77"/>
      <c r="I145" s="80">
        <v>4</v>
      </c>
      <c r="J145" s="73">
        <f t="shared" si="44"/>
        <v>0.6</v>
      </c>
      <c r="K145" s="73"/>
      <c r="L145" s="73">
        <f t="shared" si="45"/>
        <v>0</v>
      </c>
      <c r="M145" s="73">
        <f t="shared" si="46"/>
        <v>0</v>
      </c>
      <c r="N145" s="73">
        <f t="shared" si="47"/>
        <v>0</v>
      </c>
      <c r="O145" s="73">
        <f t="shared" si="52"/>
        <v>0</v>
      </c>
      <c r="P145" s="279">
        <v>0.1</v>
      </c>
      <c r="Q145" s="73"/>
      <c r="R145" s="73">
        <f t="shared" si="48"/>
        <v>0</v>
      </c>
      <c r="S145" s="73">
        <f t="shared" si="49"/>
        <v>0</v>
      </c>
      <c r="T145" s="177">
        <f t="shared" si="50"/>
        <v>0</v>
      </c>
      <c r="U145" s="73">
        <f t="shared" si="51"/>
        <v>0</v>
      </c>
      <c r="V145" s="159" t="s">
        <v>613</v>
      </c>
    </row>
    <row r="146" spans="1:23" ht="13.5" hidden="1" thickTop="1" thickBot="1" x14ac:dyDescent="0.25">
      <c r="A146" s="38" t="str">
        <f>"TOTAL GERAL - "&amp;A128</f>
        <v>TOTAL GERAL - PILARS  FUNDAÇÃO</v>
      </c>
      <c r="B146" s="38"/>
      <c r="C146" s="82"/>
      <c r="D146" s="58"/>
      <c r="E146" s="58"/>
      <c r="F146" s="58"/>
      <c r="G146" s="58"/>
      <c r="H146" s="58"/>
      <c r="I146" s="60"/>
      <c r="J146" s="58"/>
      <c r="K146" s="58"/>
      <c r="L146" s="60">
        <f>SUM(L132:L145)</f>
        <v>0</v>
      </c>
      <c r="M146" s="60">
        <f>SUM(M132:M145)</f>
        <v>0</v>
      </c>
      <c r="N146" s="60">
        <f>SUM(N132:N145)</f>
        <v>0</v>
      </c>
      <c r="O146" s="60">
        <f>SUM(O132:O145)</f>
        <v>0</v>
      </c>
      <c r="P146" s="60"/>
      <c r="Q146" s="60">
        <f>SUM(Q132:Q145)</f>
        <v>0</v>
      </c>
      <c r="R146" s="60">
        <f>SUM(R132:R145)</f>
        <v>0</v>
      </c>
      <c r="S146" s="60">
        <f>SUM(S132:S145)</f>
        <v>0</v>
      </c>
      <c r="T146" s="60">
        <f>SUM(T132:T145)</f>
        <v>0</v>
      </c>
      <c r="U146" s="60">
        <f>SUM(U132:U145)</f>
        <v>0</v>
      </c>
      <c r="V146" s="84"/>
    </row>
    <row r="147" spans="1:23" ht="12" hidden="1" thickTop="1" x14ac:dyDescent="0.2"/>
    <row r="148" spans="1:23" hidden="1" x14ac:dyDescent="0.2"/>
    <row r="149" spans="1:23" ht="18.75" x14ac:dyDescent="0.2">
      <c r="A149" s="1118" t="s">
        <v>414</v>
      </c>
      <c r="B149" s="1118"/>
      <c r="C149" s="1118"/>
      <c r="D149" s="1118"/>
      <c r="E149" s="1118"/>
      <c r="F149" s="1118"/>
      <c r="G149" s="1118"/>
      <c r="H149" s="1118"/>
      <c r="I149" s="1118"/>
      <c r="J149" s="1118"/>
      <c r="K149" s="1118"/>
      <c r="L149" s="1118"/>
      <c r="M149" s="1118"/>
      <c r="N149" s="1118"/>
      <c r="O149" s="1118"/>
      <c r="P149" s="1118"/>
      <c r="Q149" s="1118"/>
      <c r="R149" s="1118"/>
      <c r="S149" s="1118"/>
      <c r="T149" s="1118"/>
      <c r="U149" s="1118"/>
      <c r="V149" s="1118"/>
    </row>
    <row r="150" spans="1:23" s="283" customFormat="1" ht="12.75" x14ac:dyDescent="0.2">
      <c r="A150" s="1119" t="s">
        <v>6</v>
      </c>
      <c r="B150" s="89"/>
      <c r="C150" s="89"/>
      <c r="D150" s="518"/>
      <c r="E150" s="519" t="s">
        <v>449</v>
      </c>
      <c r="F150" s="514"/>
      <c r="G150" s="520"/>
      <c r="H150" s="520"/>
      <c r="I150" s="521" t="s">
        <v>26</v>
      </c>
      <c r="J150" s="1121" t="s">
        <v>21</v>
      </c>
      <c r="K150" s="1122"/>
      <c r="L150" s="1113" t="s">
        <v>20</v>
      </c>
      <c r="M150" s="1113" t="s">
        <v>22</v>
      </c>
      <c r="N150" s="1113" t="s">
        <v>23</v>
      </c>
      <c r="O150" s="1124" t="s">
        <v>24</v>
      </c>
      <c r="P150" s="522"/>
      <c r="Q150" s="495" t="s">
        <v>25</v>
      </c>
      <c r="R150" s="495" t="s">
        <v>25</v>
      </c>
      <c r="S150" s="521" t="s">
        <v>26</v>
      </c>
      <c r="T150" s="1126" t="s">
        <v>27</v>
      </c>
      <c r="U150" s="1128" t="s">
        <v>51</v>
      </c>
      <c r="V150" s="523"/>
      <c r="W150" s="4"/>
    </row>
    <row r="151" spans="1:23" s="283" customFormat="1" ht="24" x14ac:dyDescent="0.2">
      <c r="A151" s="1120"/>
      <c r="B151" s="90"/>
      <c r="C151" s="90"/>
      <c r="D151" s="499" t="s">
        <v>16</v>
      </c>
      <c r="E151" s="524" t="s">
        <v>622</v>
      </c>
      <c r="F151" s="522" t="s">
        <v>623</v>
      </c>
      <c r="G151" s="495" t="s">
        <v>36</v>
      </c>
      <c r="H151" s="522" t="s">
        <v>624</v>
      </c>
      <c r="I151" s="515"/>
      <c r="J151" s="496" t="s">
        <v>453</v>
      </c>
      <c r="K151" s="496" t="s">
        <v>52</v>
      </c>
      <c r="L151" s="1123"/>
      <c r="M151" s="1123"/>
      <c r="N151" s="1123"/>
      <c r="O151" s="1125"/>
      <c r="P151" s="1130" t="s">
        <v>619</v>
      </c>
      <c r="Q151" s="1131"/>
      <c r="R151" s="1132"/>
      <c r="S151" s="525"/>
      <c r="T151" s="1127"/>
      <c r="U151" s="1129"/>
      <c r="V151" s="526"/>
      <c r="W151" s="4"/>
    </row>
    <row r="152" spans="1:23" s="283" customFormat="1" ht="12.75" x14ac:dyDescent="0.2">
      <c r="A152" s="1120"/>
      <c r="B152" s="90"/>
      <c r="C152" s="90"/>
      <c r="D152" s="499"/>
      <c r="E152" s="498" t="s">
        <v>28</v>
      </c>
      <c r="F152" s="499" t="s">
        <v>30</v>
      </c>
      <c r="G152" s="499" t="s">
        <v>29</v>
      </c>
      <c r="H152" s="499" t="s">
        <v>625</v>
      </c>
      <c r="I152" s="499" t="s">
        <v>31</v>
      </c>
      <c r="J152" s="500" t="s">
        <v>3</v>
      </c>
      <c r="K152" s="500" t="s">
        <v>3</v>
      </c>
      <c r="L152" s="499" t="s">
        <v>4</v>
      </c>
      <c r="M152" s="499" t="s">
        <v>1</v>
      </c>
      <c r="N152" s="499" t="s">
        <v>4</v>
      </c>
      <c r="O152" s="499" t="s">
        <v>4</v>
      </c>
      <c r="P152" s="501" t="s">
        <v>460</v>
      </c>
      <c r="Q152" s="502" t="s">
        <v>4</v>
      </c>
      <c r="R152" s="502" t="s">
        <v>4</v>
      </c>
      <c r="S152" s="499" t="s">
        <v>1</v>
      </c>
      <c r="T152" s="527" t="s">
        <v>1</v>
      </c>
      <c r="U152" s="499" t="s">
        <v>4</v>
      </c>
      <c r="V152" s="499" t="s">
        <v>9</v>
      </c>
      <c r="W152" s="4"/>
    </row>
    <row r="153" spans="1:23" ht="12" x14ac:dyDescent="0.2">
      <c r="A153" s="173" t="s">
        <v>18</v>
      </c>
      <c r="B153" s="174"/>
      <c r="C153" s="174"/>
      <c r="D153" s="175"/>
      <c r="E153" s="174"/>
      <c r="F153" s="174"/>
      <c r="G153" s="174"/>
      <c r="H153" s="174"/>
      <c r="I153" s="175"/>
      <c r="J153" s="174"/>
      <c r="K153" s="175"/>
      <c r="L153" s="175"/>
      <c r="M153" s="175"/>
      <c r="N153" s="175"/>
      <c r="O153" s="175"/>
      <c r="P153" s="273"/>
      <c r="Q153" s="181" t="s">
        <v>620</v>
      </c>
      <c r="R153" s="181" t="s">
        <v>80</v>
      </c>
      <c r="S153" s="175"/>
      <c r="T153" s="176"/>
      <c r="U153" s="175"/>
      <c r="V153" s="174"/>
    </row>
    <row r="154" spans="1:23" ht="16.5" customHeight="1" x14ac:dyDescent="0.2">
      <c r="A154" s="81"/>
      <c r="B154" s="81"/>
      <c r="C154" s="81"/>
      <c r="D154" s="79"/>
      <c r="E154" s="77"/>
      <c r="F154" s="78"/>
      <c r="G154" s="77"/>
      <c r="H154" s="77"/>
      <c r="I154" s="80">
        <v>2</v>
      </c>
      <c r="J154" s="73">
        <f>IF(G154&lt;=1,0.6,1.2)</f>
        <v>0.6</v>
      </c>
      <c r="K154" s="73"/>
      <c r="L154" s="73">
        <f>(F154*J154+E154)*G154*D154</f>
        <v>0</v>
      </c>
      <c r="M154" s="73">
        <f>E154*D154</f>
        <v>0</v>
      </c>
      <c r="N154" s="73">
        <f>L154-U154</f>
        <v>0</v>
      </c>
      <c r="O154" s="73">
        <f>(L154-N154)*1.3</f>
        <v>0</v>
      </c>
      <c r="P154" s="279">
        <v>0.1</v>
      </c>
      <c r="Q154" s="73"/>
      <c r="R154" s="73">
        <f>M154*$P154</f>
        <v>0</v>
      </c>
      <c r="S154" s="73">
        <f>((F154*G154*I154))*D154</f>
        <v>0</v>
      </c>
      <c r="T154" s="177">
        <f>(E154+F154*G154)*D154</f>
        <v>0</v>
      </c>
      <c r="U154" s="177">
        <f>F154*H154*G154*D154+E154*2*H154</f>
        <v>0</v>
      </c>
      <c r="V154" s="159"/>
    </row>
    <row r="155" spans="1:23" ht="12" x14ac:dyDescent="0.2">
      <c r="A155" s="81"/>
      <c r="B155" s="81" t="s">
        <v>261</v>
      </c>
      <c r="C155" s="81"/>
      <c r="D155" s="79">
        <v>1</v>
      </c>
      <c r="E155" s="77">
        <f>(4.556+0.2+0.2)*(15.02+0.2+0.2)</f>
        <v>76.421520000000001</v>
      </c>
      <c r="F155" s="78">
        <f>((15.02+0.2+0.2)+(4.556+0.2+0.2))*2</f>
        <v>40.751999999999995</v>
      </c>
      <c r="G155" s="77">
        <v>3.33</v>
      </c>
      <c r="H155" s="77">
        <v>0.2</v>
      </c>
      <c r="I155" s="80">
        <v>2</v>
      </c>
      <c r="J155" s="73">
        <f>IF(G155&lt;=1,0.6,1.2)</f>
        <v>1.2</v>
      </c>
      <c r="K155" s="73"/>
      <c r="L155" s="73">
        <f>(F155*J155+E155)*G155*D155</f>
        <v>417.32865359999994</v>
      </c>
      <c r="M155" s="73">
        <f>E155*D155</f>
        <v>76.421520000000001</v>
      </c>
      <c r="N155" s="73">
        <f>L155-U155</f>
        <v>417.32865359999994</v>
      </c>
      <c r="O155" s="73">
        <f>(L155-N155)*1.3</f>
        <v>0</v>
      </c>
      <c r="P155" s="279">
        <v>0.1</v>
      </c>
      <c r="Q155" s="73">
        <f>M155*$P155</f>
        <v>7.6421520000000003</v>
      </c>
      <c r="R155" s="73">
        <v>0</v>
      </c>
      <c r="S155" s="73"/>
      <c r="T155" s="177"/>
      <c r="U155" s="177"/>
      <c r="V155" s="159"/>
    </row>
    <row r="156" spans="1:23" ht="12" x14ac:dyDescent="0.2">
      <c r="A156" s="81"/>
      <c r="B156" s="81" t="s">
        <v>733</v>
      </c>
      <c r="C156" s="81"/>
      <c r="D156" s="79">
        <v>1</v>
      </c>
      <c r="E156" s="77">
        <v>66.72</v>
      </c>
      <c r="F156" s="78">
        <v>55.85</v>
      </c>
      <c r="G156" s="77">
        <v>1.73</v>
      </c>
      <c r="H156" s="77">
        <v>0.15</v>
      </c>
      <c r="I156" s="80">
        <v>2</v>
      </c>
      <c r="J156" s="73">
        <f>IF(G156&lt;=1,0.6,1.2)</f>
        <v>1.2</v>
      </c>
      <c r="K156" s="73"/>
      <c r="L156" s="73">
        <f>(F156*J156+E156)*G156*D156</f>
        <v>231.37020000000001</v>
      </c>
      <c r="M156" s="73">
        <f>E156*D156</f>
        <v>66.72</v>
      </c>
      <c r="N156" s="73">
        <f>L156-U156</f>
        <v>231.37020000000001</v>
      </c>
      <c r="O156" s="73">
        <f>(L156-N156)*1.3</f>
        <v>0</v>
      </c>
      <c r="P156" s="279">
        <v>0.1</v>
      </c>
      <c r="Q156" s="73">
        <f>M156*$P156</f>
        <v>6.6720000000000006</v>
      </c>
      <c r="R156" s="73">
        <v>0</v>
      </c>
      <c r="S156" s="73">
        <v>0</v>
      </c>
      <c r="T156" s="73">
        <v>0</v>
      </c>
      <c r="U156" s="73">
        <v>0</v>
      </c>
      <c r="V156" s="159"/>
    </row>
    <row r="157" spans="1:23" ht="12.75" thickBot="1" x14ac:dyDescent="0.25">
      <c r="A157" s="81"/>
      <c r="B157" s="81"/>
      <c r="C157" s="81"/>
      <c r="D157" s="79">
        <v>1</v>
      </c>
      <c r="E157" s="77"/>
      <c r="F157" s="78"/>
      <c r="G157" s="77"/>
      <c r="H157" s="77"/>
      <c r="I157" s="80">
        <v>2</v>
      </c>
      <c r="J157" s="73">
        <f>IF(G157&lt;=1,0.6,1.2)</f>
        <v>0.6</v>
      </c>
      <c r="K157" s="73"/>
      <c r="L157" s="73">
        <f>(F157*J157+E157)*G157*D157</f>
        <v>0</v>
      </c>
      <c r="M157" s="73">
        <f>E157*D157</f>
        <v>0</v>
      </c>
      <c r="N157" s="73">
        <f>L157-U157</f>
        <v>0</v>
      </c>
      <c r="O157" s="73">
        <f>(L157-N157)*1.3</f>
        <v>0</v>
      </c>
      <c r="P157" s="279">
        <v>0.1</v>
      </c>
      <c r="Q157" s="73"/>
      <c r="R157" s="73">
        <f>M157*$P157</f>
        <v>0</v>
      </c>
      <c r="S157" s="73">
        <f>((F157*G157*I157))*D157</f>
        <v>0</v>
      </c>
      <c r="T157" s="177">
        <f>(E157+F157*G157)*D157</f>
        <v>0</v>
      </c>
      <c r="U157" s="177">
        <f>F157*H157*G157*D157+E157*2*H157</f>
        <v>0</v>
      </c>
      <c r="V157" s="159"/>
    </row>
    <row r="158" spans="1:23" ht="13.5" thickTop="1" thickBot="1" x14ac:dyDescent="0.25">
      <c r="A158" s="38" t="str">
        <f>"TOTAL GERAL - "&amp;A149</f>
        <v>TOTAL GERAL - DUTO E CISTERNA</v>
      </c>
      <c r="B158" s="38"/>
      <c r="C158" s="38"/>
      <c r="D158" s="38"/>
      <c r="E158" s="38"/>
      <c r="F158" s="82"/>
      <c r="G158" s="58"/>
      <c r="H158" s="58"/>
      <c r="I158" s="60"/>
      <c r="J158" s="58"/>
      <c r="K158" s="83"/>
      <c r="L158" s="60">
        <f>SUM(L153:L157)</f>
        <v>648.69885359999989</v>
      </c>
      <c r="M158" s="60">
        <f>SUM(M153:M157)</f>
        <v>143.14152000000001</v>
      </c>
      <c r="N158" s="60">
        <f>SUM(N153:N157)</f>
        <v>648.69885359999989</v>
      </c>
      <c r="O158" s="60">
        <f>SUM(O153:O157)</f>
        <v>0</v>
      </c>
      <c r="P158" s="60"/>
      <c r="Q158" s="60">
        <f>SUM(Q153:Q157)</f>
        <v>14.314152</v>
      </c>
      <c r="R158" s="60">
        <f>SUM(R153:R157)</f>
        <v>0</v>
      </c>
      <c r="S158" s="60">
        <f>SUM(S153:S157)</f>
        <v>0</v>
      </c>
      <c r="T158" s="178">
        <f>SUM(T153:T157)</f>
        <v>0</v>
      </c>
      <c r="U158" s="178">
        <f>SUM(U153:U157)</f>
        <v>0</v>
      </c>
      <c r="V158" s="84"/>
    </row>
    <row r="159" spans="1:23" ht="12" thickTop="1" x14ac:dyDescent="0.2"/>
    <row r="162" spans="1:25" ht="18.75" hidden="1" x14ac:dyDescent="0.2">
      <c r="A162" s="1112" t="s">
        <v>626</v>
      </c>
      <c r="B162" s="1112"/>
      <c r="C162" s="1112"/>
      <c r="D162" s="1112"/>
      <c r="E162" s="1112"/>
      <c r="F162" s="1112"/>
      <c r="G162" s="1112"/>
      <c r="H162" s="1112"/>
      <c r="I162" s="1112"/>
      <c r="J162" s="1112"/>
      <c r="K162" s="1112"/>
      <c r="L162" s="1112"/>
      <c r="M162" s="1112"/>
      <c r="N162" s="1112"/>
      <c r="O162" s="1112"/>
      <c r="P162" s="1112"/>
      <c r="Q162" s="1112"/>
      <c r="R162" s="1112"/>
      <c r="S162" s="1112"/>
      <c r="T162" s="1112"/>
      <c r="U162" s="1112"/>
      <c r="V162" s="1112"/>
      <c r="W162" s="1112"/>
      <c r="X162" s="1112"/>
      <c r="Y162" s="1112"/>
    </row>
    <row r="163" spans="1:25" ht="12.75" hidden="1" x14ac:dyDescent="0.2">
      <c r="A163" s="528"/>
      <c r="B163" s="1113" t="s">
        <v>6</v>
      </c>
      <c r="C163" s="528"/>
      <c r="D163" s="528"/>
      <c r="E163" s="529"/>
      <c r="F163" s="530" t="s">
        <v>449</v>
      </c>
      <c r="G163" s="531"/>
      <c r="H163" s="532"/>
      <c r="I163" s="532"/>
      <c r="J163" s="533" t="s">
        <v>26</v>
      </c>
      <c r="K163" s="534" t="s">
        <v>602</v>
      </c>
      <c r="L163" s="534" t="s">
        <v>454</v>
      </c>
      <c r="M163" s="534" t="s">
        <v>455</v>
      </c>
      <c r="N163" s="534" t="s">
        <v>456</v>
      </c>
      <c r="O163" s="534" t="s">
        <v>457</v>
      </c>
      <c r="P163" s="1115" t="s">
        <v>619</v>
      </c>
      <c r="Q163" s="1116"/>
      <c r="R163" s="1117"/>
      <c r="S163" s="533" t="s">
        <v>26</v>
      </c>
      <c r="T163" s="534" t="s">
        <v>459</v>
      </c>
      <c r="U163" s="533" t="s">
        <v>51</v>
      </c>
      <c r="V163" s="497" t="s">
        <v>45</v>
      </c>
      <c r="W163" s="535" t="s">
        <v>33</v>
      </c>
      <c r="X163" s="536"/>
      <c r="Y163" s="536"/>
    </row>
    <row r="164" spans="1:25" ht="12.75" hidden="1" x14ac:dyDescent="0.2">
      <c r="A164" s="537"/>
      <c r="B164" s="1114"/>
      <c r="C164" s="537"/>
      <c r="D164" s="537"/>
      <c r="E164" s="538" t="s">
        <v>10</v>
      </c>
      <c r="F164" s="533" t="s">
        <v>16</v>
      </c>
      <c r="G164" s="538" t="s">
        <v>10</v>
      </c>
      <c r="H164" s="539" t="s">
        <v>55</v>
      </c>
      <c r="I164" s="538" t="s">
        <v>36</v>
      </c>
      <c r="J164" s="540" t="s">
        <v>41</v>
      </c>
      <c r="K164" s="541" t="s">
        <v>1</v>
      </c>
      <c r="L164" s="541" t="s">
        <v>4</v>
      </c>
      <c r="M164" s="541" t="s">
        <v>1</v>
      </c>
      <c r="N164" s="541" t="s">
        <v>4</v>
      </c>
      <c r="O164" s="541" t="s">
        <v>4</v>
      </c>
      <c r="P164" s="542" t="s">
        <v>460</v>
      </c>
      <c r="Q164" s="543" t="s">
        <v>4</v>
      </c>
      <c r="R164" s="543" t="s">
        <v>4</v>
      </c>
      <c r="S164" s="543" t="s">
        <v>32</v>
      </c>
      <c r="T164" s="541" t="s">
        <v>1</v>
      </c>
      <c r="U164" s="543" t="s">
        <v>4</v>
      </c>
      <c r="V164" s="500"/>
      <c r="W164" s="502" t="s">
        <v>9</v>
      </c>
      <c r="X164" s="502" t="s">
        <v>32</v>
      </c>
      <c r="Y164" s="544" t="s">
        <v>8</v>
      </c>
    </row>
    <row r="165" spans="1:25" ht="12" hidden="1" x14ac:dyDescent="0.2">
      <c r="A165" s="173" t="s">
        <v>58</v>
      </c>
      <c r="B165" s="175"/>
      <c r="C165" s="175"/>
      <c r="D165" s="175"/>
      <c r="E165" s="175"/>
      <c r="F165" s="180"/>
      <c r="G165" s="180"/>
      <c r="H165" s="180"/>
      <c r="I165" s="180"/>
      <c r="J165" s="181"/>
      <c r="K165" s="175"/>
      <c r="L165" s="175"/>
      <c r="M165" s="175"/>
      <c r="N165" s="175"/>
      <c r="O165" s="175"/>
      <c r="P165" s="273"/>
      <c r="Q165" s="181" t="s">
        <v>620</v>
      </c>
      <c r="R165" s="181" t="s">
        <v>80</v>
      </c>
      <c r="S165" s="181"/>
      <c r="T165" s="181"/>
      <c r="U165" s="181"/>
      <c r="V165" s="174"/>
      <c r="W165" s="181"/>
      <c r="X165" s="181"/>
      <c r="Y165" s="182"/>
    </row>
    <row r="166" spans="1:25" ht="12" hidden="1" x14ac:dyDescent="0.2">
      <c r="A166" s="81"/>
      <c r="B166" s="81" t="s">
        <v>258</v>
      </c>
      <c r="C166" s="81"/>
      <c r="D166" s="81"/>
      <c r="E166" s="81"/>
      <c r="F166" s="72">
        <v>1</v>
      </c>
      <c r="G166" s="71"/>
      <c r="H166" s="71"/>
      <c r="I166" s="71"/>
      <c r="J166" s="71">
        <v>1</v>
      </c>
      <c r="K166" s="41">
        <f>G166</f>
        <v>0</v>
      </c>
      <c r="L166" s="41"/>
      <c r="M166" s="41"/>
      <c r="N166" s="41"/>
      <c r="O166" s="41"/>
      <c r="P166" s="279">
        <v>0.05</v>
      </c>
      <c r="Q166" s="41">
        <f>$G166*$P166</f>
        <v>0</v>
      </c>
      <c r="R166" s="41"/>
      <c r="S166" s="41">
        <f>(H166*I166)*F166</f>
        <v>0</v>
      </c>
      <c r="T166" s="41">
        <f>(G166+H166*I166)*F166</f>
        <v>0</v>
      </c>
      <c r="U166" s="41">
        <f>I166*G166</f>
        <v>0</v>
      </c>
      <c r="V166" s="159" t="s">
        <v>609</v>
      </c>
      <c r="W166" s="179" t="s">
        <v>38</v>
      </c>
      <c r="X166" s="41"/>
      <c r="Y166" s="42"/>
    </row>
    <row r="167" spans="1:25" ht="12" hidden="1" x14ac:dyDescent="0.2">
      <c r="A167" s="81"/>
      <c r="B167" s="81" t="s">
        <v>463</v>
      </c>
      <c r="C167" s="81"/>
      <c r="D167" s="81"/>
      <c r="E167" s="81"/>
      <c r="F167" s="72">
        <v>1</v>
      </c>
      <c r="G167" s="71"/>
      <c r="H167" s="71"/>
      <c r="I167" s="71"/>
      <c r="J167" s="71">
        <v>1</v>
      </c>
      <c r="K167" s="41">
        <f>G167</f>
        <v>0</v>
      </c>
      <c r="L167" s="41"/>
      <c r="M167" s="41"/>
      <c r="N167" s="41"/>
      <c r="O167" s="41"/>
      <c r="P167" s="279">
        <v>0.05</v>
      </c>
      <c r="Q167" s="41">
        <f>$G167*$P167</f>
        <v>0</v>
      </c>
      <c r="R167" s="41"/>
      <c r="S167" s="41">
        <f>(H167*I167)*F167</f>
        <v>0</v>
      </c>
      <c r="T167" s="41">
        <f>(G167+H167*I167)*F167</f>
        <v>0</v>
      </c>
      <c r="U167" s="41">
        <f>I167*G167</f>
        <v>0</v>
      </c>
      <c r="V167" s="159" t="s">
        <v>609</v>
      </c>
      <c r="W167" s="179" t="s">
        <v>38</v>
      </c>
      <c r="X167" s="41"/>
      <c r="Y167" s="42"/>
    </row>
    <row r="168" spans="1:25" ht="12" hidden="1" x14ac:dyDescent="0.2">
      <c r="A168" s="81"/>
      <c r="B168" s="81"/>
      <c r="C168" s="81"/>
      <c r="D168" s="81"/>
      <c r="E168" s="81"/>
      <c r="F168" s="72">
        <v>1</v>
      </c>
      <c r="G168" s="71"/>
      <c r="H168" s="71"/>
      <c r="I168" s="71"/>
      <c r="J168" s="71">
        <v>1</v>
      </c>
      <c r="K168" s="41">
        <f>G168</f>
        <v>0</v>
      </c>
      <c r="L168" s="41"/>
      <c r="M168" s="41"/>
      <c r="N168" s="41"/>
      <c r="O168" s="41"/>
      <c r="P168" s="279">
        <v>0.05</v>
      </c>
      <c r="Q168" s="41">
        <f>$G168*$P168</f>
        <v>0</v>
      </c>
      <c r="R168" s="41"/>
      <c r="S168" s="41">
        <f>(H168*I168)*F168</f>
        <v>0</v>
      </c>
      <c r="T168" s="41">
        <f>(G168+H168*I168)*F168</f>
        <v>0</v>
      </c>
      <c r="U168" s="41">
        <f>I168*G168</f>
        <v>0</v>
      </c>
      <c r="V168" s="159" t="s">
        <v>609</v>
      </c>
      <c r="W168" s="179" t="s">
        <v>38</v>
      </c>
      <c r="X168" s="41"/>
      <c r="Y168" s="42"/>
    </row>
    <row r="169" spans="1:25" ht="12.75" hidden="1" thickBot="1" x14ac:dyDescent="0.25">
      <c r="A169" s="81"/>
      <c r="B169" s="81"/>
      <c r="C169" s="81"/>
      <c r="D169" s="81"/>
      <c r="E169" s="81"/>
      <c r="F169" s="72">
        <v>1</v>
      </c>
      <c r="G169" s="71"/>
      <c r="H169" s="71"/>
      <c r="I169" s="71"/>
      <c r="J169" s="71">
        <v>1</v>
      </c>
      <c r="K169" s="41">
        <f>G169</f>
        <v>0</v>
      </c>
      <c r="L169" s="41"/>
      <c r="M169" s="41"/>
      <c r="N169" s="41"/>
      <c r="O169" s="41"/>
      <c r="P169" s="279">
        <v>0.05</v>
      </c>
      <c r="Q169" s="41">
        <f>$G169*$P169</f>
        <v>0</v>
      </c>
      <c r="R169" s="41"/>
      <c r="S169" s="41">
        <f>(H169*I169)*F169</f>
        <v>0</v>
      </c>
      <c r="T169" s="41">
        <f>(G169+H169*I169)*F169</f>
        <v>0</v>
      </c>
      <c r="U169" s="41">
        <f>I169*G169</f>
        <v>0</v>
      </c>
      <c r="V169" s="159" t="s">
        <v>609</v>
      </c>
      <c r="W169" s="179" t="s">
        <v>38</v>
      </c>
      <c r="X169" s="41"/>
      <c r="Y169" s="42"/>
    </row>
    <row r="170" spans="1:25" ht="13.5" hidden="1" thickTop="1" thickBot="1" x14ac:dyDescent="0.25">
      <c r="A170" s="38" t="str">
        <f>"TOTAL GERAL - "&amp;A162</f>
        <v>TOTAL GERAL - LAJE  FUNDAÇÃO</v>
      </c>
      <c r="B170" s="38"/>
      <c r="C170" s="82"/>
      <c r="D170" s="58"/>
      <c r="E170" s="58"/>
      <c r="F170" s="58"/>
      <c r="G170" s="545"/>
      <c r="H170" s="545"/>
      <c r="I170" s="545"/>
      <c r="J170" s="545"/>
      <c r="K170" s="545">
        <f>SUM(K166:K169)</f>
        <v>0</v>
      </c>
      <c r="L170" s="545"/>
      <c r="M170" s="545"/>
      <c r="N170" s="545"/>
      <c r="O170" s="545"/>
      <c r="P170" s="545"/>
      <c r="Q170" s="545">
        <f>SUM(Q166:Q169)</f>
        <v>0</v>
      </c>
      <c r="R170" s="545">
        <f>SUM(R166:R169)</f>
        <v>0</v>
      </c>
      <c r="S170" s="545">
        <f>SUM(S166:S169)</f>
        <v>0</v>
      </c>
      <c r="T170" s="545">
        <f>SUM(T166:T169)</f>
        <v>0</v>
      </c>
      <c r="U170" s="545">
        <f>SUM(U166:U169)</f>
        <v>0</v>
      </c>
      <c r="V170" s="545"/>
      <c r="W170" s="545"/>
      <c r="X170" s="545">
        <f>SUM(X165:X167)</f>
        <v>0</v>
      </c>
      <c r="Y170" s="545">
        <f>SUM(Y165:Y167)</f>
        <v>0</v>
      </c>
    </row>
    <row r="171" spans="1:25" ht="12" hidden="1" thickTop="1" x14ac:dyDescent="0.2"/>
  </sheetData>
  <autoFilter ref="A9:Y170" xr:uid="{E10C6A1D-7C45-46C6-B9DD-64DD29C68CFB}"/>
  <mergeCells count="45">
    <mergeCell ref="A53:V53"/>
    <mergeCell ref="E5:E6"/>
    <mergeCell ref="T5:T6"/>
    <mergeCell ref="A10:V10"/>
    <mergeCell ref="A11:A13"/>
    <mergeCell ref="J11:K11"/>
    <mergeCell ref="P12:R12"/>
    <mergeCell ref="A38:V38"/>
    <mergeCell ref="A39:A41"/>
    <mergeCell ref="B39:B41"/>
    <mergeCell ref="J39:K39"/>
    <mergeCell ref="P40:R40"/>
    <mergeCell ref="A54:A56"/>
    <mergeCell ref="B54:B56"/>
    <mergeCell ref="C54:C56"/>
    <mergeCell ref="J54:K54"/>
    <mergeCell ref="P55:R55"/>
    <mergeCell ref="J73:K73"/>
    <mergeCell ref="P74:R74"/>
    <mergeCell ref="A128:V128"/>
    <mergeCell ref="A129:A131"/>
    <mergeCell ref="B129:B131"/>
    <mergeCell ref="C129:C131"/>
    <mergeCell ref="D129:D131"/>
    <mergeCell ref="E129:E131"/>
    <mergeCell ref="J129:K129"/>
    <mergeCell ref="P130:R130"/>
    <mergeCell ref="A73:A75"/>
    <mergeCell ref="B73:B75"/>
    <mergeCell ref="C73:C75"/>
    <mergeCell ref="D73:D75"/>
    <mergeCell ref="E73:E75"/>
    <mergeCell ref="A162:Y162"/>
    <mergeCell ref="B163:B164"/>
    <mergeCell ref="P163:R163"/>
    <mergeCell ref="A149:V149"/>
    <mergeCell ref="A150:A152"/>
    <mergeCell ref="J150:K150"/>
    <mergeCell ref="L150:L151"/>
    <mergeCell ref="M150:M151"/>
    <mergeCell ref="N150:N151"/>
    <mergeCell ref="O150:O151"/>
    <mergeCell ref="T150:T151"/>
    <mergeCell ref="U150:U151"/>
    <mergeCell ref="P151:R151"/>
  </mergeCells>
  <phoneticPr fontId="143" type="noConversion"/>
  <dataValidations disablePrompts="1" count="3">
    <dataValidation type="list" allowBlank="1" showInputMessage="1" showErrorMessage="1" sqref="V154:V157 V32:V35 V58:V67 V166:V169 V133:V145 V47:V49 V15:V19 V43 V21:V22 V24:V30 V45 V77:V88 V90:V101 V103:V124" xr:uid="{2FC9A055-8B21-4E0E-9282-14B595D16D70}">
      <formula1>$O$5:$S$5</formula1>
    </dataValidation>
    <dataValidation type="list" allowBlank="1" showInputMessage="1" showErrorMessage="1" sqref="V57" xr:uid="{CC79FAD1-D9F3-4CA1-9E54-FC86AD554D7B}">
      <formula1>$Y$14:$Y$17</formula1>
    </dataValidation>
    <dataValidation type="list" allowBlank="1" showInputMessage="1" showErrorMessage="1" sqref="V14 V20 V42 V44 V23 V31 V46" xr:uid="{1774B2FF-16B0-408B-922F-BDC7D0E7F870}">
      <formula1>$Y$15:$Y$17</formula1>
    </dataValidation>
  </dataValidations>
  <printOptions horizontalCentered="1"/>
  <pageMargins left="0.39370078740157483" right="0" top="0.39370078740157483" bottom="0.39370078740157483" header="0.51181102362204722" footer="0.19685039370078741"/>
  <pageSetup paperSize="9" scale="33" orientation="portrait" verticalDpi="300" r:id="rId1"/>
  <headerFooter alignWithMargins="0">
    <oddFooter>&amp;L&amp;F - &amp;A&amp;R&amp;P / &amp;N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Planilha9">
    <tabColor theme="0" tint="-0.34998626667073579"/>
    <pageSetUpPr fitToPage="1"/>
  </sheetPr>
  <dimension ref="A1:U30"/>
  <sheetViews>
    <sheetView showGridLines="0" view="pageBreakPreview" zoomScaleNormal="100" zoomScaleSheetLayoutView="100" workbookViewId="0">
      <pane ySplit="6" topLeftCell="A17" activePane="bottomLeft" state="frozen"/>
      <selection sqref="A1:XFD3"/>
      <selection pane="bottomLeft" activeCell="F31" sqref="F31"/>
    </sheetView>
  </sheetViews>
  <sheetFormatPr defaultRowHeight="11.25" x14ac:dyDescent="0.2"/>
  <cols>
    <col min="1" max="1" width="28.85546875" style="4" customWidth="1"/>
    <col min="2" max="2" width="10.28515625" style="4" customWidth="1"/>
    <col min="3" max="3" width="7.5703125" style="4" customWidth="1"/>
    <col min="4" max="12" width="8.140625" style="4" customWidth="1"/>
    <col min="13" max="14" width="9.140625" style="4" customWidth="1"/>
    <col min="15" max="15" width="21.42578125" style="4" bestFit="1" customWidth="1"/>
    <col min="16" max="16" width="10.28515625" style="4" bestFit="1" customWidth="1"/>
    <col min="17" max="248" width="9.140625" style="4"/>
    <col min="249" max="249" width="14.5703125" style="4" customWidth="1"/>
    <col min="250" max="250" width="20.7109375" style="4" customWidth="1"/>
    <col min="251" max="251" width="9.140625" style="4"/>
    <col min="252" max="263" width="8.42578125" style="4" customWidth="1"/>
    <col min="264" max="504" width="9.140625" style="4"/>
    <col min="505" max="505" width="14.5703125" style="4" customWidth="1"/>
    <col min="506" max="506" width="20.7109375" style="4" customWidth="1"/>
    <col min="507" max="507" width="9.140625" style="4"/>
    <col min="508" max="519" width="8.42578125" style="4" customWidth="1"/>
    <col min="520" max="760" width="9.140625" style="4"/>
    <col min="761" max="761" width="14.5703125" style="4" customWidth="1"/>
    <col min="762" max="762" width="20.7109375" style="4" customWidth="1"/>
    <col min="763" max="763" width="9.140625" style="4"/>
    <col min="764" max="775" width="8.42578125" style="4" customWidth="1"/>
    <col min="776" max="1016" width="9.140625" style="4"/>
    <col min="1017" max="1017" width="14.5703125" style="4" customWidth="1"/>
    <col min="1018" max="1018" width="20.7109375" style="4" customWidth="1"/>
    <col min="1019" max="1019" width="9.140625" style="4"/>
    <col min="1020" max="1031" width="8.42578125" style="4" customWidth="1"/>
    <col min="1032" max="1272" width="9.140625" style="4"/>
    <col min="1273" max="1273" width="14.5703125" style="4" customWidth="1"/>
    <col min="1274" max="1274" width="20.7109375" style="4" customWidth="1"/>
    <col min="1275" max="1275" width="9.140625" style="4"/>
    <col min="1276" max="1287" width="8.42578125" style="4" customWidth="1"/>
    <col min="1288" max="1528" width="9.140625" style="4"/>
    <col min="1529" max="1529" width="14.5703125" style="4" customWidth="1"/>
    <col min="1530" max="1530" width="20.7109375" style="4" customWidth="1"/>
    <col min="1531" max="1531" width="9.140625" style="4"/>
    <col min="1532" max="1543" width="8.42578125" style="4" customWidth="1"/>
    <col min="1544" max="1784" width="9.140625" style="4"/>
    <col min="1785" max="1785" width="14.5703125" style="4" customWidth="1"/>
    <col min="1786" max="1786" width="20.7109375" style="4" customWidth="1"/>
    <col min="1787" max="1787" width="9.140625" style="4"/>
    <col min="1788" max="1799" width="8.42578125" style="4" customWidth="1"/>
    <col min="1800" max="2040" width="9.140625" style="4"/>
    <col min="2041" max="2041" width="14.5703125" style="4" customWidth="1"/>
    <col min="2042" max="2042" width="20.7109375" style="4" customWidth="1"/>
    <col min="2043" max="2043" width="9.140625" style="4"/>
    <col min="2044" max="2055" width="8.42578125" style="4" customWidth="1"/>
    <col min="2056" max="2296" width="9.140625" style="4"/>
    <col min="2297" max="2297" width="14.5703125" style="4" customWidth="1"/>
    <col min="2298" max="2298" width="20.7109375" style="4" customWidth="1"/>
    <col min="2299" max="2299" width="9.140625" style="4"/>
    <col min="2300" max="2311" width="8.42578125" style="4" customWidth="1"/>
    <col min="2312" max="2552" width="9.140625" style="4"/>
    <col min="2553" max="2553" width="14.5703125" style="4" customWidth="1"/>
    <col min="2554" max="2554" width="20.7109375" style="4" customWidth="1"/>
    <col min="2555" max="2555" width="9.140625" style="4"/>
    <col min="2556" max="2567" width="8.42578125" style="4" customWidth="1"/>
    <col min="2568" max="2808" width="9.140625" style="4"/>
    <col min="2809" max="2809" width="14.5703125" style="4" customWidth="1"/>
    <col min="2810" max="2810" width="20.7109375" style="4" customWidth="1"/>
    <col min="2811" max="2811" width="9.140625" style="4"/>
    <col min="2812" max="2823" width="8.42578125" style="4" customWidth="1"/>
    <col min="2824" max="3064" width="9.140625" style="4"/>
    <col min="3065" max="3065" width="14.5703125" style="4" customWidth="1"/>
    <col min="3066" max="3066" width="20.7109375" style="4" customWidth="1"/>
    <col min="3067" max="3067" width="9.140625" style="4"/>
    <col min="3068" max="3079" width="8.42578125" style="4" customWidth="1"/>
    <col min="3080" max="3320" width="9.140625" style="4"/>
    <col min="3321" max="3321" width="14.5703125" style="4" customWidth="1"/>
    <col min="3322" max="3322" width="20.7109375" style="4" customWidth="1"/>
    <col min="3323" max="3323" width="9.140625" style="4"/>
    <col min="3324" max="3335" width="8.42578125" style="4" customWidth="1"/>
    <col min="3336" max="3576" width="9.140625" style="4"/>
    <col min="3577" max="3577" width="14.5703125" style="4" customWidth="1"/>
    <col min="3578" max="3578" width="20.7109375" style="4" customWidth="1"/>
    <col min="3579" max="3579" width="9.140625" style="4"/>
    <col min="3580" max="3591" width="8.42578125" style="4" customWidth="1"/>
    <col min="3592" max="3832" width="9.140625" style="4"/>
    <col min="3833" max="3833" width="14.5703125" style="4" customWidth="1"/>
    <col min="3834" max="3834" width="20.7109375" style="4" customWidth="1"/>
    <col min="3835" max="3835" width="9.140625" style="4"/>
    <col min="3836" max="3847" width="8.42578125" style="4" customWidth="1"/>
    <col min="3848" max="4088" width="9.140625" style="4"/>
    <col min="4089" max="4089" width="14.5703125" style="4" customWidth="1"/>
    <col min="4090" max="4090" width="20.7109375" style="4" customWidth="1"/>
    <col min="4091" max="4091" width="9.140625" style="4"/>
    <col min="4092" max="4103" width="8.42578125" style="4" customWidth="1"/>
    <col min="4104" max="4344" width="9.140625" style="4"/>
    <col min="4345" max="4345" width="14.5703125" style="4" customWidth="1"/>
    <col min="4346" max="4346" width="20.7109375" style="4" customWidth="1"/>
    <col min="4347" max="4347" width="9.140625" style="4"/>
    <col min="4348" max="4359" width="8.42578125" style="4" customWidth="1"/>
    <col min="4360" max="4600" width="9.140625" style="4"/>
    <col min="4601" max="4601" width="14.5703125" style="4" customWidth="1"/>
    <col min="4602" max="4602" width="20.7109375" style="4" customWidth="1"/>
    <col min="4603" max="4603" width="9.140625" style="4"/>
    <col min="4604" max="4615" width="8.42578125" style="4" customWidth="1"/>
    <col min="4616" max="4856" width="9.140625" style="4"/>
    <col min="4857" max="4857" width="14.5703125" style="4" customWidth="1"/>
    <col min="4858" max="4858" width="20.7109375" style="4" customWidth="1"/>
    <col min="4859" max="4859" width="9.140625" style="4"/>
    <col min="4860" max="4871" width="8.42578125" style="4" customWidth="1"/>
    <col min="4872" max="5112" width="9.140625" style="4"/>
    <col min="5113" max="5113" width="14.5703125" style="4" customWidth="1"/>
    <col min="5114" max="5114" width="20.7109375" style="4" customWidth="1"/>
    <col min="5115" max="5115" width="9.140625" style="4"/>
    <col min="5116" max="5127" width="8.42578125" style="4" customWidth="1"/>
    <col min="5128" max="5368" width="9.140625" style="4"/>
    <col min="5369" max="5369" width="14.5703125" style="4" customWidth="1"/>
    <col min="5370" max="5370" width="20.7109375" style="4" customWidth="1"/>
    <col min="5371" max="5371" width="9.140625" style="4"/>
    <col min="5372" max="5383" width="8.42578125" style="4" customWidth="1"/>
    <col min="5384" max="5624" width="9.140625" style="4"/>
    <col min="5625" max="5625" width="14.5703125" style="4" customWidth="1"/>
    <col min="5626" max="5626" width="20.7109375" style="4" customWidth="1"/>
    <col min="5627" max="5627" width="9.140625" style="4"/>
    <col min="5628" max="5639" width="8.42578125" style="4" customWidth="1"/>
    <col min="5640" max="5880" width="9.140625" style="4"/>
    <col min="5881" max="5881" width="14.5703125" style="4" customWidth="1"/>
    <col min="5882" max="5882" width="20.7109375" style="4" customWidth="1"/>
    <col min="5883" max="5883" width="9.140625" style="4"/>
    <col min="5884" max="5895" width="8.42578125" style="4" customWidth="1"/>
    <col min="5896" max="6136" width="9.140625" style="4"/>
    <col min="6137" max="6137" width="14.5703125" style="4" customWidth="1"/>
    <col min="6138" max="6138" width="20.7109375" style="4" customWidth="1"/>
    <col min="6139" max="6139" width="9.140625" style="4"/>
    <col min="6140" max="6151" width="8.42578125" style="4" customWidth="1"/>
    <col min="6152" max="6392" width="9.140625" style="4"/>
    <col min="6393" max="6393" width="14.5703125" style="4" customWidth="1"/>
    <col min="6394" max="6394" width="20.7109375" style="4" customWidth="1"/>
    <col min="6395" max="6395" width="9.140625" style="4"/>
    <col min="6396" max="6407" width="8.42578125" style="4" customWidth="1"/>
    <col min="6408" max="6648" width="9.140625" style="4"/>
    <col min="6649" max="6649" width="14.5703125" style="4" customWidth="1"/>
    <col min="6650" max="6650" width="20.7109375" style="4" customWidth="1"/>
    <col min="6651" max="6651" width="9.140625" style="4"/>
    <col min="6652" max="6663" width="8.42578125" style="4" customWidth="1"/>
    <col min="6664" max="6904" width="9.140625" style="4"/>
    <col min="6905" max="6905" width="14.5703125" style="4" customWidth="1"/>
    <col min="6906" max="6906" width="20.7109375" style="4" customWidth="1"/>
    <col min="6907" max="6907" width="9.140625" style="4"/>
    <col min="6908" max="6919" width="8.42578125" style="4" customWidth="1"/>
    <col min="6920" max="7160" width="9.140625" style="4"/>
    <col min="7161" max="7161" width="14.5703125" style="4" customWidth="1"/>
    <col min="7162" max="7162" width="20.7109375" style="4" customWidth="1"/>
    <col min="7163" max="7163" width="9.140625" style="4"/>
    <col min="7164" max="7175" width="8.42578125" style="4" customWidth="1"/>
    <col min="7176" max="7416" width="9.140625" style="4"/>
    <col min="7417" max="7417" width="14.5703125" style="4" customWidth="1"/>
    <col min="7418" max="7418" width="20.7109375" style="4" customWidth="1"/>
    <col min="7419" max="7419" width="9.140625" style="4"/>
    <col min="7420" max="7431" width="8.42578125" style="4" customWidth="1"/>
    <col min="7432" max="7672" width="9.140625" style="4"/>
    <col min="7673" max="7673" width="14.5703125" style="4" customWidth="1"/>
    <col min="7674" max="7674" width="20.7109375" style="4" customWidth="1"/>
    <col min="7675" max="7675" width="9.140625" style="4"/>
    <col min="7676" max="7687" width="8.42578125" style="4" customWidth="1"/>
    <col min="7688" max="7928" width="9.140625" style="4"/>
    <col min="7929" max="7929" width="14.5703125" style="4" customWidth="1"/>
    <col min="7930" max="7930" width="20.7109375" style="4" customWidth="1"/>
    <col min="7931" max="7931" width="9.140625" style="4"/>
    <col min="7932" max="7943" width="8.42578125" style="4" customWidth="1"/>
    <col min="7944" max="8184" width="9.140625" style="4"/>
    <col min="8185" max="8185" width="14.5703125" style="4" customWidth="1"/>
    <col min="8186" max="8186" width="20.7109375" style="4" customWidth="1"/>
    <col min="8187" max="8187" width="9.140625" style="4"/>
    <col min="8188" max="8199" width="8.42578125" style="4" customWidth="1"/>
    <col min="8200" max="8440" width="9.140625" style="4"/>
    <col min="8441" max="8441" width="14.5703125" style="4" customWidth="1"/>
    <col min="8442" max="8442" width="20.7109375" style="4" customWidth="1"/>
    <col min="8443" max="8443" width="9.140625" style="4"/>
    <col min="8444" max="8455" width="8.42578125" style="4" customWidth="1"/>
    <col min="8456" max="8696" width="9.140625" style="4"/>
    <col min="8697" max="8697" width="14.5703125" style="4" customWidth="1"/>
    <col min="8698" max="8698" width="20.7109375" style="4" customWidth="1"/>
    <col min="8699" max="8699" width="9.140625" style="4"/>
    <col min="8700" max="8711" width="8.42578125" style="4" customWidth="1"/>
    <col min="8712" max="8952" width="9.140625" style="4"/>
    <col min="8953" max="8953" width="14.5703125" style="4" customWidth="1"/>
    <col min="8954" max="8954" width="20.7109375" style="4" customWidth="1"/>
    <col min="8955" max="8955" width="9.140625" style="4"/>
    <col min="8956" max="8967" width="8.42578125" style="4" customWidth="1"/>
    <col min="8968" max="9208" width="9.140625" style="4"/>
    <col min="9209" max="9209" width="14.5703125" style="4" customWidth="1"/>
    <col min="9210" max="9210" width="20.7109375" style="4" customWidth="1"/>
    <col min="9211" max="9211" width="9.140625" style="4"/>
    <col min="9212" max="9223" width="8.42578125" style="4" customWidth="1"/>
    <col min="9224" max="9464" width="9.140625" style="4"/>
    <col min="9465" max="9465" width="14.5703125" style="4" customWidth="1"/>
    <col min="9466" max="9466" width="20.7109375" style="4" customWidth="1"/>
    <col min="9467" max="9467" width="9.140625" style="4"/>
    <col min="9468" max="9479" width="8.42578125" style="4" customWidth="1"/>
    <col min="9480" max="9720" width="9.140625" style="4"/>
    <col min="9721" max="9721" width="14.5703125" style="4" customWidth="1"/>
    <col min="9722" max="9722" width="20.7109375" style="4" customWidth="1"/>
    <col min="9723" max="9723" width="9.140625" style="4"/>
    <col min="9724" max="9735" width="8.42578125" style="4" customWidth="1"/>
    <col min="9736" max="9976" width="9.140625" style="4"/>
    <col min="9977" max="9977" width="14.5703125" style="4" customWidth="1"/>
    <col min="9978" max="9978" width="20.7109375" style="4" customWidth="1"/>
    <col min="9979" max="9979" width="9.140625" style="4"/>
    <col min="9980" max="9991" width="8.42578125" style="4" customWidth="1"/>
    <col min="9992" max="10232" width="9.140625" style="4"/>
    <col min="10233" max="10233" width="14.5703125" style="4" customWidth="1"/>
    <col min="10234" max="10234" width="20.7109375" style="4" customWidth="1"/>
    <col min="10235" max="10235" width="9.140625" style="4"/>
    <col min="10236" max="10247" width="8.42578125" style="4" customWidth="1"/>
    <col min="10248" max="10488" width="9.140625" style="4"/>
    <col min="10489" max="10489" width="14.5703125" style="4" customWidth="1"/>
    <col min="10490" max="10490" width="20.7109375" style="4" customWidth="1"/>
    <col min="10491" max="10491" width="9.140625" style="4"/>
    <col min="10492" max="10503" width="8.42578125" style="4" customWidth="1"/>
    <col min="10504" max="10744" width="9.140625" style="4"/>
    <col min="10745" max="10745" width="14.5703125" style="4" customWidth="1"/>
    <col min="10746" max="10746" width="20.7109375" style="4" customWidth="1"/>
    <col min="10747" max="10747" width="9.140625" style="4"/>
    <col min="10748" max="10759" width="8.42578125" style="4" customWidth="1"/>
    <col min="10760" max="11000" width="9.140625" style="4"/>
    <col min="11001" max="11001" width="14.5703125" style="4" customWidth="1"/>
    <col min="11002" max="11002" width="20.7109375" style="4" customWidth="1"/>
    <col min="11003" max="11003" width="9.140625" style="4"/>
    <col min="11004" max="11015" width="8.42578125" style="4" customWidth="1"/>
    <col min="11016" max="11256" width="9.140625" style="4"/>
    <col min="11257" max="11257" width="14.5703125" style="4" customWidth="1"/>
    <col min="11258" max="11258" width="20.7109375" style="4" customWidth="1"/>
    <col min="11259" max="11259" width="9.140625" style="4"/>
    <col min="11260" max="11271" width="8.42578125" style="4" customWidth="1"/>
    <col min="11272" max="11512" width="9.140625" style="4"/>
    <col min="11513" max="11513" width="14.5703125" style="4" customWidth="1"/>
    <col min="11514" max="11514" width="20.7109375" style="4" customWidth="1"/>
    <col min="11515" max="11515" width="9.140625" style="4"/>
    <col min="11516" max="11527" width="8.42578125" style="4" customWidth="1"/>
    <col min="11528" max="11768" width="9.140625" style="4"/>
    <col min="11769" max="11769" width="14.5703125" style="4" customWidth="1"/>
    <col min="11770" max="11770" width="20.7109375" style="4" customWidth="1"/>
    <col min="11771" max="11771" width="9.140625" style="4"/>
    <col min="11772" max="11783" width="8.42578125" style="4" customWidth="1"/>
    <col min="11784" max="12024" width="9.140625" style="4"/>
    <col min="12025" max="12025" width="14.5703125" style="4" customWidth="1"/>
    <col min="12026" max="12026" width="20.7109375" style="4" customWidth="1"/>
    <col min="12027" max="12027" width="9.140625" style="4"/>
    <col min="12028" max="12039" width="8.42578125" style="4" customWidth="1"/>
    <col min="12040" max="12280" width="9.140625" style="4"/>
    <col min="12281" max="12281" width="14.5703125" style="4" customWidth="1"/>
    <col min="12282" max="12282" width="20.7109375" style="4" customWidth="1"/>
    <col min="12283" max="12283" width="9.140625" style="4"/>
    <col min="12284" max="12295" width="8.42578125" style="4" customWidth="1"/>
    <col min="12296" max="12536" width="9.140625" style="4"/>
    <col min="12537" max="12537" width="14.5703125" style="4" customWidth="1"/>
    <col min="12538" max="12538" width="20.7109375" style="4" customWidth="1"/>
    <col min="12539" max="12539" width="9.140625" style="4"/>
    <col min="12540" max="12551" width="8.42578125" style="4" customWidth="1"/>
    <col min="12552" max="12792" width="9.140625" style="4"/>
    <col min="12793" max="12793" width="14.5703125" style="4" customWidth="1"/>
    <col min="12794" max="12794" width="20.7109375" style="4" customWidth="1"/>
    <col min="12795" max="12795" width="9.140625" style="4"/>
    <col min="12796" max="12807" width="8.42578125" style="4" customWidth="1"/>
    <col min="12808" max="13048" width="9.140625" style="4"/>
    <col min="13049" max="13049" width="14.5703125" style="4" customWidth="1"/>
    <col min="13050" max="13050" width="20.7109375" style="4" customWidth="1"/>
    <col min="13051" max="13051" width="9.140625" style="4"/>
    <col min="13052" max="13063" width="8.42578125" style="4" customWidth="1"/>
    <col min="13064" max="13304" width="9.140625" style="4"/>
    <col min="13305" max="13305" width="14.5703125" style="4" customWidth="1"/>
    <col min="13306" max="13306" width="20.7109375" style="4" customWidth="1"/>
    <col min="13307" max="13307" width="9.140625" style="4"/>
    <col min="13308" max="13319" width="8.42578125" style="4" customWidth="1"/>
    <col min="13320" max="13560" width="9.140625" style="4"/>
    <col min="13561" max="13561" width="14.5703125" style="4" customWidth="1"/>
    <col min="13562" max="13562" width="20.7109375" style="4" customWidth="1"/>
    <col min="13563" max="13563" width="9.140625" style="4"/>
    <col min="13564" max="13575" width="8.42578125" style="4" customWidth="1"/>
    <col min="13576" max="13816" width="9.140625" style="4"/>
    <col min="13817" max="13817" width="14.5703125" style="4" customWidth="1"/>
    <col min="13818" max="13818" width="20.7109375" style="4" customWidth="1"/>
    <col min="13819" max="13819" width="9.140625" style="4"/>
    <col min="13820" max="13831" width="8.42578125" style="4" customWidth="1"/>
    <col min="13832" max="14072" width="9.140625" style="4"/>
    <col min="14073" max="14073" width="14.5703125" style="4" customWidth="1"/>
    <col min="14074" max="14074" width="20.7109375" style="4" customWidth="1"/>
    <col min="14075" max="14075" width="9.140625" style="4"/>
    <col min="14076" max="14087" width="8.42578125" style="4" customWidth="1"/>
    <col min="14088" max="14328" width="9.140625" style="4"/>
    <col min="14329" max="14329" width="14.5703125" style="4" customWidth="1"/>
    <col min="14330" max="14330" width="20.7109375" style="4" customWidth="1"/>
    <col min="14331" max="14331" width="9.140625" style="4"/>
    <col min="14332" max="14343" width="8.42578125" style="4" customWidth="1"/>
    <col min="14344" max="14584" width="9.140625" style="4"/>
    <col min="14585" max="14585" width="14.5703125" style="4" customWidth="1"/>
    <col min="14586" max="14586" width="20.7109375" style="4" customWidth="1"/>
    <col min="14587" max="14587" width="9.140625" style="4"/>
    <col min="14588" max="14599" width="8.42578125" style="4" customWidth="1"/>
    <col min="14600" max="14840" width="9.140625" style="4"/>
    <col min="14841" max="14841" width="14.5703125" style="4" customWidth="1"/>
    <col min="14842" max="14842" width="20.7109375" style="4" customWidth="1"/>
    <col min="14843" max="14843" width="9.140625" style="4"/>
    <col min="14844" max="14855" width="8.42578125" style="4" customWidth="1"/>
    <col min="14856" max="15096" width="9.140625" style="4"/>
    <col min="15097" max="15097" width="14.5703125" style="4" customWidth="1"/>
    <col min="15098" max="15098" width="20.7109375" style="4" customWidth="1"/>
    <col min="15099" max="15099" width="9.140625" style="4"/>
    <col min="15100" max="15111" width="8.42578125" style="4" customWidth="1"/>
    <col min="15112" max="15352" width="9.140625" style="4"/>
    <col min="15353" max="15353" width="14.5703125" style="4" customWidth="1"/>
    <col min="15354" max="15354" width="20.7109375" style="4" customWidth="1"/>
    <col min="15355" max="15355" width="9.140625" style="4"/>
    <col min="15356" max="15367" width="8.42578125" style="4" customWidth="1"/>
    <col min="15368" max="15608" width="9.140625" style="4"/>
    <col min="15609" max="15609" width="14.5703125" style="4" customWidth="1"/>
    <col min="15610" max="15610" width="20.7109375" style="4" customWidth="1"/>
    <col min="15611" max="15611" width="9.140625" style="4"/>
    <col min="15612" max="15623" width="8.42578125" style="4" customWidth="1"/>
    <col min="15624" max="15864" width="9.140625" style="4"/>
    <col min="15865" max="15865" width="14.5703125" style="4" customWidth="1"/>
    <col min="15866" max="15866" width="20.7109375" style="4" customWidth="1"/>
    <col min="15867" max="15867" width="9.140625" style="4"/>
    <col min="15868" max="15879" width="8.42578125" style="4" customWidth="1"/>
    <col min="15880" max="16120" width="9.140625" style="4"/>
    <col min="16121" max="16121" width="14.5703125" style="4" customWidth="1"/>
    <col min="16122" max="16122" width="20.7109375" style="4" customWidth="1"/>
    <col min="16123" max="16123" width="9.140625" style="4"/>
    <col min="16124" max="16135" width="8.42578125" style="4" customWidth="1"/>
    <col min="16136" max="16376" width="9.140625" style="4"/>
    <col min="16377" max="16380" width="9.140625" style="4" customWidth="1"/>
    <col min="16381" max="16384" width="9.140625" style="4"/>
  </cols>
  <sheetData>
    <row r="1" spans="1:21" s="16" customFormat="1" ht="15" customHeight="1" x14ac:dyDescent="0.2">
      <c r="A1" s="120"/>
      <c r="B1" s="135" t="s">
        <v>124</v>
      </c>
      <c r="C1" s="117" t="str">
        <f>'Obra '!D1</f>
        <v>Porto Cerro</v>
      </c>
      <c r="D1" s="116"/>
      <c r="E1" s="116"/>
      <c r="F1" s="116"/>
      <c r="G1" s="116"/>
      <c r="H1" s="116"/>
      <c r="I1" s="116"/>
      <c r="J1" s="116"/>
      <c r="K1" s="116"/>
      <c r="L1" s="122"/>
      <c r="N1" s="123"/>
    </row>
    <row r="2" spans="1:21" s="67" customFormat="1" ht="15" customHeight="1" x14ac:dyDescent="0.2">
      <c r="A2" s="143"/>
      <c r="B2" s="135" t="s">
        <v>100</v>
      </c>
      <c r="C2" s="117" t="str">
        <f>'Obra '!D2</f>
        <v>XPCon Empreendimentos</v>
      </c>
      <c r="D2" s="117"/>
      <c r="E2" s="117"/>
      <c r="F2" s="117"/>
      <c r="G2" s="117"/>
      <c r="H2" s="117"/>
      <c r="I2" s="117"/>
      <c r="J2" s="117"/>
      <c r="K2" s="117"/>
      <c r="L2" s="124"/>
      <c r="N2" s="125"/>
    </row>
    <row r="3" spans="1:21" s="16" customFormat="1" ht="15" customHeight="1" x14ac:dyDescent="0.2">
      <c r="A3" s="121"/>
      <c r="B3" s="135" t="s">
        <v>101</v>
      </c>
      <c r="C3" s="117" t="str">
        <f>'Obra '!D3</f>
        <v>R01 - 03/09/2025</v>
      </c>
      <c r="D3" s="117"/>
      <c r="E3" s="117"/>
      <c r="F3" s="117"/>
      <c r="G3" s="117"/>
      <c r="H3" s="117"/>
      <c r="I3" s="117"/>
      <c r="J3" s="117"/>
      <c r="K3" s="118"/>
      <c r="L3" s="126"/>
      <c r="N3" s="127"/>
      <c r="O3" s="157"/>
    </row>
    <row r="4" spans="1:21" s="2" customFormat="1" ht="21.6" customHeight="1" x14ac:dyDescent="0.2">
      <c r="A4" s="1166" t="s">
        <v>103</v>
      </c>
      <c r="B4" s="1166"/>
      <c r="C4" s="1166"/>
      <c r="D4" s="1166"/>
      <c r="E4" s="1166"/>
      <c r="F4" s="1166"/>
      <c r="G4" s="1166"/>
      <c r="H4" s="1166"/>
      <c r="I4" s="1166"/>
      <c r="J4" s="1166"/>
      <c r="K4" s="1166"/>
      <c r="L4" s="1166"/>
      <c r="M4" s="1166"/>
      <c r="N4" s="251"/>
      <c r="O4" s="64"/>
      <c r="P4" s="1"/>
      <c r="Q4" s="1"/>
      <c r="R4" s="1"/>
      <c r="S4" s="1"/>
      <c r="T4" s="1"/>
      <c r="U4" s="1"/>
    </row>
    <row r="5" spans="1:21" s="2" customFormat="1" ht="15" customHeight="1" x14ac:dyDescent="0.2">
      <c r="A5" s="1160" t="s">
        <v>6</v>
      </c>
      <c r="B5" s="1161"/>
      <c r="C5" s="1164" t="s">
        <v>16</v>
      </c>
      <c r="D5" s="105" t="s">
        <v>411</v>
      </c>
      <c r="E5" s="106"/>
      <c r="F5" s="107"/>
      <c r="G5" s="107"/>
      <c r="H5" s="107"/>
      <c r="I5" s="107"/>
      <c r="J5" s="108"/>
      <c r="K5" s="105" t="s">
        <v>17</v>
      </c>
      <c r="L5" s="189" t="s">
        <v>243</v>
      </c>
      <c r="M5" s="107" t="s">
        <v>80</v>
      </c>
      <c r="N5" s="1167" t="s">
        <v>9</v>
      </c>
      <c r="O5" s="64"/>
      <c r="P5" s="1"/>
      <c r="Q5" s="1"/>
      <c r="R5" s="1"/>
      <c r="S5" s="1"/>
      <c r="T5" s="1"/>
      <c r="U5" s="1"/>
    </row>
    <row r="6" spans="1:21" s="3" customFormat="1" ht="16.899999999999999" customHeight="1" x14ac:dyDescent="0.2">
      <c r="A6" s="1162"/>
      <c r="B6" s="1163"/>
      <c r="C6" s="1165"/>
      <c r="D6" s="104">
        <v>6.3</v>
      </c>
      <c r="E6" s="104">
        <v>8</v>
      </c>
      <c r="F6" s="104">
        <v>10</v>
      </c>
      <c r="G6" s="104">
        <v>12.5</v>
      </c>
      <c r="H6" s="104">
        <v>16</v>
      </c>
      <c r="I6" s="104">
        <v>20</v>
      </c>
      <c r="J6" s="104">
        <v>25</v>
      </c>
      <c r="K6" s="104">
        <v>5</v>
      </c>
      <c r="L6" s="114" t="s">
        <v>11</v>
      </c>
      <c r="M6" s="252" t="s">
        <v>43</v>
      </c>
      <c r="N6" s="1168"/>
      <c r="O6" s="1"/>
      <c r="P6" s="1"/>
      <c r="Q6" s="1"/>
      <c r="R6" s="1"/>
      <c r="S6" s="1"/>
      <c r="T6" s="1"/>
      <c r="U6" s="1"/>
    </row>
    <row r="7" spans="1:21" s="13" customFormat="1" ht="13.9" customHeight="1" x14ac:dyDescent="0.2">
      <c r="A7" s="250" t="s">
        <v>658</v>
      </c>
      <c r="B7" s="112"/>
      <c r="C7" s="112"/>
      <c r="D7" s="112"/>
      <c r="E7" s="112"/>
      <c r="F7" s="113"/>
      <c r="G7" s="113"/>
      <c r="H7" s="113"/>
      <c r="I7" s="113"/>
      <c r="J7" s="113"/>
      <c r="K7" s="113"/>
      <c r="L7" s="254">
        <f>L8</f>
        <v>39.24</v>
      </c>
      <c r="M7" s="254">
        <f>M8</f>
        <v>10.795500000000001</v>
      </c>
      <c r="N7" s="253"/>
      <c r="O7" s="12"/>
      <c r="P7" s="12"/>
      <c r="Q7" s="12"/>
      <c r="R7" s="12"/>
      <c r="S7" s="12"/>
      <c r="T7" s="12"/>
      <c r="U7" s="12"/>
    </row>
    <row r="8" spans="1:21" s="13" customFormat="1" ht="13.9" customHeight="1" x14ac:dyDescent="0.2">
      <c r="A8" s="188" t="s">
        <v>188</v>
      </c>
      <c r="B8" s="186"/>
      <c r="C8" s="171">
        <v>1</v>
      </c>
      <c r="D8" s="47">
        <f>105.69/1.1</f>
        <v>96.081818181818178</v>
      </c>
      <c r="E8" s="47">
        <f>18.21/1.1</f>
        <v>16.554545454545455</v>
      </c>
      <c r="F8" s="47">
        <f>229.4/1.1</f>
        <v>208.54545454545453</v>
      </c>
      <c r="G8" s="47">
        <f>229.74/1.1</f>
        <v>208.85454545454544</v>
      </c>
      <c r="H8" s="47">
        <f>108.63/1.1</f>
        <v>98.754545454545436</v>
      </c>
      <c r="I8" s="47">
        <f>420.89/1.1</f>
        <v>382.62727272727267</v>
      </c>
      <c r="J8" s="47">
        <f>559.46/1.1</f>
        <v>508.59999999999997</v>
      </c>
      <c r="K8" s="257">
        <f>15.21/1.1</f>
        <v>13.827272727272726</v>
      </c>
      <c r="L8" s="47">
        <v>39.24</v>
      </c>
      <c r="M8" s="47">
        <v>10.795500000000001</v>
      </c>
      <c r="N8" s="159" t="s">
        <v>53</v>
      </c>
      <c r="O8" s="12"/>
      <c r="P8" s="12"/>
      <c r="Q8" s="12"/>
      <c r="R8" s="12"/>
      <c r="S8" s="12"/>
      <c r="T8" s="12"/>
      <c r="U8" s="12"/>
    </row>
    <row r="9" spans="1:21" s="13" customFormat="1" ht="13.9" customHeight="1" x14ac:dyDescent="0.2">
      <c r="A9" s="250" t="s">
        <v>664</v>
      </c>
      <c r="B9" s="112"/>
      <c r="C9" s="112"/>
      <c r="D9" s="112"/>
      <c r="E9" s="112"/>
      <c r="F9" s="113"/>
      <c r="G9" s="113"/>
      <c r="H9" s="113"/>
      <c r="I9" s="113"/>
      <c r="J9" s="113"/>
      <c r="K9" s="113"/>
      <c r="L9" s="254">
        <f>L10</f>
        <v>171.92</v>
      </c>
      <c r="M9" s="254">
        <f>M10</f>
        <v>73.463899999999995</v>
      </c>
      <c r="N9" s="253"/>
      <c r="O9" s="12"/>
      <c r="P9" s="12"/>
      <c r="Q9" s="12"/>
      <c r="R9" s="12"/>
      <c r="S9" s="12"/>
      <c r="T9" s="12"/>
      <c r="U9" s="12"/>
    </row>
    <row r="10" spans="1:21" s="13" customFormat="1" ht="13.9" customHeight="1" x14ac:dyDescent="0.2">
      <c r="A10" s="188" t="s">
        <v>188</v>
      </c>
      <c r="B10" s="186"/>
      <c r="C10" s="171">
        <v>1</v>
      </c>
      <c r="D10" s="47">
        <f>288.86/1.1</f>
        <v>262.59999999999997</v>
      </c>
      <c r="E10" s="47">
        <f>129.18/1.1</f>
        <v>117.43636363636364</v>
      </c>
      <c r="F10" s="47">
        <f>1034.24/1.1</f>
        <v>940.21818181818173</v>
      </c>
      <c r="G10" s="47"/>
      <c r="H10" s="47">
        <f>196.63/1.1</f>
        <v>178.75454545454542</v>
      </c>
      <c r="I10" s="47">
        <f>2408.57/1.1</f>
        <v>2189.6090909090908</v>
      </c>
      <c r="J10" s="47">
        <f>4675.73/1.1</f>
        <v>4250.6636363636353</v>
      </c>
      <c r="K10" s="257">
        <f>82.34/1.1</f>
        <v>74.854545454545445</v>
      </c>
      <c r="L10" s="47">
        <v>171.92</v>
      </c>
      <c r="M10" s="47">
        <v>73.463899999999995</v>
      </c>
      <c r="N10" s="159" t="s">
        <v>53</v>
      </c>
      <c r="O10" s="12"/>
      <c r="P10" s="12"/>
      <c r="Q10" s="12"/>
      <c r="R10" s="12"/>
      <c r="S10" s="12"/>
      <c r="T10" s="12"/>
      <c r="U10" s="12"/>
    </row>
    <row r="11" spans="1:21" s="13" customFormat="1" ht="13.9" customHeight="1" x14ac:dyDescent="0.2">
      <c r="A11" s="250" t="s">
        <v>668</v>
      </c>
      <c r="B11" s="112"/>
      <c r="C11" s="112"/>
      <c r="D11" s="112"/>
      <c r="E11" s="112"/>
      <c r="F11" s="113"/>
      <c r="G11" s="113"/>
      <c r="H11" s="113"/>
      <c r="I11" s="113"/>
      <c r="J11" s="113"/>
      <c r="K11" s="113"/>
      <c r="L11" s="254">
        <f>L12</f>
        <v>79.7</v>
      </c>
      <c r="M11" s="254">
        <f>M12</f>
        <v>61.15</v>
      </c>
      <c r="N11" s="253"/>
      <c r="O11" s="12"/>
      <c r="P11" s="12"/>
      <c r="Q11" s="12"/>
      <c r="R11" s="12"/>
      <c r="S11" s="12"/>
      <c r="T11" s="12"/>
      <c r="U11" s="12"/>
    </row>
    <row r="12" spans="1:21" s="13" customFormat="1" ht="13.9" customHeight="1" x14ac:dyDescent="0.2">
      <c r="A12" s="188" t="s">
        <v>188</v>
      </c>
      <c r="B12" s="186"/>
      <c r="C12" s="171">
        <v>1</v>
      </c>
      <c r="D12" s="47"/>
      <c r="E12" s="47"/>
      <c r="F12" s="47">
        <f>61.6/1.1</f>
        <v>56</v>
      </c>
      <c r="G12" s="47">
        <f>905.2/1.1</f>
        <v>822.90909090909088</v>
      </c>
      <c r="H12" s="47"/>
      <c r="I12" s="47"/>
      <c r="J12" s="47">
        <f>2906.6/1.1</f>
        <v>2642.363636363636</v>
      </c>
      <c r="K12" s="257">
        <f>73.5/1.1</f>
        <v>66.818181818181813</v>
      </c>
      <c r="L12" s="47">
        <v>79.7</v>
      </c>
      <c r="M12" s="47">
        <v>61.15</v>
      </c>
      <c r="N12" s="159" t="s">
        <v>53</v>
      </c>
      <c r="O12" s="12"/>
      <c r="P12" s="12"/>
      <c r="Q12" s="12"/>
      <c r="R12" s="12"/>
      <c r="S12" s="12"/>
      <c r="T12" s="12"/>
      <c r="U12" s="12"/>
    </row>
    <row r="13" spans="1:21" s="13" customFormat="1" ht="13.9" customHeight="1" x14ac:dyDescent="0.2">
      <c r="A13" s="250" t="s">
        <v>670</v>
      </c>
      <c r="B13" s="112"/>
      <c r="C13" s="112"/>
      <c r="D13" s="112"/>
      <c r="E13" s="112"/>
      <c r="F13" s="113"/>
      <c r="G13" s="113"/>
      <c r="H13" s="113"/>
      <c r="I13" s="113"/>
      <c r="J13" s="113"/>
      <c r="K13" s="113"/>
      <c r="L13" s="254">
        <f>L14</f>
        <v>104.22</v>
      </c>
      <c r="M13" s="254">
        <f>M14</f>
        <v>31.321999999999999</v>
      </c>
      <c r="N13" s="253"/>
      <c r="O13" s="12"/>
      <c r="P13" s="12"/>
      <c r="Q13" s="12"/>
      <c r="R13" s="12"/>
      <c r="S13" s="12"/>
      <c r="T13" s="12"/>
      <c r="U13" s="12"/>
    </row>
    <row r="14" spans="1:21" s="13" customFormat="1" ht="13.9" customHeight="1" x14ac:dyDescent="0.2">
      <c r="A14" s="188" t="s">
        <v>188</v>
      </c>
      <c r="B14" s="186"/>
      <c r="C14" s="171">
        <v>1</v>
      </c>
      <c r="D14" s="47">
        <f>219.85/1.1</f>
        <v>199.86363636363635</v>
      </c>
      <c r="E14" s="47">
        <f>257.92/1.1</f>
        <v>234.47272727272727</v>
      </c>
      <c r="F14" s="47">
        <f>404.74/1.1</f>
        <v>367.94545454545454</v>
      </c>
      <c r="G14" s="47">
        <f>293.17/1.1</f>
        <v>266.5181818181818</v>
      </c>
      <c r="H14" s="47">
        <f>161.5/1.1</f>
        <v>146.81818181818181</v>
      </c>
      <c r="I14" s="47">
        <f>1500.85/1.1</f>
        <v>1364.4090909090908</v>
      </c>
      <c r="J14" s="47">
        <f>601.84/1.1</f>
        <v>547.12727272727273</v>
      </c>
      <c r="K14" s="257">
        <f>11.79/1.1</f>
        <v>10.718181818181817</v>
      </c>
      <c r="L14" s="47">
        <v>104.22</v>
      </c>
      <c r="M14" s="47">
        <v>31.321999999999999</v>
      </c>
      <c r="N14" s="159" t="s">
        <v>53</v>
      </c>
      <c r="O14" s="12"/>
      <c r="P14" s="12"/>
      <c r="Q14" s="12"/>
      <c r="R14" s="12"/>
      <c r="S14" s="12"/>
      <c r="T14" s="12"/>
      <c r="U14" s="12"/>
    </row>
    <row r="15" spans="1:21" s="13" customFormat="1" ht="13.9" customHeight="1" x14ac:dyDescent="0.2">
      <c r="A15" s="250" t="s">
        <v>678</v>
      </c>
      <c r="B15" s="112"/>
      <c r="C15" s="112"/>
      <c r="D15" s="112"/>
      <c r="E15" s="112"/>
      <c r="F15" s="113"/>
      <c r="G15" s="113"/>
      <c r="H15" s="113"/>
      <c r="I15" s="113"/>
      <c r="J15" s="113"/>
      <c r="K15" s="113"/>
      <c r="L15" s="254">
        <f>L16</f>
        <v>133.32</v>
      </c>
      <c r="M15" s="254">
        <f>M16</f>
        <v>79.699299999999994</v>
      </c>
      <c r="N15" s="253"/>
      <c r="O15" s="12"/>
      <c r="P15" s="12"/>
      <c r="Q15" s="12"/>
      <c r="R15" s="12"/>
      <c r="S15" s="12"/>
      <c r="T15" s="12"/>
      <c r="U15" s="12"/>
    </row>
    <row r="16" spans="1:21" s="13" customFormat="1" ht="13.9" customHeight="1" x14ac:dyDescent="0.2">
      <c r="A16" s="188" t="s">
        <v>188</v>
      </c>
      <c r="B16" s="186"/>
      <c r="C16" s="171">
        <v>1</v>
      </c>
      <c r="D16" s="47">
        <f>90.41/1.1</f>
        <v>82.190909090909088</v>
      </c>
      <c r="E16" s="47">
        <f>920.31/1.1</f>
        <v>836.64545454545441</v>
      </c>
      <c r="F16" s="47">
        <f>561.64/1.1</f>
        <v>510.58181818181811</v>
      </c>
      <c r="G16" s="47">
        <f>113.35/1.1</f>
        <v>103.04545454545453</v>
      </c>
      <c r="H16" s="47">
        <f>197.46/1.1</f>
        <v>179.5090909090909</v>
      </c>
      <c r="I16" s="47">
        <f>1955/1.1</f>
        <v>1777.272727272727</v>
      </c>
      <c r="J16" s="47">
        <f>4330.69/1.1</f>
        <v>3936.9909090909082</v>
      </c>
      <c r="K16" s="257">
        <f>34.25/1.1</f>
        <v>31.136363636363633</v>
      </c>
      <c r="L16" s="47">
        <v>133.32</v>
      </c>
      <c r="M16" s="47">
        <v>79.699299999999994</v>
      </c>
      <c r="N16" s="159" t="s">
        <v>53</v>
      </c>
      <c r="O16" s="12"/>
      <c r="P16" s="12"/>
      <c r="Q16" s="12"/>
      <c r="R16" s="12"/>
      <c r="S16" s="12"/>
      <c r="T16" s="12"/>
      <c r="U16" s="12"/>
    </row>
    <row r="17" spans="1:21" s="13" customFormat="1" ht="13.9" customHeight="1" x14ac:dyDescent="0.2">
      <c r="A17" s="111" t="s">
        <v>684</v>
      </c>
      <c r="B17" s="112"/>
      <c r="C17" s="112"/>
      <c r="D17" s="112"/>
      <c r="E17" s="112"/>
      <c r="F17" s="113"/>
      <c r="G17" s="113"/>
      <c r="H17" s="113"/>
      <c r="I17" s="113"/>
      <c r="J17" s="113"/>
      <c r="K17" s="113"/>
      <c r="L17" s="254">
        <f>L18</f>
        <v>116.18</v>
      </c>
      <c r="M17" s="254">
        <f>M18</f>
        <v>14.1191</v>
      </c>
      <c r="N17" s="115"/>
      <c r="O17" s="12"/>
      <c r="P17" s="12"/>
      <c r="Q17" s="12"/>
      <c r="R17" s="12"/>
      <c r="S17" s="12"/>
      <c r="T17" s="12"/>
      <c r="U17" s="12"/>
    </row>
    <row r="18" spans="1:21" s="3" customFormat="1" ht="13.9" customHeight="1" x14ac:dyDescent="0.2">
      <c r="A18" s="188" t="s">
        <v>412</v>
      </c>
      <c r="B18" s="186"/>
      <c r="C18" s="171">
        <v>1</v>
      </c>
      <c r="D18" s="47">
        <f>380.24/1.1</f>
        <v>345.67272727272723</v>
      </c>
      <c r="E18" s="47">
        <f>12.04/1.1</f>
        <v>10.945454545454544</v>
      </c>
      <c r="F18" s="47">
        <f>137.86/1.1</f>
        <v>125.32727272727273</v>
      </c>
      <c r="G18" s="47">
        <f>273.27/1.1</f>
        <v>248.42727272727268</v>
      </c>
      <c r="H18" s="47">
        <f>350.04/1.1</f>
        <v>318.21818181818179</v>
      </c>
      <c r="I18" s="47">
        <f>423.79/1.1</f>
        <v>385.26363636363635</v>
      </c>
      <c r="J18" s="47"/>
      <c r="K18" s="257">
        <f>49.58/1.1</f>
        <v>45.072727272727271</v>
      </c>
      <c r="L18" s="47">
        <v>116.18</v>
      </c>
      <c r="M18" s="47">
        <v>14.1191</v>
      </c>
      <c r="N18" s="159" t="s">
        <v>53</v>
      </c>
      <c r="O18" s="1"/>
      <c r="P18" s="1"/>
      <c r="Q18" s="1"/>
      <c r="R18" s="1"/>
      <c r="S18" s="1"/>
      <c r="T18" s="1"/>
      <c r="U18" s="1"/>
    </row>
    <row r="19" spans="1:21" s="13" customFormat="1" ht="13.9" customHeight="1" x14ac:dyDescent="0.2">
      <c r="A19" s="111" t="s">
        <v>697</v>
      </c>
      <c r="B19" s="112"/>
      <c r="C19" s="112"/>
      <c r="D19" s="112"/>
      <c r="E19" s="112"/>
      <c r="F19" s="113"/>
      <c r="G19" s="113"/>
      <c r="H19" s="113"/>
      <c r="I19" s="113"/>
      <c r="J19" s="113"/>
      <c r="K19" s="113"/>
      <c r="L19" s="254">
        <f>L20</f>
        <v>123.24</v>
      </c>
      <c r="M19" s="254">
        <f>M20</f>
        <v>12.5403</v>
      </c>
      <c r="N19" s="115"/>
      <c r="O19" s="12"/>
      <c r="P19" s="12"/>
      <c r="Q19" s="12"/>
      <c r="R19" s="12"/>
      <c r="S19" s="12"/>
      <c r="T19" s="12"/>
      <c r="U19" s="12"/>
    </row>
    <row r="20" spans="1:21" s="3" customFormat="1" ht="13.9" customHeight="1" x14ac:dyDescent="0.2">
      <c r="A20" s="188" t="s">
        <v>412</v>
      </c>
      <c r="B20" s="186"/>
      <c r="C20" s="171">
        <v>1</v>
      </c>
      <c r="D20" s="47">
        <f>189.93/1.1</f>
        <v>172.66363636363636</v>
      </c>
      <c r="E20" s="47">
        <f>2.96/1.1</f>
        <v>2.6909090909090905</v>
      </c>
      <c r="F20" s="47">
        <f>91.23/1.1</f>
        <v>82.936363636363637</v>
      </c>
      <c r="G20" s="47">
        <f>236.71/1.1</f>
        <v>215.19090909090909</v>
      </c>
      <c r="H20" s="47">
        <f>305.99/1.1</f>
        <v>278.17272727272729</v>
      </c>
      <c r="I20" s="47">
        <f>476.01/1.1</f>
        <v>432.73636363636359</v>
      </c>
      <c r="J20" s="47"/>
      <c r="K20" s="257">
        <f>64.9/1.1</f>
        <v>59</v>
      </c>
      <c r="L20" s="47">
        <v>123.24</v>
      </c>
      <c r="M20" s="47">
        <v>12.5403</v>
      </c>
      <c r="N20" s="159" t="s">
        <v>53</v>
      </c>
      <c r="O20" s="1"/>
      <c r="P20" s="1"/>
      <c r="Q20" s="1"/>
      <c r="R20" s="1"/>
      <c r="S20" s="1"/>
      <c r="T20" s="1"/>
      <c r="U20" s="1"/>
    </row>
    <row r="21" spans="1:21" s="13" customFormat="1" ht="13.9" customHeight="1" x14ac:dyDescent="0.2">
      <c r="A21" s="111" t="s">
        <v>710</v>
      </c>
      <c r="B21" s="112"/>
      <c r="C21" s="112"/>
      <c r="D21" s="112"/>
      <c r="E21" s="112"/>
      <c r="F21" s="113"/>
      <c r="G21" s="113"/>
      <c r="H21" s="113"/>
      <c r="I21" s="113"/>
      <c r="J21" s="113"/>
      <c r="K21" s="113"/>
      <c r="L21" s="254">
        <f>L22</f>
        <v>180.53</v>
      </c>
      <c r="M21" s="254">
        <f>M22</f>
        <v>21.075399999999998</v>
      </c>
      <c r="N21" s="115"/>
      <c r="O21" s="12"/>
      <c r="P21" s="12"/>
      <c r="Q21" s="12"/>
      <c r="R21" s="12"/>
      <c r="S21" s="12"/>
      <c r="T21" s="12"/>
      <c r="U21" s="12"/>
    </row>
    <row r="22" spans="1:21" s="3" customFormat="1" ht="13.9" customHeight="1" x14ac:dyDescent="0.2">
      <c r="A22" s="188" t="s">
        <v>412</v>
      </c>
      <c r="B22" s="186"/>
      <c r="C22" s="171">
        <v>1</v>
      </c>
      <c r="D22" s="47">
        <f>309.62/1.1</f>
        <v>281.47272727272724</v>
      </c>
      <c r="E22" s="47">
        <f>151.21/1.1</f>
        <v>137.46363636363637</v>
      </c>
      <c r="F22" s="47">
        <f>113.03/1.1</f>
        <v>102.75454545454545</v>
      </c>
      <c r="G22" s="47">
        <f>360.95/1.1</f>
        <v>328.13636363636363</v>
      </c>
      <c r="H22" s="47">
        <f>565.82/1.1</f>
        <v>514.38181818181818</v>
      </c>
      <c r="I22" s="47">
        <f>639.22/1.1</f>
        <v>581.10909090909092</v>
      </c>
      <c r="J22" s="47"/>
      <c r="K22" s="47">
        <f>77.95/1.1</f>
        <v>70.86363636363636</v>
      </c>
      <c r="L22" s="47">
        <v>180.53</v>
      </c>
      <c r="M22" s="47">
        <v>21.075399999999998</v>
      </c>
      <c r="N22" s="159" t="s">
        <v>53</v>
      </c>
      <c r="O22" s="1"/>
      <c r="P22" s="1"/>
      <c r="Q22" s="1"/>
      <c r="R22" s="1"/>
      <c r="S22" s="1"/>
      <c r="T22" s="1"/>
      <c r="U22" s="1"/>
    </row>
    <row r="23" spans="1:21" ht="15" customHeight="1" x14ac:dyDescent="0.2">
      <c r="A23" s="111" t="s">
        <v>734</v>
      </c>
      <c r="B23" s="183"/>
      <c r="C23" s="183"/>
      <c r="D23" s="183"/>
      <c r="E23" s="183"/>
      <c r="F23" s="184"/>
      <c r="G23" s="184"/>
      <c r="H23" s="184"/>
      <c r="I23" s="184"/>
      <c r="J23" s="184"/>
      <c r="K23" s="184"/>
      <c r="L23" s="254">
        <f>L24</f>
        <v>184</v>
      </c>
      <c r="M23" s="254">
        <f>M24</f>
        <v>15</v>
      </c>
      <c r="N23" s="115"/>
    </row>
    <row r="24" spans="1:21" s="3" customFormat="1" ht="13.9" customHeight="1" x14ac:dyDescent="0.2">
      <c r="A24" s="188" t="s">
        <v>735</v>
      </c>
      <c r="B24" s="186"/>
      <c r="C24" s="171">
        <v>1</v>
      </c>
      <c r="D24" s="47">
        <f>871.15/1.1</f>
        <v>791.95454545454538</v>
      </c>
      <c r="E24" s="47">
        <v>0</v>
      </c>
      <c r="F24" s="47">
        <f>82.11/1.1</f>
        <v>74.645454545454541</v>
      </c>
      <c r="G24" s="47">
        <v>0</v>
      </c>
      <c r="H24" s="47">
        <f>188.37/1.1</f>
        <v>171.24545454545455</v>
      </c>
      <c r="I24" s="47"/>
      <c r="J24" s="47"/>
      <c r="K24" s="47"/>
      <c r="L24" s="47">
        <v>184</v>
      </c>
      <c r="M24" s="47">
        <v>15</v>
      </c>
      <c r="N24" s="159" t="s">
        <v>53</v>
      </c>
      <c r="O24" s="1"/>
      <c r="P24" s="1"/>
      <c r="Q24" s="1"/>
      <c r="R24" s="1"/>
      <c r="S24" s="1"/>
      <c r="T24" s="1"/>
      <c r="U24" s="1"/>
    </row>
    <row r="25" spans="1:21" s="3" customFormat="1" ht="13.9" customHeight="1" x14ac:dyDescent="0.2">
      <c r="A25" s="111" t="s">
        <v>736</v>
      </c>
      <c r="B25" s="183"/>
      <c r="C25" s="183"/>
      <c r="D25" s="183"/>
      <c r="E25" s="183"/>
      <c r="F25" s="184"/>
      <c r="G25" s="184"/>
      <c r="H25" s="184"/>
      <c r="I25" s="184"/>
      <c r="J25" s="184"/>
      <c r="K25" s="184"/>
      <c r="L25" s="254">
        <f>SUM(L26:L26)</f>
        <v>249.46</v>
      </c>
      <c r="M25" s="254">
        <f>SUM(M26:M26)</f>
        <v>24.944600000000001</v>
      </c>
      <c r="N25" s="115"/>
      <c r="O25" s="1"/>
      <c r="P25" s="1"/>
      <c r="Q25" s="1"/>
      <c r="R25" s="1"/>
      <c r="S25" s="1"/>
      <c r="T25" s="1"/>
      <c r="U25" s="1"/>
    </row>
    <row r="26" spans="1:21" s="3" customFormat="1" ht="13.9" customHeight="1" x14ac:dyDescent="0.2">
      <c r="A26" s="188" t="s">
        <v>737</v>
      </c>
      <c r="B26" s="186"/>
      <c r="C26" s="171">
        <v>1</v>
      </c>
      <c r="D26" s="47">
        <f>534.15/1.1</f>
        <v>485.59090909090901</v>
      </c>
      <c r="E26" s="47">
        <f>891.94/1.1</f>
        <v>810.85454545454547</v>
      </c>
      <c r="F26" s="47">
        <f>63.31/1.1</f>
        <v>57.554545454545455</v>
      </c>
      <c r="G26" s="47">
        <v>0</v>
      </c>
      <c r="H26" s="47">
        <v>0</v>
      </c>
      <c r="I26" s="47">
        <f>328.88/1.1</f>
        <v>298.98181818181814</v>
      </c>
      <c r="J26" s="47"/>
      <c r="K26" s="47"/>
      <c r="L26" s="47">
        <v>249.46</v>
      </c>
      <c r="M26" s="47">
        <v>24.944600000000001</v>
      </c>
      <c r="N26" s="159"/>
      <c r="O26" s="1"/>
      <c r="P26" s="1"/>
      <c r="Q26" s="1"/>
      <c r="R26" s="1"/>
      <c r="S26" s="1"/>
      <c r="T26" s="1"/>
      <c r="U26" s="1"/>
    </row>
    <row r="27" spans="1:21" s="3" customFormat="1" ht="13.9" customHeight="1" x14ac:dyDescent="0.2">
      <c r="A27" s="111" t="s">
        <v>738</v>
      </c>
      <c r="B27" s="183"/>
      <c r="C27" s="183"/>
      <c r="D27" s="183"/>
      <c r="E27" s="183"/>
      <c r="F27" s="184"/>
      <c r="G27" s="184"/>
      <c r="H27" s="184"/>
      <c r="I27" s="184"/>
      <c r="J27" s="184"/>
      <c r="K27" s="184"/>
      <c r="L27" s="254">
        <f>SUM(L28:L28)</f>
        <v>0</v>
      </c>
      <c r="M27" s="254">
        <f>SUM(M28:M28)</f>
        <v>22.15</v>
      </c>
      <c r="N27" s="115"/>
      <c r="O27" s="1"/>
      <c r="P27" s="1"/>
      <c r="Q27" s="1"/>
      <c r="R27" s="1"/>
      <c r="S27" s="1"/>
      <c r="T27" s="1"/>
      <c r="U27" s="1"/>
    </row>
    <row r="28" spans="1:21" s="3" customFormat="1" ht="13.9" customHeight="1" thickBot="1" x14ac:dyDescent="0.25">
      <c r="A28" s="188" t="s">
        <v>739</v>
      </c>
      <c r="B28" s="186"/>
      <c r="C28" s="171">
        <v>1</v>
      </c>
      <c r="D28" s="47">
        <f>1534.62*0.245</f>
        <v>375.98189999999994</v>
      </c>
      <c r="E28" s="47">
        <f>648.48*0.395</f>
        <v>256.14960000000002</v>
      </c>
      <c r="F28" s="47">
        <f>215.76*0.617</f>
        <v>133.12392</v>
      </c>
      <c r="G28" s="47">
        <f>814.8*0.963</f>
        <v>784.65239999999994</v>
      </c>
      <c r="H28" s="47">
        <v>0</v>
      </c>
      <c r="I28" s="47">
        <v>0</v>
      </c>
      <c r="J28" s="47">
        <v>0</v>
      </c>
      <c r="K28" s="47"/>
      <c r="L28" s="47">
        <v>0</v>
      </c>
      <c r="M28" s="47">
        <v>22.15</v>
      </c>
      <c r="N28" s="159" t="s">
        <v>53</v>
      </c>
      <c r="O28" s="1"/>
      <c r="P28" s="1"/>
      <c r="Q28" s="1"/>
      <c r="R28" s="1"/>
      <c r="S28" s="1"/>
      <c r="T28" s="1"/>
      <c r="U28" s="1"/>
    </row>
    <row r="29" spans="1:21" ht="15" customHeight="1" thickTop="1" thickBot="1" x14ac:dyDescent="0.25">
      <c r="A29" s="38"/>
      <c r="B29" s="38" t="s">
        <v>8</v>
      </c>
      <c r="C29" s="586">
        <f>SUM(D29:K29)</f>
        <v>32710.553274545451</v>
      </c>
      <c r="D29" s="65">
        <f>SUMPRODUCT(D8:D28,$C8:$C28)</f>
        <v>3094.0728090909088</v>
      </c>
      <c r="E29" s="65">
        <f t="shared" ref="E29:K29" si="0">SUMPRODUCT(E8:E28,$C8:$C28)</f>
        <v>2423.2132363636365</v>
      </c>
      <c r="F29" s="65">
        <f t="shared" si="0"/>
        <v>2659.6330109090904</v>
      </c>
      <c r="G29" s="65">
        <f>SUMPRODUCT(G8:G28,$C8:$C28)</f>
        <v>2977.7342181818181</v>
      </c>
      <c r="H29" s="65">
        <f>SUMPRODUCT(H8:H28,$C8:$C28)</f>
        <v>1885.8545454545454</v>
      </c>
      <c r="I29" s="65">
        <f>SUMPRODUCT(I8:I28,$C8:$C28)</f>
        <v>7412.0090909090904</v>
      </c>
      <c r="J29" s="65">
        <f>SUMPRODUCT(J8:J28,$C8:$C28)</f>
        <v>11885.745454545453</v>
      </c>
      <c r="K29" s="65">
        <f t="shared" si="0"/>
        <v>372.29090909090905</v>
      </c>
      <c r="L29" s="65">
        <f>SUM(L7:L28)/2</f>
        <v>1381.81</v>
      </c>
      <c r="M29" s="65">
        <f>SUM(M7:M28)/2</f>
        <v>366.26009999999997</v>
      </c>
      <c r="N29" s="65"/>
    </row>
    <row r="30" spans="1:21" ht="12.75" thickTop="1" x14ac:dyDescent="0.2">
      <c r="A30" s="40"/>
      <c r="B30" s="85"/>
      <c r="C30" s="86"/>
      <c r="D30" s="87"/>
      <c r="E30" s="87"/>
      <c r="F30" s="87"/>
      <c r="G30" s="87"/>
      <c r="H30" s="87"/>
      <c r="I30" s="87"/>
      <c r="J30" s="87"/>
      <c r="K30" s="39"/>
      <c r="L30" s="39"/>
      <c r="M30" s="39"/>
      <c r="N30" s="39"/>
    </row>
  </sheetData>
  <mergeCells count="4">
    <mergeCell ref="A5:B6"/>
    <mergeCell ref="C5:C6"/>
    <mergeCell ref="A4:M4"/>
    <mergeCell ref="N5:N6"/>
  </mergeCells>
  <dataValidations count="1">
    <dataValidation type="list" allowBlank="1" showInputMessage="1" showErrorMessage="1" sqref="N16 N24 N22 N20 N18 N14 N12 N10 N8 N26 N28" xr:uid="{E57FB26E-7856-4C9D-87E2-A1299AAC9E85}">
      <formula1>$S$8:$S$18</formula1>
    </dataValidation>
  </dataValidations>
  <printOptions horizontalCentered="1"/>
  <pageMargins left="0.19685039370078741" right="0.19685039370078741" top="0.39370078740157483" bottom="0.39370078740157483" header="0.51181102362204722" footer="0.19685039370078741"/>
  <pageSetup paperSize="9" orientation="landscape" r:id="rId1"/>
  <headerFooter alignWithMargins="0">
    <oddFooter>&amp;L&amp;"Arial,Normal"&amp;F  - &amp;A&amp;R&amp;"Arial,Normal"&amp;P /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E5AD1-9717-4873-8A43-39890F4FEBFC}">
  <sheetPr codeName="Planilha27">
    <tabColor theme="0" tint="-0.34998626667073579"/>
    <pageSetUpPr fitToPage="1"/>
  </sheetPr>
  <dimension ref="A1:U92"/>
  <sheetViews>
    <sheetView showGridLines="0" view="pageBreakPreview" zoomScaleNormal="100" zoomScaleSheetLayoutView="100" workbookViewId="0">
      <pane ySplit="7" topLeftCell="A55" activePane="bottomLeft" state="frozen"/>
      <selection activeCell="P98" sqref="P98:Q98"/>
      <selection pane="bottomLeft" activeCell="P44" sqref="P44"/>
    </sheetView>
  </sheetViews>
  <sheetFormatPr defaultRowHeight="11.25" x14ac:dyDescent="0.2"/>
  <cols>
    <col min="1" max="1" width="24" style="4" customWidth="1"/>
    <col min="2" max="3" width="8.5703125" style="4" customWidth="1"/>
    <col min="4" max="4" width="9" style="4" bestFit="1" customWidth="1"/>
    <col min="5" max="5" width="11.42578125" style="4" bestFit="1" customWidth="1"/>
    <col min="6" max="7" width="8.5703125" style="4" customWidth="1"/>
    <col min="8" max="8" width="9" style="4" bestFit="1" customWidth="1"/>
    <col min="9" max="9" width="8.5703125" style="4" customWidth="1"/>
    <col min="10" max="10" width="9.42578125" style="4" bestFit="1" customWidth="1"/>
    <col min="11" max="12" width="9.42578125" style="4" customWidth="1"/>
    <col min="13" max="15" width="10.85546875" style="4" bestFit="1" customWidth="1"/>
    <col min="16" max="16" width="8.42578125" style="4" bestFit="1" customWidth="1"/>
    <col min="17" max="17" width="8.42578125" style="4" customWidth="1"/>
    <col min="18" max="19" width="8.28515625" style="4" bestFit="1" customWidth="1"/>
    <col min="20" max="20" width="18.85546875" style="4" bestFit="1" customWidth="1"/>
    <col min="21" max="21" width="17.5703125" style="4" bestFit="1" customWidth="1"/>
    <col min="22" max="22" width="4.140625" style="4" customWidth="1"/>
    <col min="23" max="252" width="9.140625" style="4"/>
    <col min="253" max="253" width="18.7109375" style="4" customWidth="1"/>
    <col min="254" max="254" width="25.140625" style="4" customWidth="1"/>
    <col min="255" max="257" width="7.5703125" style="4" customWidth="1"/>
    <col min="258" max="260" width="6.7109375" style="4" customWidth="1"/>
    <col min="261" max="264" width="7.5703125" style="4" customWidth="1"/>
    <col min="265" max="265" width="8.140625" style="4" customWidth="1"/>
    <col min="266" max="266" width="8.42578125" style="4" customWidth="1"/>
    <col min="267" max="267" width="9.28515625" style="4" customWidth="1"/>
    <col min="268" max="268" width="8.42578125" style="4" customWidth="1"/>
    <col min="269" max="269" width="11.28515625" style="4" customWidth="1"/>
    <col min="270" max="270" width="9.28515625" style="4" customWidth="1"/>
    <col min="271" max="508" width="9.140625" style="4"/>
    <col min="509" max="509" width="18.7109375" style="4" customWidth="1"/>
    <col min="510" max="510" width="25.140625" style="4" customWidth="1"/>
    <col min="511" max="513" width="7.5703125" style="4" customWidth="1"/>
    <col min="514" max="516" width="6.7109375" style="4" customWidth="1"/>
    <col min="517" max="520" width="7.5703125" style="4" customWidth="1"/>
    <col min="521" max="521" width="8.140625" style="4" customWidth="1"/>
    <col min="522" max="522" width="8.42578125" style="4" customWidth="1"/>
    <col min="523" max="523" width="9.28515625" style="4" customWidth="1"/>
    <col min="524" max="524" width="8.42578125" style="4" customWidth="1"/>
    <col min="525" max="525" width="11.28515625" style="4" customWidth="1"/>
    <col min="526" max="526" width="9.28515625" style="4" customWidth="1"/>
    <col min="527" max="764" width="9.140625" style="4"/>
    <col min="765" max="765" width="18.7109375" style="4" customWidth="1"/>
    <col min="766" max="766" width="25.140625" style="4" customWidth="1"/>
    <col min="767" max="769" width="7.5703125" style="4" customWidth="1"/>
    <col min="770" max="772" width="6.7109375" style="4" customWidth="1"/>
    <col min="773" max="776" width="7.5703125" style="4" customWidth="1"/>
    <col min="777" max="777" width="8.140625" style="4" customWidth="1"/>
    <col min="778" max="778" width="8.42578125" style="4" customWidth="1"/>
    <col min="779" max="779" width="9.28515625" style="4" customWidth="1"/>
    <col min="780" max="780" width="8.42578125" style="4" customWidth="1"/>
    <col min="781" max="781" width="11.28515625" style="4" customWidth="1"/>
    <col min="782" max="782" width="9.28515625" style="4" customWidth="1"/>
    <col min="783" max="1020" width="9.140625" style="4"/>
    <col min="1021" max="1021" width="18.7109375" style="4" customWidth="1"/>
    <col min="1022" max="1022" width="25.140625" style="4" customWidth="1"/>
    <col min="1023" max="1025" width="7.5703125" style="4" customWidth="1"/>
    <col min="1026" max="1028" width="6.7109375" style="4" customWidth="1"/>
    <col min="1029" max="1032" width="7.5703125" style="4" customWidth="1"/>
    <col min="1033" max="1033" width="8.140625" style="4" customWidth="1"/>
    <col min="1034" max="1034" width="8.42578125" style="4" customWidth="1"/>
    <col min="1035" max="1035" width="9.28515625" style="4" customWidth="1"/>
    <col min="1036" max="1036" width="8.42578125" style="4" customWidth="1"/>
    <col min="1037" max="1037" width="11.28515625" style="4" customWidth="1"/>
    <col min="1038" max="1038" width="9.28515625" style="4" customWidth="1"/>
    <col min="1039" max="1276" width="9.140625" style="4"/>
    <col min="1277" max="1277" width="18.7109375" style="4" customWidth="1"/>
    <col min="1278" max="1278" width="25.140625" style="4" customWidth="1"/>
    <col min="1279" max="1281" width="7.5703125" style="4" customWidth="1"/>
    <col min="1282" max="1284" width="6.7109375" style="4" customWidth="1"/>
    <col min="1285" max="1288" width="7.5703125" style="4" customWidth="1"/>
    <col min="1289" max="1289" width="8.140625" style="4" customWidth="1"/>
    <col min="1290" max="1290" width="8.42578125" style="4" customWidth="1"/>
    <col min="1291" max="1291" width="9.28515625" style="4" customWidth="1"/>
    <col min="1292" max="1292" width="8.42578125" style="4" customWidth="1"/>
    <col min="1293" max="1293" width="11.28515625" style="4" customWidth="1"/>
    <col min="1294" max="1294" width="9.28515625" style="4" customWidth="1"/>
    <col min="1295" max="1532" width="9.140625" style="4"/>
    <col min="1533" max="1533" width="18.7109375" style="4" customWidth="1"/>
    <col min="1534" max="1534" width="25.140625" style="4" customWidth="1"/>
    <col min="1535" max="1537" width="7.5703125" style="4" customWidth="1"/>
    <col min="1538" max="1540" width="6.7109375" style="4" customWidth="1"/>
    <col min="1541" max="1544" width="7.5703125" style="4" customWidth="1"/>
    <col min="1545" max="1545" width="8.140625" style="4" customWidth="1"/>
    <col min="1546" max="1546" width="8.42578125" style="4" customWidth="1"/>
    <col min="1547" max="1547" width="9.28515625" style="4" customWidth="1"/>
    <col min="1548" max="1548" width="8.42578125" style="4" customWidth="1"/>
    <col min="1549" max="1549" width="11.28515625" style="4" customWidth="1"/>
    <col min="1550" max="1550" width="9.28515625" style="4" customWidth="1"/>
    <col min="1551" max="1788" width="9.140625" style="4"/>
    <col min="1789" max="1789" width="18.7109375" style="4" customWidth="1"/>
    <col min="1790" max="1790" width="25.140625" style="4" customWidth="1"/>
    <col min="1791" max="1793" width="7.5703125" style="4" customWidth="1"/>
    <col min="1794" max="1796" width="6.7109375" style="4" customWidth="1"/>
    <col min="1797" max="1800" width="7.5703125" style="4" customWidth="1"/>
    <col min="1801" max="1801" width="8.140625" style="4" customWidth="1"/>
    <col min="1802" max="1802" width="8.42578125" style="4" customWidth="1"/>
    <col min="1803" max="1803" width="9.28515625" style="4" customWidth="1"/>
    <col min="1804" max="1804" width="8.42578125" style="4" customWidth="1"/>
    <col min="1805" max="1805" width="11.28515625" style="4" customWidth="1"/>
    <col min="1806" max="1806" width="9.28515625" style="4" customWidth="1"/>
    <col min="1807" max="2044" width="9.140625" style="4"/>
    <col min="2045" max="2045" width="18.7109375" style="4" customWidth="1"/>
    <col min="2046" max="2046" width="25.140625" style="4" customWidth="1"/>
    <col min="2047" max="2049" width="7.5703125" style="4" customWidth="1"/>
    <col min="2050" max="2052" width="6.7109375" style="4" customWidth="1"/>
    <col min="2053" max="2056" width="7.5703125" style="4" customWidth="1"/>
    <col min="2057" max="2057" width="8.140625" style="4" customWidth="1"/>
    <col min="2058" max="2058" width="8.42578125" style="4" customWidth="1"/>
    <col min="2059" max="2059" width="9.28515625" style="4" customWidth="1"/>
    <col min="2060" max="2060" width="8.42578125" style="4" customWidth="1"/>
    <col min="2061" max="2061" width="11.28515625" style="4" customWidth="1"/>
    <col min="2062" max="2062" width="9.28515625" style="4" customWidth="1"/>
    <col min="2063" max="2300" width="9.140625" style="4"/>
    <col min="2301" max="2301" width="18.7109375" style="4" customWidth="1"/>
    <col min="2302" max="2302" width="25.140625" style="4" customWidth="1"/>
    <col min="2303" max="2305" width="7.5703125" style="4" customWidth="1"/>
    <col min="2306" max="2308" width="6.7109375" style="4" customWidth="1"/>
    <col min="2309" max="2312" width="7.5703125" style="4" customWidth="1"/>
    <col min="2313" max="2313" width="8.140625" style="4" customWidth="1"/>
    <col min="2314" max="2314" width="8.42578125" style="4" customWidth="1"/>
    <col min="2315" max="2315" width="9.28515625" style="4" customWidth="1"/>
    <col min="2316" max="2316" width="8.42578125" style="4" customWidth="1"/>
    <col min="2317" max="2317" width="11.28515625" style="4" customWidth="1"/>
    <col min="2318" max="2318" width="9.28515625" style="4" customWidth="1"/>
    <col min="2319" max="2556" width="9.140625" style="4"/>
    <col min="2557" max="2557" width="18.7109375" style="4" customWidth="1"/>
    <col min="2558" max="2558" width="25.140625" style="4" customWidth="1"/>
    <col min="2559" max="2561" width="7.5703125" style="4" customWidth="1"/>
    <col min="2562" max="2564" width="6.7109375" style="4" customWidth="1"/>
    <col min="2565" max="2568" width="7.5703125" style="4" customWidth="1"/>
    <col min="2569" max="2569" width="8.140625" style="4" customWidth="1"/>
    <col min="2570" max="2570" width="8.42578125" style="4" customWidth="1"/>
    <col min="2571" max="2571" width="9.28515625" style="4" customWidth="1"/>
    <col min="2572" max="2572" width="8.42578125" style="4" customWidth="1"/>
    <col min="2573" max="2573" width="11.28515625" style="4" customWidth="1"/>
    <col min="2574" max="2574" width="9.28515625" style="4" customWidth="1"/>
    <col min="2575" max="2812" width="9.140625" style="4"/>
    <col min="2813" max="2813" width="18.7109375" style="4" customWidth="1"/>
    <col min="2814" max="2814" width="25.140625" style="4" customWidth="1"/>
    <col min="2815" max="2817" width="7.5703125" style="4" customWidth="1"/>
    <col min="2818" max="2820" width="6.7109375" style="4" customWidth="1"/>
    <col min="2821" max="2824" width="7.5703125" style="4" customWidth="1"/>
    <col min="2825" max="2825" width="8.140625" style="4" customWidth="1"/>
    <col min="2826" max="2826" width="8.42578125" style="4" customWidth="1"/>
    <col min="2827" max="2827" width="9.28515625" style="4" customWidth="1"/>
    <col min="2828" max="2828" width="8.42578125" style="4" customWidth="1"/>
    <col min="2829" max="2829" width="11.28515625" style="4" customWidth="1"/>
    <col min="2830" max="2830" width="9.28515625" style="4" customWidth="1"/>
    <col min="2831" max="3068" width="9.140625" style="4"/>
    <col min="3069" max="3069" width="18.7109375" style="4" customWidth="1"/>
    <col min="3070" max="3070" width="25.140625" style="4" customWidth="1"/>
    <col min="3071" max="3073" width="7.5703125" style="4" customWidth="1"/>
    <col min="3074" max="3076" width="6.7109375" style="4" customWidth="1"/>
    <col min="3077" max="3080" width="7.5703125" style="4" customWidth="1"/>
    <col min="3081" max="3081" width="8.140625" style="4" customWidth="1"/>
    <col min="3082" max="3082" width="8.42578125" style="4" customWidth="1"/>
    <col min="3083" max="3083" width="9.28515625" style="4" customWidth="1"/>
    <col min="3084" max="3084" width="8.42578125" style="4" customWidth="1"/>
    <col min="3085" max="3085" width="11.28515625" style="4" customWidth="1"/>
    <col min="3086" max="3086" width="9.28515625" style="4" customWidth="1"/>
    <col min="3087" max="3324" width="9.140625" style="4"/>
    <col min="3325" max="3325" width="18.7109375" style="4" customWidth="1"/>
    <col min="3326" max="3326" width="25.140625" style="4" customWidth="1"/>
    <col min="3327" max="3329" width="7.5703125" style="4" customWidth="1"/>
    <col min="3330" max="3332" width="6.7109375" style="4" customWidth="1"/>
    <col min="3333" max="3336" width="7.5703125" style="4" customWidth="1"/>
    <col min="3337" max="3337" width="8.140625" style="4" customWidth="1"/>
    <col min="3338" max="3338" width="8.42578125" style="4" customWidth="1"/>
    <col min="3339" max="3339" width="9.28515625" style="4" customWidth="1"/>
    <col min="3340" max="3340" width="8.42578125" style="4" customWidth="1"/>
    <col min="3341" max="3341" width="11.28515625" style="4" customWidth="1"/>
    <col min="3342" max="3342" width="9.28515625" style="4" customWidth="1"/>
    <col min="3343" max="3580" width="9.140625" style="4"/>
    <col min="3581" max="3581" width="18.7109375" style="4" customWidth="1"/>
    <col min="3582" max="3582" width="25.140625" style="4" customWidth="1"/>
    <col min="3583" max="3585" width="7.5703125" style="4" customWidth="1"/>
    <col min="3586" max="3588" width="6.7109375" style="4" customWidth="1"/>
    <col min="3589" max="3592" width="7.5703125" style="4" customWidth="1"/>
    <col min="3593" max="3593" width="8.140625" style="4" customWidth="1"/>
    <col min="3594" max="3594" width="8.42578125" style="4" customWidth="1"/>
    <col min="3595" max="3595" width="9.28515625" style="4" customWidth="1"/>
    <col min="3596" max="3596" width="8.42578125" style="4" customWidth="1"/>
    <col min="3597" max="3597" width="11.28515625" style="4" customWidth="1"/>
    <col min="3598" max="3598" width="9.28515625" style="4" customWidth="1"/>
    <col min="3599" max="3836" width="9.140625" style="4"/>
    <col min="3837" max="3837" width="18.7109375" style="4" customWidth="1"/>
    <col min="3838" max="3838" width="25.140625" style="4" customWidth="1"/>
    <col min="3839" max="3841" width="7.5703125" style="4" customWidth="1"/>
    <col min="3842" max="3844" width="6.7109375" style="4" customWidth="1"/>
    <col min="3845" max="3848" width="7.5703125" style="4" customWidth="1"/>
    <col min="3849" max="3849" width="8.140625" style="4" customWidth="1"/>
    <col min="3850" max="3850" width="8.42578125" style="4" customWidth="1"/>
    <col min="3851" max="3851" width="9.28515625" style="4" customWidth="1"/>
    <col min="3852" max="3852" width="8.42578125" style="4" customWidth="1"/>
    <col min="3853" max="3853" width="11.28515625" style="4" customWidth="1"/>
    <col min="3854" max="3854" width="9.28515625" style="4" customWidth="1"/>
    <col min="3855" max="4092" width="9.140625" style="4"/>
    <col min="4093" max="4093" width="18.7109375" style="4" customWidth="1"/>
    <col min="4094" max="4094" width="25.140625" style="4" customWidth="1"/>
    <col min="4095" max="4097" width="7.5703125" style="4" customWidth="1"/>
    <col min="4098" max="4100" width="6.7109375" style="4" customWidth="1"/>
    <col min="4101" max="4104" width="7.5703125" style="4" customWidth="1"/>
    <col min="4105" max="4105" width="8.140625" style="4" customWidth="1"/>
    <col min="4106" max="4106" width="8.42578125" style="4" customWidth="1"/>
    <col min="4107" max="4107" width="9.28515625" style="4" customWidth="1"/>
    <col min="4108" max="4108" width="8.42578125" style="4" customWidth="1"/>
    <col min="4109" max="4109" width="11.28515625" style="4" customWidth="1"/>
    <col min="4110" max="4110" width="9.28515625" style="4" customWidth="1"/>
    <col min="4111" max="4348" width="9.140625" style="4"/>
    <col min="4349" max="4349" width="18.7109375" style="4" customWidth="1"/>
    <col min="4350" max="4350" width="25.140625" style="4" customWidth="1"/>
    <col min="4351" max="4353" width="7.5703125" style="4" customWidth="1"/>
    <col min="4354" max="4356" width="6.7109375" style="4" customWidth="1"/>
    <col min="4357" max="4360" width="7.5703125" style="4" customWidth="1"/>
    <col min="4361" max="4361" width="8.140625" style="4" customWidth="1"/>
    <col min="4362" max="4362" width="8.42578125" style="4" customWidth="1"/>
    <col min="4363" max="4363" width="9.28515625" style="4" customWidth="1"/>
    <col min="4364" max="4364" width="8.42578125" style="4" customWidth="1"/>
    <col min="4365" max="4365" width="11.28515625" style="4" customWidth="1"/>
    <col min="4366" max="4366" width="9.28515625" style="4" customWidth="1"/>
    <col min="4367" max="4604" width="9.140625" style="4"/>
    <col min="4605" max="4605" width="18.7109375" style="4" customWidth="1"/>
    <col min="4606" max="4606" width="25.140625" style="4" customWidth="1"/>
    <col min="4607" max="4609" width="7.5703125" style="4" customWidth="1"/>
    <col min="4610" max="4612" width="6.7109375" style="4" customWidth="1"/>
    <col min="4613" max="4616" width="7.5703125" style="4" customWidth="1"/>
    <col min="4617" max="4617" width="8.140625" style="4" customWidth="1"/>
    <col min="4618" max="4618" width="8.42578125" style="4" customWidth="1"/>
    <col min="4619" max="4619" width="9.28515625" style="4" customWidth="1"/>
    <col min="4620" max="4620" width="8.42578125" style="4" customWidth="1"/>
    <col min="4621" max="4621" width="11.28515625" style="4" customWidth="1"/>
    <col min="4622" max="4622" width="9.28515625" style="4" customWidth="1"/>
    <col min="4623" max="4860" width="9.140625" style="4"/>
    <col min="4861" max="4861" width="18.7109375" style="4" customWidth="1"/>
    <col min="4862" max="4862" width="25.140625" style="4" customWidth="1"/>
    <col min="4863" max="4865" width="7.5703125" style="4" customWidth="1"/>
    <col min="4866" max="4868" width="6.7109375" style="4" customWidth="1"/>
    <col min="4869" max="4872" width="7.5703125" style="4" customWidth="1"/>
    <col min="4873" max="4873" width="8.140625" style="4" customWidth="1"/>
    <col min="4874" max="4874" width="8.42578125" style="4" customWidth="1"/>
    <col min="4875" max="4875" width="9.28515625" style="4" customWidth="1"/>
    <col min="4876" max="4876" width="8.42578125" style="4" customWidth="1"/>
    <col min="4877" max="4877" width="11.28515625" style="4" customWidth="1"/>
    <col min="4878" max="4878" width="9.28515625" style="4" customWidth="1"/>
    <col min="4879" max="5116" width="9.140625" style="4"/>
    <col min="5117" max="5117" width="18.7109375" style="4" customWidth="1"/>
    <col min="5118" max="5118" width="25.140625" style="4" customWidth="1"/>
    <col min="5119" max="5121" width="7.5703125" style="4" customWidth="1"/>
    <col min="5122" max="5124" width="6.7109375" style="4" customWidth="1"/>
    <col min="5125" max="5128" width="7.5703125" style="4" customWidth="1"/>
    <col min="5129" max="5129" width="8.140625" style="4" customWidth="1"/>
    <col min="5130" max="5130" width="8.42578125" style="4" customWidth="1"/>
    <col min="5131" max="5131" width="9.28515625" style="4" customWidth="1"/>
    <col min="5132" max="5132" width="8.42578125" style="4" customWidth="1"/>
    <col min="5133" max="5133" width="11.28515625" style="4" customWidth="1"/>
    <col min="5134" max="5134" width="9.28515625" style="4" customWidth="1"/>
    <col min="5135" max="5372" width="9.140625" style="4"/>
    <col min="5373" max="5373" width="18.7109375" style="4" customWidth="1"/>
    <col min="5374" max="5374" width="25.140625" style="4" customWidth="1"/>
    <col min="5375" max="5377" width="7.5703125" style="4" customWidth="1"/>
    <col min="5378" max="5380" width="6.7109375" style="4" customWidth="1"/>
    <col min="5381" max="5384" width="7.5703125" style="4" customWidth="1"/>
    <col min="5385" max="5385" width="8.140625" style="4" customWidth="1"/>
    <col min="5386" max="5386" width="8.42578125" style="4" customWidth="1"/>
    <col min="5387" max="5387" width="9.28515625" style="4" customWidth="1"/>
    <col min="5388" max="5388" width="8.42578125" style="4" customWidth="1"/>
    <col min="5389" max="5389" width="11.28515625" style="4" customWidth="1"/>
    <col min="5390" max="5390" width="9.28515625" style="4" customWidth="1"/>
    <col min="5391" max="5628" width="9.140625" style="4"/>
    <col min="5629" max="5629" width="18.7109375" style="4" customWidth="1"/>
    <col min="5630" max="5630" width="25.140625" style="4" customWidth="1"/>
    <col min="5631" max="5633" width="7.5703125" style="4" customWidth="1"/>
    <col min="5634" max="5636" width="6.7109375" style="4" customWidth="1"/>
    <col min="5637" max="5640" width="7.5703125" style="4" customWidth="1"/>
    <col min="5641" max="5641" width="8.140625" style="4" customWidth="1"/>
    <col min="5642" max="5642" width="8.42578125" style="4" customWidth="1"/>
    <col min="5643" max="5643" width="9.28515625" style="4" customWidth="1"/>
    <col min="5644" max="5644" width="8.42578125" style="4" customWidth="1"/>
    <col min="5645" max="5645" width="11.28515625" style="4" customWidth="1"/>
    <col min="5646" max="5646" width="9.28515625" style="4" customWidth="1"/>
    <col min="5647" max="5884" width="9.140625" style="4"/>
    <col min="5885" max="5885" width="18.7109375" style="4" customWidth="1"/>
    <col min="5886" max="5886" width="25.140625" style="4" customWidth="1"/>
    <col min="5887" max="5889" width="7.5703125" style="4" customWidth="1"/>
    <col min="5890" max="5892" width="6.7109375" style="4" customWidth="1"/>
    <col min="5893" max="5896" width="7.5703125" style="4" customWidth="1"/>
    <col min="5897" max="5897" width="8.140625" style="4" customWidth="1"/>
    <col min="5898" max="5898" width="8.42578125" style="4" customWidth="1"/>
    <col min="5899" max="5899" width="9.28515625" style="4" customWidth="1"/>
    <col min="5900" max="5900" width="8.42578125" style="4" customWidth="1"/>
    <col min="5901" max="5901" width="11.28515625" style="4" customWidth="1"/>
    <col min="5902" max="5902" width="9.28515625" style="4" customWidth="1"/>
    <col min="5903" max="6140" width="9.140625" style="4"/>
    <col min="6141" max="6141" width="18.7109375" style="4" customWidth="1"/>
    <col min="6142" max="6142" width="25.140625" style="4" customWidth="1"/>
    <col min="6143" max="6145" width="7.5703125" style="4" customWidth="1"/>
    <col min="6146" max="6148" width="6.7109375" style="4" customWidth="1"/>
    <col min="6149" max="6152" width="7.5703125" style="4" customWidth="1"/>
    <col min="6153" max="6153" width="8.140625" style="4" customWidth="1"/>
    <col min="6154" max="6154" width="8.42578125" style="4" customWidth="1"/>
    <col min="6155" max="6155" width="9.28515625" style="4" customWidth="1"/>
    <col min="6156" max="6156" width="8.42578125" style="4" customWidth="1"/>
    <col min="6157" max="6157" width="11.28515625" style="4" customWidth="1"/>
    <col min="6158" max="6158" width="9.28515625" style="4" customWidth="1"/>
    <col min="6159" max="6396" width="9.140625" style="4"/>
    <col min="6397" max="6397" width="18.7109375" style="4" customWidth="1"/>
    <col min="6398" max="6398" width="25.140625" style="4" customWidth="1"/>
    <col min="6399" max="6401" width="7.5703125" style="4" customWidth="1"/>
    <col min="6402" max="6404" width="6.7109375" style="4" customWidth="1"/>
    <col min="6405" max="6408" width="7.5703125" style="4" customWidth="1"/>
    <col min="6409" max="6409" width="8.140625" style="4" customWidth="1"/>
    <col min="6410" max="6410" width="8.42578125" style="4" customWidth="1"/>
    <col min="6411" max="6411" width="9.28515625" style="4" customWidth="1"/>
    <col min="6412" max="6412" width="8.42578125" style="4" customWidth="1"/>
    <col min="6413" max="6413" width="11.28515625" style="4" customWidth="1"/>
    <col min="6414" max="6414" width="9.28515625" style="4" customWidth="1"/>
    <col min="6415" max="6652" width="9.140625" style="4"/>
    <col min="6653" max="6653" width="18.7109375" style="4" customWidth="1"/>
    <col min="6654" max="6654" width="25.140625" style="4" customWidth="1"/>
    <col min="6655" max="6657" width="7.5703125" style="4" customWidth="1"/>
    <col min="6658" max="6660" width="6.7109375" style="4" customWidth="1"/>
    <col min="6661" max="6664" width="7.5703125" style="4" customWidth="1"/>
    <col min="6665" max="6665" width="8.140625" style="4" customWidth="1"/>
    <col min="6666" max="6666" width="8.42578125" style="4" customWidth="1"/>
    <col min="6667" max="6667" width="9.28515625" style="4" customWidth="1"/>
    <col min="6668" max="6668" width="8.42578125" style="4" customWidth="1"/>
    <col min="6669" max="6669" width="11.28515625" style="4" customWidth="1"/>
    <col min="6670" max="6670" width="9.28515625" style="4" customWidth="1"/>
    <col min="6671" max="6908" width="9.140625" style="4"/>
    <col min="6909" max="6909" width="18.7109375" style="4" customWidth="1"/>
    <col min="6910" max="6910" width="25.140625" style="4" customWidth="1"/>
    <col min="6911" max="6913" width="7.5703125" style="4" customWidth="1"/>
    <col min="6914" max="6916" width="6.7109375" style="4" customWidth="1"/>
    <col min="6917" max="6920" width="7.5703125" style="4" customWidth="1"/>
    <col min="6921" max="6921" width="8.140625" style="4" customWidth="1"/>
    <col min="6922" max="6922" width="8.42578125" style="4" customWidth="1"/>
    <col min="6923" max="6923" width="9.28515625" style="4" customWidth="1"/>
    <col min="6924" max="6924" width="8.42578125" style="4" customWidth="1"/>
    <col min="6925" max="6925" width="11.28515625" style="4" customWidth="1"/>
    <col min="6926" max="6926" width="9.28515625" style="4" customWidth="1"/>
    <col min="6927" max="7164" width="9.140625" style="4"/>
    <col min="7165" max="7165" width="18.7109375" style="4" customWidth="1"/>
    <col min="7166" max="7166" width="25.140625" style="4" customWidth="1"/>
    <col min="7167" max="7169" width="7.5703125" style="4" customWidth="1"/>
    <col min="7170" max="7172" width="6.7109375" style="4" customWidth="1"/>
    <col min="7173" max="7176" width="7.5703125" style="4" customWidth="1"/>
    <col min="7177" max="7177" width="8.140625" style="4" customWidth="1"/>
    <col min="7178" max="7178" width="8.42578125" style="4" customWidth="1"/>
    <col min="7179" max="7179" width="9.28515625" style="4" customWidth="1"/>
    <col min="7180" max="7180" width="8.42578125" style="4" customWidth="1"/>
    <col min="7181" max="7181" width="11.28515625" style="4" customWidth="1"/>
    <col min="7182" max="7182" width="9.28515625" style="4" customWidth="1"/>
    <col min="7183" max="7420" width="9.140625" style="4"/>
    <col min="7421" max="7421" width="18.7109375" style="4" customWidth="1"/>
    <col min="7422" max="7422" width="25.140625" style="4" customWidth="1"/>
    <col min="7423" max="7425" width="7.5703125" style="4" customWidth="1"/>
    <col min="7426" max="7428" width="6.7109375" style="4" customWidth="1"/>
    <col min="7429" max="7432" width="7.5703125" style="4" customWidth="1"/>
    <col min="7433" max="7433" width="8.140625" style="4" customWidth="1"/>
    <col min="7434" max="7434" width="8.42578125" style="4" customWidth="1"/>
    <col min="7435" max="7435" width="9.28515625" style="4" customWidth="1"/>
    <col min="7436" max="7436" width="8.42578125" style="4" customWidth="1"/>
    <col min="7437" max="7437" width="11.28515625" style="4" customWidth="1"/>
    <col min="7438" max="7438" width="9.28515625" style="4" customWidth="1"/>
    <col min="7439" max="7676" width="9.140625" style="4"/>
    <col min="7677" max="7677" width="18.7109375" style="4" customWidth="1"/>
    <col min="7678" max="7678" width="25.140625" style="4" customWidth="1"/>
    <col min="7679" max="7681" width="7.5703125" style="4" customWidth="1"/>
    <col min="7682" max="7684" width="6.7109375" style="4" customWidth="1"/>
    <col min="7685" max="7688" width="7.5703125" style="4" customWidth="1"/>
    <col min="7689" max="7689" width="8.140625" style="4" customWidth="1"/>
    <col min="7690" max="7690" width="8.42578125" style="4" customWidth="1"/>
    <col min="7691" max="7691" width="9.28515625" style="4" customWidth="1"/>
    <col min="7692" max="7692" width="8.42578125" style="4" customWidth="1"/>
    <col min="7693" max="7693" width="11.28515625" style="4" customWidth="1"/>
    <col min="7694" max="7694" width="9.28515625" style="4" customWidth="1"/>
    <col min="7695" max="7932" width="9.140625" style="4"/>
    <col min="7933" max="7933" width="18.7109375" style="4" customWidth="1"/>
    <col min="7934" max="7934" width="25.140625" style="4" customWidth="1"/>
    <col min="7935" max="7937" width="7.5703125" style="4" customWidth="1"/>
    <col min="7938" max="7940" width="6.7109375" style="4" customWidth="1"/>
    <col min="7941" max="7944" width="7.5703125" style="4" customWidth="1"/>
    <col min="7945" max="7945" width="8.140625" style="4" customWidth="1"/>
    <col min="7946" max="7946" width="8.42578125" style="4" customWidth="1"/>
    <col min="7947" max="7947" width="9.28515625" style="4" customWidth="1"/>
    <col min="7948" max="7948" width="8.42578125" style="4" customWidth="1"/>
    <col min="7949" max="7949" width="11.28515625" style="4" customWidth="1"/>
    <col min="7950" max="7950" width="9.28515625" style="4" customWidth="1"/>
    <col min="7951" max="8188" width="9.140625" style="4"/>
    <col min="8189" max="8189" width="18.7109375" style="4" customWidth="1"/>
    <col min="8190" max="8190" width="25.140625" style="4" customWidth="1"/>
    <col min="8191" max="8193" width="7.5703125" style="4" customWidth="1"/>
    <col min="8194" max="8196" width="6.7109375" style="4" customWidth="1"/>
    <col min="8197" max="8200" width="7.5703125" style="4" customWidth="1"/>
    <col min="8201" max="8201" width="8.140625" style="4" customWidth="1"/>
    <col min="8202" max="8202" width="8.42578125" style="4" customWidth="1"/>
    <col min="8203" max="8203" width="9.28515625" style="4" customWidth="1"/>
    <col min="8204" max="8204" width="8.42578125" style="4" customWidth="1"/>
    <col min="8205" max="8205" width="11.28515625" style="4" customWidth="1"/>
    <col min="8206" max="8206" width="9.28515625" style="4" customWidth="1"/>
    <col min="8207" max="8444" width="9.140625" style="4"/>
    <col min="8445" max="8445" width="18.7109375" style="4" customWidth="1"/>
    <col min="8446" max="8446" width="25.140625" style="4" customWidth="1"/>
    <col min="8447" max="8449" width="7.5703125" style="4" customWidth="1"/>
    <col min="8450" max="8452" width="6.7109375" style="4" customWidth="1"/>
    <col min="8453" max="8456" width="7.5703125" style="4" customWidth="1"/>
    <col min="8457" max="8457" width="8.140625" style="4" customWidth="1"/>
    <col min="8458" max="8458" width="8.42578125" style="4" customWidth="1"/>
    <col min="8459" max="8459" width="9.28515625" style="4" customWidth="1"/>
    <col min="8460" max="8460" width="8.42578125" style="4" customWidth="1"/>
    <col min="8461" max="8461" width="11.28515625" style="4" customWidth="1"/>
    <col min="8462" max="8462" width="9.28515625" style="4" customWidth="1"/>
    <col min="8463" max="8700" width="9.140625" style="4"/>
    <col min="8701" max="8701" width="18.7109375" style="4" customWidth="1"/>
    <col min="8702" max="8702" width="25.140625" style="4" customWidth="1"/>
    <col min="8703" max="8705" width="7.5703125" style="4" customWidth="1"/>
    <col min="8706" max="8708" width="6.7109375" style="4" customWidth="1"/>
    <col min="8709" max="8712" width="7.5703125" style="4" customWidth="1"/>
    <col min="8713" max="8713" width="8.140625" style="4" customWidth="1"/>
    <col min="8714" max="8714" width="8.42578125" style="4" customWidth="1"/>
    <col min="8715" max="8715" width="9.28515625" style="4" customWidth="1"/>
    <col min="8716" max="8716" width="8.42578125" style="4" customWidth="1"/>
    <col min="8717" max="8717" width="11.28515625" style="4" customWidth="1"/>
    <col min="8718" max="8718" width="9.28515625" style="4" customWidth="1"/>
    <col min="8719" max="8956" width="9.140625" style="4"/>
    <col min="8957" max="8957" width="18.7109375" style="4" customWidth="1"/>
    <col min="8958" max="8958" width="25.140625" style="4" customWidth="1"/>
    <col min="8959" max="8961" width="7.5703125" style="4" customWidth="1"/>
    <col min="8962" max="8964" width="6.7109375" style="4" customWidth="1"/>
    <col min="8965" max="8968" width="7.5703125" style="4" customWidth="1"/>
    <col min="8969" max="8969" width="8.140625" style="4" customWidth="1"/>
    <col min="8970" max="8970" width="8.42578125" style="4" customWidth="1"/>
    <col min="8971" max="8971" width="9.28515625" style="4" customWidth="1"/>
    <col min="8972" max="8972" width="8.42578125" style="4" customWidth="1"/>
    <col min="8973" max="8973" width="11.28515625" style="4" customWidth="1"/>
    <col min="8974" max="8974" width="9.28515625" style="4" customWidth="1"/>
    <col min="8975" max="9212" width="9.140625" style="4"/>
    <col min="9213" max="9213" width="18.7109375" style="4" customWidth="1"/>
    <col min="9214" max="9214" width="25.140625" style="4" customWidth="1"/>
    <col min="9215" max="9217" width="7.5703125" style="4" customWidth="1"/>
    <col min="9218" max="9220" width="6.7109375" style="4" customWidth="1"/>
    <col min="9221" max="9224" width="7.5703125" style="4" customWidth="1"/>
    <col min="9225" max="9225" width="8.140625" style="4" customWidth="1"/>
    <col min="9226" max="9226" width="8.42578125" style="4" customWidth="1"/>
    <col min="9227" max="9227" width="9.28515625" style="4" customWidth="1"/>
    <col min="9228" max="9228" width="8.42578125" style="4" customWidth="1"/>
    <col min="9229" max="9229" width="11.28515625" style="4" customWidth="1"/>
    <col min="9230" max="9230" width="9.28515625" style="4" customWidth="1"/>
    <col min="9231" max="9468" width="9.140625" style="4"/>
    <col min="9469" max="9469" width="18.7109375" style="4" customWidth="1"/>
    <col min="9470" max="9470" width="25.140625" style="4" customWidth="1"/>
    <col min="9471" max="9473" width="7.5703125" style="4" customWidth="1"/>
    <col min="9474" max="9476" width="6.7109375" style="4" customWidth="1"/>
    <col min="9477" max="9480" width="7.5703125" style="4" customWidth="1"/>
    <col min="9481" max="9481" width="8.140625" style="4" customWidth="1"/>
    <col min="9482" max="9482" width="8.42578125" style="4" customWidth="1"/>
    <col min="9483" max="9483" width="9.28515625" style="4" customWidth="1"/>
    <col min="9484" max="9484" width="8.42578125" style="4" customWidth="1"/>
    <col min="9485" max="9485" width="11.28515625" style="4" customWidth="1"/>
    <col min="9486" max="9486" width="9.28515625" style="4" customWidth="1"/>
    <col min="9487" max="9724" width="9.140625" style="4"/>
    <col min="9725" max="9725" width="18.7109375" style="4" customWidth="1"/>
    <col min="9726" max="9726" width="25.140625" style="4" customWidth="1"/>
    <col min="9727" max="9729" width="7.5703125" style="4" customWidth="1"/>
    <col min="9730" max="9732" width="6.7109375" style="4" customWidth="1"/>
    <col min="9733" max="9736" width="7.5703125" style="4" customWidth="1"/>
    <col min="9737" max="9737" width="8.140625" style="4" customWidth="1"/>
    <col min="9738" max="9738" width="8.42578125" style="4" customWidth="1"/>
    <col min="9739" max="9739" width="9.28515625" style="4" customWidth="1"/>
    <col min="9740" max="9740" width="8.42578125" style="4" customWidth="1"/>
    <col min="9741" max="9741" width="11.28515625" style="4" customWidth="1"/>
    <col min="9742" max="9742" width="9.28515625" style="4" customWidth="1"/>
    <col min="9743" max="9980" width="9.140625" style="4"/>
    <col min="9981" max="9981" width="18.7109375" style="4" customWidth="1"/>
    <col min="9982" max="9982" width="25.140625" style="4" customWidth="1"/>
    <col min="9983" max="9985" width="7.5703125" style="4" customWidth="1"/>
    <col min="9986" max="9988" width="6.7109375" style="4" customWidth="1"/>
    <col min="9989" max="9992" width="7.5703125" style="4" customWidth="1"/>
    <col min="9993" max="9993" width="8.140625" style="4" customWidth="1"/>
    <col min="9994" max="9994" width="8.42578125" style="4" customWidth="1"/>
    <col min="9995" max="9995" width="9.28515625" style="4" customWidth="1"/>
    <col min="9996" max="9996" width="8.42578125" style="4" customWidth="1"/>
    <col min="9997" max="9997" width="11.28515625" style="4" customWidth="1"/>
    <col min="9998" max="9998" width="9.28515625" style="4" customWidth="1"/>
    <col min="9999" max="10236" width="9.140625" style="4"/>
    <col min="10237" max="10237" width="18.7109375" style="4" customWidth="1"/>
    <col min="10238" max="10238" width="25.140625" style="4" customWidth="1"/>
    <col min="10239" max="10241" width="7.5703125" style="4" customWidth="1"/>
    <col min="10242" max="10244" width="6.7109375" style="4" customWidth="1"/>
    <col min="10245" max="10248" width="7.5703125" style="4" customWidth="1"/>
    <col min="10249" max="10249" width="8.140625" style="4" customWidth="1"/>
    <col min="10250" max="10250" width="8.42578125" style="4" customWidth="1"/>
    <col min="10251" max="10251" width="9.28515625" style="4" customWidth="1"/>
    <col min="10252" max="10252" width="8.42578125" style="4" customWidth="1"/>
    <col min="10253" max="10253" width="11.28515625" style="4" customWidth="1"/>
    <col min="10254" max="10254" width="9.28515625" style="4" customWidth="1"/>
    <col min="10255" max="10492" width="9.140625" style="4"/>
    <col min="10493" max="10493" width="18.7109375" style="4" customWidth="1"/>
    <col min="10494" max="10494" width="25.140625" style="4" customWidth="1"/>
    <col min="10495" max="10497" width="7.5703125" style="4" customWidth="1"/>
    <col min="10498" max="10500" width="6.7109375" style="4" customWidth="1"/>
    <col min="10501" max="10504" width="7.5703125" style="4" customWidth="1"/>
    <col min="10505" max="10505" width="8.140625" style="4" customWidth="1"/>
    <col min="10506" max="10506" width="8.42578125" style="4" customWidth="1"/>
    <col min="10507" max="10507" width="9.28515625" style="4" customWidth="1"/>
    <col min="10508" max="10508" width="8.42578125" style="4" customWidth="1"/>
    <col min="10509" max="10509" width="11.28515625" style="4" customWidth="1"/>
    <col min="10510" max="10510" width="9.28515625" style="4" customWidth="1"/>
    <col min="10511" max="10748" width="9.140625" style="4"/>
    <col min="10749" max="10749" width="18.7109375" style="4" customWidth="1"/>
    <col min="10750" max="10750" width="25.140625" style="4" customWidth="1"/>
    <col min="10751" max="10753" width="7.5703125" style="4" customWidth="1"/>
    <col min="10754" max="10756" width="6.7109375" style="4" customWidth="1"/>
    <col min="10757" max="10760" width="7.5703125" style="4" customWidth="1"/>
    <col min="10761" max="10761" width="8.140625" style="4" customWidth="1"/>
    <col min="10762" max="10762" width="8.42578125" style="4" customWidth="1"/>
    <col min="10763" max="10763" width="9.28515625" style="4" customWidth="1"/>
    <col min="10764" max="10764" width="8.42578125" style="4" customWidth="1"/>
    <col min="10765" max="10765" width="11.28515625" style="4" customWidth="1"/>
    <col min="10766" max="10766" width="9.28515625" style="4" customWidth="1"/>
    <col min="10767" max="11004" width="9.140625" style="4"/>
    <col min="11005" max="11005" width="18.7109375" style="4" customWidth="1"/>
    <col min="11006" max="11006" width="25.140625" style="4" customWidth="1"/>
    <col min="11007" max="11009" width="7.5703125" style="4" customWidth="1"/>
    <col min="11010" max="11012" width="6.7109375" style="4" customWidth="1"/>
    <col min="11013" max="11016" width="7.5703125" style="4" customWidth="1"/>
    <col min="11017" max="11017" width="8.140625" style="4" customWidth="1"/>
    <col min="11018" max="11018" width="8.42578125" style="4" customWidth="1"/>
    <col min="11019" max="11019" width="9.28515625" style="4" customWidth="1"/>
    <col min="11020" max="11020" width="8.42578125" style="4" customWidth="1"/>
    <col min="11021" max="11021" width="11.28515625" style="4" customWidth="1"/>
    <col min="11022" max="11022" width="9.28515625" style="4" customWidth="1"/>
    <col min="11023" max="11260" width="9.140625" style="4"/>
    <col min="11261" max="11261" width="18.7109375" style="4" customWidth="1"/>
    <col min="11262" max="11262" width="25.140625" style="4" customWidth="1"/>
    <col min="11263" max="11265" width="7.5703125" style="4" customWidth="1"/>
    <col min="11266" max="11268" width="6.7109375" style="4" customWidth="1"/>
    <col min="11269" max="11272" width="7.5703125" style="4" customWidth="1"/>
    <col min="11273" max="11273" width="8.140625" style="4" customWidth="1"/>
    <col min="11274" max="11274" width="8.42578125" style="4" customWidth="1"/>
    <col min="11275" max="11275" width="9.28515625" style="4" customWidth="1"/>
    <col min="11276" max="11276" width="8.42578125" style="4" customWidth="1"/>
    <col min="11277" max="11277" width="11.28515625" style="4" customWidth="1"/>
    <col min="11278" max="11278" width="9.28515625" style="4" customWidth="1"/>
    <col min="11279" max="11516" width="9.140625" style="4"/>
    <col min="11517" max="11517" width="18.7109375" style="4" customWidth="1"/>
    <col min="11518" max="11518" width="25.140625" style="4" customWidth="1"/>
    <col min="11519" max="11521" width="7.5703125" style="4" customWidth="1"/>
    <col min="11522" max="11524" width="6.7109375" style="4" customWidth="1"/>
    <col min="11525" max="11528" width="7.5703125" style="4" customWidth="1"/>
    <col min="11529" max="11529" width="8.140625" style="4" customWidth="1"/>
    <col min="11530" max="11530" width="8.42578125" style="4" customWidth="1"/>
    <col min="11531" max="11531" width="9.28515625" style="4" customWidth="1"/>
    <col min="11532" max="11532" width="8.42578125" style="4" customWidth="1"/>
    <col min="11533" max="11533" width="11.28515625" style="4" customWidth="1"/>
    <col min="11534" max="11534" width="9.28515625" style="4" customWidth="1"/>
    <col min="11535" max="11772" width="9.140625" style="4"/>
    <col min="11773" max="11773" width="18.7109375" style="4" customWidth="1"/>
    <col min="11774" max="11774" width="25.140625" style="4" customWidth="1"/>
    <col min="11775" max="11777" width="7.5703125" style="4" customWidth="1"/>
    <col min="11778" max="11780" width="6.7109375" style="4" customWidth="1"/>
    <col min="11781" max="11784" width="7.5703125" style="4" customWidth="1"/>
    <col min="11785" max="11785" width="8.140625" style="4" customWidth="1"/>
    <col min="11786" max="11786" width="8.42578125" style="4" customWidth="1"/>
    <col min="11787" max="11787" width="9.28515625" style="4" customWidth="1"/>
    <col min="11788" max="11788" width="8.42578125" style="4" customWidth="1"/>
    <col min="11789" max="11789" width="11.28515625" style="4" customWidth="1"/>
    <col min="11790" max="11790" width="9.28515625" style="4" customWidth="1"/>
    <col min="11791" max="12028" width="9.140625" style="4"/>
    <col min="12029" max="12029" width="18.7109375" style="4" customWidth="1"/>
    <col min="12030" max="12030" width="25.140625" style="4" customWidth="1"/>
    <col min="12031" max="12033" width="7.5703125" style="4" customWidth="1"/>
    <col min="12034" max="12036" width="6.7109375" style="4" customWidth="1"/>
    <col min="12037" max="12040" width="7.5703125" style="4" customWidth="1"/>
    <col min="12041" max="12041" width="8.140625" style="4" customWidth="1"/>
    <col min="12042" max="12042" width="8.42578125" style="4" customWidth="1"/>
    <col min="12043" max="12043" width="9.28515625" style="4" customWidth="1"/>
    <col min="12044" max="12044" width="8.42578125" style="4" customWidth="1"/>
    <col min="12045" max="12045" width="11.28515625" style="4" customWidth="1"/>
    <col min="12046" max="12046" width="9.28515625" style="4" customWidth="1"/>
    <col min="12047" max="12284" width="9.140625" style="4"/>
    <col min="12285" max="12285" width="18.7109375" style="4" customWidth="1"/>
    <col min="12286" max="12286" width="25.140625" style="4" customWidth="1"/>
    <col min="12287" max="12289" width="7.5703125" style="4" customWidth="1"/>
    <col min="12290" max="12292" width="6.7109375" style="4" customWidth="1"/>
    <col min="12293" max="12296" width="7.5703125" style="4" customWidth="1"/>
    <col min="12297" max="12297" width="8.140625" style="4" customWidth="1"/>
    <col min="12298" max="12298" width="8.42578125" style="4" customWidth="1"/>
    <col min="12299" max="12299" width="9.28515625" style="4" customWidth="1"/>
    <col min="12300" max="12300" width="8.42578125" style="4" customWidth="1"/>
    <col min="12301" max="12301" width="11.28515625" style="4" customWidth="1"/>
    <col min="12302" max="12302" width="9.28515625" style="4" customWidth="1"/>
    <col min="12303" max="12540" width="9.140625" style="4"/>
    <col min="12541" max="12541" width="18.7109375" style="4" customWidth="1"/>
    <col min="12542" max="12542" width="25.140625" style="4" customWidth="1"/>
    <col min="12543" max="12545" width="7.5703125" style="4" customWidth="1"/>
    <col min="12546" max="12548" width="6.7109375" style="4" customWidth="1"/>
    <col min="12549" max="12552" width="7.5703125" style="4" customWidth="1"/>
    <col min="12553" max="12553" width="8.140625" style="4" customWidth="1"/>
    <col min="12554" max="12554" width="8.42578125" style="4" customWidth="1"/>
    <col min="12555" max="12555" width="9.28515625" style="4" customWidth="1"/>
    <col min="12556" max="12556" width="8.42578125" style="4" customWidth="1"/>
    <col min="12557" max="12557" width="11.28515625" style="4" customWidth="1"/>
    <col min="12558" max="12558" width="9.28515625" style="4" customWidth="1"/>
    <col min="12559" max="12796" width="9.140625" style="4"/>
    <col min="12797" max="12797" width="18.7109375" style="4" customWidth="1"/>
    <col min="12798" max="12798" width="25.140625" style="4" customWidth="1"/>
    <col min="12799" max="12801" width="7.5703125" style="4" customWidth="1"/>
    <col min="12802" max="12804" width="6.7109375" style="4" customWidth="1"/>
    <col min="12805" max="12808" width="7.5703125" style="4" customWidth="1"/>
    <col min="12809" max="12809" width="8.140625" style="4" customWidth="1"/>
    <col min="12810" max="12810" width="8.42578125" style="4" customWidth="1"/>
    <col min="12811" max="12811" width="9.28515625" style="4" customWidth="1"/>
    <col min="12812" max="12812" width="8.42578125" style="4" customWidth="1"/>
    <col min="12813" max="12813" width="11.28515625" style="4" customWidth="1"/>
    <col min="12814" max="12814" width="9.28515625" style="4" customWidth="1"/>
    <col min="12815" max="13052" width="9.140625" style="4"/>
    <col min="13053" max="13053" width="18.7109375" style="4" customWidth="1"/>
    <col min="13054" max="13054" width="25.140625" style="4" customWidth="1"/>
    <col min="13055" max="13057" width="7.5703125" style="4" customWidth="1"/>
    <col min="13058" max="13060" width="6.7109375" style="4" customWidth="1"/>
    <col min="13061" max="13064" width="7.5703125" style="4" customWidth="1"/>
    <col min="13065" max="13065" width="8.140625" style="4" customWidth="1"/>
    <col min="13066" max="13066" width="8.42578125" style="4" customWidth="1"/>
    <col min="13067" max="13067" width="9.28515625" style="4" customWidth="1"/>
    <col min="13068" max="13068" width="8.42578125" style="4" customWidth="1"/>
    <col min="13069" max="13069" width="11.28515625" style="4" customWidth="1"/>
    <col min="13070" max="13070" width="9.28515625" style="4" customWidth="1"/>
    <col min="13071" max="13308" width="9.140625" style="4"/>
    <col min="13309" max="13309" width="18.7109375" style="4" customWidth="1"/>
    <col min="13310" max="13310" width="25.140625" style="4" customWidth="1"/>
    <col min="13311" max="13313" width="7.5703125" style="4" customWidth="1"/>
    <col min="13314" max="13316" width="6.7109375" style="4" customWidth="1"/>
    <col min="13317" max="13320" width="7.5703125" style="4" customWidth="1"/>
    <col min="13321" max="13321" width="8.140625" style="4" customWidth="1"/>
    <col min="13322" max="13322" width="8.42578125" style="4" customWidth="1"/>
    <col min="13323" max="13323" width="9.28515625" style="4" customWidth="1"/>
    <col min="13324" max="13324" width="8.42578125" style="4" customWidth="1"/>
    <col min="13325" max="13325" width="11.28515625" style="4" customWidth="1"/>
    <col min="13326" max="13326" width="9.28515625" style="4" customWidth="1"/>
    <col min="13327" max="13564" width="9.140625" style="4"/>
    <col min="13565" max="13565" width="18.7109375" style="4" customWidth="1"/>
    <col min="13566" max="13566" width="25.140625" style="4" customWidth="1"/>
    <col min="13567" max="13569" width="7.5703125" style="4" customWidth="1"/>
    <col min="13570" max="13572" width="6.7109375" style="4" customWidth="1"/>
    <col min="13573" max="13576" width="7.5703125" style="4" customWidth="1"/>
    <col min="13577" max="13577" width="8.140625" style="4" customWidth="1"/>
    <col min="13578" max="13578" width="8.42578125" style="4" customWidth="1"/>
    <col min="13579" max="13579" width="9.28515625" style="4" customWidth="1"/>
    <col min="13580" max="13580" width="8.42578125" style="4" customWidth="1"/>
    <col min="13581" max="13581" width="11.28515625" style="4" customWidth="1"/>
    <col min="13582" max="13582" width="9.28515625" style="4" customWidth="1"/>
    <col min="13583" max="13820" width="9.140625" style="4"/>
    <col min="13821" max="13821" width="18.7109375" style="4" customWidth="1"/>
    <col min="13822" max="13822" width="25.140625" style="4" customWidth="1"/>
    <col min="13823" max="13825" width="7.5703125" style="4" customWidth="1"/>
    <col min="13826" max="13828" width="6.7109375" style="4" customWidth="1"/>
    <col min="13829" max="13832" width="7.5703125" style="4" customWidth="1"/>
    <col min="13833" max="13833" width="8.140625" style="4" customWidth="1"/>
    <col min="13834" max="13834" width="8.42578125" style="4" customWidth="1"/>
    <col min="13835" max="13835" width="9.28515625" style="4" customWidth="1"/>
    <col min="13836" max="13836" width="8.42578125" style="4" customWidth="1"/>
    <col min="13837" max="13837" width="11.28515625" style="4" customWidth="1"/>
    <col min="13838" max="13838" width="9.28515625" style="4" customWidth="1"/>
    <col min="13839" max="14076" width="9.140625" style="4"/>
    <col min="14077" max="14077" width="18.7109375" style="4" customWidth="1"/>
    <col min="14078" max="14078" width="25.140625" style="4" customWidth="1"/>
    <col min="14079" max="14081" width="7.5703125" style="4" customWidth="1"/>
    <col min="14082" max="14084" width="6.7109375" style="4" customWidth="1"/>
    <col min="14085" max="14088" width="7.5703125" style="4" customWidth="1"/>
    <col min="14089" max="14089" width="8.140625" style="4" customWidth="1"/>
    <col min="14090" max="14090" width="8.42578125" style="4" customWidth="1"/>
    <col min="14091" max="14091" width="9.28515625" style="4" customWidth="1"/>
    <col min="14092" max="14092" width="8.42578125" style="4" customWidth="1"/>
    <col min="14093" max="14093" width="11.28515625" style="4" customWidth="1"/>
    <col min="14094" max="14094" width="9.28515625" style="4" customWidth="1"/>
    <col min="14095" max="14332" width="9.140625" style="4"/>
    <col min="14333" max="14333" width="18.7109375" style="4" customWidth="1"/>
    <col min="14334" max="14334" width="25.140625" style="4" customWidth="1"/>
    <col min="14335" max="14337" width="7.5703125" style="4" customWidth="1"/>
    <col min="14338" max="14340" width="6.7109375" style="4" customWidth="1"/>
    <col min="14341" max="14344" width="7.5703125" style="4" customWidth="1"/>
    <col min="14345" max="14345" width="8.140625" style="4" customWidth="1"/>
    <col min="14346" max="14346" width="8.42578125" style="4" customWidth="1"/>
    <col min="14347" max="14347" width="9.28515625" style="4" customWidth="1"/>
    <col min="14348" max="14348" width="8.42578125" style="4" customWidth="1"/>
    <col min="14349" max="14349" width="11.28515625" style="4" customWidth="1"/>
    <col min="14350" max="14350" width="9.28515625" style="4" customWidth="1"/>
    <col min="14351" max="14588" width="9.140625" style="4"/>
    <col min="14589" max="14589" width="18.7109375" style="4" customWidth="1"/>
    <col min="14590" max="14590" width="25.140625" style="4" customWidth="1"/>
    <col min="14591" max="14593" width="7.5703125" style="4" customWidth="1"/>
    <col min="14594" max="14596" width="6.7109375" style="4" customWidth="1"/>
    <col min="14597" max="14600" width="7.5703125" style="4" customWidth="1"/>
    <col min="14601" max="14601" width="8.140625" style="4" customWidth="1"/>
    <col min="14602" max="14602" width="8.42578125" style="4" customWidth="1"/>
    <col min="14603" max="14603" width="9.28515625" style="4" customWidth="1"/>
    <col min="14604" max="14604" width="8.42578125" style="4" customWidth="1"/>
    <col min="14605" max="14605" width="11.28515625" style="4" customWidth="1"/>
    <col min="14606" max="14606" width="9.28515625" style="4" customWidth="1"/>
    <col min="14607" max="14844" width="9.140625" style="4"/>
    <col min="14845" max="14845" width="18.7109375" style="4" customWidth="1"/>
    <col min="14846" max="14846" width="25.140625" style="4" customWidth="1"/>
    <col min="14847" max="14849" width="7.5703125" style="4" customWidth="1"/>
    <col min="14850" max="14852" width="6.7109375" style="4" customWidth="1"/>
    <col min="14853" max="14856" width="7.5703125" style="4" customWidth="1"/>
    <col min="14857" max="14857" width="8.140625" style="4" customWidth="1"/>
    <col min="14858" max="14858" width="8.42578125" style="4" customWidth="1"/>
    <col min="14859" max="14859" width="9.28515625" style="4" customWidth="1"/>
    <col min="14860" max="14860" width="8.42578125" style="4" customWidth="1"/>
    <col min="14861" max="14861" width="11.28515625" style="4" customWidth="1"/>
    <col min="14862" max="14862" width="9.28515625" style="4" customWidth="1"/>
    <col min="14863" max="15100" width="9.140625" style="4"/>
    <col min="15101" max="15101" width="18.7109375" style="4" customWidth="1"/>
    <col min="15102" max="15102" width="25.140625" style="4" customWidth="1"/>
    <col min="15103" max="15105" width="7.5703125" style="4" customWidth="1"/>
    <col min="15106" max="15108" width="6.7109375" style="4" customWidth="1"/>
    <col min="15109" max="15112" width="7.5703125" style="4" customWidth="1"/>
    <col min="15113" max="15113" width="8.140625" style="4" customWidth="1"/>
    <col min="15114" max="15114" width="8.42578125" style="4" customWidth="1"/>
    <col min="15115" max="15115" width="9.28515625" style="4" customWidth="1"/>
    <col min="15116" max="15116" width="8.42578125" style="4" customWidth="1"/>
    <col min="15117" max="15117" width="11.28515625" style="4" customWidth="1"/>
    <col min="15118" max="15118" width="9.28515625" style="4" customWidth="1"/>
    <col min="15119" max="15356" width="9.140625" style="4"/>
    <col min="15357" max="15357" width="18.7109375" style="4" customWidth="1"/>
    <col min="15358" max="15358" width="25.140625" style="4" customWidth="1"/>
    <col min="15359" max="15361" width="7.5703125" style="4" customWidth="1"/>
    <col min="15362" max="15364" width="6.7109375" style="4" customWidth="1"/>
    <col min="15365" max="15368" width="7.5703125" style="4" customWidth="1"/>
    <col min="15369" max="15369" width="8.140625" style="4" customWidth="1"/>
    <col min="15370" max="15370" width="8.42578125" style="4" customWidth="1"/>
    <col min="15371" max="15371" width="9.28515625" style="4" customWidth="1"/>
    <col min="15372" max="15372" width="8.42578125" style="4" customWidth="1"/>
    <col min="15373" max="15373" width="11.28515625" style="4" customWidth="1"/>
    <col min="15374" max="15374" width="9.28515625" style="4" customWidth="1"/>
    <col min="15375" max="15612" width="9.140625" style="4"/>
    <col min="15613" max="15613" width="18.7109375" style="4" customWidth="1"/>
    <col min="15614" max="15614" width="25.140625" style="4" customWidth="1"/>
    <col min="15615" max="15617" width="7.5703125" style="4" customWidth="1"/>
    <col min="15618" max="15620" width="6.7109375" style="4" customWidth="1"/>
    <col min="15621" max="15624" width="7.5703125" style="4" customWidth="1"/>
    <col min="15625" max="15625" width="8.140625" style="4" customWidth="1"/>
    <col min="15626" max="15626" width="8.42578125" style="4" customWidth="1"/>
    <col min="15627" max="15627" width="9.28515625" style="4" customWidth="1"/>
    <col min="15628" max="15628" width="8.42578125" style="4" customWidth="1"/>
    <col min="15629" max="15629" width="11.28515625" style="4" customWidth="1"/>
    <col min="15630" max="15630" width="9.28515625" style="4" customWidth="1"/>
    <col min="15631" max="15868" width="9.140625" style="4"/>
    <col min="15869" max="15869" width="18.7109375" style="4" customWidth="1"/>
    <col min="15870" max="15870" width="25.140625" style="4" customWidth="1"/>
    <col min="15871" max="15873" width="7.5703125" style="4" customWidth="1"/>
    <col min="15874" max="15876" width="6.7109375" style="4" customWidth="1"/>
    <col min="15877" max="15880" width="7.5703125" style="4" customWidth="1"/>
    <col min="15881" max="15881" width="8.140625" style="4" customWidth="1"/>
    <col min="15882" max="15882" width="8.42578125" style="4" customWidth="1"/>
    <col min="15883" max="15883" width="9.28515625" style="4" customWidth="1"/>
    <col min="15884" max="15884" width="8.42578125" style="4" customWidth="1"/>
    <col min="15885" max="15885" width="11.28515625" style="4" customWidth="1"/>
    <col min="15886" max="15886" width="9.28515625" style="4" customWidth="1"/>
    <col min="15887" max="16124" width="9.140625" style="4"/>
    <col min="16125" max="16125" width="18.7109375" style="4" customWidth="1"/>
    <col min="16126" max="16126" width="25.140625" style="4" customWidth="1"/>
    <col min="16127" max="16129" width="7.5703125" style="4" customWidth="1"/>
    <col min="16130" max="16132" width="6.7109375" style="4" customWidth="1"/>
    <col min="16133" max="16136" width="7.5703125" style="4" customWidth="1"/>
    <col min="16137" max="16137" width="8.140625" style="4" customWidth="1"/>
    <col min="16138" max="16138" width="8.42578125" style="4" customWidth="1"/>
    <col min="16139" max="16139" width="9.28515625" style="4" customWidth="1"/>
    <col min="16140" max="16140" width="8.42578125" style="4" customWidth="1"/>
    <col min="16141" max="16141" width="11.28515625" style="4" customWidth="1"/>
    <col min="16142" max="16142" width="9.28515625" style="4" customWidth="1"/>
    <col min="16143" max="16384" width="9.140625" style="4"/>
  </cols>
  <sheetData>
    <row r="1" spans="1:21" s="16" customFormat="1" ht="15" customHeight="1" x14ac:dyDescent="0.2">
      <c r="A1" s="122"/>
      <c r="B1" s="131"/>
      <c r="C1" s="129"/>
      <c r="D1" s="135" t="s">
        <v>124</v>
      </c>
      <c r="E1" s="117" t="str">
        <f>'Obra '!D1</f>
        <v>Porto Cerro</v>
      </c>
      <c r="F1" s="117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30"/>
      <c r="T1" s="128"/>
      <c r="U1" s="129"/>
    </row>
    <row r="2" spans="1:21" s="67" customFormat="1" ht="15" customHeight="1" x14ac:dyDescent="0.2">
      <c r="A2" s="124"/>
      <c r="C2" s="145"/>
      <c r="D2" s="135" t="s">
        <v>100</v>
      </c>
      <c r="E2" s="117" t="str">
        <f>'Obra '!D2</f>
        <v>XPCon Empreendimentos</v>
      </c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44"/>
      <c r="T2" s="146"/>
      <c r="U2" s="145"/>
    </row>
    <row r="3" spans="1:21" s="67" customFormat="1" ht="15" customHeight="1" x14ac:dyDescent="0.2">
      <c r="A3" s="124"/>
      <c r="C3" s="145"/>
      <c r="D3" s="135" t="s">
        <v>238</v>
      </c>
      <c r="E3" s="201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44"/>
      <c r="T3" s="146"/>
      <c r="U3" s="145"/>
    </row>
    <row r="4" spans="1:21" s="67" customFormat="1" ht="15" customHeight="1" x14ac:dyDescent="0.2">
      <c r="A4" s="132"/>
      <c r="B4" s="147"/>
      <c r="C4" s="148"/>
      <c r="D4" s="135" t="s">
        <v>101</v>
      </c>
      <c r="E4" s="117" t="str">
        <f>'Obra '!D3</f>
        <v>R01 - 03/09/2025</v>
      </c>
      <c r="F4" s="117"/>
      <c r="G4" s="117"/>
      <c r="H4" s="117"/>
      <c r="I4" s="117"/>
      <c r="J4" s="117"/>
      <c r="K4" s="117"/>
      <c r="L4" s="117"/>
      <c r="M4" s="118"/>
      <c r="N4" s="118"/>
      <c r="O4" s="118"/>
      <c r="P4" s="119"/>
      <c r="Q4" s="119"/>
      <c r="R4" s="133"/>
      <c r="S4" s="144"/>
      <c r="T4" s="149"/>
      <c r="U4" s="148"/>
    </row>
    <row r="5" spans="1:21" s="17" customFormat="1" ht="22.15" customHeight="1" x14ac:dyDescent="0.2">
      <c r="A5" s="1169" t="s">
        <v>127</v>
      </c>
      <c r="B5" s="1170"/>
      <c r="C5" s="1170"/>
      <c r="D5" s="1170"/>
      <c r="E5" s="1170"/>
      <c r="F5" s="1170"/>
      <c r="G5" s="1170"/>
      <c r="H5" s="1170"/>
      <c r="I5" s="1170"/>
      <c r="J5" s="1170"/>
      <c r="K5" s="1170"/>
      <c r="L5" s="1170"/>
      <c r="M5" s="1170"/>
      <c r="N5" s="1170"/>
      <c r="O5" s="1170"/>
      <c r="P5" s="1170"/>
      <c r="Q5" s="1170"/>
      <c r="R5" s="1170"/>
      <c r="S5" s="1170"/>
      <c r="T5" s="1170"/>
      <c r="U5" s="1171"/>
    </row>
    <row r="6" spans="1:21" s="40" customFormat="1" ht="12.75" customHeight="1" x14ac:dyDescent="0.2">
      <c r="A6" s="1172" t="s">
        <v>6</v>
      </c>
      <c r="B6" s="92">
        <v>5</v>
      </c>
      <c r="C6" s="92" t="s">
        <v>239</v>
      </c>
      <c r="D6" s="92">
        <v>8</v>
      </c>
      <c r="E6" s="92">
        <v>10</v>
      </c>
      <c r="F6" s="92" t="s">
        <v>240</v>
      </c>
      <c r="G6" s="92">
        <v>16</v>
      </c>
      <c r="H6" s="92">
        <v>20</v>
      </c>
      <c r="I6" s="92">
        <v>25</v>
      </c>
      <c r="J6" s="92" t="s">
        <v>241</v>
      </c>
      <c r="K6" s="215" t="s">
        <v>749</v>
      </c>
      <c r="L6" s="215" t="s">
        <v>761</v>
      </c>
      <c r="M6" s="215" t="s">
        <v>242</v>
      </c>
      <c r="N6" s="215" t="s">
        <v>757</v>
      </c>
      <c r="O6" s="215" t="s">
        <v>760</v>
      </c>
      <c r="P6" s="92" t="s">
        <v>243</v>
      </c>
      <c r="Q6" s="92" t="s">
        <v>244</v>
      </c>
      <c r="R6" s="1174" t="s">
        <v>245</v>
      </c>
      <c r="S6" s="1175"/>
      <c r="T6" s="1174" t="s">
        <v>246</v>
      </c>
      <c r="U6" s="1175"/>
    </row>
    <row r="7" spans="1:21" s="40" customFormat="1" ht="12.75" customHeight="1" x14ac:dyDescent="0.2">
      <c r="A7" s="1173"/>
      <c r="B7" s="91" t="s">
        <v>247</v>
      </c>
      <c r="C7" s="91" t="s">
        <v>247</v>
      </c>
      <c r="D7" s="91" t="s">
        <v>247</v>
      </c>
      <c r="E7" s="91" t="s">
        <v>247</v>
      </c>
      <c r="F7" s="91" t="s">
        <v>247</v>
      </c>
      <c r="G7" s="91" t="s">
        <v>247</v>
      </c>
      <c r="H7" s="91" t="s">
        <v>247</v>
      </c>
      <c r="I7" s="91" t="s">
        <v>247</v>
      </c>
      <c r="J7" s="91" t="s">
        <v>247</v>
      </c>
      <c r="K7" s="91" t="s">
        <v>247</v>
      </c>
      <c r="L7" s="91" t="s">
        <v>247</v>
      </c>
      <c r="M7" s="91" t="s">
        <v>248</v>
      </c>
      <c r="N7" s="91" t="s">
        <v>248</v>
      </c>
      <c r="O7" s="91" t="s">
        <v>248</v>
      </c>
      <c r="P7" s="92" t="s">
        <v>249</v>
      </c>
      <c r="Q7" s="92" t="s">
        <v>249</v>
      </c>
      <c r="R7" s="92" t="s">
        <v>250</v>
      </c>
      <c r="S7" s="92" t="s">
        <v>251</v>
      </c>
      <c r="T7" s="92" t="s">
        <v>252</v>
      </c>
      <c r="U7" s="92" t="s">
        <v>253</v>
      </c>
    </row>
    <row r="8" spans="1:21" ht="12" x14ac:dyDescent="0.2">
      <c r="A8" s="168" t="s">
        <v>747</v>
      </c>
      <c r="B8" s="169">
        <f>SUM(B9:B12)</f>
        <v>554.51858000000004</v>
      </c>
      <c r="C8" s="169">
        <f t="shared" ref="C8:P8" si="0">SUM(C9:C12)</f>
        <v>1487.0274999999999</v>
      </c>
      <c r="D8" s="169">
        <f t="shared" si="0"/>
        <v>4921.1193500000008</v>
      </c>
      <c r="E8" s="169">
        <f t="shared" si="0"/>
        <v>929.40561000000002</v>
      </c>
      <c r="F8" s="169">
        <f t="shared" si="0"/>
        <v>1414.8010799999997</v>
      </c>
      <c r="G8" s="169">
        <f t="shared" si="0"/>
        <v>579.11022000000003</v>
      </c>
      <c r="H8" s="169">
        <f t="shared" si="0"/>
        <v>3736.1872799999996</v>
      </c>
      <c r="I8" s="169">
        <f t="shared" si="0"/>
        <v>0</v>
      </c>
      <c r="J8" s="169">
        <f>SUM(J9:J12)</f>
        <v>13622.169620000001</v>
      </c>
      <c r="K8" s="169">
        <f t="shared" si="0"/>
        <v>2926.08</v>
      </c>
      <c r="L8" s="169">
        <f>SUM(L9:L12)</f>
        <v>0</v>
      </c>
      <c r="M8" s="169">
        <f t="shared" si="0"/>
        <v>157.62540000000001</v>
      </c>
      <c r="N8" s="169">
        <f>SUM(N9:N12)</f>
        <v>2.3656999999999999</v>
      </c>
      <c r="O8" s="169">
        <f>SUM(O9:O12)</f>
        <v>0</v>
      </c>
      <c r="P8" s="169">
        <f t="shared" si="0"/>
        <v>598.86</v>
      </c>
      <c r="Q8" s="169"/>
      <c r="R8" s="169">
        <f>SUM(R9:R12)</f>
        <v>0</v>
      </c>
      <c r="S8" s="161"/>
      <c r="T8" s="161"/>
      <c r="U8" s="162"/>
    </row>
    <row r="9" spans="1:21" s="43" customFormat="1" ht="15" customHeight="1" x14ac:dyDescent="0.2">
      <c r="A9" s="232" t="s">
        <v>254</v>
      </c>
      <c r="B9" s="232">
        <f>(2693.65+621.64)*0.154</f>
        <v>510.55466000000001</v>
      </c>
      <c r="C9" s="232">
        <f>(1062.56+1052.94)*0.245</f>
        <v>518.29750000000001</v>
      </c>
      <c r="D9" s="232">
        <v>0</v>
      </c>
      <c r="E9" s="232">
        <v>0</v>
      </c>
      <c r="F9" s="232">
        <f>(1099.08+237.28)*0.963</f>
        <v>1286.9146799999999</v>
      </c>
      <c r="G9" s="232">
        <f>(131.58+139.32)*1.578</f>
        <v>427.48019999999997</v>
      </c>
      <c r="H9" s="232">
        <f>(908+603.68)*2.466</f>
        <v>3727.8028799999997</v>
      </c>
      <c r="I9" s="232">
        <v>0</v>
      </c>
      <c r="J9" s="232">
        <f>SUM(B9:I9)</f>
        <v>6471.0499199999995</v>
      </c>
      <c r="K9" s="232"/>
      <c r="L9" s="232"/>
      <c r="M9" s="232">
        <f>24.5967+10.1916</f>
        <v>34.7883</v>
      </c>
      <c r="N9" s="232"/>
      <c r="O9" s="232"/>
      <c r="P9" s="232">
        <f>274.82+102.08</f>
        <v>376.9</v>
      </c>
      <c r="Q9" s="232"/>
      <c r="R9" s="232">
        <v>0</v>
      </c>
      <c r="S9" s="232">
        <v>0</v>
      </c>
      <c r="T9" s="232">
        <v>0</v>
      </c>
      <c r="U9" s="232">
        <v>0</v>
      </c>
    </row>
    <row r="10" spans="1:21" s="43" customFormat="1" ht="15" customHeight="1" x14ac:dyDescent="0.2">
      <c r="A10" s="232" t="s">
        <v>255</v>
      </c>
      <c r="B10" s="232"/>
      <c r="C10" s="232"/>
      <c r="D10" s="232"/>
      <c r="E10" s="232"/>
      <c r="F10" s="232"/>
      <c r="G10" s="232"/>
      <c r="H10" s="232"/>
      <c r="I10" s="232"/>
      <c r="J10" s="232">
        <f t="shared" ref="J10:J67" si="1">SUM(B10:I10)</f>
        <v>0</v>
      </c>
      <c r="K10" s="232"/>
      <c r="L10" s="232"/>
      <c r="M10" s="232"/>
      <c r="N10" s="232"/>
      <c r="O10" s="232"/>
      <c r="P10" s="232"/>
      <c r="Q10" s="232"/>
      <c r="R10" s="232">
        <v>0</v>
      </c>
      <c r="S10" s="232">
        <v>0</v>
      </c>
      <c r="T10" s="232">
        <v>0</v>
      </c>
      <c r="U10" s="232">
        <v>0</v>
      </c>
    </row>
    <row r="11" spans="1:21" s="43" customFormat="1" ht="15" customHeight="1" x14ac:dyDescent="0.2">
      <c r="A11" s="232" t="s">
        <v>256</v>
      </c>
      <c r="B11" s="232"/>
      <c r="C11" s="232">
        <f>2368.9*0.245</f>
        <v>580.38049999999998</v>
      </c>
      <c r="D11" s="232">
        <f>10976.7*0.395</f>
        <v>4335.7965000000004</v>
      </c>
      <c r="E11" s="232">
        <f>1330.7*0.617</f>
        <v>821.04190000000006</v>
      </c>
      <c r="F11" s="232">
        <f>126*0.963</f>
        <v>121.33799999999999</v>
      </c>
      <c r="G11" s="232"/>
      <c r="H11" s="232"/>
      <c r="I11" s="232"/>
      <c r="J11" s="232">
        <f t="shared" si="1"/>
        <v>5858.5569000000005</v>
      </c>
      <c r="K11" s="232">
        <v>2926.08</v>
      </c>
      <c r="L11" s="232"/>
      <c r="M11" s="232">
        <v>102.795</v>
      </c>
      <c r="N11" s="232"/>
      <c r="O11" s="232"/>
      <c r="P11" s="232">
        <v>59.47</v>
      </c>
      <c r="Q11" s="232"/>
      <c r="R11" s="232">
        <v>0</v>
      </c>
      <c r="S11" s="232">
        <v>0</v>
      </c>
      <c r="T11" s="232">
        <v>0</v>
      </c>
      <c r="U11" s="232">
        <v>0</v>
      </c>
    </row>
    <row r="12" spans="1:21" s="43" customFormat="1" ht="15" customHeight="1" x14ac:dyDescent="0.2">
      <c r="A12" s="232" t="s">
        <v>748</v>
      </c>
      <c r="B12" s="232">
        <f>285.48*0.154</f>
        <v>43.963920000000002</v>
      </c>
      <c r="C12" s="232">
        <f>(1155.06+430.04)*0.245</f>
        <v>388.34949999999998</v>
      </c>
      <c r="D12" s="232">
        <f>1481.83*0.395</f>
        <v>585.32285000000002</v>
      </c>
      <c r="E12" s="232">
        <f>175.63*0.617</f>
        <v>108.36371</v>
      </c>
      <c r="F12" s="232">
        <f>6.8*0.963</f>
        <v>6.5484</v>
      </c>
      <c r="G12" s="232">
        <f>96.09*1.578</f>
        <v>151.63002</v>
      </c>
      <c r="H12" s="232">
        <f>3.4*2.466</f>
        <v>8.3844000000000012</v>
      </c>
      <c r="I12" s="232"/>
      <c r="J12" s="232">
        <f t="shared" si="1"/>
        <v>1292.5627999999999</v>
      </c>
      <c r="K12" s="232"/>
      <c r="L12" s="232"/>
      <c r="M12" s="232">
        <f>20.0421</f>
        <v>20.042100000000001</v>
      </c>
      <c r="N12" s="232">
        <v>2.3656999999999999</v>
      </c>
      <c r="O12" s="232"/>
      <c r="P12" s="232">
        <f>143.87+18.62</f>
        <v>162.49</v>
      </c>
      <c r="Q12" s="232"/>
      <c r="R12" s="232"/>
      <c r="S12" s="232"/>
      <c r="T12" s="232">
        <v>0</v>
      </c>
      <c r="U12" s="232">
        <v>0</v>
      </c>
    </row>
    <row r="13" spans="1:21" s="43" customFormat="1" ht="15" customHeight="1" x14ac:dyDescent="0.2">
      <c r="A13" s="168" t="s">
        <v>750</v>
      </c>
      <c r="B13" s="169">
        <f t="shared" ref="B13:P13" si="2">SUM(B14:B17)</f>
        <v>696.95626000000004</v>
      </c>
      <c r="C13" s="169">
        <f t="shared" si="2"/>
        <v>1841.5498499999999</v>
      </c>
      <c r="D13" s="169">
        <f t="shared" si="2"/>
        <v>4351.61625</v>
      </c>
      <c r="E13" s="169">
        <f t="shared" si="2"/>
        <v>2627.6364100000001</v>
      </c>
      <c r="F13" s="169">
        <f t="shared" si="2"/>
        <v>2976.18039</v>
      </c>
      <c r="G13" s="169">
        <f t="shared" si="2"/>
        <v>1830.7324799999999</v>
      </c>
      <c r="H13" s="169">
        <f t="shared" si="2"/>
        <v>3450.3532200000004</v>
      </c>
      <c r="I13" s="169">
        <f t="shared" si="2"/>
        <v>0</v>
      </c>
      <c r="J13" s="169">
        <f t="shared" si="2"/>
        <v>17775.024859999998</v>
      </c>
      <c r="K13" s="169">
        <f t="shared" si="2"/>
        <v>0</v>
      </c>
      <c r="L13" s="169">
        <f>SUM(L14:L17)</f>
        <v>0</v>
      </c>
      <c r="M13" s="169">
        <f t="shared" si="2"/>
        <v>186.18349999999998</v>
      </c>
      <c r="N13" s="169">
        <f>SUM(N14:N17)</f>
        <v>2.2562000000000002</v>
      </c>
      <c r="O13" s="169">
        <f>SUM(O14:O17)</f>
        <v>0</v>
      </c>
      <c r="P13" s="169">
        <f t="shared" si="2"/>
        <v>1604.19</v>
      </c>
      <c r="Q13" s="169"/>
      <c r="R13" s="169">
        <f>SUM(R14:R17)</f>
        <v>0</v>
      </c>
      <c r="S13" s="161"/>
      <c r="T13" s="161"/>
      <c r="U13" s="162"/>
    </row>
    <row r="14" spans="1:21" s="43" customFormat="1" ht="15" customHeight="1" x14ac:dyDescent="0.2">
      <c r="A14" s="232" t="s">
        <v>254</v>
      </c>
      <c r="B14" s="232">
        <f>(2515.16+497.4)*0.154</f>
        <v>463.93423999999999</v>
      </c>
      <c r="C14" s="232">
        <f>(872.32+878)*0.245</f>
        <v>428.82840000000004</v>
      </c>
      <c r="D14" s="232"/>
      <c r="E14" s="232"/>
      <c r="F14" s="232">
        <f>(1031.94+280.8)*0.963</f>
        <v>1264.1686199999999</v>
      </c>
      <c r="G14" s="232">
        <f>(254.88+71.2)*1.578</f>
        <v>514.55424000000005</v>
      </c>
      <c r="H14" s="232">
        <f>(663.44+477.04)*2.466</f>
        <v>2812.4236800000003</v>
      </c>
      <c r="I14" s="232"/>
      <c r="J14" s="232">
        <f t="shared" si="1"/>
        <v>5483.9091800000006</v>
      </c>
      <c r="K14" s="232"/>
      <c r="L14" s="232"/>
      <c r="M14" s="232">
        <f>22.1869+8.1089</f>
        <v>30.2958</v>
      </c>
      <c r="N14" s="232"/>
      <c r="O14" s="232"/>
      <c r="P14" s="232">
        <f>248.7+86.83</f>
        <v>335.53</v>
      </c>
      <c r="Q14" s="232"/>
      <c r="R14" s="232">
        <v>0</v>
      </c>
      <c r="S14" s="232">
        <v>0</v>
      </c>
      <c r="T14" s="232">
        <v>0</v>
      </c>
      <c r="U14" s="232">
        <v>0</v>
      </c>
    </row>
    <row r="15" spans="1:21" s="43" customFormat="1" ht="15" customHeight="1" x14ac:dyDescent="0.2">
      <c r="A15" s="232" t="s">
        <v>255</v>
      </c>
      <c r="B15" s="232">
        <f>(431.61+518.32+390.04)*0.154</f>
        <v>206.35538</v>
      </c>
      <c r="C15" s="232">
        <f>(775.49+1389.93+694.3)*0.245</f>
        <v>700.6314000000001</v>
      </c>
      <c r="D15" s="232">
        <f>(4.26+39.38+7.34)*0.395</f>
        <v>20.137100000000004</v>
      </c>
      <c r="E15" s="232">
        <f>(224.67+200.88+223.94)*0.617</f>
        <v>400.73532999999998</v>
      </c>
      <c r="F15" s="232">
        <f>(117.98+207.5+225.41)*0.963</f>
        <v>530.50707</v>
      </c>
      <c r="G15" s="232">
        <f>(238.37+407.7+141.03)*1.578</f>
        <v>1242.0437999999999</v>
      </c>
      <c r="H15" s="232">
        <f>(78.78+102.43+74.08)*2.466</f>
        <v>629.54514000000006</v>
      </c>
      <c r="I15" s="232"/>
      <c r="J15" s="232">
        <f t="shared" si="1"/>
        <v>3729.9552200000003</v>
      </c>
      <c r="K15" s="232"/>
      <c r="L15" s="232"/>
      <c r="M15" s="232">
        <f>11.9033+16.3847+11.1541</f>
        <v>39.442099999999996</v>
      </c>
      <c r="N15" s="232"/>
      <c r="O15" s="232"/>
      <c r="P15" s="232">
        <f>141.21+187.07+136.08</f>
        <v>464.36</v>
      </c>
      <c r="Q15" s="232"/>
      <c r="R15" s="232">
        <v>0</v>
      </c>
      <c r="S15" s="232">
        <v>0</v>
      </c>
      <c r="T15" s="232">
        <v>0</v>
      </c>
      <c r="U15" s="232">
        <v>0</v>
      </c>
    </row>
    <row r="16" spans="1:21" s="43" customFormat="1" ht="15" customHeight="1" x14ac:dyDescent="0.2">
      <c r="A16" s="232" t="s">
        <v>256</v>
      </c>
      <c r="B16" s="232"/>
      <c r="C16" s="232">
        <f>1573.6*0.245</f>
        <v>385.53199999999998</v>
      </c>
      <c r="D16" s="232">
        <f>9653.8*0.395</f>
        <v>3813.2509999999997</v>
      </c>
      <c r="E16" s="232">
        <f>3546.3*0.617</f>
        <v>2188.0671000000002</v>
      </c>
      <c r="F16" s="232">
        <f>1201.8*0.963</f>
        <v>1157.3334</v>
      </c>
      <c r="G16" s="232"/>
      <c r="H16" s="232"/>
      <c r="I16" s="232"/>
      <c r="J16" s="232">
        <f t="shared" si="1"/>
        <v>7544.1834999999992</v>
      </c>
      <c r="K16" s="232"/>
      <c r="L16" s="232"/>
      <c r="M16" s="232">
        <v>96.403499999999994</v>
      </c>
      <c r="N16" s="232"/>
      <c r="O16" s="232"/>
      <c r="P16" s="232">
        <v>642.69000000000005</v>
      </c>
      <c r="Q16" s="232"/>
      <c r="R16" s="232">
        <v>0</v>
      </c>
      <c r="S16" s="232">
        <v>0</v>
      </c>
      <c r="T16" s="232"/>
      <c r="U16" s="232"/>
    </row>
    <row r="17" spans="1:21" s="43" customFormat="1" ht="15" customHeight="1" x14ac:dyDescent="0.2">
      <c r="A17" s="232" t="s">
        <v>748</v>
      </c>
      <c r="B17" s="232">
        <f>173.16*0.154</f>
        <v>26.666639999999997</v>
      </c>
      <c r="C17" s="232">
        <f>(416.01+916.88)*0.245</f>
        <v>326.55804999999998</v>
      </c>
      <c r="D17" s="232">
        <f>1311.97*0.395</f>
        <v>518.22815000000003</v>
      </c>
      <c r="E17" s="232">
        <f>62.94*0.617</f>
        <v>38.833979999999997</v>
      </c>
      <c r="F17" s="232">
        <f>25.1*0.963</f>
        <v>24.171300000000002</v>
      </c>
      <c r="G17" s="232">
        <f>46.98*1.578</f>
        <v>74.134439999999998</v>
      </c>
      <c r="H17" s="232">
        <f>3.4*2.466</f>
        <v>8.3844000000000012</v>
      </c>
      <c r="I17" s="232"/>
      <c r="J17" s="232">
        <f t="shared" si="1"/>
        <v>1016.97696</v>
      </c>
      <c r="K17" s="232"/>
      <c r="L17" s="232"/>
      <c r="M17" s="232">
        <v>20.042100000000001</v>
      </c>
      <c r="N17" s="232">
        <f>2.2562</f>
        <v>2.2562000000000002</v>
      </c>
      <c r="O17" s="232"/>
      <c r="P17" s="232">
        <f>17.74+143.87</f>
        <v>161.61000000000001</v>
      </c>
      <c r="Q17" s="232"/>
      <c r="R17" s="232"/>
      <c r="S17" s="232"/>
      <c r="T17" s="232">
        <v>0</v>
      </c>
      <c r="U17" s="232">
        <v>0</v>
      </c>
    </row>
    <row r="18" spans="1:21" s="43" customFormat="1" ht="15" customHeight="1" x14ac:dyDescent="0.2">
      <c r="A18" s="168" t="s">
        <v>751</v>
      </c>
      <c r="B18" s="169">
        <f t="shared" ref="B18:P18" si="3">SUM(B19:B22)</f>
        <v>705.85745999999995</v>
      </c>
      <c r="C18" s="169">
        <f t="shared" si="3"/>
        <v>1826.01685</v>
      </c>
      <c r="D18" s="169">
        <f t="shared" si="3"/>
        <v>4351.61625</v>
      </c>
      <c r="E18" s="169">
        <f t="shared" si="3"/>
        <v>1181.0799099999999</v>
      </c>
      <c r="F18" s="169">
        <f t="shared" si="3"/>
        <v>1818.84699</v>
      </c>
      <c r="G18" s="169">
        <f t="shared" si="3"/>
        <v>2084.4748799999998</v>
      </c>
      <c r="H18" s="169">
        <f t="shared" si="3"/>
        <v>2871.1391400000002</v>
      </c>
      <c r="I18" s="169">
        <f t="shared" si="3"/>
        <v>0</v>
      </c>
      <c r="J18" s="169">
        <f t="shared" si="3"/>
        <v>14839.03148</v>
      </c>
      <c r="K18" s="169">
        <f t="shared" si="3"/>
        <v>0</v>
      </c>
      <c r="L18" s="169">
        <f>SUM(L19:L22)</f>
        <v>0</v>
      </c>
      <c r="M18" s="169">
        <f t="shared" si="3"/>
        <v>186.1832</v>
      </c>
      <c r="N18" s="169">
        <f>SUM(N19:N22)</f>
        <v>2.2562000000000002</v>
      </c>
      <c r="O18" s="169">
        <f>SUM(O19:O22)</f>
        <v>0</v>
      </c>
      <c r="P18" s="169">
        <f t="shared" si="3"/>
        <v>1698.57</v>
      </c>
      <c r="Q18" s="169"/>
      <c r="R18" s="169">
        <f>SUM(R19:R22)</f>
        <v>0</v>
      </c>
      <c r="S18" s="161"/>
      <c r="T18" s="161"/>
      <c r="U18" s="162"/>
    </row>
    <row r="19" spans="1:21" s="43" customFormat="1" ht="15" customHeight="1" x14ac:dyDescent="0.2">
      <c r="A19" s="232" t="s">
        <v>254</v>
      </c>
      <c r="B19" s="232">
        <f>(2480.16+590.2)*0.154</f>
        <v>472.83543999999995</v>
      </c>
      <c r="C19" s="232">
        <f>(865.32+823.6)*0.245</f>
        <v>413.78540000000004</v>
      </c>
      <c r="D19" s="232">
        <v>0</v>
      </c>
      <c r="E19" s="232">
        <v>0</v>
      </c>
      <c r="F19" s="232">
        <f>(1031.94+280.8)*0.963</f>
        <v>1264.1686199999999</v>
      </c>
      <c r="G19" s="232">
        <f>(316.08+170.8)*1.578</f>
        <v>768.29664000000002</v>
      </c>
      <c r="H19" s="232">
        <f>(536.8+368.8)*2.466</f>
        <v>2233.2096000000001</v>
      </c>
      <c r="I19" s="232"/>
      <c r="J19" s="232">
        <f t="shared" si="1"/>
        <v>5152.2957000000006</v>
      </c>
      <c r="K19" s="232"/>
      <c r="L19" s="232"/>
      <c r="M19" s="232">
        <f>22.1869+8.1089</f>
        <v>30.2958</v>
      </c>
      <c r="N19" s="232"/>
      <c r="O19" s="232"/>
      <c r="P19" s="232">
        <f>248.7+86.83</f>
        <v>335.53</v>
      </c>
      <c r="Q19" s="232"/>
      <c r="R19" s="232">
        <v>0</v>
      </c>
      <c r="S19" s="232">
        <v>0</v>
      </c>
      <c r="T19" s="232">
        <v>0</v>
      </c>
      <c r="U19" s="232">
        <v>0</v>
      </c>
    </row>
    <row r="20" spans="1:21" s="43" customFormat="1" ht="15" customHeight="1" x14ac:dyDescent="0.2">
      <c r="A20" s="232" t="s">
        <v>255</v>
      </c>
      <c r="B20" s="232">
        <f>(431.61+518.32+390.04)*0.154</f>
        <v>206.35538</v>
      </c>
      <c r="C20" s="232">
        <f>(775.49+1387.93+694.3)*0.245</f>
        <v>700.14140000000009</v>
      </c>
      <c r="D20" s="232">
        <f>(4.26+39.38+7.34)*0.395</f>
        <v>20.137100000000004</v>
      </c>
      <c r="E20" s="232">
        <f>(224.67+200.88+223.94)*0.617</f>
        <v>400.73532999999998</v>
      </c>
      <c r="F20" s="232">
        <f>(117.98+207.5+225.41)*0.963</f>
        <v>530.50707</v>
      </c>
      <c r="G20" s="232">
        <f>(238.37+407.7+141.03)*1.578</f>
        <v>1242.0437999999999</v>
      </c>
      <c r="H20" s="232">
        <f>(78.78+102.43+74.08)*2.466</f>
        <v>629.54514000000006</v>
      </c>
      <c r="I20" s="232"/>
      <c r="J20" s="232">
        <f t="shared" si="1"/>
        <v>3729.46522</v>
      </c>
      <c r="K20" s="232"/>
      <c r="L20" s="232"/>
      <c r="M20" s="232">
        <f>11.903+16.3847+11.1541</f>
        <v>39.441800000000001</v>
      </c>
      <c r="N20" s="232"/>
      <c r="O20" s="232"/>
      <c r="P20" s="232">
        <f>141.21+187.07+136.08</f>
        <v>464.36</v>
      </c>
      <c r="Q20" s="232"/>
      <c r="R20" s="232">
        <v>0</v>
      </c>
      <c r="S20" s="232">
        <v>0</v>
      </c>
      <c r="T20" s="232">
        <v>0</v>
      </c>
      <c r="U20" s="232">
        <v>0</v>
      </c>
    </row>
    <row r="21" spans="1:21" s="43" customFormat="1" ht="15" customHeight="1" x14ac:dyDescent="0.2">
      <c r="A21" s="232" t="s">
        <v>256</v>
      </c>
      <c r="B21" s="232">
        <v>0</v>
      </c>
      <c r="C21" s="232">
        <f>1573.6*0.245</f>
        <v>385.53199999999998</v>
      </c>
      <c r="D21" s="232">
        <f>9653.8*0.395</f>
        <v>3813.2509999999997</v>
      </c>
      <c r="E21" s="232">
        <f>1201.8*0.617</f>
        <v>741.51059999999995</v>
      </c>
      <c r="F21" s="232">
        <v>0</v>
      </c>
      <c r="G21" s="232">
        <v>0</v>
      </c>
      <c r="H21" s="232">
        <v>0</v>
      </c>
      <c r="I21" s="232"/>
      <c r="J21" s="232">
        <f t="shared" si="1"/>
        <v>4940.2935999999991</v>
      </c>
      <c r="K21" s="232"/>
      <c r="L21" s="232"/>
      <c r="M21" s="232">
        <v>96.403499999999994</v>
      </c>
      <c r="N21" s="232"/>
      <c r="O21" s="232"/>
      <c r="P21" s="232">
        <v>642.69000000000005</v>
      </c>
      <c r="Q21" s="232"/>
      <c r="R21" s="232">
        <v>0</v>
      </c>
      <c r="S21" s="232">
        <v>0</v>
      </c>
      <c r="T21" s="232"/>
      <c r="U21" s="232"/>
    </row>
    <row r="22" spans="1:21" s="43" customFormat="1" ht="15" customHeight="1" x14ac:dyDescent="0.2">
      <c r="A22" s="232" t="s">
        <v>748</v>
      </c>
      <c r="B22" s="232">
        <f>173.16*0.154</f>
        <v>26.666639999999997</v>
      </c>
      <c r="C22" s="232">
        <f>(416.01+916.88)*0.245</f>
        <v>326.55804999999998</v>
      </c>
      <c r="D22" s="232">
        <f>1311.97*0.395</f>
        <v>518.22815000000003</v>
      </c>
      <c r="E22" s="232">
        <f>62.94*0.617</f>
        <v>38.833979999999997</v>
      </c>
      <c r="F22" s="232">
        <f>25.1*0.963</f>
        <v>24.171300000000002</v>
      </c>
      <c r="G22" s="232">
        <f>46.98*1.578</f>
        <v>74.134439999999998</v>
      </c>
      <c r="H22" s="232">
        <f>3.4*2.466</f>
        <v>8.3844000000000012</v>
      </c>
      <c r="I22" s="232"/>
      <c r="J22" s="232">
        <f t="shared" si="1"/>
        <v>1016.97696</v>
      </c>
      <c r="K22" s="232"/>
      <c r="L22" s="232"/>
      <c r="M22" s="232">
        <v>20.042100000000001</v>
      </c>
      <c r="N22" s="232">
        <f>2.2562</f>
        <v>2.2562000000000002</v>
      </c>
      <c r="O22" s="232"/>
      <c r="P22" s="232">
        <f>112.12+143.87</f>
        <v>255.99</v>
      </c>
      <c r="Q22" s="232"/>
      <c r="R22" s="232">
        <v>0</v>
      </c>
      <c r="S22" s="232">
        <v>0</v>
      </c>
      <c r="T22" s="232">
        <v>0</v>
      </c>
      <c r="U22" s="232">
        <v>0</v>
      </c>
    </row>
    <row r="23" spans="1:21" s="43" customFormat="1" ht="15" customHeight="1" x14ac:dyDescent="0.2">
      <c r="A23" s="168" t="s">
        <v>752</v>
      </c>
      <c r="B23" s="169">
        <f t="shared" ref="B23:P23" si="4">SUM(B24:B27)</f>
        <v>742.92834000000005</v>
      </c>
      <c r="C23" s="169">
        <f t="shared" si="4"/>
        <v>1852.2783999999999</v>
      </c>
      <c r="D23" s="169">
        <f t="shared" si="4"/>
        <v>4351.61625</v>
      </c>
      <c r="E23" s="169">
        <f t="shared" si="4"/>
        <v>2627.6364100000001</v>
      </c>
      <c r="F23" s="169">
        <f t="shared" si="4"/>
        <v>3196.8614699999998</v>
      </c>
      <c r="G23" s="169">
        <f t="shared" si="4"/>
        <v>1818.6134399999999</v>
      </c>
      <c r="H23" s="169">
        <f t="shared" si="4"/>
        <v>2934.2934000000005</v>
      </c>
      <c r="I23" s="169">
        <f t="shared" si="4"/>
        <v>0</v>
      </c>
      <c r="J23" s="169">
        <f t="shared" si="4"/>
        <v>17524.227709999999</v>
      </c>
      <c r="K23" s="169">
        <f t="shared" si="4"/>
        <v>0</v>
      </c>
      <c r="L23" s="169">
        <f>SUM(L24:L27)</f>
        <v>0</v>
      </c>
      <c r="M23" s="169">
        <f t="shared" si="4"/>
        <v>189.3939</v>
      </c>
      <c r="N23" s="169">
        <f>SUM(N24:N27)</f>
        <v>2.35</v>
      </c>
      <c r="O23" s="169">
        <f>SUM(O24:O27)</f>
        <v>0</v>
      </c>
      <c r="P23" s="169">
        <f t="shared" si="4"/>
        <v>1631.99</v>
      </c>
      <c r="Q23" s="169"/>
      <c r="R23" s="169">
        <f>SUM(R24:R27)</f>
        <v>0</v>
      </c>
      <c r="S23" s="161"/>
      <c r="T23" s="161"/>
      <c r="U23" s="162"/>
    </row>
    <row r="24" spans="1:21" s="43" customFormat="1" ht="15" customHeight="1" x14ac:dyDescent="0.2">
      <c r="A24" s="232" t="s">
        <v>254</v>
      </c>
      <c r="B24" s="232">
        <f>(2670+641.08)*0.154</f>
        <v>509.90631999999999</v>
      </c>
      <c r="C24" s="232">
        <f>(951.24+832.16)*0.245</f>
        <v>436.93299999999999</v>
      </c>
      <c r="D24" s="232">
        <v>0</v>
      </c>
      <c r="E24" s="232">
        <v>0</v>
      </c>
      <c r="F24" s="232">
        <f>(1163.34+378.56)*0.963</f>
        <v>1484.8496999999998</v>
      </c>
      <c r="G24" s="232">
        <f>(247.2+71.2)*1.578</f>
        <v>502.43520000000001</v>
      </c>
      <c r="H24" s="232">
        <f>(549.36+381.84)*2.466</f>
        <v>2296.3392000000003</v>
      </c>
      <c r="I24" s="232"/>
      <c r="J24" s="232">
        <f t="shared" si="1"/>
        <v>5230.46342</v>
      </c>
      <c r="K24" s="232"/>
      <c r="L24" s="232"/>
      <c r="M24" s="232">
        <f>23.88+9.6265</f>
        <v>33.506500000000003</v>
      </c>
      <c r="N24" s="232"/>
      <c r="O24" s="232"/>
      <c r="P24" s="232">
        <f>268.52+94.03</f>
        <v>362.54999999999995</v>
      </c>
      <c r="Q24" s="232"/>
      <c r="R24" s="232"/>
      <c r="S24" s="232">
        <v>0</v>
      </c>
      <c r="T24" s="232">
        <v>0</v>
      </c>
      <c r="U24" s="232">
        <v>0</v>
      </c>
    </row>
    <row r="25" spans="1:21" s="43" customFormat="1" ht="15" customHeight="1" x14ac:dyDescent="0.2">
      <c r="A25" s="232" t="s">
        <v>255</v>
      </c>
      <c r="B25" s="232">
        <f>(431.61+518.32+390.04)*0.154</f>
        <v>206.35538</v>
      </c>
      <c r="C25" s="232">
        <f>(775.49+1387.93+694.3)*0.245</f>
        <v>700.14140000000009</v>
      </c>
      <c r="D25" s="232">
        <f>(4.26+39.38+7.34)*0.395</f>
        <v>20.137100000000004</v>
      </c>
      <c r="E25" s="232">
        <f>(224.67+200.88+223.94)*0.617</f>
        <v>400.73532999999998</v>
      </c>
      <c r="F25" s="232">
        <f>(117.98+207.5+225.41)*0.963</f>
        <v>530.50707</v>
      </c>
      <c r="G25" s="232">
        <f>(238.37+407.7+141.03)*1.578</f>
        <v>1242.0437999999999</v>
      </c>
      <c r="H25" s="232">
        <f>(78.78+102.43+74.08)*2.466</f>
        <v>629.54514000000006</v>
      </c>
      <c r="I25" s="232"/>
      <c r="J25" s="232">
        <f t="shared" si="1"/>
        <v>3729.46522</v>
      </c>
      <c r="K25" s="232"/>
      <c r="L25" s="232"/>
      <c r="M25" s="232">
        <f>(11.903+16.3847+11.1541)</f>
        <v>39.441800000000001</v>
      </c>
      <c r="N25" s="232"/>
      <c r="O25" s="232"/>
      <c r="P25" s="232">
        <f>(141.21+187.07+136.08)</f>
        <v>464.36</v>
      </c>
      <c r="Q25" s="232"/>
      <c r="R25" s="232"/>
      <c r="S25" s="232">
        <v>0</v>
      </c>
      <c r="T25" s="232">
        <v>0</v>
      </c>
      <c r="U25" s="232">
        <v>0</v>
      </c>
    </row>
    <row r="26" spans="1:21" s="43" customFormat="1" ht="15" customHeight="1" x14ac:dyDescent="0.2">
      <c r="A26" s="232" t="s">
        <v>256</v>
      </c>
      <c r="B26" s="232"/>
      <c r="C26" s="232">
        <f>1573.6*0.245</f>
        <v>385.53199999999998</v>
      </c>
      <c r="D26" s="232">
        <f>9653.8*0.395</f>
        <v>3813.2509999999997</v>
      </c>
      <c r="E26" s="232">
        <f>3546.3*0.617</f>
        <v>2188.0671000000002</v>
      </c>
      <c r="F26" s="232">
        <f>1201.8*0.963</f>
        <v>1157.3334</v>
      </c>
      <c r="G26" s="232">
        <v>0</v>
      </c>
      <c r="H26" s="232">
        <v>0</v>
      </c>
      <c r="I26" s="232"/>
      <c r="J26" s="232">
        <f t="shared" si="1"/>
        <v>7544.1834999999992</v>
      </c>
      <c r="K26" s="232"/>
      <c r="L26" s="232"/>
      <c r="M26" s="232">
        <v>96.403499999999994</v>
      </c>
      <c r="N26" s="232"/>
      <c r="O26" s="232"/>
      <c r="P26" s="232">
        <f>642.69</f>
        <v>642.69000000000005</v>
      </c>
      <c r="Q26" s="232"/>
      <c r="R26" s="232"/>
      <c r="S26" s="232">
        <v>0</v>
      </c>
      <c r="T26" s="232">
        <v>0</v>
      </c>
      <c r="U26" s="232">
        <v>0</v>
      </c>
    </row>
    <row r="27" spans="1:21" s="43" customFormat="1" ht="15" customHeight="1" thickBot="1" x14ac:dyDescent="0.25">
      <c r="A27" s="232" t="s">
        <v>748</v>
      </c>
      <c r="B27" s="232">
        <f>173.16*0.154</f>
        <v>26.666639999999997</v>
      </c>
      <c r="C27" s="232">
        <f>(428.72+916.88)*0.245</f>
        <v>329.67199999999997</v>
      </c>
      <c r="D27" s="232">
        <f>1311.97*0.395</f>
        <v>518.22815000000003</v>
      </c>
      <c r="E27" s="232">
        <f>62.94*0.617</f>
        <v>38.833979999999997</v>
      </c>
      <c r="F27" s="232">
        <f>25.1*0.963</f>
        <v>24.171300000000002</v>
      </c>
      <c r="G27" s="232">
        <f>46.98*1.578</f>
        <v>74.134439999999998</v>
      </c>
      <c r="H27" s="232">
        <f>3.41*2.466</f>
        <v>8.4090600000000002</v>
      </c>
      <c r="I27" s="232"/>
      <c r="J27" s="232">
        <f t="shared" si="1"/>
        <v>1020.1155699999999</v>
      </c>
      <c r="K27" s="232"/>
      <c r="L27" s="232"/>
      <c r="M27" s="232">
        <f>20.0421</f>
        <v>20.042100000000001</v>
      </c>
      <c r="N27" s="232">
        <f>2.35</f>
        <v>2.35</v>
      </c>
      <c r="O27" s="232"/>
      <c r="P27" s="232">
        <f>18.52+143.87</f>
        <v>162.39000000000001</v>
      </c>
      <c r="Q27" s="232"/>
      <c r="R27" s="232"/>
      <c r="S27" s="232">
        <v>0</v>
      </c>
      <c r="T27" s="232">
        <v>0</v>
      </c>
      <c r="U27" s="232">
        <v>0</v>
      </c>
    </row>
    <row r="28" spans="1:21" ht="13.5" thickTop="1" thickBot="1" x14ac:dyDescent="0.25">
      <c r="A28" s="38" t="s">
        <v>831</v>
      </c>
      <c r="B28" s="60">
        <f>SUM(B13:B27)/2</f>
        <v>2145.74206</v>
      </c>
      <c r="C28" s="60">
        <f t="shared" ref="C28:U28" si="5">SUM(C13:C27)/2</f>
        <v>5519.8450999999995</v>
      </c>
      <c r="D28" s="60">
        <f t="shared" si="5"/>
        <v>13054.848749999999</v>
      </c>
      <c r="E28" s="60">
        <f t="shared" si="5"/>
        <v>6436.3527299999996</v>
      </c>
      <c r="F28" s="60">
        <f t="shared" si="5"/>
        <v>7991.8888499999985</v>
      </c>
      <c r="G28" s="60">
        <f t="shared" si="5"/>
        <v>5733.8207999999986</v>
      </c>
      <c r="H28" s="60">
        <f t="shared" si="5"/>
        <v>9255.7857600000025</v>
      </c>
      <c r="I28" s="60">
        <f t="shared" si="5"/>
        <v>0</v>
      </c>
      <c r="J28" s="60">
        <f t="shared" si="5"/>
        <v>50138.284049999995</v>
      </c>
      <c r="K28" s="60">
        <f t="shared" si="5"/>
        <v>0</v>
      </c>
      <c r="L28" s="60">
        <f t="shared" si="5"/>
        <v>0</v>
      </c>
      <c r="M28" s="60">
        <f t="shared" si="5"/>
        <v>561.76059999999984</v>
      </c>
      <c r="N28" s="60">
        <f t="shared" si="5"/>
        <v>6.8624000000000001</v>
      </c>
      <c r="O28" s="60">
        <f t="shared" si="5"/>
        <v>0</v>
      </c>
      <c r="P28" s="60">
        <f>SUM(P13:P27)/2</f>
        <v>4934.7499999999991</v>
      </c>
      <c r="Q28" s="60">
        <f t="shared" si="5"/>
        <v>0</v>
      </c>
      <c r="R28" s="60">
        <f t="shared" si="5"/>
        <v>0</v>
      </c>
      <c r="S28" s="60">
        <f t="shared" si="5"/>
        <v>0</v>
      </c>
      <c r="T28" s="60">
        <f t="shared" si="5"/>
        <v>0</v>
      </c>
      <c r="U28" s="60">
        <f t="shared" si="5"/>
        <v>0</v>
      </c>
    </row>
    <row r="29" spans="1:21" s="43" customFormat="1" ht="15" customHeight="1" thickTop="1" x14ac:dyDescent="0.2">
      <c r="A29" s="168" t="s">
        <v>753</v>
      </c>
      <c r="B29" s="169">
        <f t="shared" ref="B29:P29" si="6">SUM(B30:B33)</f>
        <v>1036.2228799999998</v>
      </c>
      <c r="C29" s="169">
        <f t="shared" si="6"/>
        <v>1442.6261500000001</v>
      </c>
      <c r="D29" s="169">
        <f t="shared" si="6"/>
        <v>4650.6075499999997</v>
      </c>
      <c r="E29" s="169">
        <f t="shared" si="6"/>
        <v>2034.87834</v>
      </c>
      <c r="F29" s="169">
        <f t="shared" si="6"/>
        <v>3696.8029200000001</v>
      </c>
      <c r="G29" s="169">
        <f t="shared" si="6"/>
        <v>1367.7315000000001</v>
      </c>
      <c r="H29" s="169">
        <f t="shared" si="6"/>
        <v>2577.1179600000005</v>
      </c>
      <c r="I29" s="169">
        <f t="shared" si="6"/>
        <v>0</v>
      </c>
      <c r="J29" s="169">
        <f t="shared" si="6"/>
        <v>16805.987300000001</v>
      </c>
      <c r="K29" s="169">
        <f t="shared" si="6"/>
        <v>0</v>
      </c>
      <c r="L29" s="169">
        <f>SUM(L30:L33)</f>
        <v>0</v>
      </c>
      <c r="M29" s="169">
        <f t="shared" si="6"/>
        <v>183.16419999999999</v>
      </c>
      <c r="N29" s="169">
        <f>SUM(N30:N33)</f>
        <v>2.3193999999999999</v>
      </c>
      <c r="O29" s="169">
        <f>SUM(O30:O33)</f>
        <v>0</v>
      </c>
      <c r="P29" s="169">
        <f t="shared" si="6"/>
        <v>1634.2000000000003</v>
      </c>
      <c r="Q29" s="169"/>
      <c r="R29" s="169">
        <f>SUM(R30:R33)</f>
        <v>0</v>
      </c>
      <c r="S29" s="161"/>
      <c r="T29" s="161"/>
      <c r="U29" s="162"/>
    </row>
    <row r="30" spans="1:21" s="43" customFormat="1" ht="15" customHeight="1" x14ac:dyDescent="0.2">
      <c r="A30" s="232" t="s">
        <v>254</v>
      </c>
      <c r="B30" s="232">
        <f>(2809.1+619.14)*0.154</f>
        <v>527.94895999999994</v>
      </c>
      <c r="C30" s="232">
        <f>(909.6+897.09)*0.245</f>
        <v>442.63905</v>
      </c>
      <c r="D30" s="232">
        <v>0</v>
      </c>
      <c r="E30" s="232">
        <v>0</v>
      </c>
      <c r="F30" s="232">
        <f>(1242.58+439.66)*0.963</f>
        <v>1619.99712</v>
      </c>
      <c r="G30" s="232">
        <f>189.16*1.578</f>
        <v>298.49448000000001</v>
      </c>
      <c r="H30" s="232">
        <f>(523.08+363.8)*2.466</f>
        <v>2187.0460800000005</v>
      </c>
      <c r="I30" s="232"/>
      <c r="J30" s="232">
        <f t="shared" si="1"/>
        <v>5076.1256900000008</v>
      </c>
      <c r="K30" s="232"/>
      <c r="L30" s="232"/>
      <c r="M30" s="232">
        <f>25.23+9.6551</f>
        <v>34.885100000000001</v>
      </c>
      <c r="N30" s="232"/>
      <c r="O30" s="232"/>
      <c r="P30" s="232">
        <f>276.21+95.25</f>
        <v>371.46</v>
      </c>
      <c r="Q30" s="232"/>
      <c r="R30" s="232"/>
      <c r="S30" s="232">
        <v>0</v>
      </c>
      <c r="T30" s="232">
        <v>0</v>
      </c>
      <c r="U30" s="232">
        <v>0</v>
      </c>
    </row>
    <row r="31" spans="1:21" s="43" customFormat="1" ht="15" customHeight="1" x14ac:dyDescent="0.2">
      <c r="A31" s="232" t="s">
        <v>255</v>
      </c>
      <c r="B31" s="232">
        <f>(804.27+694.79+1801.42)*0.154</f>
        <v>508.27391999999998</v>
      </c>
      <c r="C31" s="232">
        <f>(604.02+1151.67+202.14)*0.245</f>
        <v>479.66834999999998</v>
      </c>
      <c r="D31" s="232">
        <f>(183.24+117.57+632.48)*0.395</f>
        <v>368.64954999999998</v>
      </c>
      <c r="E31" s="232">
        <f>(230.86+170.06+141.3)*0.617</f>
        <v>334.54973999999999</v>
      </c>
      <c r="F31" s="232">
        <f>(206.53+455.39+540.78)*0.963</f>
        <v>1158.2000999999998</v>
      </c>
      <c r="G31" s="232">
        <f>(205.81+214.63+257.15)*1.578</f>
        <v>1069.23702</v>
      </c>
      <c r="H31" s="232">
        <f>(89.26+25.8+43.12)*2.466</f>
        <v>390.07188000000002</v>
      </c>
      <c r="I31" s="232"/>
      <c r="J31" s="232">
        <f t="shared" si="1"/>
        <v>4308.65056</v>
      </c>
      <c r="K31" s="232"/>
      <c r="L31" s="232"/>
      <c r="M31" s="232">
        <f>15.4866+15.0831+22.1114</f>
        <v>52.681100000000001</v>
      </c>
      <c r="N31" s="232"/>
      <c r="O31" s="232"/>
      <c r="P31" s="232">
        <f>181.36+168.63+256.97</f>
        <v>606.96</v>
      </c>
      <c r="Q31" s="232"/>
      <c r="R31" s="232"/>
      <c r="S31" s="232">
        <v>0</v>
      </c>
      <c r="T31" s="232">
        <v>0</v>
      </c>
      <c r="U31" s="232">
        <v>0</v>
      </c>
    </row>
    <row r="32" spans="1:21" s="43" customFormat="1" ht="15" customHeight="1" x14ac:dyDescent="0.2">
      <c r="A32" s="232" t="s">
        <v>256</v>
      </c>
      <c r="B32" s="232"/>
      <c r="C32" s="232">
        <f>1697.2*0.245</f>
        <v>415.81400000000002</v>
      </c>
      <c r="D32" s="232">
        <f>10840.4*0.395</f>
        <v>4281.9579999999996</v>
      </c>
      <c r="E32" s="232">
        <f>2755.8*0.617</f>
        <v>1700.3286000000001</v>
      </c>
      <c r="F32" s="232">
        <f>953.9*0.963</f>
        <v>918.60569999999996</v>
      </c>
      <c r="G32" s="232"/>
      <c r="H32" s="232"/>
      <c r="I32" s="232"/>
      <c r="J32" s="232">
        <f t="shared" si="1"/>
        <v>7316.7062999999998</v>
      </c>
      <c r="K32" s="232"/>
      <c r="L32" s="232"/>
      <c r="M32" s="232">
        <v>95.597999999999999</v>
      </c>
      <c r="N32" s="232"/>
      <c r="O32" s="232"/>
      <c r="P32" s="232">
        <v>637.32000000000005</v>
      </c>
      <c r="Q32" s="232"/>
      <c r="R32" s="232"/>
      <c r="S32" s="232">
        <v>0</v>
      </c>
      <c r="T32" s="232">
        <v>0</v>
      </c>
      <c r="U32" s="232">
        <v>0</v>
      </c>
    </row>
    <row r="33" spans="1:21" s="43" customFormat="1" ht="15" customHeight="1" x14ac:dyDescent="0.2">
      <c r="A33" s="232" t="s">
        <v>257</v>
      </c>
      <c r="B33" s="232"/>
      <c r="C33" s="232">
        <f>426.55*0.245</f>
        <v>104.50475</v>
      </c>
      <c r="D33" s="232"/>
      <c r="E33" s="232"/>
      <c r="F33" s="232"/>
      <c r="G33" s="232"/>
      <c r="H33" s="232"/>
      <c r="I33" s="232"/>
      <c r="J33" s="232">
        <f t="shared" si="1"/>
        <v>104.50475</v>
      </c>
      <c r="K33" s="232"/>
      <c r="L33" s="232"/>
      <c r="M33" s="587"/>
      <c r="N33" s="587">
        <v>2.3193999999999999</v>
      </c>
      <c r="O33" s="587"/>
      <c r="P33" s="232">
        <v>18.46</v>
      </c>
      <c r="Q33" s="232"/>
      <c r="R33" s="232"/>
      <c r="S33" s="232">
        <v>0</v>
      </c>
      <c r="T33" s="232">
        <v>0</v>
      </c>
      <c r="U33" s="232">
        <v>0</v>
      </c>
    </row>
    <row r="34" spans="1:21" s="43" customFormat="1" ht="15" customHeight="1" x14ac:dyDescent="0.2">
      <c r="A34" s="168" t="s">
        <v>754</v>
      </c>
      <c r="B34" s="169">
        <f t="shared" ref="B34:P34" si="7">SUM(B35:B38)</f>
        <v>884.30495999999994</v>
      </c>
      <c r="C34" s="169">
        <f t="shared" si="7"/>
        <v>2072.1732499999998</v>
      </c>
      <c r="D34" s="169">
        <f t="shared" si="7"/>
        <v>4301.0996999999998</v>
      </c>
      <c r="E34" s="169">
        <f t="shared" si="7"/>
        <v>4467.2342500000004</v>
      </c>
      <c r="F34" s="169">
        <f t="shared" si="7"/>
        <v>2169.5138099999999</v>
      </c>
      <c r="G34" s="169">
        <f t="shared" si="7"/>
        <v>1823.3316600000003</v>
      </c>
      <c r="H34" s="169">
        <f t="shared" si="7"/>
        <v>5421.35304</v>
      </c>
      <c r="I34" s="169">
        <f t="shared" si="7"/>
        <v>0</v>
      </c>
      <c r="J34" s="169">
        <f t="shared" si="7"/>
        <v>21139.010670000003</v>
      </c>
      <c r="K34" s="169">
        <f t="shared" si="7"/>
        <v>0</v>
      </c>
      <c r="L34" s="169">
        <f>SUM(L35:L38)</f>
        <v>0</v>
      </c>
      <c r="M34" s="169">
        <f t="shared" si="7"/>
        <v>238.43299999999999</v>
      </c>
      <c r="N34" s="169">
        <f>SUM(N35:N38)</f>
        <v>2.3046000000000002</v>
      </c>
      <c r="O34" s="169">
        <f>SUM(O35:O38)</f>
        <v>0</v>
      </c>
      <c r="P34" s="169">
        <f t="shared" si="7"/>
        <v>1783.65</v>
      </c>
      <c r="Q34" s="169"/>
      <c r="R34" s="169">
        <f>SUM(R35:R38)</f>
        <v>0</v>
      </c>
      <c r="S34" s="161"/>
      <c r="T34" s="161"/>
      <c r="U34" s="162"/>
    </row>
    <row r="35" spans="1:21" s="43" customFormat="1" ht="15" customHeight="1" x14ac:dyDescent="0.2">
      <c r="A35" s="232" t="s">
        <v>254</v>
      </c>
      <c r="B35" s="232">
        <f>(1918.62+622.56)*0.154</f>
        <v>391.34171999999995</v>
      </c>
      <c r="C35" s="232">
        <f>(949.2+967.8)*0.245</f>
        <v>469.66499999999996</v>
      </c>
      <c r="D35" s="232"/>
      <c r="E35" s="232"/>
      <c r="F35" s="232">
        <f>(377.86+241.4)*0.963</f>
        <v>596.34737999999993</v>
      </c>
      <c r="G35" s="232">
        <f>(461.5+163.3)*1.578</f>
        <v>985.93439999999998</v>
      </c>
      <c r="H35" s="232">
        <f>(440.2+333.7)*2.466</f>
        <v>1908.4374</v>
      </c>
      <c r="I35" s="232"/>
      <c r="J35" s="232">
        <f t="shared" si="1"/>
        <v>4351.7258999999995</v>
      </c>
      <c r="K35" s="232"/>
      <c r="L35" s="232"/>
      <c r="M35" s="232">
        <f>19.0956+10.6852</f>
        <v>29.780799999999999</v>
      </c>
      <c r="N35" s="232"/>
      <c r="O35" s="232"/>
      <c r="P35" s="232">
        <f>206.99+105.46</f>
        <v>312.45</v>
      </c>
      <c r="Q35" s="232"/>
      <c r="R35" s="232"/>
      <c r="S35" s="232">
        <v>0</v>
      </c>
      <c r="T35" s="232">
        <v>0</v>
      </c>
      <c r="U35" s="232">
        <v>0</v>
      </c>
    </row>
    <row r="36" spans="1:21" s="43" customFormat="1" ht="15" customHeight="1" x14ac:dyDescent="0.2">
      <c r="A36" s="232" t="s">
        <v>255</v>
      </c>
      <c r="B36" s="232">
        <f>(987.17+675.69+537.6+701.04+299.56)*0.154</f>
        <v>492.96323999999998</v>
      </c>
      <c r="C36" s="232">
        <f>(323.92+659.79+1331.39+493.45+659.04)*0.245</f>
        <v>849.55955000000006</v>
      </c>
      <c r="D36" s="232">
        <f>(320.61+53.92+624.17+102.24+326.12)*0.395</f>
        <v>563.68870000000004</v>
      </c>
      <c r="E36" s="232">
        <f>(219.66+269.18+142.22+213.52+175.87)*0.617</f>
        <v>629.61765000000003</v>
      </c>
      <c r="F36" s="232">
        <f>(412.44+348.35+303.94+283.72+285.16)*0.963</f>
        <v>1573.16643</v>
      </c>
      <c r="G36" s="232">
        <f>(78.81+119.63+176.36+97.73+58.14)*1.578</f>
        <v>837.39726000000019</v>
      </c>
      <c r="H36" s="232">
        <f>(992+88.29+90.98+66.41+186.86)*2.466</f>
        <v>3512.9156400000002</v>
      </c>
      <c r="I36" s="232"/>
      <c r="J36" s="232">
        <f t="shared" si="1"/>
        <v>8459.3084699999999</v>
      </c>
      <c r="K36" s="232"/>
      <c r="L36" s="232"/>
      <c r="M36" s="232">
        <f>15.7886+13.0166+19.1649+11.0873+10.1748</f>
        <v>69.232200000000006</v>
      </c>
      <c r="N36" s="232"/>
      <c r="O36" s="232"/>
      <c r="P36" s="232">
        <f>170.2+153.02+198.46+138.78+95.07</f>
        <v>755.53</v>
      </c>
      <c r="Q36" s="232"/>
      <c r="R36" s="232"/>
      <c r="S36" s="232">
        <v>0</v>
      </c>
      <c r="T36" s="232">
        <v>0</v>
      </c>
      <c r="U36" s="232">
        <v>0</v>
      </c>
    </row>
    <row r="37" spans="1:21" s="43" customFormat="1" ht="15" customHeight="1" x14ac:dyDescent="0.2">
      <c r="A37" s="232" t="s">
        <v>256</v>
      </c>
      <c r="B37" s="232"/>
      <c r="C37" s="232">
        <f>2632.8*0.245</f>
        <v>645.03600000000006</v>
      </c>
      <c r="D37" s="232">
        <f>9461.8*0.395</f>
        <v>3737.4110000000001</v>
      </c>
      <c r="E37" s="232">
        <f>6219.8*0.617</f>
        <v>3837.6166000000003</v>
      </c>
      <c r="F37" s="232"/>
      <c r="G37" s="232"/>
      <c r="H37" s="232"/>
      <c r="I37" s="232"/>
      <c r="J37" s="232">
        <f t="shared" si="1"/>
        <v>8220.0636000000013</v>
      </c>
      <c r="K37" s="232"/>
      <c r="L37" s="232"/>
      <c r="M37" s="232">
        <v>139.41999999999999</v>
      </c>
      <c r="N37" s="232"/>
      <c r="O37" s="232"/>
      <c r="P37" s="232">
        <v>697.07</v>
      </c>
      <c r="Q37" s="232"/>
      <c r="R37" s="232"/>
      <c r="S37" s="232">
        <v>0</v>
      </c>
      <c r="T37" s="232">
        <v>0</v>
      </c>
      <c r="U37" s="232">
        <v>0</v>
      </c>
    </row>
    <row r="38" spans="1:21" s="43" customFormat="1" ht="15" customHeight="1" x14ac:dyDescent="0.2">
      <c r="A38" s="232" t="s">
        <v>257</v>
      </c>
      <c r="B38" s="232"/>
      <c r="C38" s="232">
        <f>440.46*0.245</f>
        <v>107.91269999999999</v>
      </c>
      <c r="D38" s="232"/>
      <c r="E38" s="232"/>
      <c r="F38" s="232"/>
      <c r="G38" s="232"/>
      <c r="H38" s="232"/>
      <c r="I38" s="232"/>
      <c r="J38" s="232">
        <f t="shared" si="1"/>
        <v>107.91269999999999</v>
      </c>
      <c r="K38" s="232"/>
      <c r="L38" s="232"/>
      <c r="M38" s="587"/>
      <c r="N38" s="587">
        <v>2.3046000000000002</v>
      </c>
      <c r="O38" s="587"/>
      <c r="P38" s="232">
        <v>18.600000000000001</v>
      </c>
      <c r="Q38" s="232"/>
      <c r="R38" s="232"/>
      <c r="S38" s="232">
        <v>0</v>
      </c>
      <c r="T38" s="232">
        <v>0</v>
      </c>
      <c r="U38" s="232">
        <v>0</v>
      </c>
    </row>
    <row r="39" spans="1:21" s="43" customFormat="1" ht="15" customHeight="1" x14ac:dyDescent="0.2">
      <c r="A39" s="168" t="s">
        <v>755</v>
      </c>
      <c r="B39" s="169">
        <f t="shared" ref="B39:P39" si="8">SUM(B40:B43)</f>
        <v>24.635000000000002</v>
      </c>
      <c r="C39" s="169">
        <f t="shared" si="8"/>
        <v>1217.7675999999999</v>
      </c>
      <c r="D39" s="169">
        <f t="shared" si="8"/>
        <v>6777.0584500000004</v>
      </c>
      <c r="E39" s="169">
        <f t="shared" si="8"/>
        <v>11403.215069999998</v>
      </c>
      <c r="F39" s="169">
        <f t="shared" si="8"/>
        <v>1402.037</v>
      </c>
      <c r="G39" s="169">
        <f t="shared" si="8"/>
        <v>947.01779999999997</v>
      </c>
      <c r="H39" s="169">
        <f t="shared" si="8"/>
        <v>17918.490000000002</v>
      </c>
      <c r="I39" s="169">
        <f t="shared" si="8"/>
        <v>7541.6310000000003</v>
      </c>
      <c r="J39" s="169">
        <f t="shared" si="8"/>
        <v>47231.851920000001</v>
      </c>
      <c r="K39" s="169">
        <f t="shared" si="8"/>
        <v>1920.24</v>
      </c>
      <c r="L39" s="169">
        <f>SUM(L40:L43)</f>
        <v>0</v>
      </c>
      <c r="M39" s="169">
        <f t="shared" si="8"/>
        <v>224.47810000000001</v>
      </c>
      <c r="N39" s="169">
        <f>SUM(N40:N43)</f>
        <v>0</v>
      </c>
      <c r="O39" s="169">
        <f>SUM(O40:O43)</f>
        <v>0</v>
      </c>
      <c r="P39" s="169">
        <f t="shared" si="8"/>
        <v>1436.62</v>
      </c>
      <c r="Q39" s="169"/>
      <c r="R39" s="169">
        <f>SUM(R40:R43)</f>
        <v>0</v>
      </c>
      <c r="S39" s="161"/>
      <c r="T39" s="161"/>
      <c r="U39" s="162"/>
    </row>
    <row r="40" spans="1:21" s="43" customFormat="1" ht="15" customHeight="1" x14ac:dyDescent="0.2">
      <c r="A40" s="232" t="s">
        <v>254</v>
      </c>
      <c r="B40" s="232"/>
      <c r="C40" s="232"/>
      <c r="D40" s="232"/>
      <c r="E40" s="232"/>
      <c r="F40" s="232"/>
      <c r="G40" s="232"/>
      <c r="H40" s="232"/>
      <c r="I40" s="232"/>
      <c r="J40" s="232">
        <f t="shared" si="1"/>
        <v>0</v>
      </c>
      <c r="K40" s="232"/>
      <c r="L40" s="232"/>
      <c r="M40" s="232"/>
      <c r="N40" s="232"/>
      <c r="O40" s="232"/>
      <c r="P40" s="232"/>
      <c r="Q40" s="232"/>
      <c r="R40" s="232"/>
      <c r="S40" s="232">
        <v>0</v>
      </c>
      <c r="T40" s="232">
        <v>0</v>
      </c>
      <c r="U40" s="232">
        <v>0</v>
      </c>
    </row>
    <row r="41" spans="1:21" s="43" customFormat="1" ht="15" customHeight="1" x14ac:dyDescent="0.2">
      <c r="A41" s="232" t="s">
        <v>255</v>
      </c>
      <c r="B41" s="232">
        <v>24.635000000000002</v>
      </c>
      <c r="C41" s="232">
        <f>(4970.48-3483.8)*0.245</f>
        <v>364.23659999999984</v>
      </c>
      <c r="D41" s="232">
        <f>(13101.71-490.9)*0.395</f>
        <v>4981.2699499999999</v>
      </c>
      <c r="E41" s="232">
        <f>(18481.71-490.9)*0.617</f>
        <v>11100.329769999998</v>
      </c>
      <c r="F41" s="232">
        <v>1402.037</v>
      </c>
      <c r="G41" s="232">
        <v>947.01779999999997</v>
      </c>
      <c r="H41" s="232">
        <v>17918.490000000002</v>
      </c>
      <c r="I41" s="232">
        <v>7541.6310000000003</v>
      </c>
      <c r="J41" s="232">
        <f t="shared" si="1"/>
        <v>44279.647120000001</v>
      </c>
      <c r="K41" s="232"/>
      <c r="L41" s="232"/>
      <c r="M41" s="232">
        <f>224.4781-57.4</f>
        <v>167.07810000000001</v>
      </c>
      <c r="N41" s="232"/>
      <c r="O41" s="232"/>
      <c r="P41" s="232">
        <f>1436.62-382.66</f>
        <v>1053.9599999999998</v>
      </c>
      <c r="Q41" s="232"/>
      <c r="R41" s="232"/>
      <c r="S41" s="232">
        <v>0</v>
      </c>
      <c r="T41" s="232">
        <v>0</v>
      </c>
      <c r="U41" s="232">
        <v>0</v>
      </c>
    </row>
    <row r="42" spans="1:21" s="43" customFormat="1" ht="15" customHeight="1" x14ac:dyDescent="0.2">
      <c r="A42" s="232" t="s">
        <v>256</v>
      </c>
      <c r="B42" s="232"/>
      <c r="C42" s="232">
        <f>3483.8*0.245</f>
        <v>853.53100000000006</v>
      </c>
      <c r="D42" s="232">
        <f>4546.3*0.395</f>
        <v>1795.7885000000001</v>
      </c>
      <c r="E42" s="232">
        <f>490.9*0.617</f>
        <v>302.88529999999997</v>
      </c>
      <c r="F42" s="232"/>
      <c r="G42" s="232"/>
      <c r="H42" s="232"/>
      <c r="I42" s="232"/>
      <c r="J42" s="232">
        <f t="shared" si="1"/>
        <v>2952.2048</v>
      </c>
      <c r="K42" s="43">
        <v>1920.24</v>
      </c>
      <c r="M42" s="232">
        <v>57.4</v>
      </c>
      <c r="N42" s="232"/>
      <c r="O42" s="232"/>
      <c r="P42" s="232">
        <v>382.66</v>
      </c>
      <c r="Q42" s="232"/>
      <c r="R42" s="232"/>
      <c r="S42" s="232">
        <v>0</v>
      </c>
      <c r="T42" s="232">
        <v>0</v>
      </c>
      <c r="U42" s="232">
        <v>0</v>
      </c>
    </row>
    <row r="43" spans="1:21" s="43" customFormat="1" ht="15" customHeight="1" x14ac:dyDescent="0.2">
      <c r="A43" s="232" t="s">
        <v>257</v>
      </c>
      <c r="B43" s="232"/>
      <c r="C43" s="232"/>
      <c r="D43" s="232"/>
      <c r="E43" s="232"/>
      <c r="F43" s="232"/>
      <c r="G43" s="232"/>
      <c r="H43" s="232"/>
      <c r="I43" s="232"/>
      <c r="J43" s="232">
        <f t="shared" si="1"/>
        <v>0</v>
      </c>
      <c r="K43" s="232"/>
      <c r="L43" s="232"/>
      <c r="M43" s="232"/>
      <c r="N43" s="232"/>
      <c r="O43" s="232"/>
      <c r="P43" s="232"/>
      <c r="Q43" s="232"/>
      <c r="R43" s="232"/>
      <c r="S43" s="232">
        <v>0</v>
      </c>
      <c r="T43" s="232">
        <v>0</v>
      </c>
      <c r="U43" s="232">
        <v>0</v>
      </c>
    </row>
    <row r="44" spans="1:21" s="43" customFormat="1" ht="15" customHeight="1" x14ac:dyDescent="0.2">
      <c r="A44" s="168" t="s">
        <v>1252</v>
      </c>
      <c r="B44" s="169">
        <f t="shared" ref="B44:P44" si="9">SUM(B45:B48)</f>
        <v>0</v>
      </c>
      <c r="C44" s="169">
        <f t="shared" si="9"/>
        <v>1689.7818181818182</v>
      </c>
      <c r="D44" s="169">
        <f t="shared" si="9"/>
        <v>983.4636363636364</v>
      </c>
      <c r="E44" s="169">
        <f t="shared" si="9"/>
        <v>154.90909090909091</v>
      </c>
      <c r="F44" s="169">
        <f t="shared" si="9"/>
        <v>0</v>
      </c>
      <c r="G44" s="169">
        <f t="shared" si="9"/>
        <v>0</v>
      </c>
      <c r="H44" s="169">
        <f t="shared" si="9"/>
        <v>0</v>
      </c>
      <c r="I44" s="169">
        <f t="shared" si="9"/>
        <v>0</v>
      </c>
      <c r="J44" s="169">
        <f t="shared" si="9"/>
        <v>2828.1545454545458</v>
      </c>
      <c r="K44" s="169">
        <f t="shared" si="9"/>
        <v>0</v>
      </c>
      <c r="L44" s="169">
        <f>SUM(L45:L48)</f>
        <v>0</v>
      </c>
      <c r="M44" s="169">
        <f t="shared" si="9"/>
        <v>0</v>
      </c>
      <c r="N44" s="169">
        <f>SUM(N45:N48)</f>
        <v>65.756100000000004</v>
      </c>
      <c r="O44" s="169">
        <f>SUM(O45:O48)</f>
        <v>0</v>
      </c>
      <c r="P44" s="169">
        <f t="shared" si="9"/>
        <v>546.1</v>
      </c>
      <c r="Q44" s="169"/>
      <c r="R44" s="169">
        <f>SUM(R45:R48)</f>
        <v>0</v>
      </c>
      <c r="S44" s="161"/>
      <c r="T44" s="161"/>
      <c r="U44" s="162"/>
    </row>
    <row r="45" spans="1:21" s="43" customFormat="1" ht="15" customHeight="1" x14ac:dyDescent="0.2">
      <c r="A45" s="232" t="s">
        <v>254</v>
      </c>
      <c r="B45" s="232"/>
      <c r="C45" s="232"/>
      <c r="D45" s="232"/>
      <c r="E45" s="232"/>
      <c r="F45" s="232"/>
      <c r="G45" s="232"/>
      <c r="H45" s="232"/>
      <c r="I45" s="232"/>
      <c r="J45" s="232">
        <f t="shared" si="1"/>
        <v>0</v>
      </c>
      <c r="K45" s="232"/>
      <c r="L45" s="232"/>
      <c r="M45" s="232"/>
      <c r="N45" s="232"/>
      <c r="O45" s="232"/>
      <c r="P45" s="232"/>
      <c r="Q45" s="232"/>
      <c r="R45" s="232"/>
      <c r="S45" s="232">
        <v>0</v>
      </c>
      <c r="T45" s="232">
        <v>0</v>
      </c>
      <c r="U45" s="232">
        <v>0</v>
      </c>
    </row>
    <row r="46" spans="1:21" s="43" customFormat="1" ht="15" customHeight="1" x14ac:dyDescent="0.2">
      <c r="A46" s="232" t="s">
        <v>255</v>
      </c>
      <c r="B46" s="232"/>
      <c r="C46" s="232"/>
      <c r="D46" s="232"/>
      <c r="E46" s="232"/>
      <c r="F46" s="232"/>
      <c r="G46" s="232"/>
      <c r="H46" s="232"/>
      <c r="I46" s="232"/>
      <c r="J46" s="232">
        <f t="shared" si="1"/>
        <v>0</v>
      </c>
      <c r="K46" s="232"/>
      <c r="L46" s="232"/>
      <c r="M46" s="232"/>
      <c r="N46" s="232"/>
      <c r="O46" s="232"/>
      <c r="P46" s="232"/>
      <c r="Q46" s="232"/>
      <c r="R46" s="232"/>
      <c r="S46" s="232">
        <v>0</v>
      </c>
      <c r="T46" s="232">
        <v>0</v>
      </c>
      <c r="U46" s="232">
        <v>0</v>
      </c>
    </row>
    <row r="47" spans="1:21" s="43" customFormat="1" ht="15" customHeight="1" x14ac:dyDescent="0.2">
      <c r="A47" s="232" t="s">
        <v>256</v>
      </c>
      <c r="B47" s="232"/>
      <c r="C47" s="232">
        <f>1751/1.1</f>
        <v>1591.8181818181818</v>
      </c>
      <c r="D47" s="232">
        <f>1058.2/1.1</f>
        <v>962</v>
      </c>
      <c r="E47" s="232">
        <f>170.4/1.1</f>
        <v>154.90909090909091</v>
      </c>
      <c r="F47" s="232"/>
      <c r="G47" s="232"/>
      <c r="H47" s="232"/>
      <c r="I47" s="232"/>
      <c r="J47" s="232">
        <f t="shared" si="1"/>
        <v>2708.727272727273</v>
      </c>
      <c r="K47" s="232"/>
      <c r="L47" s="232"/>
      <c r="M47" s="588"/>
      <c r="N47" s="588">
        <v>62.99</v>
      </c>
      <c r="O47" s="588"/>
      <c r="P47" s="587">
        <v>524.86</v>
      </c>
      <c r="Q47" s="232"/>
      <c r="R47" s="232"/>
      <c r="S47" s="232">
        <v>0</v>
      </c>
      <c r="T47" s="232">
        <v>0</v>
      </c>
      <c r="U47" s="232">
        <v>0</v>
      </c>
    </row>
    <row r="48" spans="1:21" s="43" customFormat="1" ht="15" customHeight="1" x14ac:dyDescent="0.2">
      <c r="A48" s="232" t="s">
        <v>257</v>
      </c>
      <c r="B48" s="232"/>
      <c r="C48" s="232">
        <f>107.76/1.1</f>
        <v>97.963636363636354</v>
      </c>
      <c r="D48" s="232">
        <f>23.61/1.1</f>
        <v>21.463636363636361</v>
      </c>
      <c r="E48" s="232"/>
      <c r="F48" s="232"/>
      <c r="G48" s="232"/>
      <c r="H48" s="232"/>
      <c r="I48" s="232"/>
      <c r="J48" s="232">
        <f t="shared" si="1"/>
        <v>119.42727272727271</v>
      </c>
      <c r="K48" s="232"/>
      <c r="L48" s="232"/>
      <c r="M48" s="587"/>
      <c r="N48" s="587">
        <v>2.7660999999999998</v>
      </c>
      <c r="O48" s="587"/>
      <c r="P48" s="232">
        <v>21.24</v>
      </c>
      <c r="Q48" s="232"/>
      <c r="R48" s="232"/>
      <c r="S48" s="232">
        <v>0</v>
      </c>
      <c r="T48" s="232">
        <v>0</v>
      </c>
      <c r="U48" s="232">
        <v>0</v>
      </c>
    </row>
    <row r="49" spans="1:21" s="43" customFormat="1" ht="15" customHeight="1" x14ac:dyDescent="0.2">
      <c r="A49" s="168" t="s">
        <v>1249</v>
      </c>
      <c r="B49" s="169">
        <f t="shared" ref="B49:P49" si="10">SUM(B50:B53)</f>
        <v>0</v>
      </c>
      <c r="C49" s="169">
        <f t="shared" si="10"/>
        <v>1693.681818181818</v>
      </c>
      <c r="D49" s="169">
        <f t="shared" si="10"/>
        <v>1057.2272727272727</v>
      </c>
      <c r="E49" s="169">
        <f t="shared" si="10"/>
        <v>158.63636363636363</v>
      </c>
      <c r="F49" s="169">
        <f t="shared" si="10"/>
        <v>0</v>
      </c>
      <c r="G49" s="169">
        <f t="shared" si="10"/>
        <v>0</v>
      </c>
      <c r="H49" s="169">
        <f t="shared" si="10"/>
        <v>0</v>
      </c>
      <c r="I49" s="169">
        <f t="shared" si="10"/>
        <v>0</v>
      </c>
      <c r="J49" s="169">
        <f t="shared" si="10"/>
        <v>2909.5454545454545</v>
      </c>
      <c r="K49" s="169">
        <f t="shared" si="10"/>
        <v>0</v>
      </c>
      <c r="L49" s="169">
        <f>SUM(L50:L53)</f>
        <v>0</v>
      </c>
      <c r="M49" s="169">
        <f t="shared" si="10"/>
        <v>0</v>
      </c>
      <c r="N49" s="169">
        <f>SUM(N50:N53)</f>
        <v>67.000399999999999</v>
      </c>
      <c r="O49" s="169">
        <f>SUM(O50:O53)</f>
        <v>0</v>
      </c>
      <c r="P49" s="169">
        <f t="shared" si="10"/>
        <v>556.04999999999995</v>
      </c>
      <c r="Q49" s="169"/>
      <c r="R49" s="169">
        <f>SUM(R50:R53)</f>
        <v>0</v>
      </c>
      <c r="S49" s="161"/>
      <c r="T49" s="161"/>
      <c r="U49" s="162"/>
    </row>
    <row r="50" spans="1:21" s="43" customFormat="1" ht="15" customHeight="1" x14ac:dyDescent="0.2">
      <c r="A50" s="232" t="s">
        <v>254</v>
      </c>
      <c r="B50" s="232"/>
      <c r="C50" s="232"/>
      <c r="D50" s="232"/>
      <c r="E50" s="232"/>
      <c r="F50" s="232"/>
      <c r="G50" s="232"/>
      <c r="H50" s="232"/>
      <c r="I50" s="232"/>
      <c r="J50" s="232">
        <f t="shared" si="1"/>
        <v>0</v>
      </c>
      <c r="K50" s="232"/>
      <c r="L50" s="232"/>
      <c r="M50" s="232"/>
      <c r="N50" s="232"/>
      <c r="O50" s="232"/>
      <c r="P50" s="232"/>
      <c r="Q50" s="232"/>
      <c r="R50" s="232"/>
      <c r="S50" s="232">
        <v>0</v>
      </c>
      <c r="T50" s="232">
        <v>0</v>
      </c>
      <c r="U50" s="232">
        <v>0</v>
      </c>
    </row>
    <row r="51" spans="1:21" s="43" customFormat="1" ht="15" customHeight="1" x14ac:dyDescent="0.2">
      <c r="A51" s="232" t="s">
        <v>255</v>
      </c>
      <c r="B51" s="232"/>
      <c r="C51" s="232"/>
      <c r="D51" s="232"/>
      <c r="E51" s="232"/>
      <c r="F51" s="232"/>
      <c r="G51" s="232"/>
      <c r="H51" s="232"/>
      <c r="I51" s="232"/>
      <c r="J51" s="232">
        <f t="shared" si="1"/>
        <v>0</v>
      </c>
      <c r="K51" s="232"/>
      <c r="L51" s="232"/>
      <c r="M51" s="232"/>
      <c r="N51" s="232"/>
      <c r="O51" s="232"/>
      <c r="P51" s="232"/>
      <c r="Q51" s="232"/>
      <c r="R51" s="232"/>
      <c r="S51" s="232">
        <v>0</v>
      </c>
      <c r="T51" s="232">
        <v>0</v>
      </c>
      <c r="U51" s="232">
        <v>0</v>
      </c>
    </row>
    <row r="52" spans="1:21" s="43" customFormat="1" ht="15" customHeight="1" x14ac:dyDescent="0.2">
      <c r="A52" s="232" t="s">
        <v>256</v>
      </c>
      <c r="B52" s="232"/>
      <c r="C52" s="232">
        <f>1751/1.1</f>
        <v>1591.8181818181818</v>
      </c>
      <c r="D52" s="232">
        <f>1058.2/1.1</f>
        <v>962</v>
      </c>
      <c r="E52" s="232">
        <f>174.5/1.1</f>
        <v>158.63636363636363</v>
      </c>
      <c r="F52" s="232"/>
      <c r="G52" s="232"/>
      <c r="H52" s="232"/>
      <c r="I52" s="232"/>
      <c r="J52" s="232">
        <f t="shared" si="1"/>
        <v>2712.4545454545455</v>
      </c>
      <c r="K52" s="232"/>
      <c r="L52" s="232"/>
      <c r="M52" s="232"/>
      <c r="N52" s="232">
        <v>62.99</v>
      </c>
      <c r="O52" s="232"/>
      <c r="P52" s="232">
        <v>524.86</v>
      </c>
      <c r="Q52" s="232"/>
      <c r="R52" s="232"/>
      <c r="S52" s="232">
        <v>0</v>
      </c>
      <c r="T52" s="232">
        <v>0</v>
      </c>
      <c r="U52" s="232">
        <v>0</v>
      </c>
    </row>
    <row r="53" spans="1:21" s="43" customFormat="1" ht="15" customHeight="1" x14ac:dyDescent="0.2">
      <c r="A53" s="232" t="s">
        <v>257</v>
      </c>
      <c r="B53" s="232"/>
      <c r="C53" s="232">
        <f>(96.85+15.2)/1.1</f>
        <v>101.86363636363636</v>
      </c>
      <c r="D53" s="232">
        <f>(34.75+70)/1.1</f>
        <v>95.22727272727272</v>
      </c>
      <c r="E53" s="232"/>
      <c r="F53" s="232"/>
      <c r="G53" s="232"/>
      <c r="H53" s="232"/>
      <c r="I53" s="232"/>
      <c r="J53" s="232">
        <f t="shared" si="1"/>
        <v>197.09090909090907</v>
      </c>
      <c r="K53" s="232"/>
      <c r="L53" s="232"/>
      <c r="M53" s="232"/>
      <c r="N53" s="232">
        <f>2.7661+1.2443</f>
        <v>4.0103999999999997</v>
      </c>
      <c r="O53" s="232"/>
      <c r="P53" s="232">
        <f>21.24+9.95</f>
        <v>31.189999999999998</v>
      </c>
      <c r="Q53" s="232"/>
      <c r="R53" s="232"/>
      <c r="S53" s="232">
        <v>0</v>
      </c>
      <c r="T53" s="232">
        <v>0</v>
      </c>
      <c r="U53" s="232">
        <v>0</v>
      </c>
    </row>
    <row r="54" spans="1:21" s="43" customFormat="1" ht="15" customHeight="1" x14ac:dyDescent="0.2">
      <c r="A54" s="168" t="s">
        <v>759</v>
      </c>
      <c r="B54" s="169">
        <f t="shared" ref="B54:P54" si="11">SUM(B55:B58)</f>
        <v>0</v>
      </c>
      <c r="C54" s="169">
        <f t="shared" si="11"/>
        <v>736.72727272727263</v>
      </c>
      <c r="D54" s="169">
        <f t="shared" si="11"/>
        <v>63.709090909090904</v>
      </c>
      <c r="E54" s="169">
        <f t="shared" si="11"/>
        <v>625.37272727272716</v>
      </c>
      <c r="F54" s="169">
        <f t="shared" si="11"/>
        <v>121.57272727272726</v>
      </c>
      <c r="G54" s="169">
        <f t="shared" si="11"/>
        <v>0</v>
      </c>
      <c r="H54" s="169">
        <f t="shared" si="11"/>
        <v>0</v>
      </c>
      <c r="I54" s="169">
        <f t="shared" si="11"/>
        <v>0</v>
      </c>
      <c r="J54" s="169">
        <f t="shared" si="11"/>
        <v>1547.3818181818181</v>
      </c>
      <c r="K54" s="169">
        <f t="shared" si="11"/>
        <v>0</v>
      </c>
      <c r="L54" s="169">
        <f>SUM(L55:L58)</f>
        <v>915.6</v>
      </c>
      <c r="M54" s="169">
        <f t="shared" si="11"/>
        <v>0</v>
      </c>
      <c r="N54" s="169">
        <f>SUM(N55:N58)</f>
        <v>0</v>
      </c>
      <c r="O54" s="169">
        <f>SUM(O55:O58)</f>
        <v>62.99</v>
      </c>
      <c r="P54" s="169">
        <f t="shared" si="11"/>
        <v>524.86</v>
      </c>
      <c r="Q54" s="169"/>
      <c r="R54" s="169">
        <f>SUM(R55:R58)</f>
        <v>0</v>
      </c>
      <c r="S54" s="161"/>
      <c r="T54" s="161"/>
      <c r="U54" s="162"/>
    </row>
    <row r="55" spans="1:21" s="43" customFormat="1" ht="15" customHeight="1" x14ac:dyDescent="0.2">
      <c r="A55" s="232" t="s">
        <v>254</v>
      </c>
      <c r="B55" s="232"/>
      <c r="C55" s="232"/>
      <c r="D55" s="232"/>
      <c r="E55" s="232"/>
      <c r="F55" s="232"/>
      <c r="G55" s="232"/>
      <c r="H55" s="232"/>
      <c r="I55" s="232"/>
      <c r="J55" s="232">
        <f t="shared" si="1"/>
        <v>0</v>
      </c>
      <c r="K55" s="232"/>
      <c r="L55" s="232"/>
      <c r="M55" s="232"/>
      <c r="N55" s="232"/>
      <c r="O55" s="232"/>
      <c r="P55" s="232"/>
      <c r="Q55" s="232"/>
      <c r="R55" s="232"/>
      <c r="S55" s="232">
        <v>0</v>
      </c>
      <c r="T55" s="232">
        <v>0</v>
      </c>
      <c r="U55" s="232">
        <v>0</v>
      </c>
    </row>
    <row r="56" spans="1:21" s="43" customFormat="1" ht="15" customHeight="1" x14ac:dyDescent="0.2">
      <c r="A56" s="232" t="s">
        <v>255</v>
      </c>
      <c r="B56" s="232"/>
      <c r="C56" s="232">
        <f>30.1/1.1</f>
        <v>27.363636363636363</v>
      </c>
      <c r="D56" s="232"/>
      <c r="E56" s="232">
        <f>32.9/1.1</f>
        <v>29.909090909090907</v>
      </c>
      <c r="F56" s="232">
        <f>45.7/1.1</f>
        <v>41.545454545454547</v>
      </c>
      <c r="G56" s="232"/>
      <c r="H56" s="232"/>
      <c r="I56" s="232"/>
      <c r="J56" s="232">
        <f t="shared" si="1"/>
        <v>98.818181818181813</v>
      </c>
      <c r="K56" s="232"/>
      <c r="L56" s="232"/>
      <c r="M56" s="232"/>
      <c r="N56" s="232"/>
      <c r="O56" s="232"/>
      <c r="P56" s="232"/>
      <c r="Q56" s="232"/>
      <c r="R56" s="232"/>
      <c r="S56" s="232">
        <v>0</v>
      </c>
      <c r="T56" s="232">
        <v>0</v>
      </c>
      <c r="U56" s="232">
        <v>0</v>
      </c>
    </row>
    <row r="57" spans="1:21" s="43" customFormat="1" ht="15" customHeight="1" x14ac:dyDescent="0.2">
      <c r="A57" s="232" t="s">
        <v>256</v>
      </c>
      <c r="B57" s="232"/>
      <c r="C57" s="232">
        <f>780.3/1.1</f>
        <v>709.36363636363626</v>
      </c>
      <c r="D57" s="232">
        <f>70.08/1.1</f>
        <v>63.709090909090904</v>
      </c>
      <c r="E57" s="232">
        <f>655.01/1.1</f>
        <v>595.46363636363628</v>
      </c>
      <c r="F57" s="232">
        <f>88.03/1.1</f>
        <v>80.027272727272717</v>
      </c>
      <c r="G57" s="232"/>
      <c r="H57" s="232"/>
      <c r="I57" s="232"/>
      <c r="J57" s="232">
        <f t="shared" si="1"/>
        <v>1448.5636363636363</v>
      </c>
      <c r="K57" s="232"/>
      <c r="L57" s="232">
        <v>915.6</v>
      </c>
      <c r="M57" s="232"/>
      <c r="N57" s="232"/>
      <c r="O57" s="232">
        <v>62.99</v>
      </c>
      <c r="P57" s="232">
        <v>524.86</v>
      </c>
      <c r="Q57" s="232"/>
      <c r="R57" s="232"/>
      <c r="S57" s="232">
        <v>0</v>
      </c>
      <c r="T57" s="232">
        <v>0</v>
      </c>
      <c r="U57" s="232">
        <v>0</v>
      </c>
    </row>
    <row r="58" spans="1:21" s="43" customFormat="1" ht="15" customHeight="1" x14ac:dyDescent="0.2">
      <c r="A58" s="232" t="s">
        <v>257</v>
      </c>
      <c r="B58" s="232"/>
      <c r="C58" s="232"/>
      <c r="D58" s="232"/>
      <c r="E58" s="232"/>
      <c r="F58" s="232"/>
      <c r="G58" s="232"/>
      <c r="H58" s="232"/>
      <c r="I58" s="232"/>
      <c r="J58" s="232">
        <f t="shared" si="1"/>
        <v>0</v>
      </c>
      <c r="K58" s="232"/>
      <c r="L58" s="232"/>
      <c r="M58" s="232"/>
      <c r="N58" s="232"/>
      <c r="O58" s="232"/>
      <c r="P58" s="232"/>
      <c r="Q58" s="232"/>
      <c r="R58" s="232"/>
      <c r="S58" s="232">
        <v>0</v>
      </c>
      <c r="T58" s="232">
        <v>0</v>
      </c>
      <c r="U58" s="232">
        <v>0</v>
      </c>
    </row>
    <row r="59" spans="1:21" s="43" customFormat="1" ht="15" customHeight="1" x14ac:dyDescent="0.2">
      <c r="A59" s="168" t="s">
        <v>762</v>
      </c>
      <c r="B59" s="169">
        <f t="shared" ref="B59:P59" si="12">SUM(B60:B63)</f>
        <v>177.81818181818181</v>
      </c>
      <c r="C59" s="169">
        <f t="shared" si="12"/>
        <v>1632.5454545454543</v>
      </c>
      <c r="D59" s="169">
        <f t="shared" si="12"/>
        <v>599.36363636363626</v>
      </c>
      <c r="E59" s="169">
        <f t="shared" si="12"/>
        <v>517.45454545454538</v>
      </c>
      <c r="F59" s="169">
        <f t="shared" si="12"/>
        <v>135.36363636363635</v>
      </c>
      <c r="G59" s="169">
        <f t="shared" si="12"/>
        <v>209.99999999999997</v>
      </c>
      <c r="H59" s="169">
        <f t="shared" si="12"/>
        <v>143.45454545454547</v>
      </c>
      <c r="I59" s="169">
        <f t="shared" si="12"/>
        <v>0</v>
      </c>
      <c r="J59" s="169">
        <f t="shared" si="12"/>
        <v>3416</v>
      </c>
      <c r="K59" s="169">
        <f t="shared" si="12"/>
        <v>0</v>
      </c>
      <c r="L59" s="169">
        <f>SUM(L60:L63)</f>
        <v>0</v>
      </c>
      <c r="M59" s="169">
        <f t="shared" si="12"/>
        <v>0</v>
      </c>
      <c r="N59" s="169">
        <f>SUM(N60:N63)</f>
        <v>0</v>
      </c>
      <c r="O59" s="169">
        <f>SUM(O60:O63)</f>
        <v>49.366500000000002</v>
      </c>
      <c r="P59" s="169">
        <f t="shared" si="12"/>
        <v>460.03</v>
      </c>
      <c r="Q59" s="169"/>
      <c r="R59" s="169">
        <f>SUM(R60:R63)</f>
        <v>0</v>
      </c>
      <c r="S59" s="161"/>
      <c r="T59" s="161"/>
      <c r="U59" s="162"/>
    </row>
    <row r="60" spans="1:21" s="43" customFormat="1" ht="15" customHeight="1" x14ac:dyDescent="0.2">
      <c r="A60" s="232" t="s">
        <v>254</v>
      </c>
      <c r="B60" s="232"/>
      <c r="C60" s="232"/>
      <c r="D60" s="232"/>
      <c r="E60" s="232"/>
      <c r="F60" s="232"/>
      <c r="G60" s="232"/>
      <c r="H60" s="232"/>
      <c r="I60" s="232"/>
      <c r="J60" s="232">
        <f t="shared" si="1"/>
        <v>0</v>
      </c>
      <c r="K60" s="232"/>
      <c r="L60" s="232"/>
      <c r="M60" s="232"/>
      <c r="N60" s="232"/>
      <c r="O60" s="232"/>
      <c r="P60" s="232"/>
      <c r="Q60" s="232"/>
      <c r="R60" s="232"/>
      <c r="S60" s="232">
        <v>0</v>
      </c>
      <c r="T60" s="232">
        <v>0</v>
      </c>
      <c r="U60" s="232">
        <v>0</v>
      </c>
    </row>
    <row r="61" spans="1:21" s="43" customFormat="1" ht="15" customHeight="1" x14ac:dyDescent="0.2">
      <c r="A61" s="232" t="s">
        <v>255</v>
      </c>
      <c r="B61" s="232">
        <f>79/1.1</f>
        <v>71.818181818181813</v>
      </c>
      <c r="C61" s="232">
        <f>354.3/1.1</f>
        <v>322.09090909090907</v>
      </c>
      <c r="D61" s="232"/>
      <c r="E61" s="232">
        <f>140.9/1.1</f>
        <v>128.09090909090909</v>
      </c>
      <c r="F61" s="232">
        <f>148.9/1.1</f>
        <v>135.36363636363635</v>
      </c>
      <c r="G61" s="232">
        <f>231/1.1</f>
        <v>209.99999999999997</v>
      </c>
      <c r="H61" s="232">
        <f>157.8/1.1</f>
        <v>143.45454545454547</v>
      </c>
      <c r="I61" s="232"/>
      <c r="J61" s="232">
        <f t="shared" si="1"/>
        <v>1010.8181818181819</v>
      </c>
      <c r="K61" s="232"/>
      <c r="L61" s="232"/>
      <c r="M61" s="232"/>
      <c r="N61" s="232"/>
      <c r="O61" s="232">
        <v>7.2865000000000002</v>
      </c>
      <c r="P61" s="232">
        <v>111.03</v>
      </c>
      <c r="Q61" s="232"/>
      <c r="R61" s="232"/>
      <c r="S61" s="232">
        <v>0</v>
      </c>
      <c r="T61" s="232">
        <v>0</v>
      </c>
      <c r="U61" s="232">
        <v>0</v>
      </c>
    </row>
    <row r="62" spans="1:21" s="43" customFormat="1" ht="15" customHeight="1" x14ac:dyDescent="0.2">
      <c r="A62" s="232" t="s">
        <v>256</v>
      </c>
      <c r="B62" s="232">
        <f>116.6/1.1</f>
        <v>105.99999999999999</v>
      </c>
      <c r="C62" s="232">
        <f>1441.5/1.1</f>
        <v>1310.4545454545453</v>
      </c>
      <c r="D62" s="232">
        <f>659.3/1.1</f>
        <v>599.36363636363626</v>
      </c>
      <c r="E62" s="232">
        <f>428.3/1.1</f>
        <v>389.36363636363632</v>
      </c>
      <c r="F62" s="232"/>
      <c r="G62" s="232"/>
      <c r="H62" s="232"/>
      <c r="I62" s="232"/>
      <c r="J62" s="232">
        <f t="shared" si="1"/>
        <v>2405.181818181818</v>
      </c>
      <c r="K62" s="232"/>
      <c r="L62" s="232"/>
      <c r="M62" s="232"/>
      <c r="N62" s="232"/>
      <c r="O62" s="232">
        <v>42.08</v>
      </c>
      <c r="P62" s="232">
        <v>349</v>
      </c>
      <c r="Q62" s="232"/>
      <c r="R62" s="232"/>
      <c r="S62" s="232">
        <v>0</v>
      </c>
      <c r="T62" s="232">
        <v>0</v>
      </c>
      <c r="U62" s="232">
        <v>0</v>
      </c>
    </row>
    <row r="63" spans="1:21" s="43" customFormat="1" ht="15" customHeight="1" x14ac:dyDescent="0.2">
      <c r="A63" s="232" t="s">
        <v>257</v>
      </c>
      <c r="B63" s="232"/>
      <c r="C63" s="232"/>
      <c r="D63" s="232"/>
      <c r="E63" s="232"/>
      <c r="F63" s="232"/>
      <c r="G63" s="232"/>
      <c r="H63" s="232"/>
      <c r="I63" s="232"/>
      <c r="J63" s="232">
        <f t="shared" si="1"/>
        <v>0</v>
      </c>
      <c r="K63" s="232"/>
      <c r="L63" s="232"/>
      <c r="M63" s="232"/>
      <c r="N63" s="232"/>
      <c r="O63" s="232"/>
      <c r="P63" s="232"/>
      <c r="Q63" s="232"/>
      <c r="R63" s="232"/>
      <c r="S63" s="232">
        <v>0</v>
      </c>
      <c r="T63" s="232">
        <v>0</v>
      </c>
      <c r="U63" s="232">
        <v>0</v>
      </c>
    </row>
    <row r="64" spans="1:21" s="43" customFormat="1" ht="15" customHeight="1" x14ac:dyDescent="0.2">
      <c r="A64" s="168" t="s">
        <v>48</v>
      </c>
      <c r="B64" s="169">
        <f t="shared" ref="B64:P64" si="13">SUM(B65:B67)</f>
        <v>0</v>
      </c>
      <c r="C64" s="169">
        <f t="shared" si="13"/>
        <v>92.85</v>
      </c>
      <c r="D64" s="169">
        <f t="shared" si="13"/>
        <v>353.07</v>
      </c>
      <c r="E64" s="169">
        <f t="shared" si="13"/>
        <v>228.9</v>
      </c>
      <c r="F64" s="169">
        <f t="shared" si="13"/>
        <v>0</v>
      </c>
      <c r="G64" s="169">
        <f t="shared" si="13"/>
        <v>836.83</v>
      </c>
      <c r="H64" s="169">
        <f t="shared" si="13"/>
        <v>0</v>
      </c>
      <c r="I64" s="169">
        <f t="shared" si="13"/>
        <v>0</v>
      </c>
      <c r="J64" s="169">
        <f t="shared" si="13"/>
        <v>1511.65</v>
      </c>
      <c r="K64" s="169">
        <f t="shared" si="13"/>
        <v>0</v>
      </c>
      <c r="L64" s="169">
        <f>SUM(L65:L67)</f>
        <v>0</v>
      </c>
      <c r="M64" s="169">
        <f t="shared" si="13"/>
        <v>0</v>
      </c>
      <c r="N64" s="169">
        <f>SUM(N65:N67)</f>
        <v>0</v>
      </c>
      <c r="O64" s="169">
        <f>SUM(O65:O67)</f>
        <v>20.8</v>
      </c>
      <c r="P64" s="169">
        <f t="shared" si="13"/>
        <v>118.66</v>
      </c>
      <c r="Q64" s="169"/>
      <c r="R64" s="169">
        <f>SUM(R65:R67)</f>
        <v>0</v>
      </c>
      <c r="S64" s="169">
        <f>SUM(S65:S67)</f>
        <v>0</v>
      </c>
      <c r="T64" s="161"/>
      <c r="U64" s="162"/>
    </row>
    <row r="65" spans="1:21" s="43" customFormat="1" ht="15" customHeight="1" x14ac:dyDescent="0.2">
      <c r="A65" s="232" t="s">
        <v>254</v>
      </c>
      <c r="B65" s="232"/>
      <c r="C65" s="232"/>
      <c r="D65" s="232"/>
      <c r="E65" s="232"/>
      <c r="F65" s="232"/>
      <c r="G65" s="232"/>
      <c r="H65" s="232"/>
      <c r="I65" s="232"/>
      <c r="J65" s="232">
        <f t="shared" si="1"/>
        <v>0</v>
      </c>
      <c r="K65" s="232"/>
      <c r="L65" s="232"/>
      <c r="M65" s="232"/>
      <c r="N65" s="232"/>
      <c r="O65" s="232"/>
      <c r="P65" s="232"/>
      <c r="Q65" s="232"/>
      <c r="R65" s="232">
        <v>0</v>
      </c>
      <c r="S65" s="232">
        <v>0</v>
      </c>
      <c r="T65" s="232">
        <v>0</v>
      </c>
      <c r="U65" s="232">
        <v>0</v>
      </c>
    </row>
    <row r="66" spans="1:21" s="43" customFormat="1" ht="15" customHeight="1" x14ac:dyDescent="0.2">
      <c r="A66" s="232" t="s">
        <v>255</v>
      </c>
      <c r="B66" s="232"/>
      <c r="C66" s="232"/>
      <c r="D66" s="232"/>
      <c r="E66" s="232"/>
      <c r="F66" s="232"/>
      <c r="G66" s="232"/>
      <c r="H66" s="232"/>
      <c r="I66" s="232"/>
      <c r="J66" s="232">
        <f t="shared" si="1"/>
        <v>0</v>
      </c>
      <c r="K66" s="232"/>
      <c r="L66" s="232"/>
      <c r="M66" s="232"/>
      <c r="N66" s="232"/>
      <c r="O66" s="232"/>
      <c r="P66" s="232"/>
      <c r="Q66" s="232"/>
      <c r="R66" s="232">
        <v>0</v>
      </c>
      <c r="S66" s="232">
        <v>0</v>
      </c>
      <c r="T66" s="232">
        <v>0</v>
      </c>
      <c r="U66" s="232">
        <v>0</v>
      </c>
    </row>
    <row r="67" spans="1:21" s="43" customFormat="1" ht="15" customHeight="1" thickBot="1" x14ac:dyDescent="0.25">
      <c r="A67" s="232" t="s">
        <v>256</v>
      </c>
      <c r="B67" s="232"/>
      <c r="C67" s="232">
        <v>92.85</v>
      </c>
      <c r="D67" s="232">
        <v>353.07</v>
      </c>
      <c r="E67" s="232">
        <v>228.9</v>
      </c>
      <c r="F67" s="232"/>
      <c r="G67" s="232">
        <v>836.83</v>
      </c>
      <c r="H67" s="232"/>
      <c r="I67" s="232"/>
      <c r="J67" s="232">
        <f t="shared" si="1"/>
        <v>1511.65</v>
      </c>
      <c r="K67" s="232"/>
      <c r="L67" s="232"/>
      <c r="M67" s="232"/>
      <c r="N67" s="232"/>
      <c r="O67" s="232">
        <v>20.8</v>
      </c>
      <c r="P67" s="232">
        <v>118.66</v>
      </c>
      <c r="Q67" s="232"/>
      <c r="R67" s="232">
        <v>0</v>
      </c>
      <c r="S67" s="232"/>
      <c r="T67" s="232">
        <v>0</v>
      </c>
      <c r="U67" s="232">
        <v>0</v>
      </c>
    </row>
    <row r="68" spans="1:21" ht="13.5" thickTop="1" thickBot="1" x14ac:dyDescent="0.25">
      <c r="A68" s="38" t="s">
        <v>44</v>
      </c>
      <c r="B68" s="60">
        <f>SUM(B59:B67)/2</f>
        <v>177.81818181818181</v>
      </c>
      <c r="C68" s="60">
        <f t="shared" ref="C68:U68" si="14">SUM(C59:C67)/2</f>
        <v>1725.3954545454542</v>
      </c>
      <c r="D68" s="60">
        <f t="shared" si="14"/>
        <v>952.4336363636362</v>
      </c>
      <c r="E68" s="60">
        <f t="shared" si="14"/>
        <v>746.35454545454547</v>
      </c>
      <c r="F68" s="60">
        <f t="shared" si="14"/>
        <v>135.36363636363635</v>
      </c>
      <c r="G68" s="60">
        <f t="shared" si="14"/>
        <v>1046.83</v>
      </c>
      <c r="H68" s="60">
        <f t="shared" si="14"/>
        <v>143.45454545454547</v>
      </c>
      <c r="I68" s="60">
        <f t="shared" si="14"/>
        <v>0</v>
      </c>
      <c r="J68" s="60">
        <f t="shared" si="14"/>
        <v>4927.6499999999996</v>
      </c>
      <c r="K68" s="60">
        <f t="shared" si="14"/>
        <v>0</v>
      </c>
      <c r="L68" s="60">
        <f t="shared" si="14"/>
        <v>0</v>
      </c>
      <c r="M68" s="60">
        <f t="shared" si="14"/>
        <v>0</v>
      </c>
      <c r="N68" s="60">
        <f t="shared" si="14"/>
        <v>0</v>
      </c>
      <c r="O68" s="60">
        <f t="shared" si="14"/>
        <v>70.166499999999999</v>
      </c>
      <c r="P68" s="60">
        <f t="shared" si="14"/>
        <v>578.69000000000005</v>
      </c>
      <c r="Q68" s="60">
        <f t="shared" si="14"/>
        <v>0</v>
      </c>
      <c r="R68" s="60">
        <f t="shared" si="14"/>
        <v>0</v>
      </c>
      <c r="S68" s="60">
        <f t="shared" si="14"/>
        <v>0</v>
      </c>
      <c r="T68" s="60">
        <f t="shared" si="14"/>
        <v>0</v>
      </c>
      <c r="U68" s="60">
        <f t="shared" si="14"/>
        <v>0</v>
      </c>
    </row>
    <row r="69" spans="1:21" ht="13.5" thickTop="1" thickBot="1" x14ac:dyDescent="0.25">
      <c r="A69" s="38" t="s">
        <v>8</v>
      </c>
      <c r="B69" s="60">
        <f>B68+B54+B49+B44+B39+B34+B29+B28+B8</f>
        <v>4823.2416618181815</v>
      </c>
      <c r="C69" s="60">
        <f t="shared" ref="C69:U69" si="15">C68+C54+C49+C44+C39+C34+C29+C28+C8</f>
        <v>17585.025963636363</v>
      </c>
      <c r="D69" s="60">
        <f t="shared" si="15"/>
        <v>36761.567436363635</v>
      </c>
      <c r="E69" s="60">
        <f t="shared" si="15"/>
        <v>26956.358727272727</v>
      </c>
      <c r="F69" s="60">
        <f t="shared" si="15"/>
        <v>16931.980023636363</v>
      </c>
      <c r="G69" s="60">
        <f t="shared" si="15"/>
        <v>11497.841979999999</v>
      </c>
      <c r="H69" s="60">
        <f t="shared" si="15"/>
        <v>39052.388585454544</v>
      </c>
      <c r="I69" s="60">
        <f t="shared" si="15"/>
        <v>7541.6310000000003</v>
      </c>
      <c r="J69" s="60">
        <f t="shared" si="15"/>
        <v>161150.03537818181</v>
      </c>
      <c r="K69" s="60">
        <f t="shared" si="15"/>
        <v>4846.32</v>
      </c>
      <c r="L69" s="60">
        <f t="shared" si="15"/>
        <v>915.6</v>
      </c>
      <c r="M69" s="60">
        <f t="shared" si="15"/>
        <v>1365.4612999999999</v>
      </c>
      <c r="N69" s="60">
        <f t="shared" si="15"/>
        <v>146.60860000000002</v>
      </c>
      <c r="O69" s="60">
        <f t="shared" si="15"/>
        <v>133.15649999999999</v>
      </c>
      <c r="P69" s="60">
        <f t="shared" si="15"/>
        <v>12593.779999999999</v>
      </c>
      <c r="Q69" s="60">
        <f t="shared" si="15"/>
        <v>0</v>
      </c>
      <c r="R69" s="60">
        <f t="shared" si="15"/>
        <v>0</v>
      </c>
      <c r="S69" s="60">
        <f t="shared" si="15"/>
        <v>0</v>
      </c>
      <c r="T69" s="60">
        <f t="shared" si="15"/>
        <v>0</v>
      </c>
      <c r="U69" s="60">
        <f t="shared" si="15"/>
        <v>0</v>
      </c>
    </row>
    <row r="70" spans="1:21" ht="12" thickTop="1" x14ac:dyDescent="0.2">
      <c r="A70" s="4" t="s">
        <v>763</v>
      </c>
    </row>
    <row r="71" spans="1:21" x14ac:dyDescent="0.2">
      <c r="A71" s="4" t="s">
        <v>765</v>
      </c>
      <c r="B71" s="589">
        <f>P30*1.1</f>
        <v>408.60599999999999</v>
      </c>
      <c r="D71" s="4" t="s">
        <v>254</v>
      </c>
      <c r="E71" s="4">
        <f>SUMIF(A8:A67,D71,P8:P67)</f>
        <v>2094.42</v>
      </c>
    </row>
    <row r="72" spans="1:21" x14ac:dyDescent="0.2">
      <c r="A72" s="4" t="s">
        <v>766</v>
      </c>
      <c r="B72" s="589">
        <f>P41*1.1</f>
        <v>1159.356</v>
      </c>
      <c r="D72" s="4" t="s">
        <v>255</v>
      </c>
      <c r="E72" s="4">
        <f>SUMIF(A9:A69,D72,P9:P69)</f>
        <v>3920.56</v>
      </c>
    </row>
    <row r="73" spans="1:21" x14ac:dyDescent="0.2">
      <c r="A73" s="4" t="s">
        <v>764</v>
      </c>
      <c r="B73" s="589">
        <f>(P37+P47)*1.1</f>
        <v>1344.1230000000003</v>
      </c>
      <c r="D73" s="4" t="s">
        <v>256</v>
      </c>
      <c r="E73" s="10">
        <f>P69-E72-E71</f>
        <v>6578.7999999999993</v>
      </c>
    </row>
    <row r="92" spans="1:1" x14ac:dyDescent="0.2">
      <c r="A92" s="153"/>
    </row>
  </sheetData>
  <mergeCells count="4">
    <mergeCell ref="A5:U5"/>
    <mergeCell ref="A6:A7"/>
    <mergeCell ref="R6:S6"/>
    <mergeCell ref="T6:U6"/>
  </mergeCells>
  <dataValidations count="1">
    <dataValidation type="list" allowBlank="1" showInputMessage="1" showErrorMessage="1" sqref="U13:U16 U18:U21 U8:U11 U23:U26 U29:U32 U34:U37 U39:U42 U44:U47 U49:U52 U54:U57 U59:U62 U64:U67" xr:uid="{40F47E68-E71C-49D4-A9E0-5E9171401096}">
      <formula1>#REF!</formula1>
    </dataValidation>
  </dataValidations>
  <printOptions horizontalCentered="1"/>
  <pageMargins left="0.39370078740157483" right="0" top="0.39370078740157483" bottom="0.39370078740157483" header="0.51181102362204722" footer="0.19685039370078741"/>
  <pageSetup paperSize="9" scale="45" orientation="portrait" verticalDpi="300" r:id="rId1"/>
  <headerFooter alignWithMargins="0">
    <oddFooter>&amp;L&amp;F - &amp;A&amp;R&amp;P /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B33C6-4B77-473F-BA51-1B7474C11595}">
  <sheetPr>
    <tabColor theme="0" tint="-0.34998626667073579"/>
  </sheetPr>
  <dimension ref="A1:L112"/>
  <sheetViews>
    <sheetView topLeftCell="A25" zoomScale="85" zoomScaleNormal="85" workbookViewId="0">
      <selection activeCell="D49" sqref="D49"/>
    </sheetView>
  </sheetViews>
  <sheetFormatPr defaultColWidth="9.140625" defaultRowHeight="15" x14ac:dyDescent="0.25"/>
  <cols>
    <col min="1" max="1" width="26.42578125" style="592" bestFit="1" customWidth="1"/>
    <col min="2" max="2" width="17" style="599" customWidth="1"/>
    <col min="3" max="10" width="17" style="599" bestFit="1" customWidth="1"/>
    <col min="11" max="16384" width="9.140625" style="592"/>
  </cols>
  <sheetData>
    <row r="1" spans="1:11" x14ac:dyDescent="0.25">
      <c r="A1" s="1176" t="s">
        <v>4233</v>
      </c>
      <c r="B1" s="1176"/>
      <c r="C1" s="1176"/>
      <c r="D1" s="1176"/>
      <c r="E1" s="1176"/>
      <c r="F1" s="1176"/>
      <c r="G1" s="1176"/>
      <c r="H1" s="1176"/>
      <c r="I1" s="1176"/>
      <c r="J1" s="1176"/>
    </row>
    <row r="2" spans="1:11" x14ac:dyDescent="0.25">
      <c r="A2" s="601" t="s">
        <v>135</v>
      </c>
      <c r="B2" s="602" t="s">
        <v>784</v>
      </c>
      <c r="C2" s="602" t="s">
        <v>785</v>
      </c>
      <c r="D2" s="602" t="s">
        <v>788</v>
      </c>
      <c r="E2" s="602" t="s">
        <v>790</v>
      </c>
      <c r="F2" s="602" t="s">
        <v>792</v>
      </c>
      <c r="G2" s="602" t="s">
        <v>794</v>
      </c>
      <c r="H2" s="602" t="s">
        <v>796</v>
      </c>
      <c r="I2" s="602" t="s">
        <v>797</v>
      </c>
      <c r="J2" s="602" t="s">
        <v>798</v>
      </c>
    </row>
    <row r="3" spans="1:11" x14ac:dyDescent="0.25">
      <c r="A3" s="603" t="s">
        <v>772</v>
      </c>
      <c r="B3" s="604">
        <f>500*3</f>
        <v>1500</v>
      </c>
      <c r="C3" s="604">
        <f t="shared" ref="C3:E4" si="0">500*2</f>
        <v>1000</v>
      </c>
      <c r="D3" s="604">
        <f t="shared" si="0"/>
        <v>1000</v>
      </c>
      <c r="E3" s="604">
        <f t="shared" si="0"/>
        <v>1000</v>
      </c>
      <c r="F3" s="604">
        <f>500*3</f>
        <v>1500</v>
      </c>
      <c r="G3" s="604">
        <f>500</f>
        <v>500</v>
      </c>
      <c r="H3" s="604">
        <f>500</f>
        <v>500</v>
      </c>
      <c r="I3" s="604">
        <v>210</v>
      </c>
      <c r="J3" s="604">
        <v>0</v>
      </c>
    </row>
    <row r="4" spans="1:11" x14ac:dyDescent="0.25">
      <c r="A4" s="603" t="s">
        <v>773</v>
      </c>
      <c r="B4" s="604">
        <f>500*3</f>
        <v>1500</v>
      </c>
      <c r="C4" s="604">
        <f t="shared" si="0"/>
        <v>1000</v>
      </c>
      <c r="D4" s="604">
        <f t="shared" si="0"/>
        <v>1000</v>
      </c>
      <c r="E4" s="604">
        <f t="shared" si="0"/>
        <v>1000</v>
      </c>
      <c r="F4" s="604">
        <f>500*3</f>
        <v>1500</v>
      </c>
      <c r="G4" s="604">
        <f>500</f>
        <v>500</v>
      </c>
      <c r="H4" s="604">
        <v>520</v>
      </c>
      <c r="I4" s="604">
        <v>310</v>
      </c>
      <c r="J4" s="604">
        <v>75</v>
      </c>
    </row>
    <row r="5" spans="1:11" x14ac:dyDescent="0.25">
      <c r="A5" s="603" t="s">
        <v>774</v>
      </c>
      <c r="B5" s="604">
        <f>180*3</f>
        <v>540</v>
      </c>
      <c r="C5" s="604">
        <f>180*2</f>
        <v>360</v>
      </c>
      <c r="D5" s="604">
        <f>180*2</f>
        <v>360</v>
      </c>
      <c r="E5" s="604">
        <f>180*2</f>
        <v>360</v>
      </c>
      <c r="F5" s="604">
        <f>180*3</f>
        <v>540</v>
      </c>
      <c r="G5" s="604">
        <f>180</f>
        <v>180</v>
      </c>
      <c r="H5" s="604">
        <f>180</f>
        <v>180</v>
      </c>
      <c r="I5" s="604">
        <v>70</v>
      </c>
      <c r="J5" s="604">
        <v>0</v>
      </c>
    </row>
    <row r="6" spans="1:11" x14ac:dyDescent="0.25">
      <c r="A6" s="603" t="s">
        <v>775</v>
      </c>
      <c r="B6" s="604">
        <f>2300*3</f>
        <v>6900</v>
      </c>
      <c r="C6" s="604">
        <f>2300*2</f>
        <v>4600</v>
      </c>
      <c r="D6" s="604">
        <f>2300*2</f>
        <v>4600</v>
      </c>
      <c r="E6" s="604">
        <f>2300*2</f>
        <v>4600</v>
      </c>
      <c r="F6" s="604">
        <f>2300*3</f>
        <v>6900</v>
      </c>
      <c r="G6" s="604">
        <f>2300</f>
        <v>2300</v>
      </c>
      <c r="H6" s="604">
        <v>2270</v>
      </c>
      <c r="I6" s="604">
        <v>2100</v>
      </c>
      <c r="J6" s="604">
        <v>670</v>
      </c>
    </row>
    <row r="7" spans="1:11" x14ac:dyDescent="0.25">
      <c r="A7" s="603" t="s">
        <v>776</v>
      </c>
      <c r="B7" s="604">
        <f>5600*3</f>
        <v>16800</v>
      </c>
      <c r="C7" s="604">
        <f>5600*2</f>
        <v>11200</v>
      </c>
      <c r="D7" s="604">
        <f>5600*2</f>
        <v>11200</v>
      </c>
      <c r="E7" s="604">
        <f>5600*2</f>
        <v>11200</v>
      </c>
      <c r="F7" s="604">
        <f>5600*3</f>
        <v>16800</v>
      </c>
      <c r="G7" s="604">
        <f>5600</f>
        <v>5600</v>
      </c>
      <c r="H7" s="604">
        <v>5420</v>
      </c>
      <c r="I7" s="604">
        <v>3900</v>
      </c>
      <c r="J7" s="604">
        <v>1300</v>
      </c>
    </row>
    <row r="8" spans="1:11" x14ac:dyDescent="0.25">
      <c r="A8" s="603" t="s">
        <v>777</v>
      </c>
      <c r="B8" s="604">
        <f>350*3</f>
        <v>1050</v>
      </c>
      <c r="C8" s="604">
        <f>350*2</f>
        <v>700</v>
      </c>
      <c r="D8" s="604">
        <f>350*2</f>
        <v>700</v>
      </c>
      <c r="E8" s="604">
        <f>350*2</f>
        <v>700</v>
      </c>
      <c r="F8" s="604">
        <f>350*3</f>
        <v>1050</v>
      </c>
      <c r="G8" s="604">
        <f>350</f>
        <v>350</v>
      </c>
      <c r="H8" s="604">
        <v>350</v>
      </c>
      <c r="I8" s="604">
        <v>220</v>
      </c>
      <c r="J8" s="604">
        <v>55</v>
      </c>
    </row>
    <row r="9" spans="1:11" x14ac:dyDescent="0.25">
      <c r="A9" s="603" t="s">
        <v>778</v>
      </c>
      <c r="B9" s="604">
        <f>3700*3</f>
        <v>11100</v>
      </c>
      <c r="C9" s="604">
        <f>3700*2</f>
        <v>7400</v>
      </c>
      <c r="D9" s="604">
        <f>3700*2</f>
        <v>7400</v>
      </c>
      <c r="E9" s="604">
        <f>3700*2</f>
        <v>7400</v>
      </c>
      <c r="F9" s="604">
        <f>3700*3</f>
        <v>11100</v>
      </c>
      <c r="G9" s="604">
        <f>3700</f>
        <v>3700</v>
      </c>
      <c r="H9" s="604">
        <v>4330</v>
      </c>
      <c r="I9" s="604">
        <v>1300</v>
      </c>
      <c r="J9" s="604">
        <v>630</v>
      </c>
    </row>
    <row r="10" spans="1:11" x14ac:dyDescent="0.25">
      <c r="A10" s="603" t="s">
        <v>4173</v>
      </c>
      <c r="B10" s="604">
        <f>630*3</f>
        <v>1890</v>
      </c>
      <c r="C10" s="604">
        <f>630*2</f>
        <v>1260</v>
      </c>
      <c r="D10" s="604">
        <f>630*2</f>
        <v>1260</v>
      </c>
      <c r="E10" s="604">
        <f>630*2</f>
        <v>1260</v>
      </c>
      <c r="F10" s="604">
        <f>630*3</f>
        <v>1890</v>
      </c>
      <c r="G10" s="604">
        <f>630</f>
        <v>630</v>
      </c>
      <c r="H10" s="604">
        <v>20</v>
      </c>
      <c r="I10" s="604">
        <v>1150</v>
      </c>
      <c r="J10" s="604">
        <v>0</v>
      </c>
      <c r="K10" s="592" t="s">
        <v>4174</v>
      </c>
    </row>
    <row r="11" spans="1:11" x14ac:dyDescent="0.25">
      <c r="A11" s="680" t="s">
        <v>779</v>
      </c>
      <c r="B11" s="681" t="s">
        <v>782</v>
      </c>
      <c r="C11" s="681" t="s">
        <v>786</v>
      </c>
      <c r="D11" s="681" t="s">
        <v>783</v>
      </c>
      <c r="E11" s="681" t="s">
        <v>791</v>
      </c>
      <c r="F11" s="681" t="s">
        <v>789</v>
      </c>
      <c r="G11" s="681" t="s">
        <v>793</v>
      </c>
      <c r="H11" s="681" t="s">
        <v>793</v>
      </c>
      <c r="I11" s="681" t="s">
        <v>793</v>
      </c>
      <c r="J11" s="681" t="s">
        <v>793</v>
      </c>
    </row>
    <row r="12" spans="1:11" x14ac:dyDescent="0.25">
      <c r="A12" s="680" t="s">
        <v>780</v>
      </c>
      <c r="B12" s="681" t="s">
        <v>783</v>
      </c>
      <c r="C12" s="681" t="s">
        <v>783</v>
      </c>
      <c r="D12" s="681" t="s">
        <v>789</v>
      </c>
      <c r="E12" s="681" t="s">
        <v>789</v>
      </c>
      <c r="F12" s="681" t="s">
        <v>793</v>
      </c>
      <c r="G12" s="681" t="s">
        <v>793</v>
      </c>
      <c r="H12" s="681" t="s">
        <v>793</v>
      </c>
      <c r="I12" s="681" t="s">
        <v>793</v>
      </c>
      <c r="J12" s="681" t="s">
        <v>793</v>
      </c>
    </row>
    <row r="13" spans="1:11" x14ac:dyDescent="0.25">
      <c r="A13" s="680" t="s">
        <v>781</v>
      </c>
      <c r="B13" s="681" t="s">
        <v>610</v>
      </c>
      <c r="C13" s="681" t="s">
        <v>787</v>
      </c>
      <c r="D13" s="681" t="s">
        <v>787</v>
      </c>
      <c r="E13" s="681" t="s">
        <v>609</v>
      </c>
      <c r="F13" s="681" t="s">
        <v>609</v>
      </c>
      <c r="G13" s="681" t="s">
        <v>795</v>
      </c>
      <c r="H13" s="681" t="s">
        <v>795</v>
      </c>
      <c r="I13" s="681" t="s">
        <v>795</v>
      </c>
      <c r="J13" s="681" t="s">
        <v>795</v>
      </c>
    </row>
    <row r="14" spans="1:11" x14ac:dyDescent="0.25">
      <c r="A14" s="603" t="s">
        <v>3703</v>
      </c>
      <c r="B14" s="611">
        <f>B21*3*1.15</f>
        <v>8.4903671999999997</v>
      </c>
      <c r="C14" s="611">
        <f>B21*2*1.15</f>
        <v>5.6602448000000001</v>
      </c>
      <c r="D14" s="611">
        <f>B21*2*1.15</f>
        <v>5.6602448000000001</v>
      </c>
      <c r="E14" s="611">
        <f>B21*2*1.15</f>
        <v>5.6602448000000001</v>
      </c>
      <c r="F14" s="611">
        <f>B21*3*1.15</f>
        <v>8.4903671999999997</v>
      </c>
      <c r="G14" s="611">
        <f>B21*1.15</f>
        <v>2.8301224</v>
      </c>
      <c r="H14" s="611">
        <f>B21*1.15</f>
        <v>2.8301224</v>
      </c>
      <c r="I14" s="611">
        <f>B21*1.15</f>
        <v>2.8301224</v>
      </c>
      <c r="J14" s="611">
        <f>B22*1.15</f>
        <v>1.7953110000000003</v>
      </c>
    </row>
    <row r="15" spans="1:11" x14ac:dyDescent="0.25">
      <c r="A15" s="603" t="s">
        <v>3702</v>
      </c>
      <c r="B15" s="611">
        <f>(0.19*B9*0.12*0.15)+(B10*0.19*0.12*0.05)</f>
        <v>40.116599999999998</v>
      </c>
      <c r="C15" s="611">
        <f t="shared" ref="C15:J15" si="1">(0.19*C9*0.12*0.15)+(C10*0.19*0.12*0.05)</f>
        <v>26.744399999999999</v>
      </c>
      <c r="D15" s="611">
        <f t="shared" si="1"/>
        <v>26.744399999999999</v>
      </c>
      <c r="E15" s="611">
        <f t="shared" si="1"/>
        <v>26.744399999999999</v>
      </c>
      <c r="F15" s="611">
        <f t="shared" si="1"/>
        <v>40.116599999999998</v>
      </c>
      <c r="G15" s="611">
        <f t="shared" si="1"/>
        <v>13.372199999999999</v>
      </c>
      <c r="H15" s="611">
        <f t="shared" si="1"/>
        <v>14.8314</v>
      </c>
      <c r="I15" s="611">
        <f t="shared" si="1"/>
        <v>5.7569999999999997</v>
      </c>
      <c r="J15" s="611">
        <f t="shared" si="1"/>
        <v>2.1545999999999998</v>
      </c>
    </row>
    <row r="16" spans="1:11" x14ac:dyDescent="0.25">
      <c r="J16" s="600"/>
    </row>
    <row r="18" spans="1:8" x14ac:dyDescent="0.25">
      <c r="A18" s="677" t="s">
        <v>799</v>
      </c>
      <c r="B18" s="678">
        <v>43</v>
      </c>
      <c r="C18" s="678" t="s">
        <v>800</v>
      </c>
    </row>
    <row r="19" spans="1:8" x14ac:dyDescent="0.25">
      <c r="A19" s="677" t="s">
        <v>40</v>
      </c>
      <c r="B19" s="678">
        <f>0.14*0.14</f>
        <v>1.9600000000000003E-2</v>
      </c>
      <c r="C19" s="678" t="s">
        <v>1</v>
      </c>
    </row>
    <row r="20" spans="1:8" x14ac:dyDescent="0.25">
      <c r="A20" s="677" t="s">
        <v>801</v>
      </c>
      <c r="B20" s="678">
        <v>2.92</v>
      </c>
      <c r="C20" s="678" t="s">
        <v>3</v>
      </c>
    </row>
    <row r="21" spans="1:8" x14ac:dyDescent="0.25">
      <c r="A21" s="677" t="s">
        <v>802</v>
      </c>
      <c r="B21" s="678">
        <f>B18*B19*B20</f>
        <v>2.4609760000000001</v>
      </c>
      <c r="C21" s="678" t="s">
        <v>4</v>
      </c>
      <c r="D21" s="737" t="s">
        <v>4179</v>
      </c>
    </row>
    <row r="22" spans="1:8" x14ac:dyDescent="0.25">
      <c r="A22" s="677" t="s">
        <v>803</v>
      </c>
      <c r="B22" s="679">
        <f>0.14*0.14*27*EPCs!N27</f>
        <v>1.5611400000000004</v>
      </c>
      <c r="C22" s="678" t="s">
        <v>4</v>
      </c>
    </row>
    <row r="23" spans="1:8" x14ac:dyDescent="0.25">
      <c r="A23" s="677"/>
      <c r="B23" s="678"/>
      <c r="C23" s="678"/>
      <c r="D23" s="599" t="s">
        <v>804</v>
      </c>
      <c r="E23" s="606"/>
    </row>
    <row r="24" spans="1:8" x14ac:dyDescent="0.25">
      <c r="H24" s="737" t="s">
        <v>4177</v>
      </c>
    </row>
    <row r="28" spans="1:8" x14ac:dyDescent="0.25">
      <c r="A28" s="634" t="s">
        <v>56</v>
      </c>
      <c r="B28" s="635" t="s">
        <v>1250</v>
      </c>
      <c r="C28" s="635"/>
      <c r="D28" s="635"/>
    </row>
    <row r="30" spans="1:8" x14ac:dyDescent="0.25">
      <c r="C30" s="599" t="s">
        <v>241</v>
      </c>
      <c r="D30" s="599" t="s">
        <v>1251</v>
      </c>
    </row>
    <row r="31" spans="1:8" x14ac:dyDescent="0.25">
      <c r="C31" s="599">
        <v>10</v>
      </c>
      <c r="D31" s="599">
        <f>2823.1/1.1</f>
        <v>2566.454545454545</v>
      </c>
    </row>
    <row r="32" spans="1:8" x14ac:dyDescent="0.25">
      <c r="C32" s="599">
        <v>12.5</v>
      </c>
      <c r="D32" s="599">
        <f>2548.75/1.1</f>
        <v>2317.0454545454545</v>
      </c>
    </row>
    <row r="33" spans="1:12" x14ac:dyDescent="0.25">
      <c r="C33" s="599">
        <v>16</v>
      </c>
      <c r="D33" s="599">
        <f>3593.8/1.1</f>
        <v>3267.090909090909</v>
      </c>
    </row>
    <row r="37" spans="1:12" x14ac:dyDescent="0.25">
      <c r="A37" s="634" t="s">
        <v>3699</v>
      </c>
      <c r="B37" s="635"/>
      <c r="C37" s="635"/>
      <c r="D37" s="635"/>
    </row>
    <row r="39" spans="1:12" x14ac:dyDescent="0.25">
      <c r="A39" s="592" t="s">
        <v>4921</v>
      </c>
      <c r="B39" s="911">
        <f>Ger_Executivo!L223</f>
        <v>2895.7999999999997</v>
      </c>
    </row>
    <row r="40" spans="1:12" x14ac:dyDescent="0.25">
      <c r="A40" s="602" t="s">
        <v>4922</v>
      </c>
      <c r="B40" s="602" t="s">
        <v>4920</v>
      </c>
      <c r="C40" s="599" t="s">
        <v>3699</v>
      </c>
      <c r="D40" s="625" t="s">
        <v>4485</v>
      </c>
      <c r="E40" s="599" t="s">
        <v>4931</v>
      </c>
      <c r="H40" s="599" t="s">
        <v>4989</v>
      </c>
      <c r="I40" s="599" t="s">
        <v>4988</v>
      </c>
    </row>
    <row r="41" spans="1:12" x14ac:dyDescent="0.25">
      <c r="A41" s="592" t="s">
        <v>772</v>
      </c>
      <c r="B41" s="599">
        <v>1500</v>
      </c>
      <c r="C41" s="599">
        <f>B41/$B$39</f>
        <v>0.51799157400372964</v>
      </c>
      <c r="D41" s="625">
        <v>1.68</v>
      </c>
      <c r="E41" s="912">
        <f>C41*D41</f>
        <v>0.87022584432626571</v>
      </c>
      <c r="H41" s="599" t="s">
        <v>4985</v>
      </c>
      <c r="I41" s="599">
        <v>50</v>
      </c>
      <c r="J41" s="599" t="s">
        <v>5</v>
      </c>
      <c r="K41" s="592">
        <v>0.74</v>
      </c>
      <c r="L41" s="592">
        <f>K41*I41</f>
        <v>37</v>
      </c>
    </row>
    <row r="42" spans="1:12" x14ac:dyDescent="0.25">
      <c r="A42" s="592" t="s">
        <v>773</v>
      </c>
      <c r="B42" s="599">
        <v>1500</v>
      </c>
      <c r="C42" s="599">
        <f t="shared" ref="C42:C48" si="2">B42/$B$39</f>
        <v>0.51799157400372964</v>
      </c>
      <c r="D42" s="625">
        <v>3</v>
      </c>
      <c r="E42" s="912">
        <f t="shared" ref="E42:E49" si="3">C42*D42</f>
        <v>1.5539747220111888</v>
      </c>
      <c r="H42" s="599" t="s">
        <v>4986</v>
      </c>
      <c r="I42" s="599">
        <f>(4*18)/1000</f>
        <v>7.1999999999999995E-2</v>
      </c>
      <c r="J42" s="599" t="s">
        <v>43</v>
      </c>
      <c r="K42" s="592">
        <v>160</v>
      </c>
      <c r="L42" s="592">
        <f>K42*I42</f>
        <v>11.52</v>
      </c>
    </row>
    <row r="43" spans="1:12" x14ac:dyDescent="0.25">
      <c r="A43" s="592" t="s">
        <v>774</v>
      </c>
      <c r="B43" s="599">
        <v>540</v>
      </c>
      <c r="C43" s="599">
        <f t="shared" si="2"/>
        <v>0.18647696664134264</v>
      </c>
      <c r="D43" s="625">
        <v>3.07</v>
      </c>
      <c r="E43" s="912">
        <f t="shared" si="3"/>
        <v>0.57248428758892189</v>
      </c>
      <c r="H43" s="599" t="s">
        <v>4987</v>
      </c>
      <c r="I43" s="599">
        <f>6*18/1000</f>
        <v>0.108</v>
      </c>
      <c r="J43" s="599" t="s">
        <v>43</v>
      </c>
      <c r="K43" s="592">
        <v>68</v>
      </c>
      <c r="L43" s="592">
        <f>K43*I43</f>
        <v>7.3440000000000003</v>
      </c>
    </row>
    <row r="44" spans="1:12" x14ac:dyDescent="0.25">
      <c r="A44" s="592" t="s">
        <v>775</v>
      </c>
      <c r="B44" s="599">
        <v>6900</v>
      </c>
      <c r="C44" s="599">
        <f t="shared" si="2"/>
        <v>2.3827612404171563</v>
      </c>
      <c r="D44" s="625">
        <v>3.88</v>
      </c>
      <c r="E44" s="912">
        <f t="shared" si="3"/>
        <v>9.2451136128185656</v>
      </c>
      <c r="L44" s="592">
        <f>SUM(L41:L43)</f>
        <v>55.863999999999997</v>
      </c>
    </row>
    <row r="45" spans="1:12" x14ac:dyDescent="0.25">
      <c r="A45" s="592" t="s">
        <v>776</v>
      </c>
      <c r="B45" s="599">
        <v>16800</v>
      </c>
      <c r="C45" s="599">
        <f t="shared" si="2"/>
        <v>5.8015056288417712</v>
      </c>
      <c r="D45" s="625">
        <v>3.88</v>
      </c>
      <c r="E45" s="912">
        <f t="shared" si="3"/>
        <v>22.509841839906073</v>
      </c>
      <c r="H45" s="599" t="s">
        <v>4990</v>
      </c>
    </row>
    <row r="46" spans="1:12" x14ac:dyDescent="0.25">
      <c r="A46" s="592" t="s">
        <v>777</v>
      </c>
      <c r="B46" s="599">
        <v>1050</v>
      </c>
      <c r="C46" s="599">
        <f t="shared" si="2"/>
        <v>0.3625941018026107</v>
      </c>
      <c r="D46" s="625">
        <v>4.5599999999999996</v>
      </c>
      <c r="E46" s="912">
        <f t="shared" si="3"/>
        <v>1.6534291042199047</v>
      </c>
      <c r="H46" s="599" t="s">
        <v>4985</v>
      </c>
      <c r="I46" s="599">
        <v>50</v>
      </c>
      <c r="J46" s="599" t="s">
        <v>5</v>
      </c>
      <c r="K46" s="592">
        <v>0.74</v>
      </c>
      <c r="L46" s="592">
        <f>K46*I46</f>
        <v>37</v>
      </c>
    </row>
    <row r="47" spans="1:12" x14ac:dyDescent="0.25">
      <c r="A47" s="592" t="s">
        <v>778</v>
      </c>
      <c r="B47" s="599">
        <v>11100</v>
      </c>
      <c r="C47" s="599">
        <f t="shared" si="2"/>
        <v>3.8331376476275989</v>
      </c>
      <c r="D47" s="625">
        <v>3.88</v>
      </c>
      <c r="E47" s="912">
        <f t="shared" si="3"/>
        <v>14.872574072795084</v>
      </c>
      <c r="H47" s="599" t="s">
        <v>4986</v>
      </c>
      <c r="I47" s="599">
        <f>(5*18)/1000</f>
        <v>0.09</v>
      </c>
      <c r="J47" s="599" t="s">
        <v>43</v>
      </c>
      <c r="K47" s="592">
        <v>160</v>
      </c>
      <c r="L47" s="592">
        <f>K47*I47</f>
        <v>14.399999999999999</v>
      </c>
    </row>
    <row r="48" spans="1:12" x14ac:dyDescent="0.25">
      <c r="A48" s="592" t="s">
        <v>4173</v>
      </c>
      <c r="B48" s="599">
        <v>1890</v>
      </c>
      <c r="C48" s="599">
        <f t="shared" si="2"/>
        <v>0.65266938324469925</v>
      </c>
      <c r="D48" s="625">
        <v>3.88</v>
      </c>
      <c r="E48" s="912">
        <f t="shared" si="3"/>
        <v>2.5323572069894329</v>
      </c>
      <c r="H48" s="599" t="s">
        <v>4987</v>
      </c>
      <c r="I48" s="599">
        <f>(6*18)/1000</f>
        <v>0.108</v>
      </c>
      <c r="J48" s="599" t="s">
        <v>43</v>
      </c>
      <c r="K48" s="592">
        <v>68</v>
      </c>
      <c r="L48" s="592">
        <f>K48*I48</f>
        <v>7.3440000000000003</v>
      </c>
    </row>
    <row r="49" spans="1:12" x14ac:dyDescent="0.25">
      <c r="A49" s="592" t="s">
        <v>4923</v>
      </c>
      <c r="C49" s="599">
        <f>1.2*15</f>
        <v>18</v>
      </c>
      <c r="D49" s="625">
        <f>16.38/15</f>
        <v>1.0919999999999999</v>
      </c>
      <c r="E49" s="912">
        <f t="shared" si="3"/>
        <v>19.655999999999999</v>
      </c>
      <c r="F49" s="912">
        <f>SUM(E41:E49)</f>
        <v>73.46600069065542</v>
      </c>
      <c r="L49" s="592">
        <f>SUM(L46:L48)</f>
        <v>58.744</v>
      </c>
    </row>
    <row r="50" spans="1:12" x14ac:dyDescent="0.25">
      <c r="H50" s="599" t="s">
        <v>4991</v>
      </c>
    </row>
    <row r="51" spans="1:12" x14ac:dyDescent="0.25">
      <c r="A51" s="592" t="s">
        <v>4921</v>
      </c>
      <c r="B51" s="911">
        <f>Ger_Executivo!L231</f>
        <v>1920.68</v>
      </c>
      <c r="H51" s="599" t="s">
        <v>4985</v>
      </c>
      <c r="I51" s="599">
        <v>50</v>
      </c>
      <c r="J51" s="599" t="s">
        <v>5</v>
      </c>
      <c r="K51" s="592">
        <v>0.74</v>
      </c>
      <c r="L51" s="592">
        <f>K51*I51</f>
        <v>37</v>
      </c>
    </row>
    <row r="52" spans="1:12" x14ac:dyDescent="0.25">
      <c r="A52" s="602" t="s">
        <v>4924</v>
      </c>
      <c r="B52" s="602" t="s">
        <v>785</v>
      </c>
      <c r="C52" s="599" t="s">
        <v>3699</v>
      </c>
      <c r="D52" s="625" t="s">
        <v>4485</v>
      </c>
      <c r="E52" s="599" t="s">
        <v>4931</v>
      </c>
      <c r="H52" s="599" t="s">
        <v>4986</v>
      </c>
      <c r="I52" s="599">
        <f>(5*18)/1000</f>
        <v>0.09</v>
      </c>
      <c r="J52" s="599" t="s">
        <v>43</v>
      </c>
      <c r="K52" s="592">
        <v>160</v>
      </c>
      <c r="L52" s="592">
        <f>K52*I52</f>
        <v>14.399999999999999</v>
      </c>
    </row>
    <row r="53" spans="1:12" x14ac:dyDescent="0.25">
      <c r="A53" s="592" t="s">
        <v>772</v>
      </c>
      <c r="B53" s="599">
        <v>1000</v>
      </c>
      <c r="C53" s="599">
        <f>B53/$B$51</f>
        <v>0.52064893683487101</v>
      </c>
      <c r="D53" s="625">
        <v>1.68</v>
      </c>
      <c r="E53" s="912">
        <f>C53*D53</f>
        <v>0.87469021388258328</v>
      </c>
      <c r="H53" s="599" t="s">
        <v>4987</v>
      </c>
      <c r="I53" s="599">
        <f>(8*18)/1000</f>
        <v>0.14399999999999999</v>
      </c>
      <c r="J53" s="599" t="s">
        <v>43</v>
      </c>
      <c r="K53" s="592">
        <v>68</v>
      </c>
      <c r="L53" s="592">
        <f>K53*I53</f>
        <v>9.7919999999999998</v>
      </c>
    </row>
    <row r="54" spans="1:12" x14ac:dyDescent="0.25">
      <c r="A54" s="592" t="s">
        <v>773</v>
      </c>
      <c r="B54" s="599">
        <v>1000</v>
      </c>
      <c r="C54" s="599">
        <f t="shared" ref="C54:C60" si="4">B54/$B$51</f>
        <v>0.52064893683487101</v>
      </c>
      <c r="D54" s="625">
        <v>3</v>
      </c>
      <c r="E54" s="912">
        <f t="shared" ref="E54:E61" si="5">C54*D54</f>
        <v>1.561946810504613</v>
      </c>
      <c r="L54" s="592">
        <f>SUM(L51:L53)</f>
        <v>61.192</v>
      </c>
    </row>
    <row r="55" spans="1:12" x14ac:dyDescent="0.25">
      <c r="A55" s="592" t="s">
        <v>774</v>
      </c>
      <c r="B55" s="599">
        <v>360</v>
      </c>
      <c r="C55" s="599">
        <f t="shared" si="4"/>
        <v>0.18743361726055355</v>
      </c>
      <c r="D55" s="625">
        <v>3.07</v>
      </c>
      <c r="E55" s="912">
        <f t="shared" si="5"/>
        <v>0.57542120498989935</v>
      </c>
      <c r="H55" s="599" t="s">
        <v>4992</v>
      </c>
    </row>
    <row r="56" spans="1:12" x14ac:dyDescent="0.25">
      <c r="A56" s="592" t="s">
        <v>775</v>
      </c>
      <c r="B56" s="599">
        <v>4600</v>
      </c>
      <c r="C56" s="599">
        <f t="shared" si="4"/>
        <v>2.3949851094404067</v>
      </c>
      <c r="D56" s="625">
        <v>3.88</v>
      </c>
      <c r="E56" s="912">
        <f t="shared" si="5"/>
        <v>9.292542224628777</v>
      </c>
      <c r="H56" s="599" t="s">
        <v>4985</v>
      </c>
      <c r="I56" s="599">
        <v>50</v>
      </c>
      <c r="J56" s="599" t="s">
        <v>5</v>
      </c>
      <c r="K56" s="592">
        <v>0.74</v>
      </c>
      <c r="L56" s="592">
        <f>K56*I56</f>
        <v>37</v>
      </c>
    </row>
    <row r="57" spans="1:12" x14ac:dyDescent="0.25">
      <c r="A57" s="592" t="s">
        <v>776</v>
      </c>
      <c r="B57" s="599">
        <v>11200</v>
      </c>
      <c r="C57" s="599">
        <f t="shared" si="4"/>
        <v>5.8312680925505544</v>
      </c>
      <c r="D57" s="625">
        <v>3.88</v>
      </c>
      <c r="E57" s="912">
        <f t="shared" si="5"/>
        <v>22.625320199096151</v>
      </c>
      <c r="H57" s="599" t="s">
        <v>4986</v>
      </c>
      <c r="I57" s="599">
        <f>(6*18)/1000</f>
        <v>0.108</v>
      </c>
      <c r="J57" s="599" t="s">
        <v>43</v>
      </c>
      <c r="K57" s="592">
        <v>160</v>
      </c>
      <c r="L57" s="592">
        <f>K57*I57</f>
        <v>17.28</v>
      </c>
    </row>
    <row r="58" spans="1:12" x14ac:dyDescent="0.25">
      <c r="A58" s="592" t="s">
        <v>777</v>
      </c>
      <c r="B58" s="599">
        <v>700</v>
      </c>
      <c r="C58" s="599">
        <f t="shared" si="4"/>
        <v>0.36445425578440965</v>
      </c>
      <c r="D58" s="625">
        <v>4.5599999999999996</v>
      </c>
      <c r="E58" s="912">
        <f t="shared" si="5"/>
        <v>1.6619114063769078</v>
      </c>
      <c r="H58" s="599" t="s">
        <v>4987</v>
      </c>
      <c r="I58" s="599">
        <f>(7*18)/1000</f>
        <v>0.126</v>
      </c>
      <c r="J58" s="599" t="s">
        <v>43</v>
      </c>
      <c r="K58" s="592">
        <v>68</v>
      </c>
      <c r="L58" s="592">
        <f>K58*I58</f>
        <v>8.5679999999999996</v>
      </c>
    </row>
    <row r="59" spans="1:12" x14ac:dyDescent="0.25">
      <c r="A59" s="592" t="s">
        <v>778</v>
      </c>
      <c r="B59" s="599">
        <v>7400</v>
      </c>
      <c r="C59" s="599">
        <f t="shared" si="4"/>
        <v>3.852802132578045</v>
      </c>
      <c r="D59" s="625">
        <v>3.88</v>
      </c>
      <c r="E59" s="912">
        <f t="shared" si="5"/>
        <v>14.948872274402815</v>
      </c>
      <c r="L59" s="592">
        <f>SUM(L56:L58)</f>
        <v>62.847999999999999</v>
      </c>
    </row>
    <row r="60" spans="1:12" x14ac:dyDescent="0.25">
      <c r="A60" s="592" t="s">
        <v>4173</v>
      </c>
      <c r="B60" s="599">
        <v>1260</v>
      </c>
      <c r="C60" s="599">
        <f t="shared" si="4"/>
        <v>0.65601766041193743</v>
      </c>
      <c r="D60" s="625">
        <v>3.88</v>
      </c>
      <c r="E60" s="912">
        <f t="shared" si="5"/>
        <v>2.5453485223983172</v>
      </c>
    </row>
    <row r="61" spans="1:12" x14ac:dyDescent="0.25">
      <c r="A61" s="592" t="s">
        <v>4923</v>
      </c>
      <c r="C61" s="599">
        <f>1.2*15</f>
        <v>18</v>
      </c>
      <c r="D61" s="625">
        <f>16.38/15</f>
        <v>1.0919999999999999</v>
      </c>
      <c r="E61" s="912">
        <f t="shared" si="5"/>
        <v>19.655999999999999</v>
      </c>
      <c r="F61" s="912">
        <f>SUM(E53:E61)</f>
        <v>73.742052856280054</v>
      </c>
    </row>
    <row r="63" spans="1:12" x14ac:dyDescent="0.25">
      <c r="A63" s="592" t="s">
        <v>4921</v>
      </c>
      <c r="B63" s="911">
        <f>Ger_Executivo!L239</f>
        <v>1920.68</v>
      </c>
    </row>
    <row r="64" spans="1:12" x14ac:dyDescent="0.25">
      <c r="A64" s="602" t="s">
        <v>4925</v>
      </c>
      <c r="B64" s="602" t="s">
        <v>788</v>
      </c>
      <c r="C64" s="599" t="s">
        <v>3699</v>
      </c>
      <c r="D64" s="625" t="s">
        <v>4485</v>
      </c>
      <c r="E64" s="599" t="s">
        <v>4931</v>
      </c>
    </row>
    <row r="65" spans="1:6" x14ac:dyDescent="0.25">
      <c r="A65" s="592" t="s">
        <v>772</v>
      </c>
      <c r="B65" s="599">
        <v>1000</v>
      </c>
      <c r="C65" s="599">
        <f>B65/$B$63</f>
        <v>0.52064893683487101</v>
      </c>
      <c r="D65" s="625">
        <v>1.68</v>
      </c>
      <c r="E65" s="912">
        <f>C65*D65</f>
        <v>0.87469021388258328</v>
      </c>
    </row>
    <row r="66" spans="1:6" x14ac:dyDescent="0.25">
      <c r="A66" s="592" t="s">
        <v>773</v>
      </c>
      <c r="B66" s="599">
        <v>1000</v>
      </c>
      <c r="C66" s="599">
        <f t="shared" ref="C66:C72" si="6">B66/$B$63</f>
        <v>0.52064893683487101</v>
      </c>
      <c r="D66" s="625">
        <v>3</v>
      </c>
      <c r="E66" s="912">
        <f t="shared" ref="E66:E73" si="7">C66*D66</f>
        <v>1.561946810504613</v>
      </c>
    </row>
    <row r="67" spans="1:6" x14ac:dyDescent="0.25">
      <c r="A67" s="592" t="s">
        <v>774</v>
      </c>
      <c r="B67" s="599">
        <v>360</v>
      </c>
      <c r="C67" s="599">
        <f t="shared" si="6"/>
        <v>0.18743361726055355</v>
      </c>
      <c r="D67" s="625">
        <v>3.07</v>
      </c>
      <c r="E67" s="912">
        <f t="shared" si="7"/>
        <v>0.57542120498989935</v>
      </c>
    </row>
    <row r="68" spans="1:6" x14ac:dyDescent="0.25">
      <c r="A68" s="592" t="s">
        <v>775</v>
      </c>
      <c r="B68" s="599">
        <v>4600</v>
      </c>
      <c r="C68" s="599">
        <f t="shared" si="6"/>
        <v>2.3949851094404067</v>
      </c>
      <c r="D68" s="625">
        <v>3.88</v>
      </c>
      <c r="E68" s="912">
        <f t="shared" si="7"/>
        <v>9.292542224628777</v>
      </c>
    </row>
    <row r="69" spans="1:6" x14ac:dyDescent="0.25">
      <c r="A69" s="592" t="s">
        <v>776</v>
      </c>
      <c r="B69" s="599">
        <v>11200</v>
      </c>
      <c r="C69" s="599">
        <f t="shared" si="6"/>
        <v>5.8312680925505544</v>
      </c>
      <c r="D69" s="625">
        <v>3.88</v>
      </c>
      <c r="E69" s="912">
        <f t="shared" si="7"/>
        <v>22.625320199096151</v>
      </c>
    </row>
    <row r="70" spans="1:6" x14ac:dyDescent="0.25">
      <c r="A70" s="592" t="s">
        <v>777</v>
      </c>
      <c r="B70" s="599">
        <v>700</v>
      </c>
      <c r="C70" s="599">
        <f t="shared" si="6"/>
        <v>0.36445425578440965</v>
      </c>
      <c r="D70" s="625">
        <v>4.5599999999999996</v>
      </c>
      <c r="E70" s="912">
        <f t="shared" si="7"/>
        <v>1.6619114063769078</v>
      </c>
    </row>
    <row r="71" spans="1:6" x14ac:dyDescent="0.25">
      <c r="A71" s="592" t="s">
        <v>778</v>
      </c>
      <c r="B71" s="599">
        <v>7400</v>
      </c>
      <c r="C71" s="599">
        <f t="shared" si="6"/>
        <v>3.852802132578045</v>
      </c>
      <c r="D71" s="625">
        <v>3.88</v>
      </c>
      <c r="E71" s="912">
        <f t="shared" si="7"/>
        <v>14.948872274402815</v>
      </c>
    </row>
    <row r="72" spans="1:6" x14ac:dyDescent="0.25">
      <c r="A72" s="592" t="s">
        <v>4173</v>
      </c>
      <c r="B72" s="599">
        <v>1260</v>
      </c>
      <c r="C72" s="599">
        <f t="shared" si="6"/>
        <v>0.65601766041193743</v>
      </c>
      <c r="D72" s="625">
        <v>3.88</v>
      </c>
      <c r="E72" s="912">
        <f t="shared" si="7"/>
        <v>2.5453485223983172</v>
      </c>
    </row>
    <row r="73" spans="1:6" x14ac:dyDescent="0.25">
      <c r="A73" s="592" t="s">
        <v>4926</v>
      </c>
      <c r="C73" s="599">
        <f>1.2*15</f>
        <v>18</v>
      </c>
      <c r="D73" s="625">
        <f>15.78/15</f>
        <v>1.052</v>
      </c>
      <c r="E73" s="912">
        <f t="shared" si="7"/>
        <v>18.936</v>
      </c>
      <c r="F73" s="912">
        <f>SUM(E65:E73)</f>
        <v>73.022052856280055</v>
      </c>
    </row>
    <row r="76" spans="1:6" x14ac:dyDescent="0.25">
      <c r="A76" s="592" t="s">
        <v>4921</v>
      </c>
      <c r="B76" s="911">
        <f>Ger_Executivo!L247</f>
        <v>1920.68</v>
      </c>
    </row>
    <row r="77" spans="1:6" x14ac:dyDescent="0.25">
      <c r="A77" s="602" t="s">
        <v>4927</v>
      </c>
      <c r="B77" s="602" t="s">
        <v>790</v>
      </c>
      <c r="C77" s="599" t="s">
        <v>3699</v>
      </c>
      <c r="D77" s="625" t="s">
        <v>4485</v>
      </c>
      <c r="E77" s="599" t="s">
        <v>4931</v>
      </c>
    </row>
    <row r="78" spans="1:6" x14ac:dyDescent="0.25">
      <c r="A78" s="592" t="s">
        <v>772</v>
      </c>
      <c r="B78" s="599">
        <v>1000</v>
      </c>
      <c r="C78" s="599">
        <f>B78/$B$76</f>
        <v>0.52064893683487101</v>
      </c>
      <c r="D78" s="625">
        <v>1.68</v>
      </c>
      <c r="E78" s="912">
        <f>C78*D78</f>
        <v>0.87469021388258328</v>
      </c>
    </row>
    <row r="79" spans="1:6" x14ac:dyDescent="0.25">
      <c r="A79" s="592" t="s">
        <v>773</v>
      </c>
      <c r="B79" s="599">
        <v>1000</v>
      </c>
      <c r="C79" s="599">
        <f t="shared" ref="C79:C85" si="8">B79/$B$76</f>
        <v>0.52064893683487101</v>
      </c>
      <c r="D79" s="625">
        <v>2.41</v>
      </c>
      <c r="E79" s="912">
        <f t="shared" ref="E79:E86" si="9">C79*D79</f>
        <v>1.2547639377720392</v>
      </c>
    </row>
    <row r="80" spans="1:6" x14ac:dyDescent="0.25">
      <c r="A80" s="592" t="s">
        <v>774</v>
      </c>
      <c r="B80" s="599">
        <v>360</v>
      </c>
      <c r="C80" s="599">
        <f t="shared" si="8"/>
        <v>0.18743361726055355</v>
      </c>
      <c r="D80" s="625">
        <v>2.46</v>
      </c>
      <c r="E80" s="912">
        <f t="shared" si="9"/>
        <v>0.46108669846096173</v>
      </c>
    </row>
    <row r="81" spans="1:6" x14ac:dyDescent="0.25">
      <c r="A81" s="592" t="s">
        <v>775</v>
      </c>
      <c r="B81" s="599">
        <v>4600</v>
      </c>
      <c r="C81" s="599">
        <f t="shared" si="8"/>
        <v>2.3949851094404067</v>
      </c>
      <c r="D81" s="625">
        <v>3.66</v>
      </c>
      <c r="E81" s="912">
        <f t="shared" si="9"/>
        <v>8.765645500551889</v>
      </c>
    </row>
    <row r="82" spans="1:6" x14ac:dyDescent="0.25">
      <c r="A82" s="592" t="s">
        <v>776</v>
      </c>
      <c r="B82" s="599">
        <v>11200</v>
      </c>
      <c r="C82" s="599">
        <f t="shared" si="8"/>
        <v>5.8312680925505544</v>
      </c>
      <c r="D82" s="625">
        <v>4.5599999999999996</v>
      </c>
      <c r="E82" s="912">
        <f t="shared" si="9"/>
        <v>26.590582502030525</v>
      </c>
    </row>
    <row r="83" spans="1:6" x14ac:dyDescent="0.25">
      <c r="A83" s="592" t="s">
        <v>777</v>
      </c>
      <c r="B83" s="599">
        <v>700</v>
      </c>
      <c r="C83" s="599">
        <f t="shared" si="8"/>
        <v>0.36445425578440965</v>
      </c>
      <c r="D83" s="625">
        <v>3.88</v>
      </c>
      <c r="E83" s="912">
        <f t="shared" si="9"/>
        <v>1.4140825124435095</v>
      </c>
    </row>
    <row r="84" spans="1:6" x14ac:dyDescent="0.25">
      <c r="A84" s="592" t="s">
        <v>778</v>
      </c>
      <c r="B84" s="599">
        <v>7400</v>
      </c>
      <c r="C84" s="599">
        <f t="shared" si="8"/>
        <v>3.852802132578045</v>
      </c>
      <c r="D84" s="625">
        <v>3.88</v>
      </c>
      <c r="E84" s="912">
        <f t="shared" si="9"/>
        <v>14.948872274402815</v>
      </c>
    </row>
    <row r="85" spans="1:6" x14ac:dyDescent="0.25">
      <c r="A85" s="592" t="s">
        <v>4173</v>
      </c>
      <c r="B85" s="599">
        <v>1260</v>
      </c>
      <c r="C85" s="599">
        <f t="shared" si="8"/>
        <v>0.65601766041193743</v>
      </c>
      <c r="D85" s="625">
        <v>3.88</v>
      </c>
      <c r="E85" s="912">
        <f t="shared" si="9"/>
        <v>2.5453485223983172</v>
      </c>
    </row>
    <row r="86" spans="1:6" x14ac:dyDescent="0.25">
      <c r="A86" s="592" t="s">
        <v>4926</v>
      </c>
      <c r="C86" s="599">
        <f>1.2*15</f>
        <v>18</v>
      </c>
      <c r="D86" s="625">
        <f>15.78/15</f>
        <v>1.052</v>
      </c>
      <c r="E86" s="912">
        <f t="shared" si="9"/>
        <v>18.936</v>
      </c>
      <c r="F86" s="912">
        <f>SUM(E78:E86)</f>
        <v>75.791072161942651</v>
      </c>
    </row>
    <row r="89" spans="1:6" x14ac:dyDescent="0.25">
      <c r="A89" s="592" t="s">
        <v>4921</v>
      </c>
      <c r="B89" s="911">
        <f>Ger_Executivo!L255</f>
        <v>2881.02</v>
      </c>
    </row>
    <row r="90" spans="1:6" x14ac:dyDescent="0.25">
      <c r="A90" s="602" t="s">
        <v>4928</v>
      </c>
      <c r="B90" s="602" t="s">
        <v>792</v>
      </c>
      <c r="C90" s="599" t="s">
        <v>3699</v>
      </c>
      <c r="D90" s="625" t="s">
        <v>4485</v>
      </c>
      <c r="E90" s="599" t="s">
        <v>4931</v>
      </c>
    </row>
    <row r="91" spans="1:6" x14ac:dyDescent="0.25">
      <c r="A91" s="592" t="s">
        <v>772</v>
      </c>
      <c r="B91" s="599">
        <v>1500</v>
      </c>
      <c r="C91" s="599">
        <f>B91/$B$89</f>
        <v>0.52064893683487101</v>
      </c>
      <c r="D91" s="625">
        <v>1.68</v>
      </c>
      <c r="E91" s="912">
        <f>C91*D91</f>
        <v>0.87469021388258328</v>
      </c>
    </row>
    <row r="92" spans="1:6" x14ac:dyDescent="0.25">
      <c r="A92" s="592" t="s">
        <v>773</v>
      </c>
      <c r="B92" s="599">
        <v>1500</v>
      </c>
      <c r="C92" s="599">
        <f t="shared" ref="C92:C98" si="10">B92/$B$89</f>
        <v>0.52064893683487101</v>
      </c>
      <c r="D92" s="625">
        <v>2.41</v>
      </c>
      <c r="E92" s="912">
        <f t="shared" ref="E92:E99" si="11">C92*D92</f>
        <v>1.2547639377720392</v>
      </c>
    </row>
    <row r="93" spans="1:6" x14ac:dyDescent="0.25">
      <c r="A93" s="592" t="s">
        <v>774</v>
      </c>
      <c r="B93" s="599">
        <v>540</v>
      </c>
      <c r="C93" s="599">
        <f t="shared" si="10"/>
        <v>0.18743361726055355</v>
      </c>
      <c r="D93" s="625">
        <v>2.46</v>
      </c>
      <c r="E93" s="912">
        <f t="shared" si="11"/>
        <v>0.46108669846096173</v>
      </c>
    </row>
    <row r="94" spans="1:6" x14ac:dyDescent="0.25">
      <c r="A94" s="592" t="s">
        <v>775</v>
      </c>
      <c r="B94" s="599">
        <v>6900</v>
      </c>
      <c r="C94" s="599">
        <f t="shared" si="10"/>
        <v>2.3949851094404067</v>
      </c>
      <c r="D94" s="625">
        <v>3.66</v>
      </c>
      <c r="E94" s="912">
        <f t="shared" si="11"/>
        <v>8.765645500551889</v>
      </c>
    </row>
    <row r="95" spans="1:6" x14ac:dyDescent="0.25">
      <c r="A95" s="592" t="s">
        <v>776</v>
      </c>
      <c r="B95" s="599">
        <v>16800</v>
      </c>
      <c r="C95" s="599">
        <f t="shared" si="10"/>
        <v>5.8312680925505553</v>
      </c>
      <c r="D95" s="625">
        <v>4.5599999999999996</v>
      </c>
      <c r="E95" s="912">
        <f t="shared" si="11"/>
        <v>26.590582502030529</v>
      </c>
    </row>
    <row r="96" spans="1:6" x14ac:dyDescent="0.25">
      <c r="A96" s="592" t="s">
        <v>777</v>
      </c>
      <c r="B96" s="599">
        <v>1050</v>
      </c>
      <c r="C96" s="599">
        <f t="shared" si="10"/>
        <v>0.36445425578440971</v>
      </c>
      <c r="D96" s="625">
        <v>3.88</v>
      </c>
      <c r="E96" s="912">
        <f t="shared" si="11"/>
        <v>1.4140825124435097</v>
      </c>
    </row>
    <row r="97" spans="1:6" x14ac:dyDescent="0.25">
      <c r="A97" s="592" t="s">
        <v>778</v>
      </c>
      <c r="B97" s="599">
        <v>11100</v>
      </c>
      <c r="C97" s="599">
        <f t="shared" si="10"/>
        <v>3.8528021325780455</v>
      </c>
      <c r="D97" s="625">
        <v>3.88</v>
      </c>
      <c r="E97" s="912">
        <f t="shared" si="11"/>
        <v>14.948872274402817</v>
      </c>
    </row>
    <row r="98" spans="1:6" x14ac:dyDescent="0.25">
      <c r="A98" s="592" t="s">
        <v>4173</v>
      </c>
      <c r="B98" s="599">
        <v>1890</v>
      </c>
      <c r="C98" s="599">
        <f t="shared" si="10"/>
        <v>0.65601766041193743</v>
      </c>
      <c r="D98" s="625">
        <v>3.88</v>
      </c>
      <c r="E98" s="912">
        <f t="shared" si="11"/>
        <v>2.5453485223983172</v>
      </c>
    </row>
    <row r="99" spans="1:6" x14ac:dyDescent="0.25">
      <c r="A99" s="592" t="s">
        <v>4929</v>
      </c>
      <c r="C99" s="599">
        <f>1.2*15</f>
        <v>18</v>
      </c>
      <c r="D99" s="625">
        <f>15.08/15</f>
        <v>1.0053333333333334</v>
      </c>
      <c r="E99" s="912">
        <f t="shared" si="11"/>
        <v>18.096</v>
      </c>
      <c r="F99" s="912">
        <f>SUM(E91:E99)</f>
        <v>74.951072161942648</v>
      </c>
    </row>
    <row r="102" spans="1:6" x14ac:dyDescent="0.25">
      <c r="A102" s="592" t="s">
        <v>4921</v>
      </c>
      <c r="B102" s="911">
        <f>Ger_Executivo!L263</f>
        <v>3043.1100000000006</v>
      </c>
    </row>
    <row r="103" spans="1:6" x14ac:dyDescent="0.25">
      <c r="A103" s="602" t="s">
        <v>4930</v>
      </c>
      <c r="B103" s="602" t="s">
        <v>792</v>
      </c>
      <c r="C103" s="599" t="s">
        <v>3699</v>
      </c>
      <c r="D103" s="625" t="s">
        <v>4485</v>
      </c>
      <c r="E103" s="599" t="s">
        <v>4931</v>
      </c>
    </row>
    <row r="104" spans="1:6" x14ac:dyDescent="0.25">
      <c r="A104" s="592" t="s">
        <v>772</v>
      </c>
      <c r="B104" s="599">
        <f>G3+H3+I3+J3</f>
        <v>1210</v>
      </c>
      <c r="C104" s="599">
        <f>B104/$B$89</f>
        <v>0.41999014238012927</v>
      </c>
      <c r="D104" s="625">
        <v>1.68</v>
      </c>
      <c r="E104" s="912">
        <f>C104*D104</f>
        <v>0.7055834391986171</v>
      </c>
    </row>
    <row r="105" spans="1:6" x14ac:dyDescent="0.25">
      <c r="A105" s="592" t="s">
        <v>773</v>
      </c>
      <c r="B105" s="599">
        <f t="shared" ref="B105:B110" si="12">G4+H4+I4+J4</f>
        <v>1405</v>
      </c>
      <c r="C105" s="599">
        <f t="shared" ref="C105:C111" si="13">B105/$B$89</f>
        <v>0.48767450416866248</v>
      </c>
      <c r="D105" s="625">
        <v>1.93</v>
      </c>
      <c r="E105" s="912">
        <f t="shared" ref="E105:E112" si="14">C105*D105</f>
        <v>0.94121179304551861</v>
      </c>
    </row>
    <row r="106" spans="1:6" x14ac:dyDescent="0.25">
      <c r="A106" s="592" t="s">
        <v>774</v>
      </c>
      <c r="B106" s="599">
        <f t="shared" si="12"/>
        <v>430</v>
      </c>
      <c r="C106" s="599">
        <f t="shared" si="13"/>
        <v>0.14925269522599635</v>
      </c>
      <c r="D106" s="625">
        <v>2.13</v>
      </c>
      <c r="E106" s="912">
        <f t="shared" si="14"/>
        <v>0.3179082408313722</v>
      </c>
    </row>
    <row r="107" spans="1:6" x14ac:dyDescent="0.25">
      <c r="A107" s="592" t="s">
        <v>775</v>
      </c>
      <c r="B107" s="599">
        <f t="shared" si="12"/>
        <v>7340</v>
      </c>
      <c r="C107" s="599">
        <f t="shared" si="13"/>
        <v>2.5477087975786352</v>
      </c>
      <c r="D107" s="625">
        <v>1.83</v>
      </c>
      <c r="E107" s="912">
        <f t="shared" si="14"/>
        <v>4.6623070995689027</v>
      </c>
    </row>
    <row r="108" spans="1:6" x14ac:dyDescent="0.25">
      <c r="A108" s="592" t="s">
        <v>776</v>
      </c>
      <c r="B108" s="599">
        <f t="shared" si="12"/>
        <v>16220</v>
      </c>
      <c r="C108" s="599">
        <f t="shared" si="13"/>
        <v>5.629950503641072</v>
      </c>
      <c r="D108" s="625">
        <v>2.93</v>
      </c>
      <c r="E108" s="912">
        <f t="shared" si="14"/>
        <v>16.495754975668341</v>
      </c>
    </row>
    <row r="109" spans="1:6" x14ac:dyDescent="0.25">
      <c r="A109" s="592" t="s">
        <v>777</v>
      </c>
      <c r="B109" s="599">
        <f t="shared" si="12"/>
        <v>975</v>
      </c>
      <c r="C109" s="599">
        <f t="shared" si="13"/>
        <v>0.33842180894266616</v>
      </c>
      <c r="D109" s="625">
        <v>2.93</v>
      </c>
      <c r="E109" s="912">
        <f t="shared" si="14"/>
        <v>0.99157590020201192</v>
      </c>
    </row>
    <row r="110" spans="1:6" x14ac:dyDescent="0.25">
      <c r="A110" s="592" t="s">
        <v>778</v>
      </c>
      <c r="B110" s="599">
        <f t="shared" si="12"/>
        <v>9960</v>
      </c>
      <c r="C110" s="599">
        <f t="shared" si="13"/>
        <v>3.4571089405835433</v>
      </c>
      <c r="D110" s="625">
        <v>3.88</v>
      </c>
      <c r="E110" s="912">
        <f t="shared" si="14"/>
        <v>13.413582689464148</v>
      </c>
    </row>
    <row r="111" spans="1:6" x14ac:dyDescent="0.25">
      <c r="A111" s="592" t="s">
        <v>4173</v>
      </c>
      <c r="B111" s="599">
        <f>G10+H10+I10+J10</f>
        <v>1800</v>
      </c>
      <c r="C111" s="599">
        <f t="shared" si="13"/>
        <v>0.62477872420184521</v>
      </c>
      <c r="D111" s="625">
        <v>3.88</v>
      </c>
      <c r="E111" s="912">
        <f t="shared" si="14"/>
        <v>2.4241414499031593</v>
      </c>
    </row>
    <row r="112" spans="1:6" x14ac:dyDescent="0.25">
      <c r="A112" s="592" t="s">
        <v>4929</v>
      </c>
      <c r="C112" s="599">
        <f>1.2*15</f>
        <v>18</v>
      </c>
      <c r="D112" s="625">
        <f>15.08/15</f>
        <v>1.0053333333333334</v>
      </c>
      <c r="E112" s="912">
        <f t="shared" si="14"/>
        <v>18.096</v>
      </c>
      <c r="F112" s="912">
        <f>SUM(E104:E112)</f>
        <v>58.048065587882064</v>
      </c>
    </row>
  </sheetData>
  <mergeCells count="1">
    <mergeCell ref="A1:J1"/>
  </mergeCells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7FB1C-9CB1-47DF-ACED-581817B38B81}">
  <sheetPr>
    <tabColor rgb="FFB4B4B4"/>
    <outlinePr summaryBelow="0"/>
    <pageSetUpPr fitToPage="1"/>
  </sheetPr>
  <dimension ref="A1:H2771"/>
  <sheetViews>
    <sheetView showGridLines="0" topLeftCell="A2302" zoomScale="85" zoomScaleNormal="85" zoomScalePageLayoutView="55" workbookViewId="0">
      <selection activeCell="E2782" sqref="E2782"/>
    </sheetView>
  </sheetViews>
  <sheetFormatPr defaultColWidth="11.5703125" defaultRowHeight="12.75" outlineLevelRow="1" x14ac:dyDescent="0.2"/>
  <cols>
    <col min="1" max="1" width="12.28515625" style="637" customWidth="1"/>
    <col min="2" max="2" width="76.42578125" style="637" customWidth="1"/>
    <col min="3" max="3" width="8.140625" style="671" customWidth="1"/>
    <col min="4" max="4" width="11.7109375" style="672" customWidth="1"/>
    <col min="5" max="5" width="11.5703125" style="637"/>
    <col min="6" max="6" width="71" style="637" customWidth="1"/>
    <col min="7" max="7" width="11.5703125" style="637"/>
    <col min="8" max="8" width="12.28515625" style="637" bestFit="1" customWidth="1"/>
    <col min="9" max="16384" width="11.5703125" style="637"/>
  </cols>
  <sheetData>
    <row r="1" spans="1:7" ht="18" customHeight="1" x14ac:dyDescent="0.2">
      <c r="A1" s="1177" t="s">
        <v>1273</v>
      </c>
      <c r="B1" s="1178"/>
      <c r="C1" s="1178"/>
      <c r="D1" s="1178"/>
    </row>
    <row r="2" spans="1:7" x14ac:dyDescent="0.2">
      <c r="A2" s="638" t="s">
        <v>1274</v>
      </c>
      <c r="B2" s="639" t="s">
        <v>1275</v>
      </c>
      <c r="C2" s="640"/>
      <c r="D2" s="641"/>
    </row>
    <row r="3" spans="1:7" x14ac:dyDescent="0.2">
      <c r="A3" s="638" t="s">
        <v>99</v>
      </c>
      <c r="B3" s="639" t="s">
        <v>1272</v>
      </c>
      <c r="C3" s="642"/>
      <c r="D3" s="643"/>
    </row>
    <row r="4" spans="1:7" x14ac:dyDescent="0.2">
      <c r="A4" s="638" t="s">
        <v>1276</v>
      </c>
      <c r="B4" s="639" t="s">
        <v>1272</v>
      </c>
      <c r="C4" s="644"/>
      <c r="D4" s="645"/>
    </row>
    <row r="5" spans="1:7" x14ac:dyDescent="0.2">
      <c r="A5" s="638" t="s">
        <v>1277</v>
      </c>
      <c r="B5" s="639" t="s">
        <v>1272</v>
      </c>
      <c r="C5" s="644"/>
      <c r="D5" s="645"/>
    </row>
    <row r="6" spans="1:7" x14ac:dyDescent="0.2">
      <c r="A6" s="638" t="s">
        <v>1278</v>
      </c>
      <c r="B6" s="639" t="s">
        <v>1272</v>
      </c>
      <c r="C6" s="646"/>
      <c r="D6" s="647"/>
    </row>
    <row r="7" spans="1:7" x14ac:dyDescent="0.2">
      <c r="A7" s="638" t="s">
        <v>0</v>
      </c>
      <c r="B7" s="639" t="s">
        <v>1272</v>
      </c>
      <c r="C7" s="648"/>
      <c r="D7" s="649"/>
      <c r="G7" s="650"/>
    </row>
    <row r="8" spans="1:7" x14ac:dyDescent="0.2">
      <c r="A8" s="1179"/>
      <c r="B8" s="1180"/>
      <c r="C8" s="1180"/>
      <c r="D8" s="1181"/>
    </row>
    <row r="9" spans="1:7" ht="18" customHeight="1" x14ac:dyDescent="0.2">
      <c r="A9" s="1182" t="s">
        <v>1279</v>
      </c>
      <c r="B9" s="1183"/>
      <c r="C9" s="1183"/>
      <c r="D9" s="1183"/>
    </row>
    <row r="10" spans="1:7" ht="21.75" customHeight="1" x14ac:dyDescent="0.2">
      <c r="A10" s="1184" t="s">
        <v>15</v>
      </c>
      <c r="B10" s="1184" t="s">
        <v>0</v>
      </c>
      <c r="C10" s="1184" t="s">
        <v>260</v>
      </c>
      <c r="D10" s="1184" t="s">
        <v>49</v>
      </c>
    </row>
    <row r="11" spans="1:7" ht="17.25" customHeight="1" x14ac:dyDescent="0.2">
      <c r="A11" s="1184"/>
      <c r="B11" s="1184"/>
      <c r="C11" s="1184"/>
      <c r="D11" s="1184"/>
    </row>
    <row r="12" spans="1:7" x14ac:dyDescent="0.2">
      <c r="A12" s="651" t="s">
        <v>1280</v>
      </c>
      <c r="B12" s="652" t="s">
        <v>1281</v>
      </c>
      <c r="C12" s="653"/>
      <c r="D12" s="654"/>
    </row>
    <row r="13" spans="1:7" x14ac:dyDescent="0.2">
      <c r="A13" s="655" t="s">
        <v>1282</v>
      </c>
      <c r="B13" s="656" t="s">
        <v>1283</v>
      </c>
      <c r="C13" s="657"/>
      <c r="D13" s="658"/>
    </row>
    <row r="14" spans="1:7" x14ac:dyDescent="0.2">
      <c r="A14" s="659" t="s">
        <v>1284</v>
      </c>
      <c r="B14" s="660" t="s">
        <v>1285</v>
      </c>
      <c r="C14" s="661" t="s">
        <v>3</v>
      </c>
      <c r="D14" s="662">
        <v>29.66</v>
      </c>
    </row>
    <row r="15" spans="1:7" x14ac:dyDescent="0.2">
      <c r="A15" s="655" t="s">
        <v>1286</v>
      </c>
      <c r="B15" s="656" t="s">
        <v>1287</v>
      </c>
      <c r="C15" s="657"/>
      <c r="D15" s="658"/>
    </row>
    <row r="16" spans="1:7" x14ac:dyDescent="0.2">
      <c r="A16" s="663" t="s">
        <v>1288</v>
      </c>
      <c r="B16" s="664" t="s">
        <v>1285</v>
      </c>
      <c r="C16" s="665" t="s">
        <v>3</v>
      </c>
      <c r="D16" s="666">
        <v>14.6</v>
      </c>
    </row>
    <row r="17" spans="1:8" collapsed="1" x14ac:dyDescent="0.2">
      <c r="A17" s="651" t="s">
        <v>1289</v>
      </c>
      <c r="B17" s="652" t="s">
        <v>1290</v>
      </c>
      <c r="C17" s="653"/>
      <c r="D17" s="654"/>
    </row>
    <row r="18" spans="1:8" hidden="1" outlineLevel="1" x14ac:dyDescent="0.2">
      <c r="A18" s="655" t="s">
        <v>1291</v>
      </c>
      <c r="B18" s="656" t="s">
        <v>1292</v>
      </c>
      <c r="C18" s="657"/>
      <c r="D18" s="658"/>
    </row>
    <row r="19" spans="1:8" hidden="1" outlineLevel="1" x14ac:dyDescent="0.2">
      <c r="A19" s="659" t="s">
        <v>1293</v>
      </c>
      <c r="B19" s="660" t="s">
        <v>1294</v>
      </c>
      <c r="C19" s="661" t="s">
        <v>11</v>
      </c>
      <c r="D19" s="662">
        <v>711.49</v>
      </c>
    </row>
    <row r="20" spans="1:8" hidden="1" outlineLevel="1" x14ac:dyDescent="0.2">
      <c r="A20" s="655" t="s">
        <v>1295</v>
      </c>
      <c r="B20" s="656" t="s">
        <v>1296</v>
      </c>
      <c r="C20" s="657"/>
      <c r="D20" s="658"/>
    </row>
    <row r="21" spans="1:8" hidden="1" outlineLevel="1" x14ac:dyDescent="0.2">
      <c r="A21" s="663" t="s">
        <v>1297</v>
      </c>
      <c r="B21" s="664" t="s">
        <v>1294</v>
      </c>
      <c r="C21" s="665" t="s">
        <v>11</v>
      </c>
      <c r="D21" s="666">
        <v>424.74</v>
      </c>
    </row>
    <row r="22" spans="1:8" hidden="1" outlineLevel="1" x14ac:dyDescent="0.2">
      <c r="A22" s="655" t="s">
        <v>1298</v>
      </c>
      <c r="B22" s="656" t="s">
        <v>1299</v>
      </c>
      <c r="C22" s="657"/>
      <c r="D22" s="658"/>
    </row>
    <row r="23" spans="1:8" hidden="1" outlineLevel="1" x14ac:dyDescent="0.2">
      <c r="A23" s="659" t="s">
        <v>1300</v>
      </c>
      <c r="B23" s="660" t="s">
        <v>1294</v>
      </c>
      <c r="C23" s="661" t="s">
        <v>11</v>
      </c>
      <c r="D23" s="662">
        <v>424.89</v>
      </c>
    </row>
    <row r="24" spans="1:8" hidden="1" outlineLevel="1" x14ac:dyDescent="0.2">
      <c r="A24" s="655" t="s">
        <v>1301</v>
      </c>
      <c r="B24" s="656" t="s">
        <v>1302</v>
      </c>
      <c r="C24" s="657"/>
      <c r="D24" s="658"/>
    </row>
    <row r="25" spans="1:8" hidden="1" outlineLevel="1" x14ac:dyDescent="0.2">
      <c r="A25" s="663" t="s">
        <v>1303</v>
      </c>
      <c r="B25" s="664" t="s">
        <v>1294</v>
      </c>
      <c r="C25" s="665" t="s">
        <v>11</v>
      </c>
      <c r="D25" s="666">
        <v>448.65</v>
      </c>
    </row>
    <row r="26" spans="1:8" hidden="1" outlineLevel="1" x14ac:dyDescent="0.2">
      <c r="A26" s="655" t="s">
        <v>1304</v>
      </c>
      <c r="B26" s="656" t="s">
        <v>1305</v>
      </c>
      <c r="C26" s="657"/>
      <c r="D26" s="658"/>
    </row>
    <row r="27" spans="1:8" hidden="1" outlineLevel="1" x14ac:dyDescent="0.2">
      <c r="A27" s="659" t="s">
        <v>1306</v>
      </c>
      <c r="B27" s="660" t="s">
        <v>1294</v>
      </c>
      <c r="C27" s="661" t="s">
        <v>11</v>
      </c>
      <c r="D27" s="662">
        <v>461.98</v>
      </c>
    </row>
    <row r="28" spans="1:8" hidden="1" outlineLevel="1" x14ac:dyDescent="0.2">
      <c r="A28" s="655" t="s">
        <v>1307</v>
      </c>
      <c r="B28" s="656" t="s">
        <v>1308</v>
      </c>
      <c r="C28" s="657"/>
      <c r="D28" s="658"/>
    </row>
    <row r="29" spans="1:8" hidden="1" outlineLevel="1" x14ac:dyDescent="0.2">
      <c r="A29" s="663" t="s">
        <v>1309</v>
      </c>
      <c r="B29" s="664" t="s">
        <v>1294</v>
      </c>
      <c r="C29" s="665" t="s">
        <v>11</v>
      </c>
      <c r="D29" s="666">
        <v>802.64</v>
      </c>
    </row>
    <row r="30" spans="1:8" hidden="1" outlineLevel="1" x14ac:dyDescent="0.2">
      <c r="A30" s="673" t="s">
        <v>1310</v>
      </c>
      <c r="B30" s="674" t="s">
        <v>1311</v>
      </c>
      <c r="C30" s="675"/>
      <c r="D30" s="676"/>
      <c r="F30" s="674" t="s">
        <v>3693</v>
      </c>
      <c r="G30" s="675"/>
      <c r="H30" s="676"/>
    </row>
    <row r="31" spans="1:8" hidden="1" outlineLevel="1" x14ac:dyDescent="0.2">
      <c r="A31" s="659" t="s">
        <v>1312</v>
      </c>
      <c r="B31" s="660" t="s">
        <v>1294</v>
      </c>
      <c r="C31" s="661" t="s">
        <v>11</v>
      </c>
      <c r="D31" s="662">
        <v>819.93</v>
      </c>
      <c r="F31" s="660" t="s">
        <v>1294</v>
      </c>
      <c r="G31" s="661" t="s">
        <v>11</v>
      </c>
      <c r="H31" s="662" cm="1">
        <f t="array" ref="H31:H32">SUMIF(B30:B38,F31:F32,D30:D38)</f>
        <v>2460.12</v>
      </c>
    </row>
    <row r="32" spans="1:8" hidden="1" outlineLevel="1" x14ac:dyDescent="0.2">
      <c r="A32" s="663" t="s">
        <v>1313</v>
      </c>
      <c r="B32" s="664" t="s">
        <v>1314</v>
      </c>
      <c r="C32" s="665" t="s">
        <v>11</v>
      </c>
      <c r="D32" s="666">
        <v>147.44</v>
      </c>
      <c r="F32" s="664" t="s">
        <v>1314</v>
      </c>
      <c r="G32" s="665" t="s">
        <v>11</v>
      </c>
      <c r="H32" s="666">
        <v>435.68</v>
      </c>
    </row>
    <row r="33" spans="1:8" hidden="1" outlineLevel="1" x14ac:dyDescent="0.2">
      <c r="A33" s="673" t="s">
        <v>1315</v>
      </c>
      <c r="B33" s="674" t="s">
        <v>1316</v>
      </c>
      <c r="C33" s="675"/>
      <c r="D33" s="676"/>
    </row>
    <row r="34" spans="1:8" hidden="1" outlineLevel="1" x14ac:dyDescent="0.2">
      <c r="A34" s="659" t="s">
        <v>1317</v>
      </c>
      <c r="B34" s="660" t="s">
        <v>1294</v>
      </c>
      <c r="C34" s="661" t="s">
        <v>11</v>
      </c>
      <c r="D34" s="662">
        <v>823.97</v>
      </c>
    </row>
    <row r="35" spans="1:8" hidden="1" outlineLevel="1" x14ac:dyDescent="0.2">
      <c r="A35" s="663" t="s">
        <v>1318</v>
      </c>
      <c r="B35" s="664" t="s">
        <v>1314</v>
      </c>
      <c r="C35" s="665" t="s">
        <v>11</v>
      </c>
      <c r="D35" s="666">
        <v>144.12</v>
      </c>
    </row>
    <row r="36" spans="1:8" hidden="1" outlineLevel="1" x14ac:dyDescent="0.2">
      <c r="A36" s="673" t="s">
        <v>1319</v>
      </c>
      <c r="B36" s="674" t="s">
        <v>1320</v>
      </c>
      <c r="C36" s="675"/>
      <c r="D36" s="676"/>
    </row>
    <row r="37" spans="1:8" hidden="1" outlineLevel="1" x14ac:dyDescent="0.2">
      <c r="A37" s="659" t="s">
        <v>1321</v>
      </c>
      <c r="B37" s="660" t="s">
        <v>1294</v>
      </c>
      <c r="C37" s="661" t="s">
        <v>11</v>
      </c>
      <c r="D37" s="662">
        <v>816.22</v>
      </c>
    </row>
    <row r="38" spans="1:8" hidden="1" outlineLevel="1" x14ac:dyDescent="0.2">
      <c r="A38" s="663" t="s">
        <v>1322</v>
      </c>
      <c r="B38" s="664" t="s">
        <v>1314</v>
      </c>
      <c r="C38" s="665" t="s">
        <v>11</v>
      </c>
      <c r="D38" s="666">
        <v>144.12</v>
      </c>
    </row>
    <row r="39" spans="1:8" hidden="1" outlineLevel="1" x14ac:dyDescent="0.2">
      <c r="A39" s="682" t="s">
        <v>1323</v>
      </c>
      <c r="B39" s="683" t="s">
        <v>1324</v>
      </c>
      <c r="C39" s="684"/>
      <c r="D39" s="685"/>
      <c r="F39" s="683" t="s">
        <v>3694</v>
      </c>
      <c r="G39" s="684"/>
      <c r="H39" s="685"/>
    </row>
    <row r="40" spans="1:8" hidden="1" outlineLevel="1" x14ac:dyDescent="0.2">
      <c r="A40" s="659" t="s">
        <v>1325</v>
      </c>
      <c r="B40" s="660" t="s">
        <v>1294</v>
      </c>
      <c r="C40" s="661" t="s">
        <v>11</v>
      </c>
      <c r="D40" s="662">
        <v>816.22</v>
      </c>
      <c r="F40" s="660" t="s">
        <v>1294</v>
      </c>
      <c r="G40" s="661" t="s">
        <v>11</v>
      </c>
      <c r="H40" s="662" cm="1">
        <f t="array" ref="H40:H41">SUMIF(B39:B44,F40:F41,D39:D44)</f>
        <v>1632.44</v>
      </c>
    </row>
    <row r="41" spans="1:8" hidden="1" outlineLevel="1" x14ac:dyDescent="0.2">
      <c r="A41" s="663" t="s">
        <v>1326</v>
      </c>
      <c r="B41" s="664" t="s">
        <v>1314</v>
      </c>
      <c r="C41" s="665" t="s">
        <v>11</v>
      </c>
      <c r="D41" s="666">
        <v>144.12</v>
      </c>
      <c r="F41" s="664" t="s">
        <v>1314</v>
      </c>
      <c r="G41" s="665" t="s">
        <v>11</v>
      </c>
      <c r="H41" s="666">
        <v>288.24</v>
      </c>
    </row>
    <row r="42" spans="1:8" hidden="1" outlineLevel="1" x14ac:dyDescent="0.2">
      <c r="A42" s="682" t="s">
        <v>1327</v>
      </c>
      <c r="B42" s="683" t="s">
        <v>1328</v>
      </c>
      <c r="C42" s="684"/>
      <c r="D42" s="685"/>
    </row>
    <row r="43" spans="1:8" hidden="1" outlineLevel="1" x14ac:dyDescent="0.2">
      <c r="A43" s="659" t="s">
        <v>1329</v>
      </c>
      <c r="B43" s="660" t="s">
        <v>1294</v>
      </c>
      <c r="C43" s="661" t="s">
        <v>11</v>
      </c>
      <c r="D43" s="662">
        <v>816.22</v>
      </c>
    </row>
    <row r="44" spans="1:8" hidden="1" outlineLevel="1" x14ac:dyDescent="0.2">
      <c r="A44" s="663" t="s">
        <v>1330</v>
      </c>
      <c r="B44" s="664" t="s">
        <v>1314</v>
      </c>
      <c r="C44" s="665" t="s">
        <v>11</v>
      </c>
      <c r="D44" s="666">
        <v>144.12</v>
      </c>
    </row>
    <row r="45" spans="1:8" hidden="1" outlineLevel="1" x14ac:dyDescent="0.2">
      <c r="A45" s="686" t="s">
        <v>1331</v>
      </c>
      <c r="B45" s="687" t="s">
        <v>1332</v>
      </c>
      <c r="C45" s="688"/>
      <c r="D45" s="689"/>
      <c r="F45" s="687" t="s">
        <v>3695</v>
      </c>
      <c r="G45" s="688"/>
      <c r="H45" s="689"/>
    </row>
    <row r="46" spans="1:8" hidden="1" outlineLevel="1" x14ac:dyDescent="0.2">
      <c r="A46" s="659" t="s">
        <v>1333</v>
      </c>
      <c r="B46" s="660" t="s">
        <v>1294</v>
      </c>
      <c r="C46" s="661" t="s">
        <v>11</v>
      </c>
      <c r="D46" s="662">
        <v>816.22</v>
      </c>
      <c r="F46" s="660" t="s">
        <v>1294</v>
      </c>
      <c r="G46" s="661" t="s">
        <v>11</v>
      </c>
      <c r="H46" s="662" cm="1">
        <f t="array" ref="H46:H47">SUMIF(B45:B50,F46:F47,D45:D50)</f>
        <v>1632.44</v>
      </c>
    </row>
    <row r="47" spans="1:8" hidden="1" outlineLevel="1" x14ac:dyDescent="0.2">
      <c r="A47" s="663" t="s">
        <v>1334</v>
      </c>
      <c r="B47" s="664" t="s">
        <v>1314</v>
      </c>
      <c r="C47" s="665" t="s">
        <v>11</v>
      </c>
      <c r="D47" s="666">
        <v>144.12</v>
      </c>
      <c r="F47" s="664" t="s">
        <v>1314</v>
      </c>
      <c r="G47" s="665" t="s">
        <v>11</v>
      </c>
      <c r="H47" s="666">
        <v>288.24</v>
      </c>
    </row>
    <row r="48" spans="1:8" hidden="1" outlineLevel="1" x14ac:dyDescent="0.2">
      <c r="A48" s="686" t="s">
        <v>1335</v>
      </c>
      <c r="B48" s="687" t="s">
        <v>1336</v>
      </c>
      <c r="C48" s="688"/>
      <c r="D48" s="689"/>
    </row>
    <row r="49" spans="1:8" hidden="1" outlineLevel="1" x14ac:dyDescent="0.2">
      <c r="A49" s="659" t="s">
        <v>1337</v>
      </c>
      <c r="B49" s="660" t="s">
        <v>1294</v>
      </c>
      <c r="C49" s="661" t="s">
        <v>11</v>
      </c>
      <c r="D49" s="662">
        <v>816.22</v>
      </c>
    </row>
    <row r="50" spans="1:8" hidden="1" outlineLevel="1" x14ac:dyDescent="0.2">
      <c r="A50" s="663" t="s">
        <v>1338</v>
      </c>
      <c r="B50" s="664" t="s">
        <v>1314</v>
      </c>
      <c r="C50" s="665" t="s">
        <v>11</v>
      </c>
      <c r="D50" s="666">
        <v>144.12</v>
      </c>
    </row>
    <row r="51" spans="1:8" hidden="1" outlineLevel="1" x14ac:dyDescent="0.2">
      <c r="A51" s="690" t="s">
        <v>1339</v>
      </c>
      <c r="B51" s="691" t="s">
        <v>1340</v>
      </c>
      <c r="C51" s="692"/>
      <c r="D51" s="693"/>
      <c r="F51" s="691" t="s">
        <v>3696</v>
      </c>
      <c r="G51" s="692"/>
      <c r="H51" s="693"/>
    </row>
    <row r="52" spans="1:8" hidden="1" outlineLevel="1" x14ac:dyDescent="0.2">
      <c r="A52" s="659" t="s">
        <v>1341</v>
      </c>
      <c r="B52" s="660" t="s">
        <v>1294</v>
      </c>
      <c r="C52" s="661" t="s">
        <v>11</v>
      </c>
      <c r="D52" s="662">
        <v>816.22</v>
      </c>
      <c r="F52" s="660" t="s">
        <v>1294</v>
      </c>
      <c r="G52" s="661" t="s">
        <v>11</v>
      </c>
      <c r="H52" s="662" cm="1">
        <f t="array" ref="H52:H53">SUMIF(B51:B56,F52:F53,D51:D56)</f>
        <v>1632.44</v>
      </c>
    </row>
    <row r="53" spans="1:8" hidden="1" outlineLevel="1" x14ac:dyDescent="0.2">
      <c r="A53" s="663" t="s">
        <v>1342</v>
      </c>
      <c r="B53" s="664" t="s">
        <v>1314</v>
      </c>
      <c r="C53" s="665" t="s">
        <v>11</v>
      </c>
      <c r="D53" s="666">
        <v>144.12</v>
      </c>
      <c r="F53" s="664" t="s">
        <v>1314</v>
      </c>
      <c r="G53" s="665" t="s">
        <v>11</v>
      </c>
      <c r="H53" s="666">
        <v>288.24</v>
      </c>
    </row>
    <row r="54" spans="1:8" hidden="1" outlineLevel="1" x14ac:dyDescent="0.2">
      <c r="A54" s="690" t="s">
        <v>1343</v>
      </c>
      <c r="B54" s="691" t="s">
        <v>1344</v>
      </c>
      <c r="C54" s="692"/>
      <c r="D54" s="693"/>
    </row>
    <row r="55" spans="1:8" hidden="1" outlineLevel="1" x14ac:dyDescent="0.2">
      <c r="A55" s="659" t="s">
        <v>1345</v>
      </c>
      <c r="B55" s="660" t="s">
        <v>1294</v>
      </c>
      <c r="C55" s="661" t="s">
        <v>11</v>
      </c>
      <c r="D55" s="662">
        <v>816.22</v>
      </c>
    </row>
    <row r="56" spans="1:8" hidden="1" outlineLevel="1" x14ac:dyDescent="0.2">
      <c r="A56" s="663" t="s">
        <v>1346</v>
      </c>
      <c r="B56" s="664" t="s">
        <v>1314</v>
      </c>
      <c r="C56" s="665" t="s">
        <v>11</v>
      </c>
      <c r="D56" s="666">
        <v>144.12</v>
      </c>
    </row>
    <row r="57" spans="1:8" hidden="1" outlineLevel="1" x14ac:dyDescent="0.2">
      <c r="A57" s="694" t="s">
        <v>1347</v>
      </c>
      <c r="B57" s="695" t="s">
        <v>1348</v>
      </c>
      <c r="C57" s="696"/>
      <c r="D57" s="697"/>
      <c r="F57" s="695" t="s">
        <v>3697</v>
      </c>
      <c r="G57" s="696"/>
      <c r="H57" s="697"/>
    </row>
    <row r="58" spans="1:8" hidden="1" outlineLevel="1" x14ac:dyDescent="0.2">
      <c r="A58" s="659" t="s">
        <v>1349</v>
      </c>
      <c r="B58" s="660" t="s">
        <v>1294</v>
      </c>
      <c r="C58" s="661" t="s">
        <v>11</v>
      </c>
      <c r="D58" s="662">
        <v>816.22</v>
      </c>
      <c r="F58" s="660" t="s">
        <v>1294</v>
      </c>
      <c r="G58" s="661" t="s">
        <v>11</v>
      </c>
      <c r="H58" s="662" cm="1">
        <f t="array" ref="H58:H59">SUMIF(B57:B65,F58:F59,D57:D65)</f>
        <v>2448.66</v>
      </c>
    </row>
    <row r="59" spans="1:8" hidden="1" outlineLevel="1" x14ac:dyDescent="0.2">
      <c r="A59" s="663" t="s">
        <v>1350</v>
      </c>
      <c r="B59" s="664" t="s">
        <v>1314</v>
      </c>
      <c r="C59" s="665" t="s">
        <v>11</v>
      </c>
      <c r="D59" s="666">
        <v>144.12</v>
      </c>
      <c r="F59" s="664" t="s">
        <v>1314</v>
      </c>
      <c r="G59" s="665" t="s">
        <v>11</v>
      </c>
      <c r="H59" s="666">
        <v>432.36</v>
      </c>
    </row>
    <row r="60" spans="1:8" hidden="1" outlineLevel="1" x14ac:dyDescent="0.2">
      <c r="A60" s="694" t="s">
        <v>1351</v>
      </c>
      <c r="B60" s="695" t="s">
        <v>1352</v>
      </c>
      <c r="C60" s="696"/>
      <c r="D60" s="697"/>
    </row>
    <row r="61" spans="1:8" hidden="1" outlineLevel="1" x14ac:dyDescent="0.2">
      <c r="A61" s="659" t="s">
        <v>1353</v>
      </c>
      <c r="B61" s="660" t="s">
        <v>1294</v>
      </c>
      <c r="C61" s="661" t="s">
        <v>11</v>
      </c>
      <c r="D61" s="662">
        <v>816.22</v>
      </c>
    </row>
    <row r="62" spans="1:8" hidden="1" outlineLevel="1" x14ac:dyDescent="0.2">
      <c r="A62" s="663" t="s">
        <v>1354</v>
      </c>
      <c r="B62" s="664" t="s">
        <v>1314</v>
      </c>
      <c r="C62" s="665" t="s">
        <v>11</v>
      </c>
      <c r="D62" s="666">
        <v>144.12</v>
      </c>
    </row>
    <row r="63" spans="1:8" hidden="1" outlineLevel="1" x14ac:dyDescent="0.2">
      <c r="A63" s="694" t="s">
        <v>1355</v>
      </c>
      <c r="B63" s="695" t="s">
        <v>1356</v>
      </c>
      <c r="C63" s="696"/>
      <c r="D63" s="697"/>
    </row>
    <row r="64" spans="1:8" hidden="1" outlineLevel="1" x14ac:dyDescent="0.2">
      <c r="A64" s="659" t="s">
        <v>1357</v>
      </c>
      <c r="B64" s="660" t="s">
        <v>1294</v>
      </c>
      <c r="C64" s="661" t="s">
        <v>11</v>
      </c>
      <c r="D64" s="662">
        <v>816.22</v>
      </c>
    </row>
    <row r="65" spans="1:8" hidden="1" outlineLevel="1" x14ac:dyDescent="0.2">
      <c r="A65" s="663" t="s">
        <v>1358</v>
      </c>
      <c r="B65" s="664" t="s">
        <v>1314</v>
      </c>
      <c r="C65" s="665" t="s">
        <v>11</v>
      </c>
      <c r="D65" s="666">
        <v>144.12</v>
      </c>
    </row>
    <row r="66" spans="1:8" hidden="1" outlineLevel="1" x14ac:dyDescent="0.2">
      <c r="A66" s="655" t="s">
        <v>1359</v>
      </c>
      <c r="B66" s="656" t="s">
        <v>1360</v>
      </c>
      <c r="C66" s="657"/>
      <c r="D66" s="658"/>
      <c r="F66" s="656" t="s">
        <v>3698</v>
      </c>
      <c r="G66" s="656"/>
      <c r="H66" s="656"/>
    </row>
    <row r="67" spans="1:8" hidden="1" outlineLevel="1" x14ac:dyDescent="0.2">
      <c r="A67" s="659" t="s">
        <v>1361</v>
      </c>
      <c r="B67" s="660" t="s">
        <v>1294</v>
      </c>
      <c r="C67" s="661" t="s">
        <v>11</v>
      </c>
      <c r="D67" s="662">
        <v>816.22</v>
      </c>
      <c r="F67" s="660" t="s">
        <v>1294</v>
      </c>
      <c r="G67" s="661" t="s">
        <v>11</v>
      </c>
      <c r="H67" s="662" cm="1">
        <f t="array" ref="H67:H68">SUMIF(B66:B80,F67:F68,D66:D80)</f>
        <v>2661.7600000000007</v>
      </c>
    </row>
    <row r="68" spans="1:8" hidden="1" outlineLevel="1" x14ac:dyDescent="0.2">
      <c r="A68" s="663" t="s">
        <v>1362</v>
      </c>
      <c r="B68" s="664" t="s">
        <v>1314</v>
      </c>
      <c r="C68" s="665" t="s">
        <v>11</v>
      </c>
      <c r="D68" s="666">
        <v>144.12</v>
      </c>
      <c r="F68" s="664" t="s">
        <v>1314</v>
      </c>
      <c r="G68" s="665" t="s">
        <v>11</v>
      </c>
      <c r="H68" s="666">
        <v>381.35</v>
      </c>
    </row>
    <row r="69" spans="1:8" hidden="1" outlineLevel="1" x14ac:dyDescent="0.2">
      <c r="A69" s="655" t="s">
        <v>1363</v>
      </c>
      <c r="B69" s="656" t="s">
        <v>1364</v>
      </c>
      <c r="C69" s="657"/>
      <c r="D69" s="658"/>
    </row>
    <row r="70" spans="1:8" hidden="1" outlineLevel="1" x14ac:dyDescent="0.2">
      <c r="A70" s="659" t="s">
        <v>1365</v>
      </c>
      <c r="B70" s="660" t="s">
        <v>1294</v>
      </c>
      <c r="C70" s="661" t="s">
        <v>11</v>
      </c>
      <c r="D70" s="662">
        <v>833.5</v>
      </c>
    </row>
    <row r="71" spans="1:8" hidden="1" outlineLevel="1" x14ac:dyDescent="0.2">
      <c r="A71" s="663" t="s">
        <v>1366</v>
      </c>
      <c r="B71" s="664" t="s">
        <v>1314</v>
      </c>
      <c r="C71" s="665" t="s">
        <v>11</v>
      </c>
      <c r="D71" s="666">
        <v>144.22999999999999</v>
      </c>
    </row>
    <row r="72" spans="1:8" hidden="1" outlineLevel="1" x14ac:dyDescent="0.2">
      <c r="A72" s="655" t="s">
        <v>1367</v>
      </c>
      <c r="B72" s="656" t="s">
        <v>1368</v>
      </c>
      <c r="C72" s="657"/>
      <c r="D72" s="658"/>
    </row>
    <row r="73" spans="1:8" hidden="1" outlineLevel="1" x14ac:dyDescent="0.2">
      <c r="A73" s="659" t="s">
        <v>1369</v>
      </c>
      <c r="B73" s="660" t="s">
        <v>1294</v>
      </c>
      <c r="C73" s="661" t="s">
        <v>11</v>
      </c>
      <c r="D73" s="662">
        <v>583.37</v>
      </c>
    </row>
    <row r="74" spans="1:8" hidden="1" outlineLevel="1" x14ac:dyDescent="0.2">
      <c r="A74" s="663" t="s">
        <v>1370</v>
      </c>
      <c r="B74" s="664" t="s">
        <v>1314</v>
      </c>
      <c r="C74" s="665" t="s">
        <v>11</v>
      </c>
      <c r="D74" s="666">
        <v>93</v>
      </c>
    </row>
    <row r="75" spans="1:8" hidden="1" outlineLevel="1" x14ac:dyDescent="0.2">
      <c r="A75" s="655" t="s">
        <v>1371</v>
      </c>
      <c r="B75" s="656" t="s">
        <v>1283</v>
      </c>
      <c r="C75" s="657"/>
      <c r="D75" s="658"/>
    </row>
    <row r="76" spans="1:8" hidden="1" outlineLevel="1" x14ac:dyDescent="0.2">
      <c r="A76" s="659" t="s">
        <v>1372</v>
      </c>
      <c r="B76" s="660" t="s">
        <v>1294</v>
      </c>
      <c r="C76" s="661" t="s">
        <v>11</v>
      </c>
      <c r="D76" s="662">
        <v>259.76</v>
      </c>
    </row>
    <row r="77" spans="1:8" hidden="1" outlineLevel="1" x14ac:dyDescent="0.2">
      <c r="A77" s="655" t="s">
        <v>1373</v>
      </c>
      <c r="B77" s="656" t="s">
        <v>1374</v>
      </c>
      <c r="C77" s="657"/>
      <c r="D77" s="658"/>
    </row>
    <row r="78" spans="1:8" hidden="1" outlineLevel="1" x14ac:dyDescent="0.2">
      <c r="A78" s="663" t="s">
        <v>1375</v>
      </c>
      <c r="B78" s="664" t="s">
        <v>1294</v>
      </c>
      <c r="C78" s="665" t="s">
        <v>11</v>
      </c>
      <c r="D78" s="666">
        <v>151.11000000000001</v>
      </c>
    </row>
    <row r="79" spans="1:8" hidden="1" outlineLevel="1" x14ac:dyDescent="0.2">
      <c r="A79" s="655" t="s">
        <v>1376</v>
      </c>
      <c r="B79" s="656" t="s">
        <v>1287</v>
      </c>
      <c r="C79" s="657"/>
      <c r="D79" s="658"/>
    </row>
    <row r="80" spans="1:8" hidden="1" outlineLevel="1" x14ac:dyDescent="0.2">
      <c r="A80" s="659" t="s">
        <v>1377</v>
      </c>
      <c r="B80" s="660" t="s">
        <v>1294</v>
      </c>
      <c r="C80" s="661" t="s">
        <v>11</v>
      </c>
      <c r="D80" s="662">
        <v>17.8</v>
      </c>
    </row>
    <row r="81" spans="1:8" collapsed="1" x14ac:dyDescent="0.2">
      <c r="A81" s="651" t="s">
        <v>1378</v>
      </c>
      <c r="B81" s="652" t="s">
        <v>1379</v>
      </c>
      <c r="C81" s="653"/>
      <c r="D81" s="654"/>
    </row>
    <row r="82" spans="1:8" hidden="1" outlineLevel="1" x14ac:dyDescent="0.2">
      <c r="A82" s="655" t="s">
        <v>1380</v>
      </c>
      <c r="B82" s="656" t="s">
        <v>1292</v>
      </c>
      <c r="C82" s="657"/>
      <c r="D82" s="658"/>
    </row>
    <row r="83" spans="1:8" hidden="1" outlineLevel="1" x14ac:dyDescent="0.2">
      <c r="A83" s="663" t="s">
        <v>1381</v>
      </c>
      <c r="B83" s="664" t="s">
        <v>1382</v>
      </c>
      <c r="C83" s="665" t="s">
        <v>3</v>
      </c>
      <c r="D83" s="666">
        <v>281.63</v>
      </c>
    </row>
    <row r="84" spans="1:8" hidden="1" outlineLevel="1" x14ac:dyDescent="0.2">
      <c r="A84" s="655" t="s">
        <v>1383</v>
      </c>
      <c r="B84" s="656" t="s">
        <v>1296</v>
      </c>
      <c r="C84" s="657"/>
      <c r="D84" s="658"/>
    </row>
    <row r="85" spans="1:8" hidden="1" outlineLevel="1" x14ac:dyDescent="0.2">
      <c r="A85" s="659" t="s">
        <v>1384</v>
      </c>
      <c r="B85" s="660" t="s">
        <v>1382</v>
      </c>
      <c r="C85" s="661" t="s">
        <v>3</v>
      </c>
      <c r="D85" s="662">
        <v>192.56</v>
      </c>
    </row>
    <row r="86" spans="1:8" hidden="1" outlineLevel="1" x14ac:dyDescent="0.2">
      <c r="A86" s="655" t="s">
        <v>1385</v>
      </c>
      <c r="B86" s="656" t="s">
        <v>1299</v>
      </c>
      <c r="C86" s="657"/>
      <c r="D86" s="658"/>
    </row>
    <row r="87" spans="1:8" hidden="1" outlineLevel="1" x14ac:dyDescent="0.2">
      <c r="A87" s="663" t="s">
        <v>1386</v>
      </c>
      <c r="B87" s="664" t="s">
        <v>1382</v>
      </c>
      <c r="C87" s="665" t="s">
        <v>3</v>
      </c>
      <c r="D87" s="666">
        <v>192.58</v>
      </c>
    </row>
    <row r="88" spans="1:8" hidden="1" outlineLevel="1" x14ac:dyDescent="0.2">
      <c r="A88" s="655" t="s">
        <v>1387</v>
      </c>
      <c r="B88" s="656" t="s">
        <v>1302</v>
      </c>
      <c r="C88" s="657"/>
      <c r="D88" s="658"/>
    </row>
    <row r="89" spans="1:8" hidden="1" outlineLevel="1" x14ac:dyDescent="0.2">
      <c r="A89" s="659" t="s">
        <v>1388</v>
      </c>
      <c r="B89" s="660" t="s">
        <v>1382</v>
      </c>
      <c r="C89" s="661" t="s">
        <v>3</v>
      </c>
      <c r="D89" s="662">
        <v>192.62</v>
      </c>
    </row>
    <row r="90" spans="1:8" hidden="1" outlineLevel="1" x14ac:dyDescent="0.2">
      <c r="A90" s="655" t="s">
        <v>1389</v>
      </c>
      <c r="B90" s="656" t="s">
        <v>1305</v>
      </c>
      <c r="C90" s="657"/>
      <c r="D90" s="658"/>
    </row>
    <row r="91" spans="1:8" hidden="1" outlineLevel="1" x14ac:dyDescent="0.2">
      <c r="A91" s="663" t="s">
        <v>1390</v>
      </c>
      <c r="B91" s="664" t="s">
        <v>1382</v>
      </c>
      <c r="C91" s="665" t="s">
        <v>3</v>
      </c>
      <c r="D91" s="666">
        <v>190.15</v>
      </c>
    </row>
    <row r="92" spans="1:8" hidden="1" outlineLevel="1" x14ac:dyDescent="0.2">
      <c r="A92" s="655" t="s">
        <v>1391</v>
      </c>
      <c r="B92" s="656" t="s">
        <v>1308</v>
      </c>
      <c r="C92" s="657"/>
      <c r="D92" s="658"/>
    </row>
    <row r="93" spans="1:8" hidden="1" outlineLevel="1" x14ac:dyDescent="0.2">
      <c r="A93" s="659" t="s">
        <v>1392</v>
      </c>
      <c r="B93" s="660" t="s">
        <v>1382</v>
      </c>
      <c r="C93" s="661" t="s">
        <v>3</v>
      </c>
      <c r="D93" s="662">
        <v>388.43</v>
      </c>
    </row>
    <row r="94" spans="1:8" hidden="1" outlineLevel="1" x14ac:dyDescent="0.2">
      <c r="A94" s="655" t="s">
        <v>1393</v>
      </c>
      <c r="B94" s="656" t="s">
        <v>1311</v>
      </c>
      <c r="C94" s="657"/>
      <c r="D94" s="658"/>
      <c r="F94" s="734"/>
      <c r="G94" s="735"/>
      <c r="H94" s="736"/>
    </row>
    <row r="95" spans="1:8" hidden="1" outlineLevel="1" x14ac:dyDescent="0.2">
      <c r="A95" s="663" t="s">
        <v>1394</v>
      </c>
      <c r="B95" s="664" t="s">
        <v>1382</v>
      </c>
      <c r="C95" s="665" t="s">
        <v>3</v>
      </c>
      <c r="D95" s="666">
        <v>451.63</v>
      </c>
      <c r="F95" s="734"/>
      <c r="G95" s="735"/>
      <c r="H95" s="736"/>
    </row>
    <row r="96" spans="1:8" hidden="1" outlineLevel="1" x14ac:dyDescent="0.2">
      <c r="A96" s="655" t="s">
        <v>1395</v>
      </c>
      <c r="B96" s="656" t="s">
        <v>1316</v>
      </c>
      <c r="C96" s="657"/>
      <c r="D96" s="658"/>
      <c r="F96" s="637" t="s">
        <v>4176</v>
      </c>
    </row>
    <row r="97" spans="1:8" hidden="1" outlineLevel="1" x14ac:dyDescent="0.2">
      <c r="A97" s="659" t="s">
        <v>1396</v>
      </c>
      <c r="B97" s="660" t="s">
        <v>1382</v>
      </c>
      <c r="C97" s="661" t="s">
        <v>3</v>
      </c>
      <c r="D97" s="662">
        <v>451.69</v>
      </c>
    </row>
    <row r="98" spans="1:8" hidden="1" outlineLevel="1" x14ac:dyDescent="0.2">
      <c r="A98" s="655" t="s">
        <v>1397</v>
      </c>
      <c r="B98" s="656" t="s">
        <v>1320</v>
      </c>
      <c r="C98" s="657"/>
      <c r="D98" s="658"/>
    </row>
    <row r="99" spans="1:8" hidden="1" outlineLevel="1" x14ac:dyDescent="0.2">
      <c r="A99" s="663" t="s">
        <v>1398</v>
      </c>
      <c r="B99" s="664" t="s">
        <v>1382</v>
      </c>
      <c r="C99" s="665" t="s">
        <v>3</v>
      </c>
      <c r="D99" s="666">
        <v>448.91</v>
      </c>
    </row>
    <row r="100" spans="1:8" hidden="1" outlineLevel="1" x14ac:dyDescent="0.2">
      <c r="A100" s="655" t="s">
        <v>1399</v>
      </c>
      <c r="B100" s="656" t="s">
        <v>1324</v>
      </c>
      <c r="C100" s="657"/>
      <c r="D100" s="658"/>
      <c r="F100" s="734"/>
      <c r="G100" s="735"/>
      <c r="H100" s="736"/>
    </row>
    <row r="101" spans="1:8" hidden="1" outlineLevel="1" x14ac:dyDescent="0.2">
      <c r="A101" s="659" t="s">
        <v>1400</v>
      </c>
      <c r="B101" s="660" t="s">
        <v>1382</v>
      </c>
      <c r="C101" s="661" t="s">
        <v>3</v>
      </c>
      <c r="D101" s="662">
        <v>448.91</v>
      </c>
      <c r="F101" s="734"/>
      <c r="G101" s="735"/>
      <c r="H101" s="736"/>
    </row>
    <row r="102" spans="1:8" hidden="1" outlineLevel="1" x14ac:dyDescent="0.2">
      <c r="A102" s="655" t="s">
        <v>1401</v>
      </c>
      <c r="B102" s="656" t="s">
        <v>1328</v>
      </c>
      <c r="C102" s="657"/>
      <c r="D102" s="658"/>
    </row>
    <row r="103" spans="1:8" hidden="1" outlineLevel="1" x14ac:dyDescent="0.2">
      <c r="A103" s="663" t="s">
        <v>1402</v>
      </c>
      <c r="B103" s="664" t="s">
        <v>1382</v>
      </c>
      <c r="C103" s="665" t="s">
        <v>3</v>
      </c>
      <c r="D103" s="666">
        <v>448.91</v>
      </c>
    </row>
    <row r="104" spans="1:8" hidden="1" outlineLevel="1" x14ac:dyDescent="0.2">
      <c r="A104" s="655" t="s">
        <v>1403</v>
      </c>
      <c r="B104" s="656" t="s">
        <v>1332</v>
      </c>
      <c r="C104" s="657"/>
      <c r="D104" s="658"/>
      <c r="F104" s="734"/>
      <c r="G104" s="735"/>
      <c r="H104" s="736"/>
    </row>
    <row r="105" spans="1:8" hidden="1" outlineLevel="1" x14ac:dyDescent="0.2">
      <c r="A105" s="659" t="s">
        <v>1404</v>
      </c>
      <c r="B105" s="660" t="s">
        <v>1382</v>
      </c>
      <c r="C105" s="661" t="s">
        <v>3</v>
      </c>
      <c r="D105" s="662">
        <v>448.91</v>
      </c>
      <c r="F105" s="734"/>
      <c r="G105" s="735"/>
      <c r="H105" s="736"/>
    </row>
    <row r="106" spans="1:8" hidden="1" outlineLevel="1" x14ac:dyDescent="0.2">
      <c r="A106" s="655" t="s">
        <v>1405</v>
      </c>
      <c r="B106" s="656" t="s">
        <v>1336</v>
      </c>
      <c r="C106" s="657"/>
      <c r="D106" s="658"/>
    </row>
    <row r="107" spans="1:8" hidden="1" outlineLevel="1" x14ac:dyDescent="0.2">
      <c r="A107" s="663" t="s">
        <v>1406</v>
      </c>
      <c r="B107" s="664" t="s">
        <v>1382</v>
      </c>
      <c r="C107" s="665" t="s">
        <v>3</v>
      </c>
      <c r="D107" s="666">
        <v>448.91</v>
      </c>
    </row>
    <row r="108" spans="1:8" hidden="1" outlineLevel="1" x14ac:dyDescent="0.2">
      <c r="A108" s="655" t="s">
        <v>1407</v>
      </c>
      <c r="B108" s="656" t="s">
        <v>1340</v>
      </c>
      <c r="C108" s="657"/>
      <c r="D108" s="658"/>
      <c r="F108" s="734"/>
      <c r="G108" s="735"/>
      <c r="H108" s="736"/>
    </row>
    <row r="109" spans="1:8" hidden="1" outlineLevel="1" x14ac:dyDescent="0.2">
      <c r="A109" s="659" t="s">
        <v>1408</v>
      </c>
      <c r="B109" s="660" t="s">
        <v>1382</v>
      </c>
      <c r="C109" s="661" t="s">
        <v>3</v>
      </c>
      <c r="D109" s="662">
        <v>448.91</v>
      </c>
      <c r="F109" s="734"/>
      <c r="G109" s="735"/>
      <c r="H109" s="736"/>
    </row>
    <row r="110" spans="1:8" hidden="1" outlineLevel="1" x14ac:dyDescent="0.2">
      <c r="A110" s="655" t="s">
        <v>1409</v>
      </c>
      <c r="B110" s="656" t="s">
        <v>1344</v>
      </c>
      <c r="C110" s="657"/>
      <c r="D110" s="658"/>
    </row>
    <row r="111" spans="1:8" hidden="1" outlineLevel="1" x14ac:dyDescent="0.2">
      <c r="A111" s="663" t="s">
        <v>1410</v>
      </c>
      <c r="B111" s="664" t="s">
        <v>1382</v>
      </c>
      <c r="C111" s="665" t="s">
        <v>3</v>
      </c>
      <c r="D111" s="666">
        <v>448.91</v>
      </c>
    </row>
    <row r="112" spans="1:8" hidden="1" outlineLevel="1" x14ac:dyDescent="0.2">
      <c r="A112" s="655" t="s">
        <v>1411</v>
      </c>
      <c r="B112" s="656" t="s">
        <v>1348</v>
      </c>
      <c r="C112" s="657"/>
      <c r="D112" s="658"/>
      <c r="F112" s="734"/>
      <c r="G112" s="735"/>
      <c r="H112" s="736"/>
    </row>
    <row r="113" spans="1:8" hidden="1" outlineLevel="1" x14ac:dyDescent="0.2">
      <c r="A113" s="659" t="s">
        <v>1412</v>
      </c>
      <c r="B113" s="660" t="s">
        <v>1382</v>
      </c>
      <c r="C113" s="661" t="s">
        <v>3</v>
      </c>
      <c r="D113" s="662">
        <v>448.91</v>
      </c>
      <c r="F113" s="734"/>
      <c r="G113" s="735"/>
      <c r="H113" s="736"/>
    </row>
    <row r="114" spans="1:8" hidden="1" outlineLevel="1" x14ac:dyDescent="0.2">
      <c r="A114" s="655" t="s">
        <v>1413</v>
      </c>
      <c r="B114" s="656" t="s">
        <v>1352</v>
      </c>
      <c r="C114" s="657"/>
      <c r="D114" s="658"/>
    </row>
    <row r="115" spans="1:8" hidden="1" outlineLevel="1" x14ac:dyDescent="0.2">
      <c r="A115" s="663" t="s">
        <v>1414</v>
      </c>
      <c r="B115" s="664" t="s">
        <v>1382</v>
      </c>
      <c r="C115" s="665" t="s">
        <v>3</v>
      </c>
      <c r="D115" s="666">
        <v>448.91</v>
      </c>
    </row>
    <row r="116" spans="1:8" hidden="1" outlineLevel="1" x14ac:dyDescent="0.2">
      <c r="A116" s="655" t="s">
        <v>1415</v>
      </c>
      <c r="B116" s="656" t="s">
        <v>1356</v>
      </c>
      <c r="C116" s="657"/>
      <c r="D116" s="658"/>
    </row>
    <row r="117" spans="1:8" hidden="1" outlineLevel="1" x14ac:dyDescent="0.2">
      <c r="A117" s="659" t="s">
        <v>1416</v>
      </c>
      <c r="B117" s="660" t="s">
        <v>1382</v>
      </c>
      <c r="C117" s="661" t="s">
        <v>3</v>
      </c>
      <c r="D117" s="662">
        <v>448.91</v>
      </c>
    </row>
    <row r="118" spans="1:8" hidden="1" outlineLevel="1" x14ac:dyDescent="0.2">
      <c r="A118" s="655" t="s">
        <v>1417</v>
      </c>
      <c r="B118" s="656" t="s">
        <v>1360</v>
      </c>
      <c r="C118" s="657"/>
      <c r="D118" s="658"/>
      <c r="F118" s="734"/>
      <c r="G118" s="734"/>
      <c r="H118" s="734"/>
    </row>
    <row r="119" spans="1:8" hidden="1" outlineLevel="1" x14ac:dyDescent="0.2">
      <c r="A119" s="663" t="s">
        <v>1418</v>
      </c>
      <c r="B119" s="664" t="s">
        <v>1382</v>
      </c>
      <c r="C119" s="665" t="s">
        <v>3</v>
      </c>
      <c r="D119" s="666">
        <v>448.91</v>
      </c>
      <c r="F119" s="734"/>
      <c r="G119" s="735"/>
      <c r="H119" s="736"/>
    </row>
    <row r="120" spans="1:8" hidden="1" outlineLevel="1" x14ac:dyDescent="0.2">
      <c r="A120" s="655" t="s">
        <v>1419</v>
      </c>
      <c r="B120" s="656" t="s">
        <v>1364</v>
      </c>
      <c r="C120" s="657"/>
      <c r="D120" s="658"/>
    </row>
    <row r="121" spans="1:8" hidden="1" outlineLevel="1" x14ac:dyDescent="0.2">
      <c r="A121" s="659" t="s">
        <v>1420</v>
      </c>
      <c r="B121" s="660" t="s">
        <v>1382</v>
      </c>
      <c r="C121" s="661" t="s">
        <v>3</v>
      </c>
      <c r="D121" s="662">
        <v>453.95</v>
      </c>
    </row>
    <row r="122" spans="1:8" hidden="1" outlineLevel="1" x14ac:dyDescent="0.2">
      <c r="A122" s="655" t="s">
        <v>1421</v>
      </c>
      <c r="B122" s="656" t="s">
        <v>1368</v>
      </c>
      <c r="C122" s="657"/>
      <c r="D122" s="658"/>
    </row>
    <row r="123" spans="1:8" hidden="1" outlineLevel="1" x14ac:dyDescent="0.2">
      <c r="A123" s="663" t="s">
        <v>1422</v>
      </c>
      <c r="B123" s="664" t="s">
        <v>1382</v>
      </c>
      <c r="C123" s="665" t="s">
        <v>3</v>
      </c>
      <c r="D123" s="666">
        <v>355.26</v>
      </c>
    </row>
    <row r="124" spans="1:8" hidden="1" outlineLevel="1" x14ac:dyDescent="0.2">
      <c r="A124" s="655" t="s">
        <v>1423</v>
      </c>
      <c r="B124" s="656" t="s">
        <v>1283</v>
      </c>
      <c r="C124" s="657"/>
      <c r="D124" s="658"/>
    </row>
    <row r="125" spans="1:8" hidden="1" outlineLevel="1" x14ac:dyDescent="0.2">
      <c r="A125" s="659" t="s">
        <v>1424</v>
      </c>
      <c r="B125" s="660" t="s">
        <v>1382</v>
      </c>
      <c r="C125" s="661" t="s">
        <v>3</v>
      </c>
      <c r="D125" s="662">
        <v>154.38999999999999</v>
      </c>
    </row>
    <row r="126" spans="1:8" hidden="1" outlineLevel="1" x14ac:dyDescent="0.2">
      <c r="A126" s="655" t="s">
        <v>1425</v>
      </c>
      <c r="B126" s="656" t="s">
        <v>1374</v>
      </c>
      <c r="C126" s="657"/>
      <c r="D126" s="658"/>
    </row>
    <row r="127" spans="1:8" hidden="1" outlineLevel="1" x14ac:dyDescent="0.2">
      <c r="A127" s="663" t="s">
        <v>1426</v>
      </c>
      <c r="B127" s="664" t="s">
        <v>1382</v>
      </c>
      <c r="C127" s="665" t="s">
        <v>3</v>
      </c>
      <c r="D127" s="666">
        <v>53.38</v>
      </c>
    </row>
    <row r="128" spans="1:8" hidden="1" outlineLevel="1" x14ac:dyDescent="0.2">
      <c r="A128" s="655" t="s">
        <v>1427</v>
      </c>
      <c r="B128" s="656" t="s">
        <v>1287</v>
      </c>
      <c r="C128" s="657"/>
      <c r="D128" s="658"/>
    </row>
    <row r="129" spans="1:8" hidden="1" outlineLevel="1" x14ac:dyDescent="0.2">
      <c r="A129" s="659" t="s">
        <v>1428</v>
      </c>
      <c r="B129" s="660" t="s">
        <v>1382</v>
      </c>
      <c r="C129" s="661" t="s">
        <v>3</v>
      </c>
      <c r="D129" s="662">
        <v>42.91</v>
      </c>
    </row>
    <row r="130" spans="1:8" collapsed="1" x14ac:dyDescent="0.2">
      <c r="A130" s="651" t="s">
        <v>1429</v>
      </c>
      <c r="B130" s="652" t="s">
        <v>1430</v>
      </c>
      <c r="C130" s="653"/>
      <c r="D130" s="654"/>
    </row>
    <row r="131" spans="1:8" hidden="1" outlineLevel="1" x14ac:dyDescent="0.2">
      <c r="A131" s="655" t="s">
        <v>1431</v>
      </c>
      <c r="B131" s="656" t="s">
        <v>1292</v>
      </c>
      <c r="C131" s="657"/>
      <c r="D131" s="658"/>
    </row>
    <row r="132" spans="1:8" hidden="1" outlineLevel="1" x14ac:dyDescent="0.2">
      <c r="A132" s="663" t="s">
        <v>1432</v>
      </c>
      <c r="B132" s="664" t="s">
        <v>1433</v>
      </c>
      <c r="C132" s="665" t="s">
        <v>11</v>
      </c>
      <c r="D132" s="666">
        <v>55.28</v>
      </c>
    </row>
    <row r="133" spans="1:8" hidden="1" outlineLevel="1" x14ac:dyDescent="0.2">
      <c r="A133" s="655" t="s">
        <v>1434</v>
      </c>
      <c r="B133" s="656" t="s">
        <v>1296</v>
      </c>
      <c r="C133" s="657"/>
      <c r="D133" s="658"/>
    </row>
    <row r="134" spans="1:8" hidden="1" outlineLevel="1" x14ac:dyDescent="0.2">
      <c r="A134" s="659" t="s">
        <v>1435</v>
      </c>
      <c r="B134" s="660" t="s">
        <v>1433</v>
      </c>
      <c r="C134" s="661" t="s">
        <v>11</v>
      </c>
      <c r="D134" s="662">
        <v>54.09</v>
      </c>
    </row>
    <row r="135" spans="1:8" hidden="1" outlineLevel="1" x14ac:dyDescent="0.2">
      <c r="A135" s="655" t="s">
        <v>1436</v>
      </c>
      <c r="B135" s="656" t="s">
        <v>1299</v>
      </c>
      <c r="C135" s="657"/>
      <c r="D135" s="658"/>
    </row>
    <row r="136" spans="1:8" hidden="1" outlineLevel="1" x14ac:dyDescent="0.2">
      <c r="A136" s="663" t="s">
        <v>1437</v>
      </c>
      <c r="B136" s="664" t="s">
        <v>1433</v>
      </c>
      <c r="C136" s="665" t="s">
        <v>11</v>
      </c>
      <c r="D136" s="666">
        <v>54.11</v>
      </c>
    </row>
    <row r="137" spans="1:8" hidden="1" outlineLevel="1" x14ac:dyDescent="0.2">
      <c r="A137" s="655" t="s">
        <v>1438</v>
      </c>
      <c r="B137" s="656" t="s">
        <v>1302</v>
      </c>
      <c r="C137" s="657"/>
      <c r="D137" s="658"/>
    </row>
    <row r="138" spans="1:8" hidden="1" outlineLevel="1" x14ac:dyDescent="0.2">
      <c r="A138" s="659" t="s">
        <v>1439</v>
      </c>
      <c r="B138" s="660" t="s">
        <v>1433</v>
      </c>
      <c r="C138" s="661" t="s">
        <v>11</v>
      </c>
      <c r="D138" s="662">
        <v>56.46</v>
      </c>
    </row>
    <row r="139" spans="1:8" hidden="1" outlineLevel="1" x14ac:dyDescent="0.2">
      <c r="A139" s="655" t="s">
        <v>1440</v>
      </c>
      <c r="B139" s="656" t="s">
        <v>1305</v>
      </c>
      <c r="C139" s="657"/>
      <c r="D139" s="658"/>
    </row>
    <row r="140" spans="1:8" hidden="1" outlineLevel="1" x14ac:dyDescent="0.2">
      <c r="A140" s="663" t="s">
        <v>1441</v>
      </c>
      <c r="B140" s="664" t="s">
        <v>1433</v>
      </c>
      <c r="C140" s="665" t="s">
        <v>11</v>
      </c>
      <c r="D140" s="666">
        <v>61.72</v>
      </c>
    </row>
    <row r="141" spans="1:8" hidden="1" outlineLevel="1" x14ac:dyDescent="0.2">
      <c r="A141" s="655" t="s">
        <v>1442</v>
      </c>
      <c r="B141" s="656" t="s">
        <v>1308</v>
      </c>
      <c r="C141" s="657"/>
      <c r="D141" s="658"/>
    </row>
    <row r="142" spans="1:8" hidden="1" outlineLevel="1" x14ac:dyDescent="0.2">
      <c r="A142" s="659" t="s">
        <v>1443</v>
      </c>
      <c r="B142" s="660" t="s">
        <v>1433</v>
      </c>
      <c r="C142" s="661" t="s">
        <v>11</v>
      </c>
      <c r="D142" s="662">
        <v>91.93</v>
      </c>
    </row>
    <row r="143" spans="1:8" hidden="1" outlineLevel="1" x14ac:dyDescent="0.2">
      <c r="A143" s="655" t="s">
        <v>1444</v>
      </c>
      <c r="B143" s="656" t="s">
        <v>1311</v>
      </c>
      <c r="C143" s="657"/>
      <c r="D143" s="658"/>
      <c r="F143" s="656" t="s">
        <v>9</v>
      </c>
      <c r="G143" s="656"/>
      <c r="H143" s="656"/>
    </row>
    <row r="144" spans="1:8" hidden="1" outlineLevel="1" x14ac:dyDescent="0.2">
      <c r="A144" s="663" t="s">
        <v>1445</v>
      </c>
      <c r="B144" s="664" t="s">
        <v>1433</v>
      </c>
      <c r="C144" s="665" t="s">
        <v>11</v>
      </c>
      <c r="D144" s="666">
        <v>113.36</v>
      </c>
      <c r="F144" s="660" t="s">
        <v>1433</v>
      </c>
      <c r="G144" s="661" t="s">
        <v>11</v>
      </c>
      <c r="H144" s="662">
        <f>SUM(D144:D168)</f>
        <v>1434.4299999999998</v>
      </c>
    </row>
    <row r="145" spans="1:4" hidden="1" outlineLevel="1" x14ac:dyDescent="0.2">
      <c r="A145" s="655" t="s">
        <v>1446</v>
      </c>
      <c r="B145" s="656" t="s">
        <v>1316</v>
      </c>
      <c r="C145" s="657"/>
      <c r="D145" s="658"/>
    </row>
    <row r="146" spans="1:4" hidden="1" outlineLevel="1" x14ac:dyDescent="0.2">
      <c r="A146" s="659" t="s">
        <v>1447</v>
      </c>
      <c r="B146" s="660" t="s">
        <v>1433</v>
      </c>
      <c r="C146" s="661" t="s">
        <v>11</v>
      </c>
      <c r="D146" s="662">
        <v>110.08</v>
      </c>
    </row>
    <row r="147" spans="1:4" hidden="1" outlineLevel="1" x14ac:dyDescent="0.2">
      <c r="A147" s="655" t="s">
        <v>1448</v>
      </c>
      <c r="B147" s="656" t="s">
        <v>1320</v>
      </c>
      <c r="C147" s="657"/>
      <c r="D147" s="658"/>
    </row>
    <row r="148" spans="1:4" hidden="1" outlineLevel="1" x14ac:dyDescent="0.2">
      <c r="A148" s="663" t="s">
        <v>1449</v>
      </c>
      <c r="B148" s="664" t="s">
        <v>1433</v>
      </c>
      <c r="C148" s="665" t="s">
        <v>11</v>
      </c>
      <c r="D148" s="666">
        <v>110.09</v>
      </c>
    </row>
    <row r="149" spans="1:4" hidden="1" outlineLevel="1" x14ac:dyDescent="0.2">
      <c r="A149" s="655" t="s">
        <v>1450</v>
      </c>
      <c r="B149" s="656" t="s">
        <v>1324</v>
      </c>
      <c r="C149" s="657"/>
      <c r="D149" s="658"/>
    </row>
    <row r="150" spans="1:4" hidden="1" outlineLevel="1" x14ac:dyDescent="0.2">
      <c r="A150" s="659" t="s">
        <v>1451</v>
      </c>
      <c r="B150" s="660" t="s">
        <v>1433</v>
      </c>
      <c r="C150" s="661" t="s">
        <v>11</v>
      </c>
      <c r="D150" s="662">
        <v>110.09</v>
      </c>
    </row>
    <row r="151" spans="1:4" hidden="1" outlineLevel="1" x14ac:dyDescent="0.2">
      <c r="A151" s="655" t="s">
        <v>1452</v>
      </c>
      <c r="B151" s="656" t="s">
        <v>1328</v>
      </c>
      <c r="C151" s="657"/>
      <c r="D151" s="658"/>
    </row>
    <row r="152" spans="1:4" hidden="1" outlineLevel="1" x14ac:dyDescent="0.2">
      <c r="A152" s="663" t="s">
        <v>1453</v>
      </c>
      <c r="B152" s="664" t="s">
        <v>1433</v>
      </c>
      <c r="C152" s="665" t="s">
        <v>11</v>
      </c>
      <c r="D152" s="666">
        <v>110.09</v>
      </c>
    </row>
    <row r="153" spans="1:4" hidden="1" outlineLevel="1" x14ac:dyDescent="0.2">
      <c r="A153" s="655" t="s">
        <v>1454</v>
      </c>
      <c r="B153" s="656" t="s">
        <v>1332</v>
      </c>
      <c r="C153" s="657"/>
      <c r="D153" s="658"/>
    </row>
    <row r="154" spans="1:4" hidden="1" outlineLevel="1" x14ac:dyDescent="0.2">
      <c r="A154" s="659" t="s">
        <v>1455</v>
      </c>
      <c r="B154" s="660" t="s">
        <v>1433</v>
      </c>
      <c r="C154" s="661" t="s">
        <v>11</v>
      </c>
      <c r="D154" s="662">
        <v>110.09</v>
      </c>
    </row>
    <row r="155" spans="1:4" hidden="1" outlineLevel="1" x14ac:dyDescent="0.2">
      <c r="A155" s="655" t="s">
        <v>1456</v>
      </c>
      <c r="B155" s="656" t="s">
        <v>1336</v>
      </c>
      <c r="C155" s="657"/>
      <c r="D155" s="658"/>
    </row>
    <row r="156" spans="1:4" hidden="1" outlineLevel="1" x14ac:dyDescent="0.2">
      <c r="A156" s="663" t="s">
        <v>1457</v>
      </c>
      <c r="B156" s="664" t="s">
        <v>1433</v>
      </c>
      <c r="C156" s="665" t="s">
        <v>11</v>
      </c>
      <c r="D156" s="666">
        <v>110.09</v>
      </c>
    </row>
    <row r="157" spans="1:4" hidden="1" outlineLevel="1" x14ac:dyDescent="0.2">
      <c r="A157" s="655" t="s">
        <v>1458</v>
      </c>
      <c r="B157" s="656" t="s">
        <v>1340</v>
      </c>
      <c r="C157" s="657"/>
      <c r="D157" s="658"/>
    </row>
    <row r="158" spans="1:4" hidden="1" outlineLevel="1" x14ac:dyDescent="0.2">
      <c r="A158" s="659" t="s">
        <v>1459</v>
      </c>
      <c r="B158" s="660" t="s">
        <v>1433</v>
      </c>
      <c r="C158" s="661" t="s">
        <v>11</v>
      </c>
      <c r="D158" s="662">
        <v>110.09</v>
      </c>
    </row>
    <row r="159" spans="1:4" hidden="1" outlineLevel="1" x14ac:dyDescent="0.2">
      <c r="A159" s="655" t="s">
        <v>1460</v>
      </c>
      <c r="B159" s="656" t="s">
        <v>1344</v>
      </c>
      <c r="C159" s="657"/>
      <c r="D159" s="658"/>
    </row>
    <row r="160" spans="1:4" hidden="1" outlineLevel="1" x14ac:dyDescent="0.2">
      <c r="A160" s="663" t="s">
        <v>1461</v>
      </c>
      <c r="B160" s="664" t="s">
        <v>1433</v>
      </c>
      <c r="C160" s="665" t="s">
        <v>11</v>
      </c>
      <c r="D160" s="666">
        <v>110.09</v>
      </c>
    </row>
    <row r="161" spans="1:4" hidden="1" outlineLevel="1" x14ac:dyDescent="0.2">
      <c r="A161" s="655" t="s">
        <v>1462</v>
      </c>
      <c r="B161" s="656" t="s">
        <v>1348</v>
      </c>
      <c r="C161" s="657"/>
      <c r="D161" s="658"/>
    </row>
    <row r="162" spans="1:4" hidden="1" outlineLevel="1" x14ac:dyDescent="0.2">
      <c r="A162" s="659" t="s">
        <v>1463</v>
      </c>
      <c r="B162" s="660" t="s">
        <v>1433</v>
      </c>
      <c r="C162" s="661" t="s">
        <v>11</v>
      </c>
      <c r="D162" s="662">
        <v>110.09</v>
      </c>
    </row>
    <row r="163" spans="1:4" hidden="1" outlineLevel="1" x14ac:dyDescent="0.2">
      <c r="A163" s="655" t="s">
        <v>1464</v>
      </c>
      <c r="B163" s="656" t="s">
        <v>1352</v>
      </c>
      <c r="C163" s="657"/>
      <c r="D163" s="658"/>
    </row>
    <row r="164" spans="1:4" hidden="1" outlineLevel="1" x14ac:dyDescent="0.2">
      <c r="A164" s="663" t="s">
        <v>1465</v>
      </c>
      <c r="B164" s="664" t="s">
        <v>1433</v>
      </c>
      <c r="C164" s="665" t="s">
        <v>11</v>
      </c>
      <c r="D164" s="666">
        <v>110.09</v>
      </c>
    </row>
    <row r="165" spans="1:4" hidden="1" outlineLevel="1" x14ac:dyDescent="0.2">
      <c r="A165" s="655" t="s">
        <v>1466</v>
      </c>
      <c r="B165" s="656" t="s">
        <v>1356</v>
      </c>
      <c r="C165" s="657"/>
      <c r="D165" s="658"/>
    </row>
    <row r="166" spans="1:4" hidden="1" outlineLevel="1" x14ac:dyDescent="0.2">
      <c r="A166" s="659" t="s">
        <v>1467</v>
      </c>
      <c r="B166" s="660" t="s">
        <v>1433</v>
      </c>
      <c r="C166" s="661" t="s">
        <v>11</v>
      </c>
      <c r="D166" s="662">
        <v>110.09</v>
      </c>
    </row>
    <row r="167" spans="1:4" hidden="1" outlineLevel="1" x14ac:dyDescent="0.2">
      <c r="A167" s="655" t="s">
        <v>1468</v>
      </c>
      <c r="B167" s="656" t="s">
        <v>1360</v>
      </c>
      <c r="C167" s="657"/>
      <c r="D167" s="658"/>
    </row>
    <row r="168" spans="1:4" hidden="1" outlineLevel="1" x14ac:dyDescent="0.2">
      <c r="A168" s="663" t="s">
        <v>1469</v>
      </c>
      <c r="B168" s="664" t="s">
        <v>1433</v>
      </c>
      <c r="C168" s="665" t="s">
        <v>11</v>
      </c>
      <c r="D168" s="666">
        <v>110.09</v>
      </c>
    </row>
    <row r="169" spans="1:4" hidden="1" outlineLevel="1" x14ac:dyDescent="0.2">
      <c r="A169" s="655" t="s">
        <v>1470</v>
      </c>
      <c r="B169" s="656" t="s">
        <v>1364</v>
      </c>
      <c r="C169" s="657"/>
      <c r="D169" s="658"/>
    </row>
    <row r="170" spans="1:4" hidden="1" outlineLevel="1" x14ac:dyDescent="0.2">
      <c r="A170" s="659" t="s">
        <v>1471</v>
      </c>
      <c r="B170" s="660" t="s">
        <v>1433</v>
      </c>
      <c r="C170" s="661" t="s">
        <v>11</v>
      </c>
      <c r="D170" s="662">
        <v>106.6</v>
      </c>
    </row>
    <row r="171" spans="1:4" hidden="1" outlineLevel="1" x14ac:dyDescent="0.2">
      <c r="A171" s="655" t="s">
        <v>1472</v>
      </c>
      <c r="B171" s="656" t="s">
        <v>1368</v>
      </c>
      <c r="C171" s="657"/>
      <c r="D171" s="658"/>
    </row>
    <row r="172" spans="1:4" hidden="1" outlineLevel="1" x14ac:dyDescent="0.2">
      <c r="A172" s="663" t="s">
        <v>1473</v>
      </c>
      <c r="B172" s="664" t="s">
        <v>1433</v>
      </c>
      <c r="C172" s="665" t="s">
        <v>11</v>
      </c>
      <c r="D172" s="666">
        <v>84.93</v>
      </c>
    </row>
    <row r="173" spans="1:4" collapsed="1" x14ac:dyDescent="0.2">
      <c r="A173" s="651" t="s">
        <v>1474</v>
      </c>
      <c r="B173" s="652" t="s">
        <v>131</v>
      </c>
      <c r="C173" s="653"/>
      <c r="D173" s="654"/>
    </row>
    <row r="174" spans="1:4" hidden="1" outlineLevel="1" x14ac:dyDescent="0.2">
      <c r="A174" s="655" t="s">
        <v>1475</v>
      </c>
      <c r="B174" s="656" t="s">
        <v>1292</v>
      </c>
      <c r="C174" s="657"/>
      <c r="D174" s="658"/>
    </row>
    <row r="175" spans="1:4" hidden="1" outlineLevel="1" x14ac:dyDescent="0.2">
      <c r="A175" s="659" t="s">
        <v>1476</v>
      </c>
      <c r="B175" s="660" t="s">
        <v>1477</v>
      </c>
      <c r="C175" s="661" t="s">
        <v>11</v>
      </c>
      <c r="D175" s="662">
        <v>4.84</v>
      </c>
    </row>
    <row r="176" spans="1:4" hidden="1" outlineLevel="1" x14ac:dyDescent="0.2">
      <c r="A176" s="663" t="s">
        <v>1478</v>
      </c>
      <c r="B176" s="664" t="s">
        <v>1479</v>
      </c>
      <c r="C176" s="665" t="s">
        <v>11</v>
      </c>
      <c r="D176" s="666">
        <v>7.81</v>
      </c>
    </row>
    <row r="177" spans="1:8" hidden="1" outlineLevel="1" x14ac:dyDescent="0.2">
      <c r="A177" s="655" t="s">
        <v>1480</v>
      </c>
      <c r="B177" s="656" t="s">
        <v>1296</v>
      </c>
      <c r="C177" s="657"/>
      <c r="D177" s="658"/>
      <c r="F177" s="656" t="s">
        <v>1296</v>
      </c>
      <c r="G177" s="657"/>
      <c r="H177" s="658"/>
    </row>
    <row r="178" spans="1:8" hidden="1" outlineLevel="1" x14ac:dyDescent="0.2">
      <c r="A178" s="659" t="s">
        <v>1481</v>
      </c>
      <c r="B178" s="660" t="s">
        <v>1477</v>
      </c>
      <c r="C178" s="661" t="s">
        <v>11</v>
      </c>
      <c r="D178" s="662">
        <v>19.16</v>
      </c>
      <c r="F178" s="660" t="s">
        <v>1477</v>
      </c>
      <c r="G178" s="661" t="s">
        <v>11</v>
      </c>
      <c r="H178" s="662">
        <f>SUM(D178:D182)</f>
        <v>28.74</v>
      </c>
    </row>
    <row r="179" spans="1:8" hidden="1" outlineLevel="1" x14ac:dyDescent="0.2">
      <c r="A179" s="655" t="s">
        <v>1482</v>
      </c>
      <c r="B179" s="656" t="s">
        <v>1299</v>
      </c>
      <c r="C179" s="657"/>
      <c r="D179" s="658"/>
    </row>
    <row r="180" spans="1:8" hidden="1" outlineLevel="1" x14ac:dyDescent="0.2">
      <c r="A180" s="663" t="s">
        <v>1483</v>
      </c>
      <c r="B180" s="664" t="s">
        <v>1477</v>
      </c>
      <c r="C180" s="665" t="s">
        <v>11</v>
      </c>
      <c r="D180" s="666">
        <v>4.79</v>
      </c>
    </row>
    <row r="181" spans="1:8" hidden="1" outlineLevel="1" x14ac:dyDescent="0.2">
      <c r="A181" s="655" t="s">
        <v>1484</v>
      </c>
      <c r="B181" s="656" t="s">
        <v>1302</v>
      </c>
      <c r="C181" s="657"/>
      <c r="D181" s="658"/>
    </row>
    <row r="182" spans="1:8" hidden="1" outlineLevel="1" x14ac:dyDescent="0.2">
      <c r="A182" s="659" t="s">
        <v>1485</v>
      </c>
      <c r="B182" s="660" t="s">
        <v>1477</v>
      </c>
      <c r="C182" s="661" t="s">
        <v>11</v>
      </c>
      <c r="D182" s="662">
        <v>4.79</v>
      </c>
    </row>
    <row r="183" spans="1:8" hidden="1" outlineLevel="1" x14ac:dyDescent="0.2">
      <c r="A183" s="655" t="s">
        <v>1486</v>
      </c>
      <c r="B183" s="656" t="s">
        <v>1305</v>
      </c>
      <c r="C183" s="657"/>
      <c r="D183" s="658"/>
    </row>
    <row r="184" spans="1:8" hidden="1" outlineLevel="1" x14ac:dyDescent="0.2">
      <c r="A184" s="663" t="s">
        <v>1487</v>
      </c>
      <c r="B184" s="664" t="s">
        <v>1477</v>
      </c>
      <c r="C184" s="665" t="s">
        <v>11</v>
      </c>
      <c r="D184" s="666">
        <v>4.79</v>
      </c>
    </row>
    <row r="185" spans="1:8" hidden="1" outlineLevel="1" x14ac:dyDescent="0.2">
      <c r="A185" s="655" t="s">
        <v>1488</v>
      </c>
      <c r="B185" s="656" t="s">
        <v>1308</v>
      </c>
      <c r="C185" s="657"/>
      <c r="D185" s="658"/>
    </row>
    <row r="186" spans="1:8" hidden="1" outlineLevel="1" x14ac:dyDescent="0.2">
      <c r="A186" s="659" t="s">
        <v>1489</v>
      </c>
      <c r="B186" s="660" t="s">
        <v>1477</v>
      </c>
      <c r="C186" s="661" t="s">
        <v>11</v>
      </c>
      <c r="D186" s="662">
        <v>384.91</v>
      </c>
    </row>
    <row r="187" spans="1:8" hidden="1" outlineLevel="1" x14ac:dyDescent="0.2">
      <c r="A187" s="663" t="s">
        <v>1490</v>
      </c>
      <c r="B187" s="664" t="s">
        <v>1479</v>
      </c>
      <c r="C187" s="665" t="s">
        <v>11</v>
      </c>
      <c r="D187" s="666">
        <v>49.82</v>
      </c>
    </row>
    <row r="188" spans="1:8" hidden="1" outlineLevel="1" x14ac:dyDescent="0.2">
      <c r="A188" s="655" t="s">
        <v>1491</v>
      </c>
      <c r="B188" s="656" t="s">
        <v>1311</v>
      </c>
      <c r="C188" s="657"/>
      <c r="D188" s="658"/>
      <c r="F188" s="656" t="s">
        <v>9</v>
      </c>
      <c r="G188" s="657"/>
      <c r="H188" s="658"/>
    </row>
    <row r="189" spans="1:8" hidden="1" outlineLevel="1" x14ac:dyDescent="0.2">
      <c r="A189" s="659" t="s">
        <v>1492</v>
      </c>
      <c r="B189" s="660" t="s">
        <v>1477</v>
      </c>
      <c r="C189" s="661" t="s">
        <v>11</v>
      </c>
      <c r="D189" s="662">
        <v>2.77</v>
      </c>
      <c r="F189" s="660" t="s">
        <v>1477</v>
      </c>
      <c r="G189" s="661" t="s">
        <v>11</v>
      </c>
      <c r="H189" s="662">
        <v>2.77</v>
      </c>
    </row>
    <row r="190" spans="1:8" hidden="1" outlineLevel="1" x14ac:dyDescent="0.2">
      <c r="A190" s="663" t="s">
        <v>1493</v>
      </c>
      <c r="B190" s="664" t="s">
        <v>1479</v>
      </c>
      <c r="C190" s="665" t="s">
        <v>11</v>
      </c>
      <c r="D190" s="666">
        <v>111.07</v>
      </c>
      <c r="F190" s="664" t="s">
        <v>1479</v>
      </c>
      <c r="G190" s="665" t="s">
        <v>11</v>
      </c>
      <c r="H190" s="666">
        <f>SUM(D190:D214)</f>
        <v>1444.3899999999996</v>
      </c>
    </row>
    <row r="191" spans="1:8" hidden="1" outlineLevel="1" x14ac:dyDescent="0.2">
      <c r="A191" s="655" t="s">
        <v>1494</v>
      </c>
      <c r="B191" s="656" t="s">
        <v>1316</v>
      </c>
      <c r="C191" s="657"/>
      <c r="D191" s="658"/>
    </row>
    <row r="192" spans="1:8" hidden="1" outlineLevel="1" x14ac:dyDescent="0.2">
      <c r="A192" s="659" t="s">
        <v>1495</v>
      </c>
      <c r="B192" s="660" t="s">
        <v>1479</v>
      </c>
      <c r="C192" s="661" t="s">
        <v>11</v>
      </c>
      <c r="D192" s="662">
        <v>111.11</v>
      </c>
    </row>
    <row r="193" spans="1:4" hidden="1" outlineLevel="1" x14ac:dyDescent="0.2">
      <c r="A193" s="655" t="s">
        <v>1496</v>
      </c>
      <c r="B193" s="656" t="s">
        <v>1320</v>
      </c>
      <c r="C193" s="657"/>
      <c r="D193" s="658"/>
    </row>
    <row r="194" spans="1:4" hidden="1" outlineLevel="1" x14ac:dyDescent="0.2">
      <c r="A194" s="663" t="s">
        <v>1497</v>
      </c>
      <c r="B194" s="664" t="s">
        <v>1479</v>
      </c>
      <c r="C194" s="665" t="s">
        <v>11</v>
      </c>
      <c r="D194" s="666">
        <v>111.11</v>
      </c>
    </row>
    <row r="195" spans="1:4" hidden="1" outlineLevel="1" x14ac:dyDescent="0.2">
      <c r="A195" s="655" t="s">
        <v>1498</v>
      </c>
      <c r="B195" s="656" t="s">
        <v>1324</v>
      </c>
      <c r="C195" s="657"/>
      <c r="D195" s="658"/>
    </row>
    <row r="196" spans="1:4" hidden="1" outlineLevel="1" x14ac:dyDescent="0.2">
      <c r="A196" s="659" t="s">
        <v>1499</v>
      </c>
      <c r="B196" s="660" t="s">
        <v>1479</v>
      </c>
      <c r="C196" s="661" t="s">
        <v>11</v>
      </c>
      <c r="D196" s="662">
        <v>111.11</v>
      </c>
    </row>
    <row r="197" spans="1:4" hidden="1" outlineLevel="1" x14ac:dyDescent="0.2">
      <c r="A197" s="655" t="s">
        <v>1500</v>
      </c>
      <c r="B197" s="656" t="s">
        <v>1328</v>
      </c>
      <c r="C197" s="657"/>
      <c r="D197" s="658"/>
    </row>
    <row r="198" spans="1:4" hidden="1" outlineLevel="1" x14ac:dyDescent="0.2">
      <c r="A198" s="663" t="s">
        <v>1501</v>
      </c>
      <c r="B198" s="664" t="s">
        <v>1479</v>
      </c>
      <c r="C198" s="665" t="s">
        <v>11</v>
      </c>
      <c r="D198" s="666">
        <v>111.11</v>
      </c>
    </row>
    <row r="199" spans="1:4" hidden="1" outlineLevel="1" x14ac:dyDescent="0.2">
      <c r="A199" s="655" t="s">
        <v>1502</v>
      </c>
      <c r="B199" s="656" t="s">
        <v>1332</v>
      </c>
      <c r="C199" s="657"/>
      <c r="D199" s="658"/>
    </row>
    <row r="200" spans="1:4" hidden="1" outlineLevel="1" x14ac:dyDescent="0.2">
      <c r="A200" s="659" t="s">
        <v>1503</v>
      </c>
      <c r="B200" s="660" t="s">
        <v>1479</v>
      </c>
      <c r="C200" s="661" t="s">
        <v>11</v>
      </c>
      <c r="D200" s="662">
        <v>111.11</v>
      </c>
    </row>
    <row r="201" spans="1:4" hidden="1" outlineLevel="1" x14ac:dyDescent="0.2">
      <c r="A201" s="655" t="s">
        <v>1504</v>
      </c>
      <c r="B201" s="656" t="s">
        <v>1336</v>
      </c>
      <c r="C201" s="657"/>
      <c r="D201" s="658"/>
    </row>
    <row r="202" spans="1:4" hidden="1" outlineLevel="1" x14ac:dyDescent="0.2">
      <c r="A202" s="663" t="s">
        <v>1505</v>
      </c>
      <c r="B202" s="664" t="s">
        <v>1479</v>
      </c>
      <c r="C202" s="665" t="s">
        <v>11</v>
      </c>
      <c r="D202" s="666">
        <v>111.11</v>
      </c>
    </row>
    <row r="203" spans="1:4" hidden="1" outlineLevel="1" x14ac:dyDescent="0.2">
      <c r="A203" s="655" t="s">
        <v>1506</v>
      </c>
      <c r="B203" s="656" t="s">
        <v>1340</v>
      </c>
      <c r="C203" s="657"/>
      <c r="D203" s="658"/>
    </row>
    <row r="204" spans="1:4" hidden="1" outlineLevel="1" x14ac:dyDescent="0.2">
      <c r="A204" s="659" t="s">
        <v>1507</v>
      </c>
      <c r="B204" s="660" t="s">
        <v>1479</v>
      </c>
      <c r="C204" s="661" t="s">
        <v>11</v>
      </c>
      <c r="D204" s="662">
        <v>111.11</v>
      </c>
    </row>
    <row r="205" spans="1:4" hidden="1" outlineLevel="1" x14ac:dyDescent="0.2">
      <c r="A205" s="655" t="s">
        <v>1508</v>
      </c>
      <c r="B205" s="656" t="s">
        <v>1344</v>
      </c>
      <c r="C205" s="657"/>
      <c r="D205" s="658"/>
    </row>
    <row r="206" spans="1:4" hidden="1" outlineLevel="1" x14ac:dyDescent="0.2">
      <c r="A206" s="663" t="s">
        <v>1509</v>
      </c>
      <c r="B206" s="664" t="s">
        <v>1479</v>
      </c>
      <c r="C206" s="665" t="s">
        <v>11</v>
      </c>
      <c r="D206" s="666">
        <v>111.11</v>
      </c>
    </row>
    <row r="207" spans="1:4" hidden="1" outlineLevel="1" x14ac:dyDescent="0.2">
      <c r="A207" s="655" t="s">
        <v>1510</v>
      </c>
      <c r="B207" s="656" t="s">
        <v>1348</v>
      </c>
      <c r="C207" s="657"/>
      <c r="D207" s="658"/>
    </row>
    <row r="208" spans="1:4" hidden="1" outlineLevel="1" x14ac:dyDescent="0.2">
      <c r="A208" s="659" t="s">
        <v>1511</v>
      </c>
      <c r="B208" s="660" t="s">
        <v>1479</v>
      </c>
      <c r="C208" s="661" t="s">
        <v>11</v>
      </c>
      <c r="D208" s="662">
        <v>111.11</v>
      </c>
    </row>
    <row r="209" spans="1:4" hidden="1" outlineLevel="1" x14ac:dyDescent="0.2">
      <c r="A209" s="655" t="s">
        <v>1512</v>
      </c>
      <c r="B209" s="656" t="s">
        <v>1352</v>
      </c>
      <c r="C209" s="657"/>
      <c r="D209" s="658"/>
    </row>
    <row r="210" spans="1:4" hidden="1" outlineLevel="1" x14ac:dyDescent="0.2">
      <c r="A210" s="663" t="s">
        <v>1513</v>
      </c>
      <c r="B210" s="664" t="s">
        <v>1479</v>
      </c>
      <c r="C210" s="665" t="s">
        <v>11</v>
      </c>
      <c r="D210" s="666">
        <v>111.11</v>
      </c>
    </row>
    <row r="211" spans="1:4" hidden="1" outlineLevel="1" x14ac:dyDescent="0.2">
      <c r="A211" s="655" t="s">
        <v>1514</v>
      </c>
      <c r="B211" s="656" t="s">
        <v>1356</v>
      </c>
      <c r="C211" s="657"/>
      <c r="D211" s="658"/>
    </row>
    <row r="212" spans="1:4" hidden="1" outlineLevel="1" x14ac:dyDescent="0.2">
      <c r="A212" s="659" t="s">
        <v>1515</v>
      </c>
      <c r="B212" s="660" t="s">
        <v>1479</v>
      </c>
      <c r="C212" s="661" t="s">
        <v>11</v>
      </c>
      <c r="D212" s="662">
        <v>111.11</v>
      </c>
    </row>
    <row r="213" spans="1:4" hidden="1" outlineLevel="1" x14ac:dyDescent="0.2">
      <c r="A213" s="655" t="s">
        <v>1516</v>
      </c>
      <c r="B213" s="656" t="s">
        <v>1360</v>
      </c>
      <c r="C213" s="657"/>
      <c r="D213" s="658"/>
    </row>
    <row r="214" spans="1:4" hidden="1" outlineLevel="1" x14ac:dyDescent="0.2">
      <c r="A214" s="663" t="s">
        <v>1517</v>
      </c>
      <c r="B214" s="664" t="s">
        <v>1479</v>
      </c>
      <c r="C214" s="665" t="s">
        <v>11</v>
      </c>
      <c r="D214" s="666">
        <v>111.11</v>
      </c>
    </row>
    <row r="215" spans="1:4" hidden="1" outlineLevel="1" x14ac:dyDescent="0.2">
      <c r="A215" s="655" t="s">
        <v>1518</v>
      </c>
      <c r="B215" s="656" t="s">
        <v>1364</v>
      </c>
      <c r="C215" s="657"/>
      <c r="D215" s="658"/>
    </row>
    <row r="216" spans="1:4" hidden="1" outlineLevel="1" x14ac:dyDescent="0.2">
      <c r="A216" s="659" t="s">
        <v>1519</v>
      </c>
      <c r="B216" s="660" t="s">
        <v>1479</v>
      </c>
      <c r="C216" s="661" t="s">
        <v>11</v>
      </c>
      <c r="D216" s="662">
        <v>99.05</v>
      </c>
    </row>
    <row r="217" spans="1:4" hidden="1" outlineLevel="1" x14ac:dyDescent="0.2">
      <c r="A217" s="655" t="s">
        <v>1520</v>
      </c>
      <c r="B217" s="656" t="s">
        <v>1368</v>
      </c>
      <c r="C217" s="657"/>
      <c r="D217" s="658"/>
    </row>
    <row r="218" spans="1:4" hidden="1" outlineLevel="1" x14ac:dyDescent="0.2">
      <c r="A218" s="663" t="s">
        <v>1521</v>
      </c>
      <c r="B218" s="664" t="s">
        <v>1477</v>
      </c>
      <c r="C218" s="665" t="s">
        <v>11</v>
      </c>
      <c r="D218" s="666">
        <v>16.940000000000001</v>
      </c>
    </row>
    <row r="219" spans="1:4" hidden="1" outlineLevel="1" x14ac:dyDescent="0.2">
      <c r="A219" s="659" t="s">
        <v>1522</v>
      </c>
      <c r="B219" s="660" t="s">
        <v>1479</v>
      </c>
      <c r="C219" s="661" t="s">
        <v>11</v>
      </c>
      <c r="D219" s="662">
        <v>131.6</v>
      </c>
    </row>
    <row r="220" spans="1:4" hidden="1" outlineLevel="1" x14ac:dyDescent="0.2">
      <c r="A220" s="655" t="s">
        <v>1523</v>
      </c>
      <c r="B220" s="656" t="s">
        <v>1283</v>
      </c>
      <c r="C220" s="657"/>
      <c r="D220" s="658"/>
    </row>
    <row r="221" spans="1:4" hidden="1" outlineLevel="1" x14ac:dyDescent="0.2">
      <c r="A221" s="663" t="s">
        <v>1524</v>
      </c>
      <c r="B221" s="664" t="s">
        <v>1477</v>
      </c>
      <c r="C221" s="665" t="s">
        <v>11</v>
      </c>
      <c r="D221" s="666">
        <v>0</v>
      </c>
    </row>
    <row r="222" spans="1:4" hidden="1" outlineLevel="1" x14ac:dyDescent="0.2">
      <c r="A222" s="655" t="s">
        <v>1525</v>
      </c>
      <c r="B222" s="656" t="s">
        <v>1374</v>
      </c>
      <c r="C222" s="657"/>
      <c r="D222" s="658"/>
    </row>
    <row r="223" spans="1:4" hidden="1" outlineLevel="1" x14ac:dyDescent="0.2">
      <c r="A223" s="659" t="s">
        <v>1526</v>
      </c>
      <c r="B223" s="660" t="s">
        <v>1479</v>
      </c>
      <c r="C223" s="661" t="s">
        <v>11</v>
      </c>
      <c r="D223" s="662">
        <v>72.39</v>
      </c>
    </row>
    <row r="224" spans="1:4" hidden="1" outlineLevel="1" x14ac:dyDescent="0.2">
      <c r="A224" s="655" t="s">
        <v>1527</v>
      </c>
      <c r="B224" s="656" t="s">
        <v>1287</v>
      </c>
      <c r="C224" s="657"/>
      <c r="D224" s="658"/>
    </row>
    <row r="225" spans="1:8" hidden="1" outlineLevel="1" x14ac:dyDescent="0.2">
      <c r="A225" s="663" t="s">
        <v>1528</v>
      </c>
      <c r="B225" s="664" t="s">
        <v>1477</v>
      </c>
      <c r="C225" s="665" t="s">
        <v>11</v>
      </c>
      <c r="D225" s="666">
        <v>54.26</v>
      </c>
    </row>
    <row r="226" spans="1:8" x14ac:dyDescent="0.2">
      <c r="A226" s="651" t="s">
        <v>1529</v>
      </c>
      <c r="B226" s="652" t="s">
        <v>1530</v>
      </c>
      <c r="C226" s="653"/>
      <c r="D226" s="654"/>
    </row>
    <row r="227" spans="1:8" outlineLevel="1" x14ac:dyDescent="0.2">
      <c r="A227" s="655" t="s">
        <v>1531</v>
      </c>
      <c r="B227" s="656" t="s">
        <v>1292</v>
      </c>
      <c r="C227" s="657"/>
      <c r="D227" s="658"/>
      <c r="F227" s="656" t="s">
        <v>1292</v>
      </c>
      <c r="G227" s="657"/>
      <c r="H227" s="658"/>
    </row>
    <row r="228" spans="1:8" outlineLevel="1" x14ac:dyDescent="0.2">
      <c r="A228" s="659" t="s">
        <v>1532</v>
      </c>
      <c r="B228" s="660" t="s">
        <v>1533</v>
      </c>
      <c r="C228" s="661" t="s">
        <v>11</v>
      </c>
      <c r="D228" s="662">
        <v>5.79</v>
      </c>
      <c r="F228" s="660" t="s">
        <v>4157</v>
      </c>
      <c r="G228" s="661" t="s">
        <v>11</v>
      </c>
      <c r="H228" s="662">
        <f>D228+D230+D231</f>
        <v>62.760000000000005</v>
      </c>
    </row>
    <row r="229" spans="1:8" outlineLevel="1" x14ac:dyDescent="0.2">
      <c r="A229" s="663" t="s">
        <v>1534</v>
      </c>
      <c r="B229" s="664" t="s">
        <v>1535</v>
      </c>
      <c r="C229" s="665" t="s">
        <v>11</v>
      </c>
      <c r="D229" s="666">
        <v>0.65</v>
      </c>
      <c r="F229" s="664" t="s">
        <v>1535</v>
      </c>
      <c r="G229" s="665" t="s">
        <v>11</v>
      </c>
      <c r="H229" s="666">
        <f>D229</f>
        <v>0.65</v>
      </c>
    </row>
    <row r="230" spans="1:8" outlineLevel="1" x14ac:dyDescent="0.2">
      <c r="A230" s="659" t="s">
        <v>1536</v>
      </c>
      <c r="B230" s="660" t="s">
        <v>1537</v>
      </c>
      <c r="C230" s="661" t="s">
        <v>11</v>
      </c>
      <c r="D230" s="662">
        <v>51.59</v>
      </c>
    </row>
    <row r="231" spans="1:8" outlineLevel="1" x14ac:dyDescent="0.2">
      <c r="A231" s="663" t="s">
        <v>1538</v>
      </c>
      <c r="B231" s="664" t="s">
        <v>1539</v>
      </c>
      <c r="C231" s="665" t="s">
        <v>11</v>
      </c>
      <c r="D231" s="666">
        <v>5.38</v>
      </c>
    </row>
    <row r="232" spans="1:8" outlineLevel="1" x14ac:dyDescent="0.2">
      <c r="A232" s="655" t="s">
        <v>1540</v>
      </c>
      <c r="B232" s="656" t="s">
        <v>1296</v>
      </c>
      <c r="C232" s="657"/>
      <c r="D232" s="658"/>
      <c r="F232" s="656" t="s">
        <v>4158</v>
      </c>
      <c r="G232" s="657"/>
      <c r="H232" s="658"/>
    </row>
    <row r="233" spans="1:8" outlineLevel="1" x14ac:dyDescent="0.2">
      <c r="A233" s="659" t="s">
        <v>1541</v>
      </c>
      <c r="B233" s="660" t="s">
        <v>1542</v>
      </c>
      <c r="C233" s="661" t="s">
        <v>11</v>
      </c>
      <c r="D233" s="662">
        <v>19.16</v>
      </c>
      <c r="F233" s="660" t="s">
        <v>1542</v>
      </c>
      <c r="G233" s="661" t="s">
        <v>11</v>
      </c>
      <c r="H233" s="662">
        <f>SUM(D233:D237)</f>
        <v>28.74</v>
      </c>
    </row>
    <row r="234" spans="1:8" outlineLevel="1" x14ac:dyDescent="0.2">
      <c r="A234" s="655" t="s">
        <v>1543</v>
      </c>
      <c r="B234" s="656" t="s">
        <v>1299</v>
      </c>
      <c r="C234" s="657"/>
      <c r="D234" s="658"/>
    </row>
    <row r="235" spans="1:8" outlineLevel="1" x14ac:dyDescent="0.2">
      <c r="A235" s="663" t="s">
        <v>1544</v>
      </c>
      <c r="B235" s="664" t="s">
        <v>1542</v>
      </c>
      <c r="C235" s="665" t="s">
        <v>11</v>
      </c>
      <c r="D235" s="666">
        <v>4.79</v>
      </c>
    </row>
    <row r="236" spans="1:8" outlineLevel="1" x14ac:dyDescent="0.2">
      <c r="A236" s="655" t="s">
        <v>1545</v>
      </c>
      <c r="B236" s="656" t="s">
        <v>1302</v>
      </c>
      <c r="C236" s="657"/>
      <c r="D236" s="658"/>
      <c r="F236" s="656" t="s">
        <v>4159</v>
      </c>
      <c r="G236" s="657"/>
      <c r="H236" s="658"/>
    </row>
    <row r="237" spans="1:8" outlineLevel="1" x14ac:dyDescent="0.2">
      <c r="A237" s="659" t="s">
        <v>1546</v>
      </c>
      <c r="B237" s="660" t="s">
        <v>1542</v>
      </c>
      <c r="C237" s="661" t="s">
        <v>11</v>
      </c>
      <c r="D237" s="662">
        <v>4.79</v>
      </c>
      <c r="F237" s="660" t="s">
        <v>1542</v>
      </c>
      <c r="G237" s="661" t="s">
        <v>11</v>
      </c>
      <c r="H237" s="662">
        <f>D239</f>
        <v>4.79</v>
      </c>
    </row>
    <row r="238" spans="1:8" outlineLevel="1" x14ac:dyDescent="0.2">
      <c r="A238" s="655" t="s">
        <v>1547</v>
      </c>
      <c r="B238" s="656" t="s">
        <v>1305</v>
      </c>
      <c r="C238" s="657"/>
      <c r="D238" s="658"/>
    </row>
    <row r="239" spans="1:8" outlineLevel="1" x14ac:dyDescent="0.2">
      <c r="A239" s="663" t="s">
        <v>1548</v>
      </c>
      <c r="B239" s="664" t="s">
        <v>1542</v>
      </c>
      <c r="C239" s="665" t="s">
        <v>11</v>
      </c>
      <c r="D239" s="666">
        <v>4.79</v>
      </c>
    </row>
    <row r="240" spans="1:8" outlineLevel="1" x14ac:dyDescent="0.2">
      <c r="A240" s="655" t="s">
        <v>1549</v>
      </c>
      <c r="B240" s="656" t="s">
        <v>1308</v>
      </c>
      <c r="C240" s="657"/>
      <c r="D240" s="658"/>
      <c r="F240" s="656" t="s">
        <v>1308</v>
      </c>
      <c r="G240" s="657"/>
      <c r="H240" s="658"/>
    </row>
    <row r="241" spans="1:8" ht="25.5" outlineLevel="1" x14ac:dyDescent="0.2">
      <c r="A241" s="659" t="s">
        <v>1550</v>
      </c>
      <c r="B241" s="660" t="s">
        <v>1551</v>
      </c>
      <c r="C241" s="661" t="s">
        <v>11</v>
      </c>
      <c r="D241" s="662">
        <v>4.68</v>
      </c>
      <c r="F241" s="660" t="s">
        <v>4160</v>
      </c>
      <c r="G241" s="661" t="s">
        <v>11</v>
      </c>
      <c r="H241" s="662">
        <f>SUM(D241:D244,D247)</f>
        <v>106.2</v>
      </c>
    </row>
    <row r="242" spans="1:8" outlineLevel="1" x14ac:dyDescent="0.2">
      <c r="A242" s="663" t="s">
        <v>1552</v>
      </c>
      <c r="B242" s="664" t="s">
        <v>1553</v>
      </c>
      <c r="C242" s="665" t="s">
        <v>11</v>
      </c>
      <c r="D242" s="666">
        <v>13.54</v>
      </c>
      <c r="F242" s="664" t="s">
        <v>4161</v>
      </c>
      <c r="G242" s="665" t="s">
        <v>11</v>
      </c>
      <c r="H242" s="666">
        <f>D245+D246+D248</f>
        <v>636.61999999999989</v>
      </c>
    </row>
    <row r="243" spans="1:8" outlineLevel="1" x14ac:dyDescent="0.2">
      <c r="A243" s="659" t="s">
        <v>1554</v>
      </c>
      <c r="B243" s="660" t="s">
        <v>1555</v>
      </c>
      <c r="C243" s="661" t="s">
        <v>11</v>
      </c>
      <c r="D243" s="662">
        <v>39.46</v>
      </c>
    </row>
    <row r="244" spans="1:8" outlineLevel="1" x14ac:dyDescent="0.2">
      <c r="A244" s="663" t="s">
        <v>1556</v>
      </c>
      <c r="B244" s="664" t="s">
        <v>1557</v>
      </c>
      <c r="C244" s="665" t="s">
        <v>11</v>
      </c>
      <c r="D244" s="666">
        <v>26.03</v>
      </c>
    </row>
    <row r="245" spans="1:8" outlineLevel="1" x14ac:dyDescent="0.2">
      <c r="A245" s="659" t="s">
        <v>1558</v>
      </c>
      <c r="B245" s="660" t="s">
        <v>1559</v>
      </c>
      <c r="C245" s="661" t="s">
        <v>11</v>
      </c>
      <c r="D245" s="662">
        <v>23.95</v>
      </c>
    </row>
    <row r="246" spans="1:8" outlineLevel="1" x14ac:dyDescent="0.2">
      <c r="A246" s="663" t="s">
        <v>1560</v>
      </c>
      <c r="B246" s="664" t="s">
        <v>1561</v>
      </c>
      <c r="C246" s="665" t="s">
        <v>11</v>
      </c>
      <c r="D246" s="666">
        <v>293.52</v>
      </c>
    </row>
    <row r="247" spans="1:8" outlineLevel="1" x14ac:dyDescent="0.2">
      <c r="A247" s="659" t="s">
        <v>1562</v>
      </c>
      <c r="B247" s="660" t="s">
        <v>1563</v>
      </c>
      <c r="C247" s="661" t="s">
        <v>11</v>
      </c>
      <c r="D247" s="662">
        <v>22.49</v>
      </c>
    </row>
    <row r="248" spans="1:8" outlineLevel="1" x14ac:dyDescent="0.2">
      <c r="A248" s="663" t="s">
        <v>1564</v>
      </c>
      <c r="B248" s="664" t="s">
        <v>1542</v>
      </c>
      <c r="C248" s="665" t="s">
        <v>11</v>
      </c>
      <c r="D248" s="666">
        <v>319.14999999999998</v>
      </c>
    </row>
    <row r="249" spans="1:8" outlineLevel="1" x14ac:dyDescent="0.2">
      <c r="A249" s="655" t="s">
        <v>1565</v>
      </c>
      <c r="B249" s="656" t="s">
        <v>1311</v>
      </c>
      <c r="C249" s="657"/>
      <c r="D249" s="658"/>
      <c r="F249" s="656" t="s">
        <v>756</v>
      </c>
      <c r="G249" s="657"/>
      <c r="H249" s="658"/>
    </row>
    <row r="250" spans="1:8" ht="25.5" outlineLevel="1" x14ac:dyDescent="0.2">
      <c r="A250" s="659" t="s">
        <v>1566</v>
      </c>
      <c r="B250" s="660" t="s">
        <v>1551</v>
      </c>
      <c r="C250" s="661" t="s">
        <v>11</v>
      </c>
      <c r="D250" s="662">
        <v>20.02</v>
      </c>
      <c r="F250" s="660" t="s">
        <v>4164</v>
      </c>
      <c r="G250" s="661" t="s">
        <v>11</v>
      </c>
      <c r="H250" s="662">
        <f>SUM(D250:D353)-H251</f>
        <v>3505.88</v>
      </c>
    </row>
    <row r="251" spans="1:8" outlineLevel="1" x14ac:dyDescent="0.2">
      <c r="A251" s="663" t="s">
        <v>1567</v>
      </c>
      <c r="B251" s="664" t="s">
        <v>1553</v>
      </c>
      <c r="C251" s="665" t="s">
        <v>11</v>
      </c>
      <c r="D251" s="666">
        <v>20.51</v>
      </c>
      <c r="F251" s="664" t="s">
        <v>1535</v>
      </c>
      <c r="G251" s="665" t="s">
        <v>11</v>
      </c>
      <c r="H251" s="666">
        <f>SUMIF(B250:B353,F251,D250:D353)</f>
        <v>259.30999999999995</v>
      </c>
    </row>
    <row r="252" spans="1:8" outlineLevel="1" x14ac:dyDescent="0.2">
      <c r="A252" s="659" t="s">
        <v>1568</v>
      </c>
      <c r="B252" s="660" t="s">
        <v>1555</v>
      </c>
      <c r="C252" s="661" t="s">
        <v>11</v>
      </c>
      <c r="D252" s="662">
        <v>39.67</v>
      </c>
    </row>
    <row r="253" spans="1:8" outlineLevel="1" x14ac:dyDescent="0.2">
      <c r="A253" s="663" t="s">
        <v>1569</v>
      </c>
      <c r="B253" s="664" t="s">
        <v>1570</v>
      </c>
      <c r="C253" s="665" t="s">
        <v>11</v>
      </c>
      <c r="D253" s="666">
        <v>90.07</v>
      </c>
    </row>
    <row r="254" spans="1:8" outlineLevel="1" x14ac:dyDescent="0.2">
      <c r="A254" s="659" t="s">
        <v>1571</v>
      </c>
      <c r="B254" s="660" t="s">
        <v>1557</v>
      </c>
      <c r="C254" s="661" t="s">
        <v>11</v>
      </c>
      <c r="D254" s="662">
        <v>64.64</v>
      </c>
    </row>
    <row r="255" spans="1:8" outlineLevel="1" x14ac:dyDescent="0.2">
      <c r="A255" s="663" t="s">
        <v>1572</v>
      </c>
      <c r="B255" s="664" t="s">
        <v>1535</v>
      </c>
      <c r="C255" s="665" t="s">
        <v>11</v>
      </c>
      <c r="D255" s="666">
        <v>19.91</v>
      </c>
    </row>
    <row r="256" spans="1:8" outlineLevel="1" x14ac:dyDescent="0.2">
      <c r="A256" s="659" t="s">
        <v>1573</v>
      </c>
      <c r="B256" s="660" t="s">
        <v>1574</v>
      </c>
      <c r="C256" s="661" t="s">
        <v>11</v>
      </c>
      <c r="D256" s="662">
        <v>32.090000000000003</v>
      </c>
    </row>
    <row r="257" spans="1:4" outlineLevel="1" x14ac:dyDescent="0.2">
      <c r="A257" s="663" t="s">
        <v>1575</v>
      </c>
      <c r="B257" s="664" t="s">
        <v>1542</v>
      </c>
      <c r="C257" s="665" t="s">
        <v>11</v>
      </c>
      <c r="D257" s="666">
        <v>3.86</v>
      </c>
    </row>
    <row r="258" spans="1:4" outlineLevel="1" x14ac:dyDescent="0.2">
      <c r="A258" s="655" t="s">
        <v>1576</v>
      </c>
      <c r="B258" s="656" t="s">
        <v>1316</v>
      </c>
      <c r="C258" s="657"/>
      <c r="D258" s="658"/>
    </row>
    <row r="259" spans="1:4" outlineLevel="1" x14ac:dyDescent="0.2">
      <c r="A259" s="659" t="s">
        <v>1577</v>
      </c>
      <c r="B259" s="660" t="s">
        <v>1551</v>
      </c>
      <c r="C259" s="661" t="s">
        <v>11</v>
      </c>
      <c r="D259" s="662">
        <v>20.9</v>
      </c>
    </row>
    <row r="260" spans="1:4" outlineLevel="1" x14ac:dyDescent="0.2">
      <c r="A260" s="663" t="s">
        <v>1578</v>
      </c>
      <c r="B260" s="664" t="s">
        <v>1553</v>
      </c>
      <c r="C260" s="665" t="s">
        <v>11</v>
      </c>
      <c r="D260" s="666">
        <v>21.02</v>
      </c>
    </row>
    <row r="261" spans="1:4" outlineLevel="1" x14ac:dyDescent="0.2">
      <c r="A261" s="659" t="s">
        <v>1579</v>
      </c>
      <c r="B261" s="660" t="s">
        <v>1555</v>
      </c>
      <c r="C261" s="661" t="s">
        <v>11</v>
      </c>
      <c r="D261" s="662">
        <v>39.72</v>
      </c>
    </row>
    <row r="262" spans="1:4" outlineLevel="1" x14ac:dyDescent="0.2">
      <c r="A262" s="663" t="s">
        <v>1580</v>
      </c>
      <c r="B262" s="664" t="s">
        <v>1570</v>
      </c>
      <c r="C262" s="665" t="s">
        <v>11</v>
      </c>
      <c r="D262" s="666">
        <v>90.45</v>
      </c>
    </row>
    <row r="263" spans="1:4" outlineLevel="1" x14ac:dyDescent="0.2">
      <c r="A263" s="659" t="s">
        <v>1581</v>
      </c>
      <c r="B263" s="660" t="s">
        <v>1557</v>
      </c>
      <c r="C263" s="661" t="s">
        <v>11</v>
      </c>
      <c r="D263" s="662">
        <v>64.63</v>
      </c>
    </row>
    <row r="264" spans="1:4" outlineLevel="1" x14ac:dyDescent="0.2">
      <c r="A264" s="663" t="s">
        <v>1582</v>
      </c>
      <c r="B264" s="664" t="s">
        <v>1535</v>
      </c>
      <c r="C264" s="665" t="s">
        <v>11</v>
      </c>
      <c r="D264" s="666">
        <v>19.95</v>
      </c>
    </row>
    <row r="265" spans="1:4" outlineLevel="1" x14ac:dyDescent="0.2">
      <c r="A265" s="659" t="s">
        <v>1583</v>
      </c>
      <c r="B265" s="660" t="s">
        <v>1574</v>
      </c>
      <c r="C265" s="661" t="s">
        <v>11</v>
      </c>
      <c r="D265" s="662">
        <v>33.03</v>
      </c>
    </row>
    <row r="266" spans="1:4" outlineLevel="1" x14ac:dyDescent="0.2">
      <c r="A266" s="655" t="s">
        <v>1584</v>
      </c>
      <c r="B266" s="656" t="s">
        <v>1320</v>
      </c>
      <c r="C266" s="657"/>
      <c r="D266" s="658"/>
    </row>
    <row r="267" spans="1:4" outlineLevel="1" x14ac:dyDescent="0.2">
      <c r="A267" s="663" t="s">
        <v>1585</v>
      </c>
      <c r="B267" s="664" t="s">
        <v>1551</v>
      </c>
      <c r="C267" s="665" t="s">
        <v>11</v>
      </c>
      <c r="D267" s="666">
        <v>20.9</v>
      </c>
    </row>
    <row r="268" spans="1:4" outlineLevel="1" x14ac:dyDescent="0.2">
      <c r="A268" s="659" t="s">
        <v>1586</v>
      </c>
      <c r="B268" s="660" t="s">
        <v>1553</v>
      </c>
      <c r="C268" s="661" t="s">
        <v>11</v>
      </c>
      <c r="D268" s="662">
        <v>20.84</v>
      </c>
    </row>
    <row r="269" spans="1:4" outlineLevel="1" x14ac:dyDescent="0.2">
      <c r="A269" s="663" t="s">
        <v>1587</v>
      </c>
      <c r="B269" s="664" t="s">
        <v>1555</v>
      </c>
      <c r="C269" s="665" t="s">
        <v>11</v>
      </c>
      <c r="D269" s="666">
        <v>39.72</v>
      </c>
    </row>
    <row r="270" spans="1:4" outlineLevel="1" x14ac:dyDescent="0.2">
      <c r="A270" s="659" t="s">
        <v>1588</v>
      </c>
      <c r="B270" s="660" t="s">
        <v>1570</v>
      </c>
      <c r="C270" s="661" t="s">
        <v>11</v>
      </c>
      <c r="D270" s="662">
        <v>90.45</v>
      </c>
    </row>
    <row r="271" spans="1:4" outlineLevel="1" x14ac:dyDescent="0.2">
      <c r="A271" s="663" t="s">
        <v>1589</v>
      </c>
      <c r="B271" s="664" t="s">
        <v>1557</v>
      </c>
      <c r="C271" s="665" t="s">
        <v>11</v>
      </c>
      <c r="D271" s="666">
        <v>64.63</v>
      </c>
    </row>
    <row r="272" spans="1:4" outlineLevel="1" x14ac:dyDescent="0.2">
      <c r="A272" s="659" t="s">
        <v>1590</v>
      </c>
      <c r="B272" s="660" t="s">
        <v>1535</v>
      </c>
      <c r="C272" s="661" t="s">
        <v>11</v>
      </c>
      <c r="D272" s="662">
        <v>19.95</v>
      </c>
    </row>
    <row r="273" spans="1:4" outlineLevel="1" x14ac:dyDescent="0.2">
      <c r="A273" s="663" t="s">
        <v>1591</v>
      </c>
      <c r="B273" s="664" t="s">
        <v>1574</v>
      </c>
      <c r="C273" s="665" t="s">
        <v>11</v>
      </c>
      <c r="D273" s="666">
        <v>33.03</v>
      </c>
    </row>
    <row r="274" spans="1:4" outlineLevel="1" x14ac:dyDescent="0.2">
      <c r="A274" s="655" t="s">
        <v>1592</v>
      </c>
      <c r="B274" s="656" t="s">
        <v>1324</v>
      </c>
      <c r="C274" s="657"/>
      <c r="D274" s="658"/>
    </row>
    <row r="275" spans="1:4" outlineLevel="1" x14ac:dyDescent="0.2">
      <c r="A275" s="659" t="s">
        <v>1593</v>
      </c>
      <c r="B275" s="660" t="s">
        <v>1551</v>
      </c>
      <c r="C275" s="661" t="s">
        <v>11</v>
      </c>
      <c r="D275" s="662">
        <v>20.9</v>
      </c>
    </row>
    <row r="276" spans="1:4" outlineLevel="1" x14ac:dyDescent="0.2">
      <c r="A276" s="663" t="s">
        <v>1594</v>
      </c>
      <c r="B276" s="664" t="s">
        <v>1553</v>
      </c>
      <c r="C276" s="665" t="s">
        <v>11</v>
      </c>
      <c r="D276" s="666">
        <v>20.84</v>
      </c>
    </row>
    <row r="277" spans="1:4" outlineLevel="1" x14ac:dyDescent="0.2">
      <c r="A277" s="659" t="s">
        <v>1595</v>
      </c>
      <c r="B277" s="660" t="s">
        <v>1555</v>
      </c>
      <c r="C277" s="661" t="s">
        <v>11</v>
      </c>
      <c r="D277" s="662">
        <v>39.72</v>
      </c>
    </row>
    <row r="278" spans="1:4" outlineLevel="1" x14ac:dyDescent="0.2">
      <c r="A278" s="663" t="s">
        <v>1596</v>
      </c>
      <c r="B278" s="664" t="s">
        <v>1570</v>
      </c>
      <c r="C278" s="665" t="s">
        <v>11</v>
      </c>
      <c r="D278" s="666">
        <v>90.45</v>
      </c>
    </row>
    <row r="279" spans="1:4" outlineLevel="1" x14ac:dyDescent="0.2">
      <c r="A279" s="659" t="s">
        <v>1597</v>
      </c>
      <c r="B279" s="660" t="s">
        <v>1557</v>
      </c>
      <c r="C279" s="661" t="s">
        <v>11</v>
      </c>
      <c r="D279" s="662">
        <v>64.63</v>
      </c>
    </row>
    <row r="280" spans="1:4" outlineLevel="1" x14ac:dyDescent="0.2">
      <c r="A280" s="663" t="s">
        <v>1598</v>
      </c>
      <c r="B280" s="664" t="s">
        <v>1535</v>
      </c>
      <c r="C280" s="665" t="s">
        <v>11</v>
      </c>
      <c r="D280" s="666">
        <v>19.95</v>
      </c>
    </row>
    <row r="281" spans="1:4" outlineLevel="1" x14ac:dyDescent="0.2">
      <c r="A281" s="659" t="s">
        <v>1599</v>
      </c>
      <c r="B281" s="660" t="s">
        <v>1574</v>
      </c>
      <c r="C281" s="661" t="s">
        <v>11</v>
      </c>
      <c r="D281" s="662">
        <v>33.03</v>
      </c>
    </row>
    <row r="282" spans="1:4" outlineLevel="1" x14ac:dyDescent="0.2">
      <c r="A282" s="655" t="s">
        <v>1600</v>
      </c>
      <c r="B282" s="656" t="s">
        <v>1328</v>
      </c>
      <c r="C282" s="657"/>
      <c r="D282" s="658"/>
    </row>
    <row r="283" spans="1:4" outlineLevel="1" x14ac:dyDescent="0.2">
      <c r="A283" s="663" t="s">
        <v>1601</v>
      </c>
      <c r="B283" s="664" t="s">
        <v>1551</v>
      </c>
      <c r="C283" s="665" t="s">
        <v>11</v>
      </c>
      <c r="D283" s="666">
        <v>20.9</v>
      </c>
    </row>
    <row r="284" spans="1:4" outlineLevel="1" x14ac:dyDescent="0.2">
      <c r="A284" s="659" t="s">
        <v>1602</v>
      </c>
      <c r="B284" s="660" t="s">
        <v>1553</v>
      </c>
      <c r="C284" s="661" t="s">
        <v>11</v>
      </c>
      <c r="D284" s="662">
        <v>20.84</v>
      </c>
    </row>
    <row r="285" spans="1:4" outlineLevel="1" x14ac:dyDescent="0.2">
      <c r="A285" s="663" t="s">
        <v>1603</v>
      </c>
      <c r="B285" s="664" t="s">
        <v>1555</v>
      </c>
      <c r="C285" s="665" t="s">
        <v>11</v>
      </c>
      <c r="D285" s="666">
        <v>39.72</v>
      </c>
    </row>
    <row r="286" spans="1:4" outlineLevel="1" x14ac:dyDescent="0.2">
      <c r="A286" s="659" t="s">
        <v>1604</v>
      </c>
      <c r="B286" s="660" t="s">
        <v>1570</v>
      </c>
      <c r="C286" s="661" t="s">
        <v>11</v>
      </c>
      <c r="D286" s="662">
        <v>90.45</v>
      </c>
    </row>
    <row r="287" spans="1:4" outlineLevel="1" x14ac:dyDescent="0.2">
      <c r="A287" s="663" t="s">
        <v>1605</v>
      </c>
      <c r="B287" s="664" t="s">
        <v>1557</v>
      </c>
      <c r="C287" s="665" t="s">
        <v>11</v>
      </c>
      <c r="D287" s="666">
        <v>64.63</v>
      </c>
    </row>
    <row r="288" spans="1:4" outlineLevel="1" x14ac:dyDescent="0.2">
      <c r="A288" s="659" t="s">
        <v>1606</v>
      </c>
      <c r="B288" s="660" t="s">
        <v>1535</v>
      </c>
      <c r="C288" s="661" t="s">
        <v>11</v>
      </c>
      <c r="D288" s="662">
        <v>19.95</v>
      </c>
    </row>
    <row r="289" spans="1:4" outlineLevel="1" x14ac:dyDescent="0.2">
      <c r="A289" s="663" t="s">
        <v>1607</v>
      </c>
      <c r="B289" s="664" t="s">
        <v>1574</v>
      </c>
      <c r="C289" s="665" t="s">
        <v>11</v>
      </c>
      <c r="D289" s="666">
        <v>33.03</v>
      </c>
    </row>
    <row r="290" spans="1:4" outlineLevel="1" x14ac:dyDescent="0.2">
      <c r="A290" s="655" t="s">
        <v>1608</v>
      </c>
      <c r="B290" s="656" t="s">
        <v>1332</v>
      </c>
      <c r="C290" s="657"/>
      <c r="D290" s="658"/>
    </row>
    <row r="291" spans="1:4" outlineLevel="1" x14ac:dyDescent="0.2">
      <c r="A291" s="659" t="s">
        <v>1609</v>
      </c>
      <c r="B291" s="660" t="s">
        <v>1551</v>
      </c>
      <c r="C291" s="661" t="s">
        <v>11</v>
      </c>
      <c r="D291" s="662">
        <v>20.9</v>
      </c>
    </row>
    <row r="292" spans="1:4" outlineLevel="1" x14ac:dyDescent="0.2">
      <c r="A292" s="663" t="s">
        <v>1610</v>
      </c>
      <c r="B292" s="664" t="s">
        <v>1553</v>
      </c>
      <c r="C292" s="665" t="s">
        <v>11</v>
      </c>
      <c r="D292" s="666">
        <v>20.84</v>
      </c>
    </row>
    <row r="293" spans="1:4" outlineLevel="1" x14ac:dyDescent="0.2">
      <c r="A293" s="659" t="s">
        <v>1611</v>
      </c>
      <c r="B293" s="660" t="s">
        <v>1555</v>
      </c>
      <c r="C293" s="661" t="s">
        <v>11</v>
      </c>
      <c r="D293" s="662">
        <v>39.72</v>
      </c>
    </row>
    <row r="294" spans="1:4" outlineLevel="1" x14ac:dyDescent="0.2">
      <c r="A294" s="663" t="s">
        <v>1612</v>
      </c>
      <c r="B294" s="664" t="s">
        <v>1570</v>
      </c>
      <c r="C294" s="665" t="s">
        <v>11</v>
      </c>
      <c r="D294" s="666">
        <v>90.45</v>
      </c>
    </row>
    <row r="295" spans="1:4" outlineLevel="1" x14ac:dyDescent="0.2">
      <c r="A295" s="659" t="s">
        <v>1613</v>
      </c>
      <c r="B295" s="660" t="s">
        <v>1557</v>
      </c>
      <c r="C295" s="661" t="s">
        <v>11</v>
      </c>
      <c r="D295" s="662">
        <v>64.63</v>
      </c>
    </row>
    <row r="296" spans="1:4" outlineLevel="1" x14ac:dyDescent="0.2">
      <c r="A296" s="663" t="s">
        <v>1614</v>
      </c>
      <c r="B296" s="664" t="s">
        <v>1535</v>
      </c>
      <c r="C296" s="665" t="s">
        <v>11</v>
      </c>
      <c r="D296" s="666">
        <v>19.95</v>
      </c>
    </row>
    <row r="297" spans="1:4" outlineLevel="1" x14ac:dyDescent="0.2">
      <c r="A297" s="659" t="s">
        <v>1615</v>
      </c>
      <c r="B297" s="660" t="s">
        <v>1574</v>
      </c>
      <c r="C297" s="661" t="s">
        <v>11</v>
      </c>
      <c r="D297" s="662">
        <v>33.03</v>
      </c>
    </row>
    <row r="298" spans="1:4" outlineLevel="1" x14ac:dyDescent="0.2">
      <c r="A298" s="655" t="s">
        <v>1616</v>
      </c>
      <c r="B298" s="656" t="s">
        <v>1336</v>
      </c>
      <c r="C298" s="657"/>
      <c r="D298" s="658"/>
    </row>
    <row r="299" spans="1:4" outlineLevel="1" x14ac:dyDescent="0.2">
      <c r="A299" s="663" t="s">
        <v>1617</v>
      </c>
      <c r="B299" s="664" t="s">
        <v>1551</v>
      </c>
      <c r="C299" s="665" t="s">
        <v>11</v>
      </c>
      <c r="D299" s="666">
        <v>20.9</v>
      </c>
    </row>
    <row r="300" spans="1:4" outlineLevel="1" x14ac:dyDescent="0.2">
      <c r="A300" s="659" t="s">
        <v>1618</v>
      </c>
      <c r="B300" s="660" t="s">
        <v>1553</v>
      </c>
      <c r="C300" s="661" t="s">
        <v>11</v>
      </c>
      <c r="D300" s="662">
        <v>20.84</v>
      </c>
    </row>
    <row r="301" spans="1:4" outlineLevel="1" x14ac:dyDescent="0.2">
      <c r="A301" s="663" t="s">
        <v>1619</v>
      </c>
      <c r="B301" s="664" t="s">
        <v>1555</v>
      </c>
      <c r="C301" s="665" t="s">
        <v>11</v>
      </c>
      <c r="D301" s="666">
        <v>39.72</v>
      </c>
    </row>
    <row r="302" spans="1:4" outlineLevel="1" x14ac:dyDescent="0.2">
      <c r="A302" s="659" t="s">
        <v>1620</v>
      </c>
      <c r="B302" s="660" t="s">
        <v>1570</v>
      </c>
      <c r="C302" s="661" t="s">
        <v>11</v>
      </c>
      <c r="D302" s="662">
        <v>90.45</v>
      </c>
    </row>
    <row r="303" spans="1:4" outlineLevel="1" x14ac:dyDescent="0.2">
      <c r="A303" s="663" t="s">
        <v>1621</v>
      </c>
      <c r="B303" s="664" t="s">
        <v>1557</v>
      </c>
      <c r="C303" s="665" t="s">
        <v>11</v>
      </c>
      <c r="D303" s="666">
        <v>64.63</v>
      </c>
    </row>
    <row r="304" spans="1:4" outlineLevel="1" x14ac:dyDescent="0.2">
      <c r="A304" s="659" t="s">
        <v>1622</v>
      </c>
      <c r="B304" s="660" t="s">
        <v>1535</v>
      </c>
      <c r="C304" s="661" t="s">
        <v>11</v>
      </c>
      <c r="D304" s="662">
        <v>19.95</v>
      </c>
    </row>
    <row r="305" spans="1:4" outlineLevel="1" x14ac:dyDescent="0.2">
      <c r="A305" s="663" t="s">
        <v>1623</v>
      </c>
      <c r="B305" s="664" t="s">
        <v>1574</v>
      </c>
      <c r="C305" s="665" t="s">
        <v>11</v>
      </c>
      <c r="D305" s="666">
        <v>33.03</v>
      </c>
    </row>
    <row r="306" spans="1:4" outlineLevel="1" x14ac:dyDescent="0.2">
      <c r="A306" s="655" t="s">
        <v>1624</v>
      </c>
      <c r="B306" s="656" t="s">
        <v>1340</v>
      </c>
      <c r="C306" s="657"/>
      <c r="D306" s="658"/>
    </row>
    <row r="307" spans="1:4" outlineLevel="1" x14ac:dyDescent="0.2">
      <c r="A307" s="659" t="s">
        <v>1625</v>
      </c>
      <c r="B307" s="660" t="s">
        <v>1551</v>
      </c>
      <c r="C307" s="661" t="s">
        <v>11</v>
      </c>
      <c r="D307" s="662">
        <v>20.9</v>
      </c>
    </row>
    <row r="308" spans="1:4" outlineLevel="1" x14ac:dyDescent="0.2">
      <c r="A308" s="663" t="s">
        <v>1626</v>
      </c>
      <c r="B308" s="664" t="s">
        <v>1553</v>
      </c>
      <c r="C308" s="665" t="s">
        <v>11</v>
      </c>
      <c r="D308" s="666">
        <v>20.84</v>
      </c>
    </row>
    <row r="309" spans="1:4" outlineLevel="1" x14ac:dyDescent="0.2">
      <c r="A309" s="659" t="s">
        <v>1627</v>
      </c>
      <c r="B309" s="660" t="s">
        <v>1555</v>
      </c>
      <c r="C309" s="661" t="s">
        <v>11</v>
      </c>
      <c r="D309" s="662">
        <v>39.72</v>
      </c>
    </row>
    <row r="310" spans="1:4" outlineLevel="1" x14ac:dyDescent="0.2">
      <c r="A310" s="663" t="s">
        <v>1628</v>
      </c>
      <c r="B310" s="664" t="s">
        <v>1570</v>
      </c>
      <c r="C310" s="665" t="s">
        <v>11</v>
      </c>
      <c r="D310" s="666">
        <v>90.45</v>
      </c>
    </row>
    <row r="311" spans="1:4" outlineLevel="1" x14ac:dyDescent="0.2">
      <c r="A311" s="659" t="s">
        <v>1629</v>
      </c>
      <c r="B311" s="660" t="s">
        <v>1557</v>
      </c>
      <c r="C311" s="661" t="s">
        <v>11</v>
      </c>
      <c r="D311" s="662">
        <v>64.63</v>
      </c>
    </row>
    <row r="312" spans="1:4" outlineLevel="1" x14ac:dyDescent="0.2">
      <c r="A312" s="663" t="s">
        <v>1630</v>
      </c>
      <c r="B312" s="664" t="s">
        <v>1535</v>
      </c>
      <c r="C312" s="665" t="s">
        <v>11</v>
      </c>
      <c r="D312" s="666">
        <v>19.95</v>
      </c>
    </row>
    <row r="313" spans="1:4" outlineLevel="1" x14ac:dyDescent="0.2">
      <c r="A313" s="659" t="s">
        <v>1631</v>
      </c>
      <c r="B313" s="660" t="s">
        <v>1574</v>
      </c>
      <c r="C313" s="661" t="s">
        <v>11</v>
      </c>
      <c r="D313" s="662">
        <v>33.03</v>
      </c>
    </row>
    <row r="314" spans="1:4" outlineLevel="1" x14ac:dyDescent="0.2">
      <c r="A314" s="655" t="s">
        <v>1632</v>
      </c>
      <c r="B314" s="656" t="s">
        <v>1344</v>
      </c>
      <c r="C314" s="657"/>
      <c r="D314" s="658"/>
    </row>
    <row r="315" spans="1:4" outlineLevel="1" x14ac:dyDescent="0.2">
      <c r="A315" s="663" t="s">
        <v>1633</v>
      </c>
      <c r="B315" s="664" t="s">
        <v>1551</v>
      </c>
      <c r="C315" s="665" t="s">
        <v>11</v>
      </c>
      <c r="D315" s="666">
        <v>20.9</v>
      </c>
    </row>
    <row r="316" spans="1:4" outlineLevel="1" x14ac:dyDescent="0.2">
      <c r="A316" s="659" t="s">
        <v>1634</v>
      </c>
      <c r="B316" s="660" t="s">
        <v>1553</v>
      </c>
      <c r="C316" s="661" t="s">
        <v>11</v>
      </c>
      <c r="D316" s="662">
        <v>20.84</v>
      </c>
    </row>
    <row r="317" spans="1:4" outlineLevel="1" x14ac:dyDescent="0.2">
      <c r="A317" s="663" t="s">
        <v>1635</v>
      </c>
      <c r="B317" s="664" t="s">
        <v>1555</v>
      </c>
      <c r="C317" s="665" t="s">
        <v>11</v>
      </c>
      <c r="D317" s="666">
        <v>39.72</v>
      </c>
    </row>
    <row r="318" spans="1:4" outlineLevel="1" x14ac:dyDescent="0.2">
      <c r="A318" s="659" t="s">
        <v>1636</v>
      </c>
      <c r="B318" s="660" t="s">
        <v>1570</v>
      </c>
      <c r="C318" s="661" t="s">
        <v>11</v>
      </c>
      <c r="D318" s="662">
        <v>90.45</v>
      </c>
    </row>
    <row r="319" spans="1:4" outlineLevel="1" x14ac:dyDescent="0.2">
      <c r="A319" s="663" t="s">
        <v>1637</v>
      </c>
      <c r="B319" s="664" t="s">
        <v>1557</v>
      </c>
      <c r="C319" s="665" t="s">
        <v>11</v>
      </c>
      <c r="D319" s="666">
        <v>64.63</v>
      </c>
    </row>
    <row r="320" spans="1:4" outlineLevel="1" x14ac:dyDescent="0.2">
      <c r="A320" s="659" t="s">
        <v>1638</v>
      </c>
      <c r="B320" s="660" t="s">
        <v>1535</v>
      </c>
      <c r="C320" s="661" t="s">
        <v>11</v>
      </c>
      <c r="D320" s="662">
        <v>19.95</v>
      </c>
    </row>
    <row r="321" spans="1:4" outlineLevel="1" x14ac:dyDescent="0.2">
      <c r="A321" s="663" t="s">
        <v>1639</v>
      </c>
      <c r="B321" s="664" t="s">
        <v>1574</v>
      </c>
      <c r="C321" s="665" t="s">
        <v>11</v>
      </c>
      <c r="D321" s="666">
        <v>33.03</v>
      </c>
    </row>
    <row r="322" spans="1:4" outlineLevel="1" x14ac:dyDescent="0.2">
      <c r="A322" s="655" t="s">
        <v>1640</v>
      </c>
      <c r="B322" s="656" t="s">
        <v>1348</v>
      </c>
      <c r="C322" s="657"/>
      <c r="D322" s="658"/>
    </row>
    <row r="323" spans="1:4" outlineLevel="1" x14ac:dyDescent="0.2">
      <c r="A323" s="659" t="s">
        <v>1641</v>
      </c>
      <c r="B323" s="660" t="s">
        <v>1551</v>
      </c>
      <c r="C323" s="661" t="s">
        <v>11</v>
      </c>
      <c r="D323" s="662">
        <v>20.9</v>
      </c>
    </row>
    <row r="324" spans="1:4" outlineLevel="1" x14ac:dyDescent="0.2">
      <c r="A324" s="663" t="s">
        <v>1642</v>
      </c>
      <c r="B324" s="664" t="s">
        <v>1553</v>
      </c>
      <c r="C324" s="665" t="s">
        <v>11</v>
      </c>
      <c r="D324" s="666">
        <v>20.84</v>
      </c>
    </row>
    <row r="325" spans="1:4" outlineLevel="1" x14ac:dyDescent="0.2">
      <c r="A325" s="659" t="s">
        <v>1643</v>
      </c>
      <c r="B325" s="660" t="s">
        <v>1555</v>
      </c>
      <c r="C325" s="661" t="s">
        <v>11</v>
      </c>
      <c r="D325" s="662">
        <v>39.72</v>
      </c>
    </row>
    <row r="326" spans="1:4" outlineLevel="1" x14ac:dyDescent="0.2">
      <c r="A326" s="663" t="s">
        <v>1644</v>
      </c>
      <c r="B326" s="664" t="s">
        <v>1570</v>
      </c>
      <c r="C326" s="665" t="s">
        <v>11</v>
      </c>
      <c r="D326" s="666">
        <v>90.45</v>
      </c>
    </row>
    <row r="327" spans="1:4" outlineLevel="1" x14ac:dyDescent="0.2">
      <c r="A327" s="659" t="s">
        <v>1645</v>
      </c>
      <c r="B327" s="660" t="s">
        <v>1557</v>
      </c>
      <c r="C327" s="661" t="s">
        <v>11</v>
      </c>
      <c r="D327" s="662">
        <v>64.63</v>
      </c>
    </row>
    <row r="328" spans="1:4" outlineLevel="1" x14ac:dyDescent="0.2">
      <c r="A328" s="663" t="s">
        <v>1646</v>
      </c>
      <c r="B328" s="664" t="s">
        <v>1535</v>
      </c>
      <c r="C328" s="665" t="s">
        <v>11</v>
      </c>
      <c r="D328" s="666">
        <v>19.95</v>
      </c>
    </row>
    <row r="329" spans="1:4" outlineLevel="1" x14ac:dyDescent="0.2">
      <c r="A329" s="659" t="s">
        <v>1647</v>
      </c>
      <c r="B329" s="660" t="s">
        <v>1574</v>
      </c>
      <c r="C329" s="661" t="s">
        <v>11</v>
      </c>
      <c r="D329" s="662">
        <v>33.03</v>
      </c>
    </row>
    <row r="330" spans="1:4" outlineLevel="1" x14ac:dyDescent="0.2">
      <c r="A330" s="655" t="s">
        <v>1648</v>
      </c>
      <c r="B330" s="656" t="s">
        <v>1352</v>
      </c>
      <c r="C330" s="657"/>
      <c r="D330" s="658"/>
    </row>
    <row r="331" spans="1:4" outlineLevel="1" x14ac:dyDescent="0.2">
      <c r="A331" s="663" t="s">
        <v>1649</v>
      </c>
      <c r="B331" s="664" t="s">
        <v>1551</v>
      </c>
      <c r="C331" s="665" t="s">
        <v>11</v>
      </c>
      <c r="D331" s="666">
        <v>20.9</v>
      </c>
    </row>
    <row r="332" spans="1:4" outlineLevel="1" x14ac:dyDescent="0.2">
      <c r="A332" s="659" t="s">
        <v>1650</v>
      </c>
      <c r="B332" s="660" t="s">
        <v>1553</v>
      </c>
      <c r="C332" s="661" t="s">
        <v>11</v>
      </c>
      <c r="D332" s="662">
        <v>20.84</v>
      </c>
    </row>
    <row r="333" spans="1:4" outlineLevel="1" x14ac:dyDescent="0.2">
      <c r="A333" s="663" t="s">
        <v>1651</v>
      </c>
      <c r="B333" s="664" t="s">
        <v>1555</v>
      </c>
      <c r="C333" s="665" t="s">
        <v>11</v>
      </c>
      <c r="D333" s="666">
        <v>39.72</v>
      </c>
    </row>
    <row r="334" spans="1:4" outlineLevel="1" x14ac:dyDescent="0.2">
      <c r="A334" s="659" t="s">
        <v>1652</v>
      </c>
      <c r="B334" s="660" t="s">
        <v>1570</v>
      </c>
      <c r="C334" s="661" t="s">
        <v>11</v>
      </c>
      <c r="D334" s="662">
        <v>90.45</v>
      </c>
    </row>
    <row r="335" spans="1:4" outlineLevel="1" x14ac:dyDescent="0.2">
      <c r="A335" s="663" t="s">
        <v>1653</v>
      </c>
      <c r="B335" s="664" t="s">
        <v>1557</v>
      </c>
      <c r="C335" s="665" t="s">
        <v>11</v>
      </c>
      <c r="D335" s="666">
        <v>64.63</v>
      </c>
    </row>
    <row r="336" spans="1:4" outlineLevel="1" x14ac:dyDescent="0.2">
      <c r="A336" s="659" t="s">
        <v>1654</v>
      </c>
      <c r="B336" s="660" t="s">
        <v>1535</v>
      </c>
      <c r="C336" s="661" t="s">
        <v>11</v>
      </c>
      <c r="D336" s="662">
        <v>19.95</v>
      </c>
    </row>
    <row r="337" spans="1:4" outlineLevel="1" x14ac:dyDescent="0.2">
      <c r="A337" s="663" t="s">
        <v>1655</v>
      </c>
      <c r="B337" s="664" t="s">
        <v>1574</v>
      </c>
      <c r="C337" s="665" t="s">
        <v>11</v>
      </c>
      <c r="D337" s="666">
        <v>33.03</v>
      </c>
    </row>
    <row r="338" spans="1:4" outlineLevel="1" x14ac:dyDescent="0.2">
      <c r="A338" s="655" t="s">
        <v>1656</v>
      </c>
      <c r="B338" s="656" t="s">
        <v>1356</v>
      </c>
      <c r="C338" s="657"/>
      <c r="D338" s="658"/>
    </row>
    <row r="339" spans="1:4" outlineLevel="1" x14ac:dyDescent="0.2">
      <c r="A339" s="659" t="s">
        <v>1657</v>
      </c>
      <c r="B339" s="660" t="s">
        <v>1551</v>
      </c>
      <c r="C339" s="661" t="s">
        <v>11</v>
      </c>
      <c r="D339" s="662">
        <v>20.9</v>
      </c>
    </row>
    <row r="340" spans="1:4" outlineLevel="1" x14ac:dyDescent="0.2">
      <c r="A340" s="663" t="s">
        <v>1658</v>
      </c>
      <c r="B340" s="664" t="s">
        <v>1553</v>
      </c>
      <c r="C340" s="665" t="s">
        <v>11</v>
      </c>
      <c r="D340" s="666">
        <v>20.84</v>
      </c>
    </row>
    <row r="341" spans="1:4" outlineLevel="1" x14ac:dyDescent="0.2">
      <c r="A341" s="659" t="s">
        <v>1659</v>
      </c>
      <c r="B341" s="660" t="s">
        <v>1555</v>
      </c>
      <c r="C341" s="661" t="s">
        <v>11</v>
      </c>
      <c r="D341" s="662">
        <v>39.72</v>
      </c>
    </row>
    <row r="342" spans="1:4" outlineLevel="1" x14ac:dyDescent="0.2">
      <c r="A342" s="663" t="s">
        <v>1660</v>
      </c>
      <c r="B342" s="664" t="s">
        <v>1570</v>
      </c>
      <c r="C342" s="665" t="s">
        <v>11</v>
      </c>
      <c r="D342" s="666">
        <v>90.45</v>
      </c>
    </row>
    <row r="343" spans="1:4" outlineLevel="1" x14ac:dyDescent="0.2">
      <c r="A343" s="659" t="s">
        <v>1661</v>
      </c>
      <c r="B343" s="660" t="s">
        <v>1557</v>
      </c>
      <c r="C343" s="661" t="s">
        <v>11</v>
      </c>
      <c r="D343" s="662">
        <v>64.63</v>
      </c>
    </row>
    <row r="344" spans="1:4" outlineLevel="1" x14ac:dyDescent="0.2">
      <c r="A344" s="663" t="s">
        <v>1662</v>
      </c>
      <c r="B344" s="664" t="s">
        <v>1535</v>
      </c>
      <c r="C344" s="665" t="s">
        <v>11</v>
      </c>
      <c r="D344" s="666">
        <v>19.95</v>
      </c>
    </row>
    <row r="345" spans="1:4" outlineLevel="1" x14ac:dyDescent="0.2">
      <c r="A345" s="659" t="s">
        <v>1663</v>
      </c>
      <c r="B345" s="660" t="s">
        <v>1574</v>
      </c>
      <c r="C345" s="661" t="s">
        <v>11</v>
      </c>
      <c r="D345" s="662">
        <v>33.03</v>
      </c>
    </row>
    <row r="346" spans="1:4" outlineLevel="1" x14ac:dyDescent="0.2">
      <c r="A346" s="655" t="s">
        <v>1664</v>
      </c>
      <c r="B346" s="656" t="s">
        <v>1360</v>
      </c>
      <c r="C346" s="657"/>
      <c r="D346" s="658"/>
    </row>
    <row r="347" spans="1:4" outlineLevel="1" x14ac:dyDescent="0.2">
      <c r="A347" s="663" t="s">
        <v>1665</v>
      </c>
      <c r="B347" s="664" t="s">
        <v>1551</v>
      </c>
      <c r="C347" s="665" t="s">
        <v>11</v>
      </c>
      <c r="D347" s="666">
        <v>20.9</v>
      </c>
    </row>
    <row r="348" spans="1:4" outlineLevel="1" x14ac:dyDescent="0.2">
      <c r="A348" s="659" t="s">
        <v>1666</v>
      </c>
      <c r="B348" s="660" t="s">
        <v>1553</v>
      </c>
      <c r="C348" s="661" t="s">
        <v>11</v>
      </c>
      <c r="D348" s="662">
        <v>20.84</v>
      </c>
    </row>
    <row r="349" spans="1:4" outlineLevel="1" x14ac:dyDescent="0.2">
      <c r="A349" s="663" t="s">
        <v>1667</v>
      </c>
      <c r="B349" s="664" t="s">
        <v>1555</v>
      </c>
      <c r="C349" s="665" t="s">
        <v>11</v>
      </c>
      <c r="D349" s="666">
        <v>39.72</v>
      </c>
    </row>
    <row r="350" spans="1:4" outlineLevel="1" x14ac:dyDescent="0.2">
      <c r="A350" s="659" t="s">
        <v>1668</v>
      </c>
      <c r="B350" s="660" t="s">
        <v>1570</v>
      </c>
      <c r="C350" s="661" t="s">
        <v>11</v>
      </c>
      <c r="D350" s="662">
        <v>90.45</v>
      </c>
    </row>
    <row r="351" spans="1:4" outlineLevel="1" x14ac:dyDescent="0.2">
      <c r="A351" s="663" t="s">
        <v>1669</v>
      </c>
      <c r="B351" s="664" t="s">
        <v>1557</v>
      </c>
      <c r="C351" s="665" t="s">
        <v>11</v>
      </c>
      <c r="D351" s="666">
        <v>64.63</v>
      </c>
    </row>
    <row r="352" spans="1:4" outlineLevel="1" x14ac:dyDescent="0.2">
      <c r="A352" s="659" t="s">
        <v>1670</v>
      </c>
      <c r="B352" s="660" t="s">
        <v>1535</v>
      </c>
      <c r="C352" s="661" t="s">
        <v>11</v>
      </c>
      <c r="D352" s="662">
        <v>19.95</v>
      </c>
    </row>
    <row r="353" spans="1:8" outlineLevel="1" x14ac:dyDescent="0.2">
      <c r="A353" s="663" t="s">
        <v>1671</v>
      </c>
      <c r="B353" s="664" t="s">
        <v>1574</v>
      </c>
      <c r="C353" s="665" t="s">
        <v>11</v>
      </c>
      <c r="D353" s="666">
        <v>33.03</v>
      </c>
    </row>
    <row r="354" spans="1:8" outlineLevel="1" x14ac:dyDescent="0.2">
      <c r="A354" s="655" t="s">
        <v>1672</v>
      </c>
      <c r="B354" s="656" t="s">
        <v>1364</v>
      </c>
      <c r="C354" s="657"/>
      <c r="D354" s="658"/>
      <c r="F354" s="656" t="s">
        <v>758</v>
      </c>
      <c r="G354" s="657"/>
      <c r="H354" s="658"/>
    </row>
    <row r="355" spans="1:8" ht="25.5" outlineLevel="1" x14ac:dyDescent="0.2">
      <c r="A355" s="659" t="s">
        <v>1673</v>
      </c>
      <c r="B355" s="660" t="s">
        <v>1551</v>
      </c>
      <c r="C355" s="661" t="s">
        <v>11</v>
      </c>
      <c r="D355" s="662">
        <v>7.81</v>
      </c>
      <c r="F355" s="660" t="s">
        <v>4164</v>
      </c>
      <c r="G355" s="661" t="s">
        <v>11</v>
      </c>
      <c r="H355" s="662">
        <f>SUM(D355:D359,D361)</f>
        <v>249.39000000000001</v>
      </c>
    </row>
    <row r="356" spans="1:8" outlineLevel="1" x14ac:dyDescent="0.2">
      <c r="A356" s="663" t="s">
        <v>1674</v>
      </c>
      <c r="B356" s="664" t="s">
        <v>1553</v>
      </c>
      <c r="C356" s="665" t="s">
        <v>11</v>
      </c>
      <c r="D356" s="666">
        <v>20.83</v>
      </c>
      <c r="F356" s="664" t="s">
        <v>1535</v>
      </c>
      <c r="G356" s="665" t="s">
        <v>11</v>
      </c>
      <c r="H356" s="666">
        <f>D360</f>
        <v>18.89</v>
      </c>
    </row>
    <row r="357" spans="1:8" outlineLevel="1" x14ac:dyDescent="0.2">
      <c r="A357" s="659" t="s">
        <v>1675</v>
      </c>
      <c r="B357" s="660" t="s">
        <v>1555</v>
      </c>
      <c r="C357" s="661" t="s">
        <v>11</v>
      </c>
      <c r="D357" s="662">
        <v>46.44</v>
      </c>
    </row>
    <row r="358" spans="1:8" outlineLevel="1" x14ac:dyDescent="0.2">
      <c r="A358" s="663" t="s">
        <v>1676</v>
      </c>
      <c r="B358" s="664" t="s">
        <v>1570</v>
      </c>
      <c r="C358" s="665" t="s">
        <v>11</v>
      </c>
      <c r="D358" s="666">
        <v>103.58</v>
      </c>
    </row>
    <row r="359" spans="1:8" outlineLevel="1" x14ac:dyDescent="0.2">
      <c r="A359" s="659" t="s">
        <v>1677</v>
      </c>
      <c r="B359" s="660" t="s">
        <v>1557</v>
      </c>
      <c r="C359" s="661" t="s">
        <v>11</v>
      </c>
      <c r="D359" s="662">
        <v>39.950000000000003</v>
      </c>
    </row>
    <row r="360" spans="1:8" outlineLevel="1" x14ac:dyDescent="0.2">
      <c r="A360" s="663" t="s">
        <v>1678</v>
      </c>
      <c r="B360" s="664" t="s">
        <v>1535</v>
      </c>
      <c r="C360" s="665" t="s">
        <v>11</v>
      </c>
      <c r="D360" s="666">
        <v>18.89</v>
      </c>
    </row>
    <row r="361" spans="1:8" outlineLevel="1" x14ac:dyDescent="0.2">
      <c r="A361" s="659" t="s">
        <v>1679</v>
      </c>
      <c r="B361" s="660" t="s">
        <v>1574</v>
      </c>
      <c r="C361" s="661" t="s">
        <v>11</v>
      </c>
      <c r="D361" s="662">
        <v>30.78</v>
      </c>
    </row>
    <row r="362" spans="1:8" outlineLevel="1" x14ac:dyDescent="0.2">
      <c r="A362" s="655" t="s">
        <v>1680</v>
      </c>
      <c r="B362" s="656" t="s">
        <v>1368</v>
      </c>
      <c r="C362" s="657"/>
      <c r="D362" s="658"/>
      <c r="F362" s="656" t="s">
        <v>759</v>
      </c>
      <c r="G362" s="657"/>
      <c r="H362" s="658"/>
    </row>
    <row r="363" spans="1:8" ht="25.5" outlineLevel="1" x14ac:dyDescent="0.2">
      <c r="A363" s="663" t="s">
        <v>1681</v>
      </c>
      <c r="B363" s="664" t="s">
        <v>1551</v>
      </c>
      <c r="C363" s="665" t="s">
        <v>11</v>
      </c>
      <c r="D363" s="666">
        <v>84.84</v>
      </c>
      <c r="F363" s="660" t="s">
        <v>4164</v>
      </c>
      <c r="G363" s="661" t="s">
        <v>11</v>
      </c>
      <c r="H363" s="662">
        <f>SUM(D363:D367,D369)</f>
        <v>267.20000000000005</v>
      </c>
    </row>
    <row r="364" spans="1:8" outlineLevel="1" x14ac:dyDescent="0.2">
      <c r="A364" s="659" t="s">
        <v>1682</v>
      </c>
      <c r="B364" s="660" t="s">
        <v>1553</v>
      </c>
      <c r="C364" s="661" t="s">
        <v>11</v>
      </c>
      <c r="D364" s="662">
        <v>27.26</v>
      </c>
      <c r="F364" s="664" t="s">
        <v>1535</v>
      </c>
      <c r="G364" s="665" t="s">
        <v>11</v>
      </c>
      <c r="H364" s="666">
        <f>D368</f>
        <v>10.93</v>
      </c>
    </row>
    <row r="365" spans="1:8" outlineLevel="1" x14ac:dyDescent="0.2">
      <c r="A365" s="663" t="s">
        <v>1683</v>
      </c>
      <c r="B365" s="664" t="s">
        <v>1555</v>
      </c>
      <c r="C365" s="665" t="s">
        <v>11</v>
      </c>
      <c r="D365" s="666">
        <v>12.58</v>
      </c>
      <c r="F365" s="660" t="s">
        <v>1542</v>
      </c>
      <c r="G365" s="661" t="s">
        <v>11</v>
      </c>
      <c r="H365" s="662">
        <f>D370</f>
        <v>16.940000000000001</v>
      </c>
    </row>
    <row r="366" spans="1:8" outlineLevel="1" x14ac:dyDescent="0.2">
      <c r="A366" s="659" t="s">
        <v>1684</v>
      </c>
      <c r="B366" s="660" t="s">
        <v>1570</v>
      </c>
      <c r="C366" s="661" t="s">
        <v>11</v>
      </c>
      <c r="D366" s="662">
        <v>31.02</v>
      </c>
    </row>
    <row r="367" spans="1:8" outlineLevel="1" x14ac:dyDescent="0.2">
      <c r="A367" s="663" t="s">
        <v>1685</v>
      </c>
      <c r="B367" s="664" t="s">
        <v>1557</v>
      </c>
      <c r="C367" s="665" t="s">
        <v>11</v>
      </c>
      <c r="D367" s="666">
        <v>32.44</v>
      </c>
    </row>
    <row r="368" spans="1:8" outlineLevel="1" x14ac:dyDescent="0.2">
      <c r="A368" s="659" t="s">
        <v>1686</v>
      </c>
      <c r="B368" s="660" t="s">
        <v>1535</v>
      </c>
      <c r="C368" s="661" t="s">
        <v>11</v>
      </c>
      <c r="D368" s="662">
        <v>10.93</v>
      </c>
    </row>
    <row r="369" spans="1:8" outlineLevel="1" x14ac:dyDescent="0.2">
      <c r="A369" s="663" t="s">
        <v>1687</v>
      </c>
      <c r="B369" s="664" t="s">
        <v>1574</v>
      </c>
      <c r="C369" s="665" t="s">
        <v>11</v>
      </c>
      <c r="D369" s="666">
        <v>79.06</v>
      </c>
    </row>
    <row r="370" spans="1:8" outlineLevel="1" x14ac:dyDescent="0.2">
      <c r="A370" s="659" t="s">
        <v>1688</v>
      </c>
      <c r="B370" s="660" t="s">
        <v>1542</v>
      </c>
      <c r="C370" s="661" t="s">
        <v>11</v>
      </c>
      <c r="D370" s="662">
        <v>16.940000000000001</v>
      </c>
    </row>
    <row r="371" spans="1:8" outlineLevel="1" x14ac:dyDescent="0.2">
      <c r="A371" s="655" t="s">
        <v>1689</v>
      </c>
      <c r="B371" s="656" t="s">
        <v>1283</v>
      </c>
      <c r="C371" s="657"/>
      <c r="D371" s="658"/>
    </row>
    <row r="372" spans="1:8" outlineLevel="1" x14ac:dyDescent="0.2">
      <c r="A372" s="663" t="s">
        <v>1690</v>
      </c>
      <c r="B372" s="664" t="s">
        <v>1542</v>
      </c>
      <c r="C372" s="665" t="s">
        <v>11</v>
      </c>
      <c r="D372" s="666"/>
    </row>
    <row r="373" spans="1:8" outlineLevel="1" x14ac:dyDescent="0.2">
      <c r="A373" s="655" t="s">
        <v>1691</v>
      </c>
      <c r="B373" s="656" t="s">
        <v>1374</v>
      </c>
      <c r="C373" s="657"/>
      <c r="D373" s="658"/>
    </row>
    <row r="374" spans="1:8" outlineLevel="1" x14ac:dyDescent="0.2">
      <c r="A374" s="659" t="s">
        <v>1692</v>
      </c>
      <c r="B374" s="660" t="s">
        <v>1693</v>
      </c>
      <c r="C374" s="661" t="s">
        <v>11</v>
      </c>
      <c r="D374" s="662">
        <v>174.01</v>
      </c>
    </row>
    <row r="375" spans="1:8" outlineLevel="1" x14ac:dyDescent="0.2">
      <c r="A375" s="655" t="s">
        <v>1694</v>
      </c>
      <c r="B375" s="656" t="s">
        <v>1287</v>
      </c>
      <c r="C375" s="657"/>
      <c r="D375" s="658"/>
    </row>
    <row r="376" spans="1:8" outlineLevel="1" x14ac:dyDescent="0.2">
      <c r="A376" s="663" t="s">
        <v>1695</v>
      </c>
      <c r="B376" s="664" t="s">
        <v>1696</v>
      </c>
      <c r="C376" s="665" t="s">
        <v>11</v>
      </c>
      <c r="D376" s="666">
        <v>54.26</v>
      </c>
    </row>
    <row r="377" spans="1:8" collapsed="1" x14ac:dyDescent="0.2">
      <c r="A377" s="651" t="s">
        <v>1697</v>
      </c>
      <c r="B377" s="652" t="s">
        <v>1698</v>
      </c>
      <c r="C377" s="653"/>
      <c r="D377" s="654"/>
    </row>
    <row r="378" spans="1:8" hidden="1" outlineLevel="1" x14ac:dyDescent="0.2">
      <c r="A378" s="655" t="s">
        <v>1699</v>
      </c>
      <c r="B378" s="656" t="s">
        <v>1292</v>
      </c>
      <c r="C378" s="657"/>
      <c r="D378" s="658"/>
    </row>
    <row r="379" spans="1:8" hidden="1" outlineLevel="1" x14ac:dyDescent="0.2">
      <c r="A379" s="659" t="s">
        <v>1700</v>
      </c>
      <c r="B379" s="660" t="s">
        <v>1701</v>
      </c>
      <c r="C379" s="661" t="s">
        <v>11</v>
      </c>
      <c r="D379" s="662">
        <v>820.51</v>
      </c>
    </row>
    <row r="380" spans="1:8" hidden="1" outlineLevel="1" x14ac:dyDescent="0.2">
      <c r="A380" s="663" t="s">
        <v>1702</v>
      </c>
      <c r="B380" s="664" t="s">
        <v>1703</v>
      </c>
      <c r="C380" s="665" t="s">
        <v>11</v>
      </c>
      <c r="D380" s="666">
        <v>217.95</v>
      </c>
    </row>
    <row r="381" spans="1:8" hidden="1" outlineLevel="1" x14ac:dyDescent="0.2">
      <c r="A381" s="655" t="s">
        <v>1704</v>
      </c>
      <c r="B381" s="656" t="s">
        <v>1296</v>
      </c>
      <c r="C381" s="657"/>
      <c r="D381" s="658"/>
      <c r="F381" s="656" t="s">
        <v>4169</v>
      </c>
      <c r="G381" s="657"/>
      <c r="H381" s="658"/>
    </row>
    <row r="382" spans="1:8" hidden="1" outlineLevel="1" x14ac:dyDescent="0.2">
      <c r="A382" s="659" t="s">
        <v>1705</v>
      </c>
      <c r="B382" s="660" t="s">
        <v>1701</v>
      </c>
      <c r="C382" s="661" t="s">
        <v>11</v>
      </c>
      <c r="D382" s="662">
        <v>540.20000000000005</v>
      </c>
      <c r="F382" s="660" t="s">
        <v>1701</v>
      </c>
      <c r="G382" s="661" t="s">
        <v>11</v>
      </c>
      <c r="H382" s="662" cm="1">
        <f t="array" ref="H382:H383">SUMIF(B381:B389,F382:F383,D381:D389)</f>
        <v>1649.0000000000002</v>
      </c>
    </row>
    <row r="383" spans="1:8" hidden="1" outlineLevel="1" x14ac:dyDescent="0.2">
      <c r="A383" s="663" t="s">
        <v>1706</v>
      </c>
      <c r="B383" s="664" t="s">
        <v>1703</v>
      </c>
      <c r="C383" s="665" t="s">
        <v>11</v>
      </c>
      <c r="D383" s="666">
        <v>171.81</v>
      </c>
      <c r="F383" s="664" t="s">
        <v>1703</v>
      </c>
      <c r="G383" s="665" t="s">
        <v>11</v>
      </c>
      <c r="H383" s="666">
        <v>534.9</v>
      </c>
    </row>
    <row r="384" spans="1:8" hidden="1" outlineLevel="1" x14ac:dyDescent="0.2">
      <c r="A384" s="655" t="s">
        <v>1707</v>
      </c>
      <c r="B384" s="656" t="s">
        <v>1299</v>
      </c>
      <c r="C384" s="657"/>
      <c r="D384" s="658"/>
    </row>
    <row r="385" spans="1:8" hidden="1" outlineLevel="1" x14ac:dyDescent="0.2">
      <c r="A385" s="659" t="s">
        <v>1708</v>
      </c>
      <c r="B385" s="660" t="s">
        <v>1701</v>
      </c>
      <c r="C385" s="661" t="s">
        <v>11</v>
      </c>
      <c r="D385" s="662">
        <v>539.85</v>
      </c>
    </row>
    <row r="386" spans="1:8" hidden="1" outlineLevel="1" x14ac:dyDescent="0.2">
      <c r="A386" s="663" t="s">
        <v>1709</v>
      </c>
      <c r="B386" s="664" t="s">
        <v>1703</v>
      </c>
      <c r="C386" s="665" t="s">
        <v>11</v>
      </c>
      <c r="D386" s="666">
        <v>162.63999999999999</v>
      </c>
    </row>
    <row r="387" spans="1:8" hidden="1" outlineLevel="1" x14ac:dyDescent="0.2">
      <c r="A387" s="655" t="s">
        <v>1710</v>
      </c>
      <c r="B387" s="656" t="s">
        <v>1302</v>
      </c>
      <c r="C387" s="657"/>
      <c r="D387" s="658"/>
    </row>
    <row r="388" spans="1:8" hidden="1" outlineLevel="1" x14ac:dyDescent="0.2">
      <c r="A388" s="659" t="s">
        <v>1711</v>
      </c>
      <c r="B388" s="660" t="s">
        <v>1701</v>
      </c>
      <c r="C388" s="661" t="s">
        <v>11</v>
      </c>
      <c r="D388" s="662">
        <v>568.95000000000005</v>
      </c>
    </row>
    <row r="389" spans="1:8" hidden="1" outlineLevel="1" x14ac:dyDescent="0.2">
      <c r="A389" s="663" t="s">
        <v>1712</v>
      </c>
      <c r="B389" s="664" t="s">
        <v>1703</v>
      </c>
      <c r="C389" s="665" t="s">
        <v>11</v>
      </c>
      <c r="D389" s="666">
        <v>200.45</v>
      </c>
    </row>
    <row r="390" spans="1:8" hidden="1" outlineLevel="1" x14ac:dyDescent="0.2">
      <c r="A390" s="655" t="s">
        <v>1713</v>
      </c>
      <c r="B390" s="656" t="s">
        <v>1305</v>
      </c>
      <c r="C390" s="657"/>
      <c r="D390" s="658"/>
    </row>
    <row r="391" spans="1:8" hidden="1" outlineLevel="1" x14ac:dyDescent="0.2">
      <c r="A391" s="659" t="s">
        <v>1714</v>
      </c>
      <c r="B391" s="660" t="s">
        <v>1701</v>
      </c>
      <c r="C391" s="661" t="s">
        <v>11</v>
      </c>
      <c r="D391" s="662">
        <v>594.92999999999995</v>
      </c>
    </row>
    <row r="392" spans="1:8" hidden="1" outlineLevel="1" x14ac:dyDescent="0.2">
      <c r="A392" s="663" t="s">
        <v>1715</v>
      </c>
      <c r="B392" s="664" t="s">
        <v>1703</v>
      </c>
      <c r="C392" s="665" t="s">
        <v>11</v>
      </c>
      <c r="D392" s="666">
        <v>169.8</v>
      </c>
    </row>
    <row r="393" spans="1:8" hidden="1" outlineLevel="1" x14ac:dyDescent="0.2">
      <c r="A393" s="655" t="s">
        <v>1716</v>
      </c>
      <c r="B393" s="656" t="s">
        <v>1308</v>
      </c>
      <c r="C393" s="657"/>
      <c r="D393" s="658"/>
    </row>
    <row r="394" spans="1:8" hidden="1" outlineLevel="1" x14ac:dyDescent="0.2">
      <c r="A394" s="659" t="s">
        <v>1717</v>
      </c>
      <c r="B394" s="660" t="s">
        <v>1701</v>
      </c>
      <c r="C394" s="661" t="s">
        <v>11</v>
      </c>
      <c r="D394" s="662">
        <v>812.86</v>
      </c>
    </row>
    <row r="395" spans="1:8" hidden="1" outlineLevel="1" x14ac:dyDescent="0.2">
      <c r="A395" s="663" t="s">
        <v>1718</v>
      </c>
      <c r="B395" s="664" t="s">
        <v>1703</v>
      </c>
      <c r="C395" s="665" t="s">
        <v>11</v>
      </c>
      <c r="D395" s="666">
        <v>522.57000000000005</v>
      </c>
    </row>
    <row r="396" spans="1:8" hidden="1" outlineLevel="1" x14ac:dyDescent="0.2">
      <c r="A396" s="655" t="s">
        <v>1719</v>
      </c>
      <c r="B396" s="656" t="s">
        <v>1311</v>
      </c>
      <c r="C396" s="657"/>
      <c r="D396" s="658"/>
      <c r="F396" s="656" t="s">
        <v>4170</v>
      </c>
      <c r="G396" s="657"/>
      <c r="H396" s="658"/>
    </row>
    <row r="397" spans="1:8" hidden="1" outlineLevel="1" x14ac:dyDescent="0.2">
      <c r="A397" s="659" t="s">
        <v>1720</v>
      </c>
      <c r="B397" s="660" t="s">
        <v>1701</v>
      </c>
      <c r="C397" s="661" t="s">
        <v>11</v>
      </c>
      <c r="D397" s="662">
        <v>1317.3</v>
      </c>
      <c r="F397" s="660" t="s">
        <v>1701</v>
      </c>
      <c r="G397" s="661" t="s">
        <v>11</v>
      </c>
      <c r="H397" s="662" cm="1">
        <f t="array" ref="H397:H398">SUMIF(B396:B434,F397:F398,D396:D434)</f>
        <v>17169.22</v>
      </c>
    </row>
    <row r="398" spans="1:8" hidden="1" outlineLevel="1" x14ac:dyDescent="0.2">
      <c r="A398" s="663" t="s">
        <v>1721</v>
      </c>
      <c r="B398" s="664" t="s">
        <v>1703</v>
      </c>
      <c r="C398" s="665" t="s">
        <v>11</v>
      </c>
      <c r="D398" s="666">
        <v>3.25</v>
      </c>
      <c r="F398" s="664" t="s">
        <v>1703</v>
      </c>
      <c r="G398" s="665" t="s">
        <v>11</v>
      </c>
      <c r="H398" s="666">
        <v>42.130000000000017</v>
      </c>
    </row>
    <row r="399" spans="1:8" hidden="1" outlineLevel="1" x14ac:dyDescent="0.2">
      <c r="A399" s="655" t="s">
        <v>1722</v>
      </c>
      <c r="B399" s="656" t="s">
        <v>1316</v>
      </c>
      <c r="C399" s="657"/>
      <c r="D399" s="658"/>
    </row>
    <row r="400" spans="1:8" hidden="1" outlineLevel="1" x14ac:dyDescent="0.2">
      <c r="A400" s="659" t="s">
        <v>1723</v>
      </c>
      <c r="B400" s="660" t="s">
        <v>1701</v>
      </c>
      <c r="C400" s="661" t="s">
        <v>11</v>
      </c>
      <c r="D400" s="662">
        <v>1320.81</v>
      </c>
    </row>
    <row r="401" spans="1:4" hidden="1" outlineLevel="1" x14ac:dyDescent="0.2">
      <c r="A401" s="663" t="s">
        <v>1724</v>
      </c>
      <c r="B401" s="664" t="s">
        <v>1703</v>
      </c>
      <c r="C401" s="665" t="s">
        <v>11</v>
      </c>
      <c r="D401" s="666">
        <v>3.24</v>
      </c>
    </row>
    <row r="402" spans="1:4" hidden="1" outlineLevel="1" x14ac:dyDescent="0.2">
      <c r="A402" s="655" t="s">
        <v>1725</v>
      </c>
      <c r="B402" s="656" t="s">
        <v>1320</v>
      </c>
      <c r="C402" s="657"/>
      <c r="D402" s="658"/>
    </row>
    <row r="403" spans="1:4" hidden="1" outlineLevel="1" x14ac:dyDescent="0.2">
      <c r="A403" s="659" t="s">
        <v>1726</v>
      </c>
      <c r="B403" s="660" t="s">
        <v>1701</v>
      </c>
      <c r="C403" s="661" t="s">
        <v>11</v>
      </c>
      <c r="D403" s="662">
        <v>1321.01</v>
      </c>
    </row>
    <row r="404" spans="1:4" hidden="1" outlineLevel="1" x14ac:dyDescent="0.2">
      <c r="A404" s="663" t="s">
        <v>1727</v>
      </c>
      <c r="B404" s="664" t="s">
        <v>1703</v>
      </c>
      <c r="C404" s="665" t="s">
        <v>11</v>
      </c>
      <c r="D404" s="666">
        <v>3.24</v>
      </c>
    </row>
    <row r="405" spans="1:4" hidden="1" outlineLevel="1" x14ac:dyDescent="0.2">
      <c r="A405" s="655" t="s">
        <v>1728</v>
      </c>
      <c r="B405" s="656" t="s">
        <v>1324</v>
      </c>
      <c r="C405" s="657"/>
      <c r="D405" s="658"/>
    </row>
    <row r="406" spans="1:4" hidden="1" outlineLevel="1" x14ac:dyDescent="0.2">
      <c r="A406" s="659" t="s">
        <v>1729</v>
      </c>
      <c r="B406" s="660" t="s">
        <v>1701</v>
      </c>
      <c r="C406" s="661" t="s">
        <v>11</v>
      </c>
      <c r="D406" s="662">
        <v>1321.01</v>
      </c>
    </row>
    <row r="407" spans="1:4" hidden="1" outlineLevel="1" x14ac:dyDescent="0.2">
      <c r="A407" s="663" t="s">
        <v>1730</v>
      </c>
      <c r="B407" s="664" t="s">
        <v>1703</v>
      </c>
      <c r="C407" s="665" t="s">
        <v>11</v>
      </c>
      <c r="D407" s="666">
        <v>3.24</v>
      </c>
    </row>
    <row r="408" spans="1:4" hidden="1" outlineLevel="1" x14ac:dyDescent="0.2">
      <c r="A408" s="655" t="s">
        <v>1731</v>
      </c>
      <c r="B408" s="656" t="s">
        <v>1328</v>
      </c>
      <c r="C408" s="657"/>
      <c r="D408" s="658"/>
    </row>
    <row r="409" spans="1:4" hidden="1" outlineLevel="1" x14ac:dyDescent="0.2">
      <c r="A409" s="659" t="s">
        <v>1732</v>
      </c>
      <c r="B409" s="660" t="s">
        <v>1701</v>
      </c>
      <c r="C409" s="661" t="s">
        <v>11</v>
      </c>
      <c r="D409" s="662">
        <v>1321.01</v>
      </c>
    </row>
    <row r="410" spans="1:4" hidden="1" outlineLevel="1" x14ac:dyDescent="0.2">
      <c r="A410" s="663" t="s">
        <v>1733</v>
      </c>
      <c r="B410" s="664" t="s">
        <v>1703</v>
      </c>
      <c r="C410" s="665" t="s">
        <v>11</v>
      </c>
      <c r="D410" s="666">
        <v>3.24</v>
      </c>
    </row>
    <row r="411" spans="1:4" hidden="1" outlineLevel="1" x14ac:dyDescent="0.2">
      <c r="A411" s="655" t="s">
        <v>1734</v>
      </c>
      <c r="B411" s="656" t="s">
        <v>1332</v>
      </c>
      <c r="C411" s="657"/>
      <c r="D411" s="658"/>
    </row>
    <row r="412" spans="1:4" hidden="1" outlineLevel="1" x14ac:dyDescent="0.2">
      <c r="A412" s="659" t="s">
        <v>1735</v>
      </c>
      <c r="B412" s="660" t="s">
        <v>1701</v>
      </c>
      <c r="C412" s="661" t="s">
        <v>11</v>
      </c>
      <c r="D412" s="662">
        <v>1321.01</v>
      </c>
    </row>
    <row r="413" spans="1:4" hidden="1" outlineLevel="1" x14ac:dyDescent="0.2">
      <c r="A413" s="663" t="s">
        <v>1736</v>
      </c>
      <c r="B413" s="664" t="s">
        <v>1703</v>
      </c>
      <c r="C413" s="665" t="s">
        <v>11</v>
      </c>
      <c r="D413" s="666">
        <v>3.24</v>
      </c>
    </row>
    <row r="414" spans="1:4" hidden="1" outlineLevel="1" x14ac:dyDescent="0.2">
      <c r="A414" s="655" t="s">
        <v>1737</v>
      </c>
      <c r="B414" s="656" t="s">
        <v>1336</v>
      </c>
      <c r="C414" s="657"/>
      <c r="D414" s="658"/>
    </row>
    <row r="415" spans="1:4" hidden="1" outlineLevel="1" x14ac:dyDescent="0.2">
      <c r="A415" s="659" t="s">
        <v>1738</v>
      </c>
      <c r="B415" s="660" t="s">
        <v>1701</v>
      </c>
      <c r="C415" s="661" t="s">
        <v>11</v>
      </c>
      <c r="D415" s="662">
        <v>1321.01</v>
      </c>
    </row>
    <row r="416" spans="1:4" hidden="1" outlineLevel="1" x14ac:dyDescent="0.2">
      <c r="A416" s="663" t="s">
        <v>1739</v>
      </c>
      <c r="B416" s="664" t="s">
        <v>1703</v>
      </c>
      <c r="C416" s="665" t="s">
        <v>11</v>
      </c>
      <c r="D416" s="666">
        <v>3.24</v>
      </c>
    </row>
    <row r="417" spans="1:4" hidden="1" outlineLevel="1" x14ac:dyDescent="0.2">
      <c r="A417" s="655" t="s">
        <v>1740</v>
      </c>
      <c r="B417" s="656" t="s">
        <v>1340</v>
      </c>
      <c r="C417" s="657"/>
      <c r="D417" s="658"/>
    </row>
    <row r="418" spans="1:4" hidden="1" outlineLevel="1" x14ac:dyDescent="0.2">
      <c r="A418" s="659" t="s">
        <v>1741</v>
      </c>
      <c r="B418" s="660" t="s">
        <v>1701</v>
      </c>
      <c r="C418" s="661" t="s">
        <v>11</v>
      </c>
      <c r="D418" s="662">
        <v>1321.01</v>
      </c>
    </row>
    <row r="419" spans="1:4" hidden="1" outlineLevel="1" x14ac:dyDescent="0.2">
      <c r="A419" s="663" t="s">
        <v>1742</v>
      </c>
      <c r="B419" s="664" t="s">
        <v>1703</v>
      </c>
      <c r="C419" s="665" t="s">
        <v>11</v>
      </c>
      <c r="D419" s="666">
        <v>3.24</v>
      </c>
    </row>
    <row r="420" spans="1:4" hidden="1" outlineLevel="1" x14ac:dyDescent="0.2">
      <c r="A420" s="655" t="s">
        <v>1743</v>
      </c>
      <c r="B420" s="656" t="s">
        <v>1344</v>
      </c>
      <c r="C420" s="657"/>
      <c r="D420" s="658"/>
    </row>
    <row r="421" spans="1:4" hidden="1" outlineLevel="1" x14ac:dyDescent="0.2">
      <c r="A421" s="659" t="s">
        <v>1744</v>
      </c>
      <c r="B421" s="660" t="s">
        <v>1701</v>
      </c>
      <c r="C421" s="661" t="s">
        <v>11</v>
      </c>
      <c r="D421" s="662">
        <v>1321.01</v>
      </c>
    </row>
    <row r="422" spans="1:4" hidden="1" outlineLevel="1" x14ac:dyDescent="0.2">
      <c r="A422" s="663" t="s">
        <v>1745</v>
      </c>
      <c r="B422" s="664" t="s">
        <v>1703</v>
      </c>
      <c r="C422" s="665" t="s">
        <v>11</v>
      </c>
      <c r="D422" s="666">
        <v>3.24</v>
      </c>
    </row>
    <row r="423" spans="1:4" hidden="1" outlineLevel="1" x14ac:dyDescent="0.2">
      <c r="A423" s="655" t="s">
        <v>1746</v>
      </c>
      <c r="B423" s="656" t="s">
        <v>1348</v>
      </c>
      <c r="C423" s="657"/>
      <c r="D423" s="658"/>
    </row>
    <row r="424" spans="1:4" hidden="1" outlineLevel="1" x14ac:dyDescent="0.2">
      <c r="A424" s="659" t="s">
        <v>1747</v>
      </c>
      <c r="B424" s="660" t="s">
        <v>1701</v>
      </c>
      <c r="C424" s="661" t="s">
        <v>11</v>
      </c>
      <c r="D424" s="662">
        <v>1321.01</v>
      </c>
    </row>
    <row r="425" spans="1:4" hidden="1" outlineLevel="1" x14ac:dyDescent="0.2">
      <c r="A425" s="663" t="s">
        <v>1748</v>
      </c>
      <c r="B425" s="664" t="s">
        <v>1703</v>
      </c>
      <c r="C425" s="665" t="s">
        <v>11</v>
      </c>
      <c r="D425" s="666">
        <v>3.24</v>
      </c>
    </row>
    <row r="426" spans="1:4" hidden="1" outlineLevel="1" x14ac:dyDescent="0.2">
      <c r="A426" s="655" t="s">
        <v>1749</v>
      </c>
      <c r="B426" s="656" t="s">
        <v>1352</v>
      </c>
      <c r="C426" s="657"/>
      <c r="D426" s="658"/>
    </row>
    <row r="427" spans="1:4" hidden="1" outlineLevel="1" x14ac:dyDescent="0.2">
      <c r="A427" s="659" t="s">
        <v>1750</v>
      </c>
      <c r="B427" s="660" t="s">
        <v>1701</v>
      </c>
      <c r="C427" s="661" t="s">
        <v>11</v>
      </c>
      <c r="D427" s="662">
        <v>1321.01</v>
      </c>
    </row>
    <row r="428" spans="1:4" hidden="1" outlineLevel="1" x14ac:dyDescent="0.2">
      <c r="A428" s="663" t="s">
        <v>1751</v>
      </c>
      <c r="B428" s="664" t="s">
        <v>1703</v>
      </c>
      <c r="C428" s="665" t="s">
        <v>11</v>
      </c>
      <c r="D428" s="666">
        <v>3.24</v>
      </c>
    </row>
    <row r="429" spans="1:4" hidden="1" outlineLevel="1" x14ac:dyDescent="0.2">
      <c r="A429" s="655" t="s">
        <v>1752</v>
      </c>
      <c r="B429" s="656" t="s">
        <v>1356</v>
      </c>
      <c r="C429" s="657"/>
      <c r="D429" s="658"/>
    </row>
    <row r="430" spans="1:4" hidden="1" outlineLevel="1" x14ac:dyDescent="0.2">
      <c r="A430" s="659" t="s">
        <v>1753</v>
      </c>
      <c r="B430" s="660" t="s">
        <v>1701</v>
      </c>
      <c r="C430" s="661" t="s">
        <v>11</v>
      </c>
      <c r="D430" s="662">
        <v>1321.01</v>
      </c>
    </row>
    <row r="431" spans="1:4" hidden="1" outlineLevel="1" x14ac:dyDescent="0.2">
      <c r="A431" s="663" t="s">
        <v>1754</v>
      </c>
      <c r="B431" s="664" t="s">
        <v>1703</v>
      </c>
      <c r="C431" s="665" t="s">
        <v>11</v>
      </c>
      <c r="D431" s="666">
        <v>3.24</v>
      </c>
    </row>
    <row r="432" spans="1:4" hidden="1" outlineLevel="1" x14ac:dyDescent="0.2">
      <c r="A432" s="655" t="s">
        <v>1755</v>
      </c>
      <c r="B432" s="656" t="s">
        <v>1360</v>
      </c>
      <c r="C432" s="657"/>
      <c r="D432" s="658"/>
    </row>
    <row r="433" spans="1:8" hidden="1" outlineLevel="1" x14ac:dyDescent="0.2">
      <c r="A433" s="659" t="s">
        <v>1756</v>
      </c>
      <c r="B433" s="660" t="s">
        <v>1701</v>
      </c>
      <c r="C433" s="661" t="s">
        <v>11</v>
      </c>
      <c r="D433" s="662">
        <v>1321.01</v>
      </c>
    </row>
    <row r="434" spans="1:8" hidden="1" outlineLevel="1" x14ac:dyDescent="0.2">
      <c r="A434" s="663" t="s">
        <v>1757</v>
      </c>
      <c r="B434" s="664" t="s">
        <v>1703</v>
      </c>
      <c r="C434" s="665" t="s">
        <v>11</v>
      </c>
      <c r="D434" s="666">
        <v>3.24</v>
      </c>
    </row>
    <row r="435" spans="1:8" hidden="1" outlineLevel="1" x14ac:dyDescent="0.2">
      <c r="A435" s="655" t="s">
        <v>1758</v>
      </c>
      <c r="B435" s="656" t="s">
        <v>1364</v>
      </c>
      <c r="C435" s="657"/>
      <c r="D435" s="658"/>
    </row>
    <row r="436" spans="1:8" hidden="1" outlineLevel="1" x14ac:dyDescent="0.2">
      <c r="A436" s="659" t="s">
        <v>1759</v>
      </c>
      <c r="B436" s="660" t="s">
        <v>1701</v>
      </c>
      <c r="C436" s="661" t="s">
        <v>11</v>
      </c>
      <c r="D436" s="662">
        <v>1352.61</v>
      </c>
    </row>
    <row r="437" spans="1:8" hidden="1" outlineLevel="1" x14ac:dyDescent="0.2">
      <c r="A437" s="663" t="s">
        <v>1760</v>
      </c>
      <c r="B437" s="664" t="s">
        <v>1703</v>
      </c>
      <c r="C437" s="665" t="s">
        <v>11</v>
      </c>
      <c r="D437" s="666">
        <v>2.68</v>
      </c>
    </row>
    <row r="438" spans="1:8" hidden="1" outlineLevel="1" x14ac:dyDescent="0.2">
      <c r="A438" s="655" t="s">
        <v>1761</v>
      </c>
      <c r="B438" s="656" t="s">
        <v>1368</v>
      </c>
      <c r="C438" s="657"/>
      <c r="D438" s="658"/>
    </row>
    <row r="439" spans="1:8" hidden="1" outlineLevel="1" x14ac:dyDescent="0.2">
      <c r="A439" s="659" t="s">
        <v>1762</v>
      </c>
      <c r="B439" s="660" t="s">
        <v>1701</v>
      </c>
      <c r="C439" s="661" t="s">
        <v>11</v>
      </c>
      <c r="D439" s="662">
        <v>866.75</v>
      </c>
    </row>
    <row r="440" spans="1:8" hidden="1" outlineLevel="1" x14ac:dyDescent="0.2">
      <c r="A440" s="655" t="s">
        <v>1763</v>
      </c>
      <c r="B440" s="656" t="s">
        <v>1283</v>
      </c>
      <c r="C440" s="657"/>
      <c r="D440" s="658"/>
    </row>
    <row r="441" spans="1:8" hidden="1" outlineLevel="1" x14ac:dyDescent="0.2">
      <c r="A441" s="663" t="s">
        <v>1764</v>
      </c>
      <c r="B441" s="664" t="s">
        <v>1701</v>
      </c>
      <c r="C441" s="665" t="s">
        <v>11</v>
      </c>
      <c r="D441" s="666">
        <v>217.99</v>
      </c>
    </row>
    <row r="442" spans="1:8" hidden="1" outlineLevel="1" x14ac:dyDescent="0.2">
      <c r="A442" s="655" t="s">
        <v>1765</v>
      </c>
      <c r="B442" s="656" t="s">
        <v>1374</v>
      </c>
      <c r="C442" s="657"/>
      <c r="D442" s="658"/>
    </row>
    <row r="443" spans="1:8" hidden="1" outlineLevel="1" x14ac:dyDescent="0.2">
      <c r="A443" s="659" t="s">
        <v>1766</v>
      </c>
      <c r="B443" s="660" t="s">
        <v>1701</v>
      </c>
      <c r="C443" s="661" t="s">
        <v>11</v>
      </c>
      <c r="D443" s="662">
        <v>172.5</v>
      </c>
    </row>
    <row r="444" spans="1:8" collapsed="1" x14ac:dyDescent="0.2">
      <c r="A444" s="651" t="s">
        <v>1767</v>
      </c>
      <c r="B444" s="652" t="s">
        <v>1768</v>
      </c>
      <c r="C444" s="653"/>
      <c r="D444" s="654"/>
    </row>
    <row r="445" spans="1:8" hidden="1" outlineLevel="1" x14ac:dyDescent="0.2">
      <c r="A445" s="655" t="s">
        <v>1769</v>
      </c>
      <c r="B445" s="656" t="s">
        <v>1292</v>
      </c>
      <c r="C445" s="657"/>
      <c r="D445" s="658"/>
    </row>
    <row r="446" spans="1:8" hidden="1" outlineLevel="1" x14ac:dyDescent="0.2">
      <c r="A446" s="663" t="s">
        <v>1770</v>
      </c>
      <c r="B446" s="664" t="s">
        <v>1771</v>
      </c>
      <c r="C446" s="665" t="s">
        <v>11</v>
      </c>
      <c r="D446" s="666">
        <v>1038.46</v>
      </c>
    </row>
    <row r="447" spans="1:8" hidden="1" outlineLevel="1" x14ac:dyDescent="0.2">
      <c r="A447" s="655" t="s">
        <v>1772</v>
      </c>
      <c r="B447" s="656" t="s">
        <v>1296</v>
      </c>
      <c r="C447" s="657"/>
      <c r="D447" s="658"/>
      <c r="F447" s="656" t="s">
        <v>4171</v>
      </c>
      <c r="G447" s="657"/>
      <c r="H447" s="658"/>
    </row>
    <row r="448" spans="1:8" hidden="1" outlineLevel="1" x14ac:dyDescent="0.2">
      <c r="A448" s="659" t="s">
        <v>1773</v>
      </c>
      <c r="B448" s="660" t="s">
        <v>1771</v>
      </c>
      <c r="C448" s="661" t="s">
        <v>11</v>
      </c>
      <c r="D448" s="662">
        <v>712.01</v>
      </c>
      <c r="F448" s="660" t="s">
        <v>1771</v>
      </c>
      <c r="G448" s="661" t="s">
        <v>11</v>
      </c>
      <c r="H448" s="662">
        <f>SUM(D448:D452)</f>
        <v>2183.89</v>
      </c>
    </row>
    <row r="449" spans="1:8" hidden="1" outlineLevel="1" x14ac:dyDescent="0.2">
      <c r="A449" s="655" t="s">
        <v>1774</v>
      </c>
      <c r="B449" s="656" t="s">
        <v>1299</v>
      </c>
      <c r="C449" s="657"/>
      <c r="D449" s="658"/>
    </row>
    <row r="450" spans="1:8" hidden="1" outlineLevel="1" x14ac:dyDescent="0.2">
      <c r="A450" s="663" t="s">
        <v>1775</v>
      </c>
      <c r="B450" s="664" t="s">
        <v>1771</v>
      </c>
      <c r="C450" s="665" t="s">
        <v>11</v>
      </c>
      <c r="D450" s="666">
        <v>702.48</v>
      </c>
    </row>
    <row r="451" spans="1:8" hidden="1" outlineLevel="1" x14ac:dyDescent="0.2">
      <c r="A451" s="655" t="s">
        <v>1776</v>
      </c>
      <c r="B451" s="656" t="s">
        <v>1302</v>
      </c>
      <c r="C451" s="657"/>
      <c r="D451" s="658"/>
    </row>
    <row r="452" spans="1:8" hidden="1" outlineLevel="1" x14ac:dyDescent="0.2">
      <c r="A452" s="659" t="s">
        <v>1777</v>
      </c>
      <c r="B452" s="660" t="s">
        <v>1771</v>
      </c>
      <c r="C452" s="661" t="s">
        <v>11</v>
      </c>
      <c r="D452" s="662">
        <v>769.4</v>
      </c>
    </row>
    <row r="453" spans="1:8" hidden="1" outlineLevel="1" x14ac:dyDescent="0.2">
      <c r="A453" s="655" t="s">
        <v>1778</v>
      </c>
      <c r="B453" s="656" t="s">
        <v>1305</v>
      </c>
      <c r="C453" s="657"/>
      <c r="D453" s="658"/>
    </row>
    <row r="454" spans="1:8" hidden="1" outlineLevel="1" x14ac:dyDescent="0.2">
      <c r="A454" s="663" t="s">
        <v>1779</v>
      </c>
      <c r="B454" s="664" t="s">
        <v>1771</v>
      </c>
      <c r="C454" s="665" t="s">
        <v>11</v>
      </c>
      <c r="D454" s="666">
        <v>764.73</v>
      </c>
    </row>
    <row r="455" spans="1:8" hidden="1" outlineLevel="1" x14ac:dyDescent="0.2">
      <c r="A455" s="655" t="s">
        <v>1780</v>
      </c>
      <c r="B455" s="656" t="s">
        <v>1308</v>
      </c>
      <c r="C455" s="657"/>
      <c r="D455" s="658"/>
    </row>
    <row r="456" spans="1:8" hidden="1" outlineLevel="1" x14ac:dyDescent="0.2">
      <c r="A456" s="659" t="s">
        <v>1781</v>
      </c>
      <c r="B456" s="660" t="s">
        <v>1771</v>
      </c>
      <c r="C456" s="661" t="s">
        <v>11</v>
      </c>
      <c r="D456" s="662">
        <v>1335.44</v>
      </c>
    </row>
    <row r="457" spans="1:8" hidden="1" outlineLevel="1" x14ac:dyDescent="0.2">
      <c r="A457" s="655" t="s">
        <v>1782</v>
      </c>
      <c r="B457" s="656" t="s">
        <v>1311</v>
      </c>
      <c r="C457" s="657"/>
      <c r="D457" s="658"/>
      <c r="F457" s="656" t="s">
        <v>4172</v>
      </c>
      <c r="G457" s="657"/>
      <c r="H457" s="658"/>
    </row>
    <row r="458" spans="1:8" hidden="1" outlineLevel="1" x14ac:dyDescent="0.2">
      <c r="A458" s="663" t="s">
        <v>1783</v>
      </c>
      <c r="B458" s="664" t="s">
        <v>1771</v>
      </c>
      <c r="C458" s="665" t="s">
        <v>11</v>
      </c>
      <c r="D458" s="666">
        <v>1320.55</v>
      </c>
      <c r="F458" s="664" t="s">
        <v>1771</v>
      </c>
      <c r="G458" s="665" t="s">
        <v>11</v>
      </c>
      <c r="H458" s="666">
        <f>SUM(D458:D482)</f>
        <v>17211.349999999999</v>
      </c>
    </row>
    <row r="459" spans="1:8" hidden="1" outlineLevel="1" x14ac:dyDescent="0.2">
      <c r="A459" s="655" t="s">
        <v>1784</v>
      </c>
      <c r="B459" s="656" t="s">
        <v>1316</v>
      </c>
      <c r="C459" s="657"/>
      <c r="D459" s="658"/>
    </row>
    <row r="460" spans="1:8" hidden="1" outlineLevel="1" x14ac:dyDescent="0.2">
      <c r="A460" s="659" t="s">
        <v>1785</v>
      </c>
      <c r="B460" s="660" t="s">
        <v>1771</v>
      </c>
      <c r="C460" s="661" t="s">
        <v>11</v>
      </c>
      <c r="D460" s="662">
        <v>1324.05</v>
      </c>
    </row>
    <row r="461" spans="1:8" hidden="1" outlineLevel="1" x14ac:dyDescent="0.2">
      <c r="A461" s="655" t="s">
        <v>1786</v>
      </c>
      <c r="B461" s="656" t="s">
        <v>1320</v>
      </c>
      <c r="C461" s="657"/>
      <c r="D461" s="658"/>
    </row>
    <row r="462" spans="1:8" hidden="1" outlineLevel="1" x14ac:dyDescent="0.2">
      <c r="A462" s="663" t="s">
        <v>1787</v>
      </c>
      <c r="B462" s="664" t="s">
        <v>1771</v>
      </c>
      <c r="C462" s="665" t="s">
        <v>11</v>
      </c>
      <c r="D462" s="666">
        <v>1324.25</v>
      </c>
    </row>
    <row r="463" spans="1:8" hidden="1" outlineLevel="1" x14ac:dyDescent="0.2">
      <c r="A463" s="655" t="s">
        <v>1788</v>
      </c>
      <c r="B463" s="656" t="s">
        <v>1324</v>
      </c>
      <c r="C463" s="657"/>
      <c r="D463" s="658"/>
    </row>
    <row r="464" spans="1:8" hidden="1" outlineLevel="1" x14ac:dyDescent="0.2">
      <c r="A464" s="659" t="s">
        <v>1789</v>
      </c>
      <c r="B464" s="660" t="s">
        <v>1771</v>
      </c>
      <c r="C464" s="661" t="s">
        <v>11</v>
      </c>
      <c r="D464" s="662">
        <v>1324.25</v>
      </c>
    </row>
    <row r="465" spans="1:4" hidden="1" outlineLevel="1" x14ac:dyDescent="0.2">
      <c r="A465" s="655" t="s">
        <v>1790</v>
      </c>
      <c r="B465" s="656" t="s">
        <v>1328</v>
      </c>
      <c r="C465" s="657"/>
      <c r="D465" s="658"/>
    </row>
    <row r="466" spans="1:4" hidden="1" outlineLevel="1" x14ac:dyDescent="0.2">
      <c r="A466" s="663" t="s">
        <v>1791</v>
      </c>
      <c r="B466" s="664" t="s">
        <v>1771</v>
      </c>
      <c r="C466" s="665" t="s">
        <v>11</v>
      </c>
      <c r="D466" s="666">
        <v>1324.25</v>
      </c>
    </row>
    <row r="467" spans="1:4" hidden="1" outlineLevel="1" x14ac:dyDescent="0.2">
      <c r="A467" s="655" t="s">
        <v>1792</v>
      </c>
      <c r="B467" s="656" t="s">
        <v>1332</v>
      </c>
      <c r="C467" s="657"/>
      <c r="D467" s="658"/>
    </row>
    <row r="468" spans="1:4" hidden="1" outlineLevel="1" x14ac:dyDescent="0.2">
      <c r="A468" s="659" t="s">
        <v>1793</v>
      </c>
      <c r="B468" s="660" t="s">
        <v>1771</v>
      </c>
      <c r="C468" s="661" t="s">
        <v>11</v>
      </c>
      <c r="D468" s="662">
        <v>1324.25</v>
      </c>
    </row>
    <row r="469" spans="1:4" hidden="1" outlineLevel="1" x14ac:dyDescent="0.2">
      <c r="A469" s="655" t="s">
        <v>1794</v>
      </c>
      <c r="B469" s="656" t="s">
        <v>1336</v>
      </c>
      <c r="C469" s="657"/>
      <c r="D469" s="658"/>
    </row>
    <row r="470" spans="1:4" hidden="1" outlineLevel="1" x14ac:dyDescent="0.2">
      <c r="A470" s="663" t="s">
        <v>1795</v>
      </c>
      <c r="B470" s="664" t="s">
        <v>1771</v>
      </c>
      <c r="C470" s="665" t="s">
        <v>11</v>
      </c>
      <c r="D470" s="666">
        <v>1324.25</v>
      </c>
    </row>
    <row r="471" spans="1:4" hidden="1" outlineLevel="1" x14ac:dyDescent="0.2">
      <c r="A471" s="655" t="s">
        <v>1796</v>
      </c>
      <c r="B471" s="656" t="s">
        <v>1340</v>
      </c>
      <c r="C471" s="657"/>
      <c r="D471" s="658"/>
    </row>
    <row r="472" spans="1:4" hidden="1" outlineLevel="1" x14ac:dyDescent="0.2">
      <c r="A472" s="659" t="s">
        <v>1797</v>
      </c>
      <c r="B472" s="660" t="s">
        <v>1771</v>
      </c>
      <c r="C472" s="661" t="s">
        <v>11</v>
      </c>
      <c r="D472" s="662">
        <v>1324.25</v>
      </c>
    </row>
    <row r="473" spans="1:4" hidden="1" outlineLevel="1" x14ac:dyDescent="0.2">
      <c r="A473" s="655" t="s">
        <v>1798</v>
      </c>
      <c r="B473" s="656" t="s">
        <v>1344</v>
      </c>
      <c r="C473" s="657"/>
      <c r="D473" s="658"/>
    </row>
    <row r="474" spans="1:4" hidden="1" outlineLevel="1" x14ac:dyDescent="0.2">
      <c r="A474" s="663" t="s">
        <v>1799</v>
      </c>
      <c r="B474" s="664" t="s">
        <v>1771</v>
      </c>
      <c r="C474" s="665" t="s">
        <v>11</v>
      </c>
      <c r="D474" s="666">
        <v>1324.25</v>
      </c>
    </row>
    <row r="475" spans="1:4" hidden="1" outlineLevel="1" x14ac:dyDescent="0.2">
      <c r="A475" s="655" t="s">
        <v>1800</v>
      </c>
      <c r="B475" s="656" t="s">
        <v>1348</v>
      </c>
      <c r="C475" s="657"/>
      <c r="D475" s="658"/>
    </row>
    <row r="476" spans="1:4" hidden="1" outlineLevel="1" x14ac:dyDescent="0.2">
      <c r="A476" s="659" t="s">
        <v>1801</v>
      </c>
      <c r="B476" s="660" t="s">
        <v>1771</v>
      </c>
      <c r="C476" s="661" t="s">
        <v>11</v>
      </c>
      <c r="D476" s="662">
        <v>1324.25</v>
      </c>
    </row>
    <row r="477" spans="1:4" hidden="1" outlineLevel="1" x14ac:dyDescent="0.2">
      <c r="A477" s="655" t="s">
        <v>1802</v>
      </c>
      <c r="B477" s="656" t="s">
        <v>1352</v>
      </c>
      <c r="C477" s="657"/>
      <c r="D477" s="658"/>
    </row>
    <row r="478" spans="1:4" hidden="1" outlineLevel="1" x14ac:dyDescent="0.2">
      <c r="A478" s="663" t="s">
        <v>1803</v>
      </c>
      <c r="B478" s="664" t="s">
        <v>1771</v>
      </c>
      <c r="C478" s="665" t="s">
        <v>11</v>
      </c>
      <c r="D478" s="666">
        <v>1324.25</v>
      </c>
    </row>
    <row r="479" spans="1:4" hidden="1" outlineLevel="1" x14ac:dyDescent="0.2">
      <c r="A479" s="655" t="s">
        <v>1804</v>
      </c>
      <c r="B479" s="656" t="s">
        <v>1356</v>
      </c>
      <c r="C479" s="657"/>
      <c r="D479" s="658"/>
    </row>
    <row r="480" spans="1:4" hidden="1" outlineLevel="1" x14ac:dyDescent="0.2">
      <c r="A480" s="659" t="s">
        <v>1805</v>
      </c>
      <c r="B480" s="660" t="s">
        <v>1771</v>
      </c>
      <c r="C480" s="661" t="s">
        <v>11</v>
      </c>
      <c r="D480" s="662">
        <v>1324.25</v>
      </c>
    </row>
    <row r="481" spans="1:8" hidden="1" outlineLevel="1" x14ac:dyDescent="0.2">
      <c r="A481" s="655" t="s">
        <v>1806</v>
      </c>
      <c r="B481" s="656" t="s">
        <v>1360</v>
      </c>
      <c r="C481" s="657"/>
      <c r="D481" s="658"/>
    </row>
    <row r="482" spans="1:8" hidden="1" outlineLevel="1" x14ac:dyDescent="0.2">
      <c r="A482" s="663" t="s">
        <v>1807</v>
      </c>
      <c r="B482" s="664" t="s">
        <v>1771</v>
      </c>
      <c r="C482" s="665" t="s">
        <v>11</v>
      </c>
      <c r="D482" s="666">
        <v>1324.25</v>
      </c>
    </row>
    <row r="483" spans="1:8" hidden="1" outlineLevel="1" x14ac:dyDescent="0.2">
      <c r="A483" s="655" t="s">
        <v>1808</v>
      </c>
      <c r="B483" s="656" t="s">
        <v>1364</v>
      </c>
      <c r="C483" s="657"/>
      <c r="D483" s="658"/>
    </row>
    <row r="484" spans="1:8" hidden="1" outlineLevel="1" x14ac:dyDescent="0.2">
      <c r="A484" s="659" t="s">
        <v>1809</v>
      </c>
      <c r="B484" s="660" t="s">
        <v>1771</v>
      </c>
      <c r="C484" s="661" t="s">
        <v>11</v>
      </c>
      <c r="D484" s="662">
        <v>1355.29</v>
      </c>
    </row>
    <row r="485" spans="1:8" hidden="1" outlineLevel="1" x14ac:dyDescent="0.2">
      <c r="A485" s="655" t="s">
        <v>1810</v>
      </c>
      <c r="B485" s="656" t="s">
        <v>1368</v>
      </c>
      <c r="C485" s="657"/>
      <c r="D485" s="658"/>
    </row>
    <row r="486" spans="1:8" hidden="1" outlineLevel="1" x14ac:dyDescent="0.2">
      <c r="A486" s="663" t="s">
        <v>1811</v>
      </c>
      <c r="B486" s="664" t="s">
        <v>1771</v>
      </c>
      <c r="C486" s="665" t="s">
        <v>11</v>
      </c>
      <c r="D486" s="666">
        <v>866.75</v>
      </c>
    </row>
    <row r="487" spans="1:8" hidden="1" outlineLevel="1" x14ac:dyDescent="0.2">
      <c r="A487" s="655" t="s">
        <v>1812</v>
      </c>
      <c r="B487" s="656" t="s">
        <v>1283</v>
      </c>
      <c r="C487" s="657"/>
      <c r="D487" s="658"/>
    </row>
    <row r="488" spans="1:8" hidden="1" outlineLevel="1" x14ac:dyDescent="0.2">
      <c r="A488" s="659" t="s">
        <v>1813</v>
      </c>
      <c r="B488" s="660" t="s">
        <v>1771</v>
      </c>
      <c r="C488" s="661" t="s">
        <v>11</v>
      </c>
      <c r="D488" s="662">
        <v>217.99</v>
      </c>
    </row>
    <row r="489" spans="1:8" hidden="1" outlineLevel="1" x14ac:dyDescent="0.2">
      <c r="A489" s="655" t="s">
        <v>1814</v>
      </c>
      <c r="B489" s="656" t="s">
        <v>1374</v>
      </c>
      <c r="C489" s="657"/>
      <c r="D489" s="658"/>
    </row>
    <row r="490" spans="1:8" hidden="1" outlineLevel="1" x14ac:dyDescent="0.2">
      <c r="A490" s="663" t="s">
        <v>1815</v>
      </c>
      <c r="B490" s="664" t="s">
        <v>1771</v>
      </c>
      <c r="C490" s="665" t="s">
        <v>11</v>
      </c>
      <c r="D490" s="666">
        <v>172.5</v>
      </c>
    </row>
    <row r="491" spans="1:8" collapsed="1" x14ac:dyDescent="0.2">
      <c r="A491" s="651" t="s">
        <v>1816</v>
      </c>
      <c r="B491" s="652" t="s">
        <v>1817</v>
      </c>
      <c r="C491" s="653"/>
      <c r="D491" s="654"/>
    </row>
    <row r="492" spans="1:8" hidden="1" outlineLevel="1" x14ac:dyDescent="0.2">
      <c r="A492" s="655" t="s">
        <v>1818</v>
      </c>
      <c r="B492" s="702" t="s">
        <v>1292</v>
      </c>
      <c r="C492" s="703"/>
      <c r="D492" s="704"/>
    </row>
    <row r="493" spans="1:8" hidden="1" outlineLevel="1" x14ac:dyDescent="0.2">
      <c r="A493" s="659" t="s">
        <v>1819</v>
      </c>
      <c r="B493" s="707" t="s">
        <v>1820</v>
      </c>
      <c r="C493" s="708" t="s">
        <v>11</v>
      </c>
      <c r="D493" s="709">
        <v>306.19</v>
      </c>
    </row>
    <row r="494" spans="1:8" hidden="1" outlineLevel="1" x14ac:dyDescent="0.2">
      <c r="A494" s="655" t="s">
        <v>1821</v>
      </c>
      <c r="B494" s="702" t="s">
        <v>1296</v>
      </c>
      <c r="C494" s="703"/>
      <c r="D494" s="704"/>
      <c r="F494" s="656" t="s">
        <v>1296</v>
      </c>
      <c r="G494" s="657"/>
      <c r="H494" s="658"/>
    </row>
    <row r="495" spans="1:8" hidden="1" outlineLevel="1" x14ac:dyDescent="0.2">
      <c r="A495" s="663" t="s">
        <v>1822</v>
      </c>
      <c r="B495" s="710" t="s">
        <v>1820</v>
      </c>
      <c r="C495" s="711" t="s">
        <v>11</v>
      </c>
      <c r="D495" s="916">
        <v>298.95999999999998</v>
      </c>
      <c r="F495" s="664" t="s">
        <v>1820</v>
      </c>
      <c r="G495" s="665" t="s">
        <v>11</v>
      </c>
      <c r="H495" s="666">
        <f>SUM(D495:D499)</f>
        <v>948.67000000000007</v>
      </c>
    </row>
    <row r="496" spans="1:8" hidden="1" outlineLevel="1" x14ac:dyDescent="0.2">
      <c r="A496" s="655" t="s">
        <v>1823</v>
      </c>
      <c r="B496" s="702" t="s">
        <v>1299</v>
      </c>
      <c r="C496" s="703"/>
      <c r="D496" s="704"/>
    </row>
    <row r="497" spans="1:8" hidden="1" outlineLevel="1" x14ac:dyDescent="0.2">
      <c r="A497" s="659" t="s">
        <v>1824</v>
      </c>
      <c r="B497" s="707" t="s">
        <v>1820</v>
      </c>
      <c r="C497" s="708" t="s">
        <v>11</v>
      </c>
      <c r="D497" s="709">
        <v>312.05</v>
      </c>
    </row>
    <row r="498" spans="1:8" hidden="1" outlineLevel="1" x14ac:dyDescent="0.2">
      <c r="A498" s="655" t="s">
        <v>1825</v>
      </c>
      <c r="B498" s="702" t="s">
        <v>1302</v>
      </c>
      <c r="C498" s="703"/>
      <c r="D498" s="704"/>
    </row>
    <row r="499" spans="1:8" hidden="1" outlineLevel="1" x14ac:dyDescent="0.2">
      <c r="A499" s="663" t="s">
        <v>1826</v>
      </c>
      <c r="B499" s="710" t="s">
        <v>1820</v>
      </c>
      <c r="C499" s="711" t="s">
        <v>11</v>
      </c>
      <c r="D499" s="916">
        <v>337.66</v>
      </c>
    </row>
    <row r="500" spans="1:8" hidden="1" outlineLevel="1" x14ac:dyDescent="0.2">
      <c r="A500" s="655" t="s">
        <v>1827</v>
      </c>
      <c r="B500" s="702" t="s">
        <v>1305</v>
      </c>
      <c r="C500" s="703"/>
      <c r="D500" s="704"/>
    </row>
    <row r="501" spans="1:8" hidden="1" outlineLevel="1" x14ac:dyDescent="0.2">
      <c r="A501" s="659" t="s">
        <v>1828</v>
      </c>
      <c r="B501" s="707" t="s">
        <v>1820</v>
      </c>
      <c r="C501" s="708" t="s">
        <v>11</v>
      </c>
      <c r="D501" s="709">
        <v>352.33</v>
      </c>
    </row>
    <row r="502" spans="1:8" hidden="1" outlineLevel="1" x14ac:dyDescent="0.2">
      <c r="A502" s="655" t="s">
        <v>1829</v>
      </c>
      <c r="B502" s="702" t="s">
        <v>1308</v>
      </c>
      <c r="C502" s="703"/>
      <c r="D502" s="704"/>
    </row>
    <row r="503" spans="1:8" hidden="1" outlineLevel="1" x14ac:dyDescent="0.2">
      <c r="A503" s="663" t="s">
        <v>1830</v>
      </c>
      <c r="B503" s="710" t="s">
        <v>1820</v>
      </c>
      <c r="C503" s="711" t="s">
        <v>11</v>
      </c>
      <c r="D503" s="916">
        <v>92.6</v>
      </c>
    </row>
    <row r="504" spans="1:8" hidden="1" outlineLevel="1" x14ac:dyDescent="0.2">
      <c r="A504" s="655" t="s">
        <v>1831</v>
      </c>
      <c r="B504" s="702" t="s">
        <v>1311</v>
      </c>
      <c r="C504" s="703"/>
      <c r="D504" s="704"/>
      <c r="F504" s="656" t="s">
        <v>1311</v>
      </c>
      <c r="G504" s="657"/>
      <c r="H504" s="658"/>
    </row>
    <row r="505" spans="1:8" hidden="1" outlineLevel="1" x14ac:dyDescent="0.2">
      <c r="A505" s="659" t="s">
        <v>1832</v>
      </c>
      <c r="B505" s="707" t="s">
        <v>1820</v>
      </c>
      <c r="C505" s="708" t="s">
        <v>11</v>
      </c>
      <c r="D505" s="709">
        <v>77.290000000000006</v>
      </c>
      <c r="F505" s="660" t="s">
        <v>1820</v>
      </c>
      <c r="G505" s="661" t="s">
        <v>11</v>
      </c>
      <c r="H505" s="662">
        <f>SUM(D505:D529)</f>
        <v>1004.7699999999999</v>
      </c>
    </row>
    <row r="506" spans="1:8" hidden="1" outlineLevel="1" x14ac:dyDescent="0.2">
      <c r="A506" s="655" t="s">
        <v>1833</v>
      </c>
      <c r="B506" s="702" t="s">
        <v>1316</v>
      </c>
      <c r="C506" s="703"/>
      <c r="D506" s="704"/>
    </row>
    <row r="507" spans="1:8" hidden="1" outlineLevel="1" x14ac:dyDescent="0.2">
      <c r="A507" s="663" t="s">
        <v>1834</v>
      </c>
      <c r="B507" s="710" t="s">
        <v>1820</v>
      </c>
      <c r="C507" s="711" t="s">
        <v>11</v>
      </c>
      <c r="D507" s="916">
        <v>77.290000000000006</v>
      </c>
    </row>
    <row r="508" spans="1:8" hidden="1" outlineLevel="1" x14ac:dyDescent="0.2">
      <c r="A508" s="655" t="s">
        <v>1835</v>
      </c>
      <c r="B508" s="702" t="s">
        <v>1320</v>
      </c>
      <c r="C508" s="703"/>
      <c r="D508" s="704"/>
    </row>
    <row r="509" spans="1:8" hidden="1" outlineLevel="1" x14ac:dyDescent="0.2">
      <c r="A509" s="659" t="s">
        <v>1836</v>
      </c>
      <c r="B509" s="707" t="s">
        <v>1820</v>
      </c>
      <c r="C509" s="708" t="s">
        <v>11</v>
      </c>
      <c r="D509" s="709">
        <v>77.290000000000006</v>
      </c>
    </row>
    <row r="510" spans="1:8" hidden="1" outlineLevel="1" x14ac:dyDescent="0.2">
      <c r="A510" s="655" t="s">
        <v>1837</v>
      </c>
      <c r="B510" s="702" t="s">
        <v>1324</v>
      </c>
      <c r="C510" s="703"/>
      <c r="D510" s="704"/>
    </row>
    <row r="511" spans="1:8" hidden="1" outlineLevel="1" x14ac:dyDescent="0.2">
      <c r="A511" s="663" t="s">
        <v>1838</v>
      </c>
      <c r="B511" s="710" t="s">
        <v>1820</v>
      </c>
      <c r="C511" s="711" t="s">
        <v>11</v>
      </c>
      <c r="D511" s="916">
        <v>77.290000000000006</v>
      </c>
    </row>
    <row r="512" spans="1:8" hidden="1" outlineLevel="1" x14ac:dyDescent="0.2">
      <c r="A512" s="655" t="s">
        <v>1839</v>
      </c>
      <c r="B512" s="702" t="s">
        <v>1328</v>
      </c>
      <c r="C512" s="703"/>
      <c r="D512" s="704"/>
    </row>
    <row r="513" spans="1:4" hidden="1" outlineLevel="1" x14ac:dyDescent="0.2">
      <c r="A513" s="659" t="s">
        <v>1840</v>
      </c>
      <c r="B513" s="707" t="s">
        <v>1820</v>
      </c>
      <c r="C513" s="708" t="s">
        <v>11</v>
      </c>
      <c r="D513" s="709">
        <v>77.290000000000006</v>
      </c>
    </row>
    <row r="514" spans="1:4" hidden="1" outlineLevel="1" x14ac:dyDescent="0.2">
      <c r="A514" s="655" t="s">
        <v>1841</v>
      </c>
      <c r="B514" s="702" t="s">
        <v>1332</v>
      </c>
      <c r="C514" s="703"/>
      <c r="D514" s="704"/>
    </row>
    <row r="515" spans="1:4" hidden="1" outlineLevel="1" x14ac:dyDescent="0.2">
      <c r="A515" s="663" t="s">
        <v>1842</v>
      </c>
      <c r="B515" s="710" t="s">
        <v>1820</v>
      </c>
      <c r="C515" s="711" t="s">
        <v>11</v>
      </c>
      <c r="D515" s="916">
        <v>77.290000000000006</v>
      </c>
    </row>
    <row r="516" spans="1:4" hidden="1" outlineLevel="1" x14ac:dyDescent="0.2">
      <c r="A516" s="655" t="s">
        <v>1843</v>
      </c>
      <c r="B516" s="702" t="s">
        <v>1336</v>
      </c>
      <c r="C516" s="703"/>
      <c r="D516" s="704"/>
    </row>
    <row r="517" spans="1:4" hidden="1" outlineLevel="1" x14ac:dyDescent="0.2">
      <c r="A517" s="659" t="s">
        <v>1844</v>
      </c>
      <c r="B517" s="707" t="s">
        <v>1820</v>
      </c>
      <c r="C517" s="708" t="s">
        <v>11</v>
      </c>
      <c r="D517" s="709">
        <v>77.290000000000006</v>
      </c>
    </row>
    <row r="518" spans="1:4" hidden="1" outlineLevel="1" x14ac:dyDescent="0.2">
      <c r="A518" s="655" t="s">
        <v>1845</v>
      </c>
      <c r="B518" s="702" t="s">
        <v>1340</v>
      </c>
      <c r="C518" s="703"/>
      <c r="D518" s="704"/>
    </row>
    <row r="519" spans="1:4" hidden="1" outlineLevel="1" x14ac:dyDescent="0.2">
      <c r="A519" s="663" t="s">
        <v>1846</v>
      </c>
      <c r="B519" s="710" t="s">
        <v>1820</v>
      </c>
      <c r="C519" s="711" t="s">
        <v>11</v>
      </c>
      <c r="D519" s="916">
        <v>77.290000000000006</v>
      </c>
    </row>
    <row r="520" spans="1:4" hidden="1" outlineLevel="1" x14ac:dyDescent="0.2">
      <c r="A520" s="655" t="s">
        <v>1847</v>
      </c>
      <c r="B520" s="702" t="s">
        <v>1344</v>
      </c>
      <c r="C520" s="703"/>
      <c r="D520" s="704"/>
    </row>
    <row r="521" spans="1:4" hidden="1" outlineLevel="1" x14ac:dyDescent="0.2">
      <c r="A521" s="659" t="s">
        <v>1848</v>
      </c>
      <c r="B521" s="707" t="s">
        <v>1820</v>
      </c>
      <c r="C521" s="708" t="s">
        <v>11</v>
      </c>
      <c r="D521" s="709">
        <v>77.290000000000006</v>
      </c>
    </row>
    <row r="522" spans="1:4" hidden="1" outlineLevel="1" x14ac:dyDescent="0.2">
      <c r="A522" s="655" t="s">
        <v>1849</v>
      </c>
      <c r="B522" s="702" t="s">
        <v>1348</v>
      </c>
      <c r="C522" s="703"/>
      <c r="D522" s="704"/>
    </row>
    <row r="523" spans="1:4" hidden="1" outlineLevel="1" x14ac:dyDescent="0.2">
      <c r="A523" s="663" t="s">
        <v>1850</v>
      </c>
      <c r="B523" s="710" t="s">
        <v>1820</v>
      </c>
      <c r="C523" s="711" t="s">
        <v>11</v>
      </c>
      <c r="D523" s="916">
        <v>77.290000000000006</v>
      </c>
    </row>
    <row r="524" spans="1:4" hidden="1" outlineLevel="1" x14ac:dyDescent="0.2">
      <c r="A524" s="655" t="s">
        <v>1851</v>
      </c>
      <c r="B524" s="702" t="s">
        <v>1352</v>
      </c>
      <c r="C524" s="703"/>
      <c r="D524" s="704"/>
    </row>
    <row r="525" spans="1:4" hidden="1" outlineLevel="1" x14ac:dyDescent="0.2">
      <c r="A525" s="659" t="s">
        <v>1852</v>
      </c>
      <c r="B525" s="707" t="s">
        <v>1820</v>
      </c>
      <c r="C525" s="708" t="s">
        <v>11</v>
      </c>
      <c r="D525" s="709">
        <v>77.290000000000006</v>
      </c>
    </row>
    <row r="526" spans="1:4" hidden="1" outlineLevel="1" x14ac:dyDescent="0.2">
      <c r="A526" s="655" t="s">
        <v>1853</v>
      </c>
      <c r="B526" s="702" t="s">
        <v>1356</v>
      </c>
      <c r="C526" s="703"/>
      <c r="D526" s="704"/>
    </row>
    <row r="527" spans="1:4" hidden="1" outlineLevel="1" x14ac:dyDescent="0.2">
      <c r="A527" s="663" t="s">
        <v>1854</v>
      </c>
      <c r="B527" s="710" t="s">
        <v>1820</v>
      </c>
      <c r="C527" s="711" t="s">
        <v>11</v>
      </c>
      <c r="D527" s="916">
        <v>77.290000000000006</v>
      </c>
    </row>
    <row r="528" spans="1:4" hidden="1" outlineLevel="1" x14ac:dyDescent="0.2">
      <c r="A528" s="655" t="s">
        <v>1855</v>
      </c>
      <c r="B528" s="702" t="s">
        <v>1360</v>
      </c>
      <c r="C528" s="703"/>
      <c r="D528" s="704"/>
    </row>
    <row r="529" spans="1:4" hidden="1" outlineLevel="1" x14ac:dyDescent="0.2">
      <c r="A529" s="659" t="s">
        <v>1856</v>
      </c>
      <c r="B529" s="707" t="s">
        <v>1820</v>
      </c>
      <c r="C529" s="708" t="s">
        <v>11</v>
      </c>
      <c r="D529" s="709">
        <v>77.290000000000006</v>
      </c>
    </row>
    <row r="530" spans="1:4" hidden="1" outlineLevel="1" x14ac:dyDescent="0.2">
      <c r="A530" s="655" t="s">
        <v>1857</v>
      </c>
      <c r="B530" s="702" t="s">
        <v>1364</v>
      </c>
      <c r="C530" s="703"/>
      <c r="D530" s="704"/>
    </row>
    <row r="531" spans="1:4" hidden="1" outlineLevel="1" x14ac:dyDescent="0.2">
      <c r="A531" s="663" t="s">
        <v>1858</v>
      </c>
      <c r="B531" s="710" t="s">
        <v>1820</v>
      </c>
      <c r="C531" s="711" t="s">
        <v>11</v>
      </c>
      <c r="D531" s="916">
        <v>77.849999999999994</v>
      </c>
    </row>
    <row r="532" spans="1:4" hidden="1" outlineLevel="1" x14ac:dyDescent="0.2">
      <c r="A532" s="655" t="s">
        <v>1859</v>
      </c>
      <c r="B532" s="702" t="s">
        <v>1368</v>
      </c>
      <c r="C532" s="703"/>
      <c r="D532" s="704"/>
    </row>
    <row r="533" spans="1:4" hidden="1" outlineLevel="1" x14ac:dyDescent="0.2">
      <c r="A533" s="659" t="s">
        <v>1860</v>
      </c>
      <c r="B533" s="707" t="s">
        <v>1820</v>
      </c>
      <c r="C533" s="708" t="s">
        <v>11</v>
      </c>
      <c r="D533" s="709">
        <v>78.44</v>
      </c>
    </row>
    <row r="534" spans="1:4" hidden="1" outlineLevel="1" x14ac:dyDescent="0.2">
      <c r="A534" s="655" t="s">
        <v>1861</v>
      </c>
      <c r="B534" s="702" t="s">
        <v>1283</v>
      </c>
      <c r="C534" s="703"/>
      <c r="D534" s="704"/>
    </row>
    <row r="535" spans="1:4" hidden="1" outlineLevel="1" x14ac:dyDescent="0.2">
      <c r="A535" s="663" t="s">
        <v>1862</v>
      </c>
      <c r="B535" s="710" t="s">
        <v>1820</v>
      </c>
      <c r="C535" s="711" t="s">
        <v>11</v>
      </c>
      <c r="D535" s="916">
        <v>24.57</v>
      </c>
    </row>
    <row r="536" spans="1:4" hidden="1" outlineLevel="1" x14ac:dyDescent="0.2">
      <c r="A536" s="655" t="s">
        <v>1863</v>
      </c>
      <c r="B536" s="702" t="s">
        <v>1374</v>
      </c>
      <c r="C536" s="703"/>
      <c r="D536" s="704"/>
    </row>
    <row r="537" spans="1:4" hidden="1" outlineLevel="1" x14ac:dyDescent="0.2">
      <c r="A537" s="659" t="s">
        <v>1864</v>
      </c>
      <c r="B537" s="707" t="s">
        <v>1820</v>
      </c>
      <c r="C537" s="708" t="s">
        <v>11</v>
      </c>
      <c r="D537" s="709">
        <v>22.92</v>
      </c>
    </row>
    <row r="538" spans="1:4" collapsed="1" x14ac:dyDescent="0.2">
      <c r="A538" s="651" t="s">
        <v>1865</v>
      </c>
      <c r="B538" s="652" t="s">
        <v>1866</v>
      </c>
      <c r="C538" s="653"/>
      <c r="D538" s="654"/>
    </row>
    <row r="539" spans="1:4" hidden="1" outlineLevel="1" x14ac:dyDescent="0.2">
      <c r="A539" s="655" t="s">
        <v>1867</v>
      </c>
      <c r="B539" s="656" t="s">
        <v>1292</v>
      </c>
      <c r="C539" s="657"/>
      <c r="D539" s="658"/>
    </row>
    <row r="540" spans="1:4" hidden="1" outlineLevel="1" x14ac:dyDescent="0.2">
      <c r="A540" s="663" t="s">
        <v>1868</v>
      </c>
      <c r="B540" s="664" t="s">
        <v>1869</v>
      </c>
      <c r="C540" s="665" t="s">
        <v>11</v>
      </c>
      <c r="D540" s="666">
        <v>21.24</v>
      </c>
    </row>
    <row r="541" spans="1:4" hidden="1" outlineLevel="1" x14ac:dyDescent="0.2">
      <c r="A541" s="655" t="s">
        <v>1870</v>
      </c>
      <c r="B541" s="656" t="s">
        <v>1308</v>
      </c>
      <c r="C541" s="657"/>
      <c r="D541" s="658"/>
    </row>
    <row r="542" spans="1:4" hidden="1" outlineLevel="1" x14ac:dyDescent="0.2">
      <c r="A542" s="659" t="s">
        <v>1871</v>
      </c>
      <c r="B542" s="660" t="s">
        <v>1872</v>
      </c>
      <c r="C542" s="661" t="s">
        <v>11</v>
      </c>
      <c r="D542" s="662">
        <v>256.60000000000002</v>
      </c>
    </row>
    <row r="543" spans="1:4" hidden="1" outlineLevel="1" x14ac:dyDescent="0.2">
      <c r="A543" s="913" t="s">
        <v>1774</v>
      </c>
      <c r="B543" s="702" t="s">
        <v>1311</v>
      </c>
      <c r="C543" s="703"/>
      <c r="D543" s="704"/>
    </row>
    <row r="544" spans="1:4" hidden="1" outlineLevel="1" x14ac:dyDescent="0.2">
      <c r="A544" s="915" t="s">
        <v>1775</v>
      </c>
      <c r="B544" s="710" t="s">
        <v>5054</v>
      </c>
      <c r="C544" s="711" t="s">
        <v>11</v>
      </c>
      <c r="D544" s="916">
        <v>79.17</v>
      </c>
    </row>
    <row r="545" spans="1:4" hidden="1" outlineLevel="1" x14ac:dyDescent="0.2">
      <c r="A545" s="913" t="s">
        <v>1776</v>
      </c>
      <c r="B545" s="702" t="s">
        <v>1316</v>
      </c>
      <c r="C545" s="703"/>
      <c r="D545" s="704"/>
    </row>
    <row r="546" spans="1:4" hidden="1" outlineLevel="1" x14ac:dyDescent="0.2">
      <c r="A546" s="914" t="s">
        <v>1777</v>
      </c>
      <c r="B546" s="707" t="s">
        <v>5054</v>
      </c>
      <c r="C546" s="708" t="s">
        <v>11</v>
      </c>
      <c r="D546" s="709">
        <v>67.010000000000005</v>
      </c>
    </row>
    <row r="547" spans="1:4" hidden="1" outlineLevel="1" x14ac:dyDescent="0.2">
      <c r="A547" s="913" t="s">
        <v>1778</v>
      </c>
      <c r="B547" s="702" t="s">
        <v>1320</v>
      </c>
      <c r="C547" s="703"/>
      <c r="D547" s="704"/>
    </row>
    <row r="548" spans="1:4" hidden="1" outlineLevel="1" x14ac:dyDescent="0.2">
      <c r="A548" s="915" t="s">
        <v>1779</v>
      </c>
      <c r="B548" s="710" t="s">
        <v>5054</v>
      </c>
      <c r="C548" s="711" t="s">
        <v>11</v>
      </c>
      <c r="D548" s="916">
        <v>67.010000000000005</v>
      </c>
    </row>
    <row r="549" spans="1:4" hidden="1" outlineLevel="1" x14ac:dyDescent="0.2">
      <c r="A549" s="913" t="s">
        <v>1780</v>
      </c>
      <c r="B549" s="702" t="s">
        <v>1324</v>
      </c>
      <c r="C549" s="703"/>
      <c r="D549" s="704"/>
    </row>
    <row r="550" spans="1:4" hidden="1" outlineLevel="1" x14ac:dyDescent="0.2">
      <c r="A550" s="914" t="s">
        <v>1781</v>
      </c>
      <c r="B550" s="707" t="s">
        <v>5054</v>
      </c>
      <c r="C550" s="708" t="s">
        <v>11</v>
      </c>
      <c r="D550" s="709">
        <v>67.010000000000005</v>
      </c>
    </row>
    <row r="551" spans="1:4" hidden="1" outlineLevel="1" x14ac:dyDescent="0.2">
      <c r="A551" s="913" t="s">
        <v>1782</v>
      </c>
      <c r="B551" s="702" t="s">
        <v>1328</v>
      </c>
      <c r="C551" s="703"/>
      <c r="D551" s="704"/>
    </row>
    <row r="552" spans="1:4" hidden="1" outlineLevel="1" x14ac:dyDescent="0.2">
      <c r="A552" s="915" t="s">
        <v>1783</v>
      </c>
      <c r="B552" s="710" t="s">
        <v>5054</v>
      </c>
      <c r="C552" s="711" t="s">
        <v>11</v>
      </c>
      <c r="D552" s="916">
        <v>67.010000000000005</v>
      </c>
    </row>
    <row r="553" spans="1:4" hidden="1" outlineLevel="1" x14ac:dyDescent="0.2">
      <c r="A553" s="913" t="s">
        <v>1784</v>
      </c>
      <c r="B553" s="702" t="s">
        <v>1332</v>
      </c>
      <c r="C553" s="703"/>
      <c r="D553" s="704"/>
    </row>
    <row r="554" spans="1:4" hidden="1" outlineLevel="1" x14ac:dyDescent="0.2">
      <c r="A554" s="914" t="s">
        <v>1785</v>
      </c>
      <c r="B554" s="707" t="s">
        <v>5054</v>
      </c>
      <c r="C554" s="708" t="s">
        <v>11</v>
      </c>
      <c r="D554" s="709">
        <v>67.010000000000005</v>
      </c>
    </row>
    <row r="555" spans="1:4" hidden="1" outlineLevel="1" x14ac:dyDescent="0.2">
      <c r="A555" s="913" t="s">
        <v>1786</v>
      </c>
      <c r="B555" s="702" t="s">
        <v>1336</v>
      </c>
      <c r="C555" s="703"/>
      <c r="D555" s="704"/>
    </row>
    <row r="556" spans="1:4" hidden="1" outlineLevel="1" x14ac:dyDescent="0.2">
      <c r="A556" s="915" t="s">
        <v>1787</v>
      </c>
      <c r="B556" s="710" t="s">
        <v>5054</v>
      </c>
      <c r="C556" s="711" t="s">
        <v>11</v>
      </c>
      <c r="D556" s="916">
        <v>67.010000000000005</v>
      </c>
    </row>
    <row r="557" spans="1:4" hidden="1" outlineLevel="1" x14ac:dyDescent="0.2">
      <c r="A557" s="913" t="s">
        <v>1788</v>
      </c>
      <c r="B557" s="702" t="s">
        <v>1340</v>
      </c>
      <c r="C557" s="703"/>
      <c r="D557" s="704"/>
    </row>
    <row r="558" spans="1:4" hidden="1" outlineLevel="1" x14ac:dyDescent="0.2">
      <c r="A558" s="914" t="s">
        <v>1789</v>
      </c>
      <c r="B558" s="707" t="s">
        <v>5054</v>
      </c>
      <c r="C558" s="708" t="s">
        <v>11</v>
      </c>
      <c r="D558" s="709">
        <v>67.010000000000005</v>
      </c>
    </row>
    <row r="559" spans="1:4" hidden="1" outlineLevel="1" x14ac:dyDescent="0.2">
      <c r="A559" s="913" t="s">
        <v>1790</v>
      </c>
      <c r="B559" s="702" t="s">
        <v>1344</v>
      </c>
      <c r="C559" s="703"/>
      <c r="D559" s="704"/>
    </row>
    <row r="560" spans="1:4" hidden="1" outlineLevel="1" x14ac:dyDescent="0.2">
      <c r="A560" s="915" t="s">
        <v>1791</v>
      </c>
      <c r="B560" s="710" t="s">
        <v>5054</v>
      </c>
      <c r="C560" s="711" t="s">
        <v>11</v>
      </c>
      <c r="D560" s="916">
        <v>67.010000000000005</v>
      </c>
    </row>
    <row r="561" spans="1:4" hidden="1" outlineLevel="1" x14ac:dyDescent="0.2">
      <c r="A561" s="913" t="s">
        <v>1792</v>
      </c>
      <c r="B561" s="702" t="s">
        <v>1348</v>
      </c>
      <c r="C561" s="703"/>
      <c r="D561" s="704"/>
    </row>
    <row r="562" spans="1:4" hidden="1" outlineLevel="1" x14ac:dyDescent="0.2">
      <c r="A562" s="914" t="s">
        <v>1793</v>
      </c>
      <c r="B562" s="707" t="s">
        <v>5054</v>
      </c>
      <c r="C562" s="708" t="s">
        <v>11</v>
      </c>
      <c r="D562" s="709">
        <v>67.010000000000005</v>
      </c>
    </row>
    <row r="563" spans="1:4" hidden="1" outlineLevel="1" x14ac:dyDescent="0.2">
      <c r="A563" s="913" t="s">
        <v>1794</v>
      </c>
      <c r="B563" s="702" t="s">
        <v>1352</v>
      </c>
      <c r="C563" s="703"/>
      <c r="D563" s="704"/>
    </row>
    <row r="564" spans="1:4" hidden="1" outlineLevel="1" x14ac:dyDescent="0.2">
      <c r="A564" s="915" t="s">
        <v>1795</v>
      </c>
      <c r="B564" s="710" t="s">
        <v>5054</v>
      </c>
      <c r="C564" s="711" t="s">
        <v>11</v>
      </c>
      <c r="D564" s="916">
        <v>67.010000000000005</v>
      </c>
    </row>
    <row r="565" spans="1:4" hidden="1" outlineLevel="1" x14ac:dyDescent="0.2">
      <c r="A565" s="913" t="s">
        <v>1796</v>
      </c>
      <c r="B565" s="702" t="s">
        <v>1356</v>
      </c>
      <c r="C565" s="703"/>
      <c r="D565" s="704"/>
    </row>
    <row r="566" spans="1:4" hidden="1" outlineLevel="1" x14ac:dyDescent="0.2">
      <c r="A566" s="914" t="s">
        <v>1797</v>
      </c>
      <c r="B566" s="707" t="s">
        <v>5054</v>
      </c>
      <c r="C566" s="708" t="s">
        <v>11</v>
      </c>
      <c r="D566" s="709">
        <v>67.010000000000005</v>
      </c>
    </row>
    <row r="567" spans="1:4" hidden="1" outlineLevel="1" x14ac:dyDescent="0.2">
      <c r="A567" s="913" t="s">
        <v>1798</v>
      </c>
      <c r="B567" s="702" t="s">
        <v>1360</v>
      </c>
      <c r="C567" s="703"/>
      <c r="D567" s="704"/>
    </row>
    <row r="568" spans="1:4" hidden="1" outlineLevel="1" x14ac:dyDescent="0.2">
      <c r="A568" s="915" t="s">
        <v>1799</v>
      </c>
      <c r="B568" s="710" t="s">
        <v>5054</v>
      </c>
      <c r="C568" s="711" t="s">
        <v>11</v>
      </c>
      <c r="D568" s="916">
        <v>67.010000000000005</v>
      </c>
    </row>
    <row r="569" spans="1:4" hidden="1" outlineLevel="1" x14ac:dyDescent="0.2">
      <c r="A569" s="913" t="s">
        <v>1800</v>
      </c>
      <c r="B569" s="702" t="s">
        <v>1364</v>
      </c>
      <c r="C569" s="703"/>
      <c r="D569" s="704"/>
    </row>
    <row r="570" spans="1:4" hidden="1" outlineLevel="1" x14ac:dyDescent="0.2">
      <c r="A570" s="914" t="s">
        <v>1801</v>
      </c>
      <c r="B570" s="707" t="s">
        <v>5054</v>
      </c>
      <c r="C570" s="708" t="s">
        <v>11</v>
      </c>
      <c r="D570" s="709">
        <v>91.22</v>
      </c>
    </row>
    <row r="571" spans="1:4" hidden="1" outlineLevel="1" x14ac:dyDescent="0.2">
      <c r="A571" s="913" t="s">
        <v>1802</v>
      </c>
      <c r="B571" s="702" t="s">
        <v>1368</v>
      </c>
      <c r="C571" s="703"/>
      <c r="D571" s="704"/>
    </row>
    <row r="572" spans="1:4" hidden="1" outlineLevel="1" x14ac:dyDescent="0.2">
      <c r="A572" s="915" t="s">
        <v>1803</v>
      </c>
      <c r="B572" s="710" t="s">
        <v>5054</v>
      </c>
      <c r="C572" s="711" t="s">
        <v>11</v>
      </c>
      <c r="D572" s="916">
        <v>24.55</v>
      </c>
    </row>
    <row r="573" spans="1:4" hidden="1" outlineLevel="1" x14ac:dyDescent="0.2">
      <c r="A573" s="663" t="s">
        <v>1873</v>
      </c>
      <c r="B573" s="664" t="s">
        <v>1874</v>
      </c>
      <c r="C573" s="665" t="s">
        <v>11</v>
      </c>
      <c r="D573" s="666">
        <v>61.85</v>
      </c>
    </row>
    <row r="574" spans="1:4" collapsed="1" x14ac:dyDescent="0.2">
      <c r="A574" s="651" t="s">
        <v>1875</v>
      </c>
      <c r="B574" s="652" t="s">
        <v>1876</v>
      </c>
      <c r="C574" s="653"/>
      <c r="D574" s="654"/>
    </row>
    <row r="575" spans="1:4" hidden="1" outlineLevel="1" x14ac:dyDescent="0.2">
      <c r="A575" s="655" t="s">
        <v>1877</v>
      </c>
      <c r="B575" s="656" t="s">
        <v>1292</v>
      </c>
      <c r="C575" s="657"/>
      <c r="D575" s="658"/>
    </row>
    <row r="576" spans="1:4" hidden="1" outlineLevel="1" x14ac:dyDescent="0.2">
      <c r="A576" s="659" t="s">
        <v>1878</v>
      </c>
      <c r="B576" s="660" t="s">
        <v>1879</v>
      </c>
      <c r="C576" s="661" t="s">
        <v>11</v>
      </c>
      <c r="D576" s="662">
        <v>0.23</v>
      </c>
    </row>
    <row r="577" spans="1:8" hidden="1" outlineLevel="1" x14ac:dyDescent="0.2">
      <c r="A577" s="655" t="s">
        <v>1880</v>
      </c>
      <c r="B577" s="656" t="s">
        <v>1299</v>
      </c>
      <c r="C577" s="657"/>
      <c r="D577" s="658"/>
      <c r="F577" s="656" t="s">
        <v>1299</v>
      </c>
      <c r="G577" s="657"/>
      <c r="H577" s="658"/>
    </row>
    <row r="578" spans="1:8" hidden="1" outlineLevel="1" x14ac:dyDescent="0.2">
      <c r="A578" s="663" t="s">
        <v>1881</v>
      </c>
      <c r="B578" s="664" t="s">
        <v>1879</v>
      </c>
      <c r="C578" s="665" t="s">
        <v>11</v>
      </c>
      <c r="D578" s="666">
        <v>4.7</v>
      </c>
      <c r="F578" s="664" t="s">
        <v>1879</v>
      </c>
      <c r="G578" s="665" t="s">
        <v>11</v>
      </c>
      <c r="H578" s="666">
        <f>SUM(D578:D582)</f>
        <v>14.100000000000001</v>
      </c>
    </row>
    <row r="579" spans="1:8" hidden="1" outlineLevel="1" x14ac:dyDescent="0.2">
      <c r="A579" s="655" t="s">
        <v>1882</v>
      </c>
      <c r="B579" s="656" t="s">
        <v>1302</v>
      </c>
      <c r="C579" s="657"/>
      <c r="D579" s="658"/>
    </row>
    <row r="580" spans="1:8" hidden="1" outlineLevel="1" x14ac:dyDescent="0.2">
      <c r="A580" s="659" t="s">
        <v>1883</v>
      </c>
      <c r="B580" s="660" t="s">
        <v>1879</v>
      </c>
      <c r="C580" s="661" t="s">
        <v>11</v>
      </c>
      <c r="D580" s="662">
        <v>4.7</v>
      </c>
    </row>
    <row r="581" spans="1:8" hidden="1" outlineLevel="1" x14ac:dyDescent="0.2">
      <c r="A581" s="655" t="s">
        <v>1884</v>
      </c>
      <c r="B581" s="656" t="s">
        <v>1305</v>
      </c>
      <c r="C581" s="657"/>
      <c r="D581" s="658"/>
    </row>
    <row r="582" spans="1:8" hidden="1" outlineLevel="1" x14ac:dyDescent="0.2">
      <c r="A582" s="663" t="s">
        <v>1885</v>
      </c>
      <c r="B582" s="664" t="s">
        <v>1879</v>
      </c>
      <c r="C582" s="665" t="s">
        <v>11</v>
      </c>
      <c r="D582" s="666">
        <v>4.7</v>
      </c>
    </row>
    <row r="583" spans="1:8" hidden="1" outlineLevel="1" x14ac:dyDescent="0.2">
      <c r="A583" s="655" t="s">
        <v>1886</v>
      </c>
      <c r="B583" s="656" t="s">
        <v>1308</v>
      </c>
      <c r="C583" s="657"/>
      <c r="D583" s="658"/>
    </row>
    <row r="584" spans="1:8" hidden="1" outlineLevel="1" x14ac:dyDescent="0.2">
      <c r="A584" s="659" t="s">
        <v>1887</v>
      </c>
      <c r="B584" s="660" t="s">
        <v>1879</v>
      </c>
      <c r="C584" s="661" t="s">
        <v>11</v>
      </c>
      <c r="D584" s="662">
        <v>46.46</v>
      </c>
    </row>
    <row r="585" spans="1:8" hidden="1" outlineLevel="1" x14ac:dyDescent="0.2">
      <c r="A585" s="655" t="s">
        <v>1888</v>
      </c>
      <c r="B585" s="656" t="s">
        <v>1311</v>
      </c>
      <c r="C585" s="657"/>
      <c r="D585" s="658"/>
      <c r="F585" s="656" t="s">
        <v>1311</v>
      </c>
      <c r="G585" s="657"/>
      <c r="H585" s="658"/>
    </row>
    <row r="586" spans="1:8" hidden="1" outlineLevel="1" x14ac:dyDescent="0.2">
      <c r="A586" s="663" t="s">
        <v>1889</v>
      </c>
      <c r="B586" s="664" t="s">
        <v>1879</v>
      </c>
      <c r="C586" s="665" t="s">
        <v>11</v>
      </c>
      <c r="D586" s="666">
        <v>15.63</v>
      </c>
      <c r="F586" s="664" t="s">
        <v>1879</v>
      </c>
      <c r="G586" s="665" t="s">
        <v>11</v>
      </c>
      <c r="H586" s="666">
        <f>SUM(D586:D610)</f>
        <v>173.18999999999997</v>
      </c>
    </row>
    <row r="587" spans="1:8" hidden="1" outlineLevel="1" x14ac:dyDescent="0.2">
      <c r="A587" s="655" t="s">
        <v>1890</v>
      </c>
      <c r="B587" s="656" t="s">
        <v>1316</v>
      </c>
      <c r="C587" s="657"/>
      <c r="D587" s="658"/>
    </row>
    <row r="588" spans="1:8" hidden="1" outlineLevel="1" x14ac:dyDescent="0.2">
      <c r="A588" s="659" t="s">
        <v>1891</v>
      </c>
      <c r="B588" s="660" t="s">
        <v>1879</v>
      </c>
      <c r="C588" s="661" t="s">
        <v>11</v>
      </c>
      <c r="D588" s="662">
        <v>13.13</v>
      </c>
    </row>
    <row r="589" spans="1:8" hidden="1" outlineLevel="1" x14ac:dyDescent="0.2">
      <c r="A589" s="655" t="s">
        <v>1892</v>
      </c>
      <c r="B589" s="656" t="s">
        <v>1320</v>
      </c>
      <c r="C589" s="657"/>
      <c r="D589" s="658"/>
    </row>
    <row r="590" spans="1:8" hidden="1" outlineLevel="1" x14ac:dyDescent="0.2">
      <c r="A590" s="663" t="s">
        <v>1893</v>
      </c>
      <c r="B590" s="664" t="s">
        <v>1879</v>
      </c>
      <c r="C590" s="665" t="s">
        <v>11</v>
      </c>
      <c r="D590" s="666">
        <v>13.13</v>
      </c>
    </row>
    <row r="591" spans="1:8" hidden="1" outlineLevel="1" x14ac:dyDescent="0.2">
      <c r="A591" s="655" t="s">
        <v>1894</v>
      </c>
      <c r="B591" s="656" t="s">
        <v>1324</v>
      </c>
      <c r="C591" s="657"/>
      <c r="D591" s="658"/>
    </row>
    <row r="592" spans="1:8" hidden="1" outlineLevel="1" x14ac:dyDescent="0.2">
      <c r="A592" s="659" t="s">
        <v>1895</v>
      </c>
      <c r="B592" s="660" t="s">
        <v>1879</v>
      </c>
      <c r="C592" s="661" t="s">
        <v>11</v>
      </c>
      <c r="D592" s="662">
        <v>13.13</v>
      </c>
    </row>
    <row r="593" spans="1:4" hidden="1" outlineLevel="1" x14ac:dyDescent="0.2">
      <c r="A593" s="655" t="s">
        <v>1896</v>
      </c>
      <c r="B593" s="656" t="s">
        <v>1328</v>
      </c>
      <c r="C593" s="657"/>
      <c r="D593" s="658"/>
    </row>
    <row r="594" spans="1:4" hidden="1" outlineLevel="1" x14ac:dyDescent="0.2">
      <c r="A594" s="663" t="s">
        <v>1897</v>
      </c>
      <c r="B594" s="664" t="s">
        <v>1879</v>
      </c>
      <c r="C594" s="665" t="s">
        <v>11</v>
      </c>
      <c r="D594" s="666">
        <v>13.13</v>
      </c>
    </row>
    <row r="595" spans="1:4" hidden="1" outlineLevel="1" x14ac:dyDescent="0.2">
      <c r="A595" s="655" t="s">
        <v>1898</v>
      </c>
      <c r="B595" s="656" t="s">
        <v>1332</v>
      </c>
      <c r="C595" s="657"/>
      <c r="D595" s="658"/>
    </row>
    <row r="596" spans="1:4" hidden="1" outlineLevel="1" x14ac:dyDescent="0.2">
      <c r="A596" s="659" t="s">
        <v>1899</v>
      </c>
      <c r="B596" s="660" t="s">
        <v>1879</v>
      </c>
      <c r="C596" s="661" t="s">
        <v>11</v>
      </c>
      <c r="D596" s="662">
        <v>13.13</v>
      </c>
    </row>
    <row r="597" spans="1:4" hidden="1" outlineLevel="1" x14ac:dyDescent="0.2">
      <c r="A597" s="655" t="s">
        <v>1900</v>
      </c>
      <c r="B597" s="656" t="s">
        <v>1336</v>
      </c>
      <c r="C597" s="657"/>
      <c r="D597" s="658"/>
    </row>
    <row r="598" spans="1:4" hidden="1" outlineLevel="1" x14ac:dyDescent="0.2">
      <c r="A598" s="663" t="s">
        <v>1901</v>
      </c>
      <c r="B598" s="664" t="s">
        <v>1879</v>
      </c>
      <c r="C598" s="665" t="s">
        <v>11</v>
      </c>
      <c r="D598" s="666">
        <v>13.13</v>
      </c>
    </row>
    <row r="599" spans="1:4" hidden="1" outlineLevel="1" x14ac:dyDescent="0.2">
      <c r="A599" s="655" t="s">
        <v>1902</v>
      </c>
      <c r="B599" s="656" t="s">
        <v>1340</v>
      </c>
      <c r="C599" s="657"/>
      <c r="D599" s="658"/>
    </row>
    <row r="600" spans="1:4" hidden="1" outlineLevel="1" x14ac:dyDescent="0.2">
      <c r="A600" s="659" t="s">
        <v>1903</v>
      </c>
      <c r="B600" s="660" t="s">
        <v>1879</v>
      </c>
      <c r="C600" s="661" t="s">
        <v>11</v>
      </c>
      <c r="D600" s="662">
        <v>13.13</v>
      </c>
    </row>
    <row r="601" spans="1:4" hidden="1" outlineLevel="1" x14ac:dyDescent="0.2">
      <c r="A601" s="655" t="s">
        <v>1904</v>
      </c>
      <c r="B601" s="656" t="s">
        <v>1344</v>
      </c>
      <c r="C601" s="657"/>
      <c r="D601" s="658"/>
    </row>
    <row r="602" spans="1:4" hidden="1" outlineLevel="1" x14ac:dyDescent="0.2">
      <c r="A602" s="663" t="s">
        <v>1905</v>
      </c>
      <c r="B602" s="664" t="s">
        <v>1879</v>
      </c>
      <c r="C602" s="665" t="s">
        <v>11</v>
      </c>
      <c r="D602" s="666">
        <v>13.13</v>
      </c>
    </row>
    <row r="603" spans="1:4" hidden="1" outlineLevel="1" x14ac:dyDescent="0.2">
      <c r="A603" s="655" t="s">
        <v>1906</v>
      </c>
      <c r="B603" s="656" t="s">
        <v>1348</v>
      </c>
      <c r="C603" s="657"/>
      <c r="D603" s="658"/>
    </row>
    <row r="604" spans="1:4" hidden="1" outlineLevel="1" x14ac:dyDescent="0.2">
      <c r="A604" s="659" t="s">
        <v>1907</v>
      </c>
      <c r="B604" s="660" t="s">
        <v>1879</v>
      </c>
      <c r="C604" s="661" t="s">
        <v>11</v>
      </c>
      <c r="D604" s="662">
        <v>13.13</v>
      </c>
    </row>
    <row r="605" spans="1:4" hidden="1" outlineLevel="1" x14ac:dyDescent="0.2">
      <c r="A605" s="655" t="s">
        <v>1908</v>
      </c>
      <c r="B605" s="656" t="s">
        <v>1352</v>
      </c>
      <c r="C605" s="657"/>
      <c r="D605" s="658"/>
    </row>
    <row r="606" spans="1:4" hidden="1" outlineLevel="1" x14ac:dyDescent="0.2">
      <c r="A606" s="663" t="s">
        <v>1909</v>
      </c>
      <c r="B606" s="664" t="s">
        <v>1879</v>
      </c>
      <c r="C606" s="665" t="s">
        <v>11</v>
      </c>
      <c r="D606" s="666">
        <v>13.13</v>
      </c>
    </row>
    <row r="607" spans="1:4" hidden="1" outlineLevel="1" x14ac:dyDescent="0.2">
      <c r="A607" s="655" t="s">
        <v>1910</v>
      </c>
      <c r="B607" s="656" t="s">
        <v>1356</v>
      </c>
      <c r="C607" s="657"/>
      <c r="D607" s="658"/>
    </row>
    <row r="608" spans="1:4" hidden="1" outlineLevel="1" x14ac:dyDescent="0.2">
      <c r="A608" s="659" t="s">
        <v>1911</v>
      </c>
      <c r="B608" s="660" t="s">
        <v>1879</v>
      </c>
      <c r="C608" s="661" t="s">
        <v>11</v>
      </c>
      <c r="D608" s="662">
        <v>13.13</v>
      </c>
    </row>
    <row r="609" spans="1:8" hidden="1" outlineLevel="1" x14ac:dyDescent="0.2">
      <c r="A609" s="655" t="s">
        <v>1912</v>
      </c>
      <c r="B609" s="656" t="s">
        <v>1360</v>
      </c>
      <c r="C609" s="657"/>
      <c r="D609" s="658"/>
    </row>
    <row r="610" spans="1:8" hidden="1" outlineLevel="1" x14ac:dyDescent="0.2">
      <c r="A610" s="663" t="s">
        <v>1913</v>
      </c>
      <c r="B610" s="664" t="s">
        <v>1879</v>
      </c>
      <c r="C610" s="665" t="s">
        <v>11</v>
      </c>
      <c r="D610" s="666">
        <v>13.13</v>
      </c>
    </row>
    <row r="611" spans="1:8" hidden="1" outlineLevel="1" x14ac:dyDescent="0.2">
      <c r="A611" s="655" t="s">
        <v>1914</v>
      </c>
      <c r="B611" s="656" t="s">
        <v>1364</v>
      </c>
      <c r="C611" s="657"/>
      <c r="D611" s="658"/>
    </row>
    <row r="612" spans="1:8" hidden="1" outlineLevel="1" x14ac:dyDescent="0.2">
      <c r="A612" s="659" t="s">
        <v>1915</v>
      </c>
      <c r="B612" s="660" t="s">
        <v>1879</v>
      </c>
      <c r="C612" s="661" t="s">
        <v>11</v>
      </c>
      <c r="D612" s="662">
        <v>13.19</v>
      </c>
    </row>
    <row r="613" spans="1:8" hidden="1" outlineLevel="1" x14ac:dyDescent="0.2">
      <c r="A613" s="655" t="s">
        <v>1916</v>
      </c>
      <c r="B613" s="656" t="s">
        <v>1368</v>
      </c>
      <c r="C613" s="657"/>
      <c r="D613" s="658"/>
    </row>
    <row r="614" spans="1:8" hidden="1" outlineLevel="1" x14ac:dyDescent="0.2">
      <c r="A614" s="663" t="s">
        <v>1917</v>
      </c>
      <c r="B614" s="664" t="s">
        <v>1879</v>
      </c>
      <c r="C614" s="665" t="s">
        <v>11</v>
      </c>
      <c r="D614" s="666">
        <v>16.27</v>
      </c>
    </row>
    <row r="615" spans="1:8" collapsed="1" x14ac:dyDescent="0.2">
      <c r="A615" s="651" t="s">
        <v>1918</v>
      </c>
      <c r="B615" s="652" t="s">
        <v>1919</v>
      </c>
      <c r="C615" s="653"/>
      <c r="D615" s="654"/>
    </row>
    <row r="616" spans="1:8" hidden="1" outlineLevel="1" x14ac:dyDescent="0.2">
      <c r="A616" s="655" t="s">
        <v>1920</v>
      </c>
      <c r="B616" s="656" t="s">
        <v>1308</v>
      </c>
      <c r="C616" s="657"/>
      <c r="D616" s="658"/>
    </row>
    <row r="617" spans="1:8" hidden="1" outlineLevel="1" x14ac:dyDescent="0.2">
      <c r="A617" s="659" t="s">
        <v>1921</v>
      </c>
      <c r="B617" s="660" t="s">
        <v>1922</v>
      </c>
      <c r="C617" s="661" t="s">
        <v>11</v>
      </c>
      <c r="D617" s="662">
        <v>413.69</v>
      </c>
    </row>
    <row r="618" spans="1:8" hidden="1" outlineLevel="1" x14ac:dyDescent="0.2">
      <c r="A618" s="655" t="s">
        <v>1923</v>
      </c>
      <c r="B618" s="656" t="s">
        <v>1311</v>
      </c>
      <c r="C618" s="657"/>
      <c r="D618" s="658"/>
      <c r="F618" s="656" t="s">
        <v>4182</v>
      </c>
      <c r="G618" s="657"/>
      <c r="H618" s="658"/>
    </row>
    <row r="619" spans="1:8" hidden="1" outlineLevel="1" x14ac:dyDescent="0.2">
      <c r="A619" s="663" t="s">
        <v>1924</v>
      </c>
      <c r="B619" s="664" t="s">
        <v>1922</v>
      </c>
      <c r="C619" s="665" t="s">
        <v>11</v>
      </c>
      <c r="D619" s="666">
        <v>457.38</v>
      </c>
      <c r="F619" s="664" t="s">
        <v>1922</v>
      </c>
      <c r="G619" s="665" t="s">
        <v>11</v>
      </c>
      <c r="H619" s="666">
        <f>SUM(D619:D643)</f>
        <v>5914.38</v>
      </c>
    </row>
    <row r="620" spans="1:8" hidden="1" outlineLevel="1" x14ac:dyDescent="0.2">
      <c r="A620" s="655" t="s">
        <v>1925</v>
      </c>
      <c r="B620" s="656" t="s">
        <v>1316</v>
      </c>
      <c r="C620" s="657"/>
      <c r="D620" s="658"/>
    </row>
    <row r="621" spans="1:8" hidden="1" outlineLevel="1" x14ac:dyDescent="0.2">
      <c r="A621" s="659" t="s">
        <v>1926</v>
      </c>
      <c r="B621" s="660" t="s">
        <v>1922</v>
      </c>
      <c r="C621" s="661" t="s">
        <v>11</v>
      </c>
      <c r="D621" s="662">
        <v>454.75</v>
      </c>
    </row>
    <row r="622" spans="1:8" hidden="1" outlineLevel="1" x14ac:dyDescent="0.2">
      <c r="A622" s="655" t="s">
        <v>1927</v>
      </c>
      <c r="B622" s="656" t="s">
        <v>1320</v>
      </c>
      <c r="C622" s="657"/>
      <c r="D622" s="658"/>
    </row>
    <row r="623" spans="1:8" hidden="1" outlineLevel="1" x14ac:dyDescent="0.2">
      <c r="A623" s="663" t="s">
        <v>1928</v>
      </c>
      <c r="B623" s="664" t="s">
        <v>1922</v>
      </c>
      <c r="C623" s="665" t="s">
        <v>11</v>
      </c>
      <c r="D623" s="666">
        <v>454.75</v>
      </c>
    </row>
    <row r="624" spans="1:8" hidden="1" outlineLevel="1" x14ac:dyDescent="0.2">
      <c r="A624" s="655" t="s">
        <v>1929</v>
      </c>
      <c r="B624" s="656" t="s">
        <v>1324</v>
      </c>
      <c r="C624" s="657"/>
      <c r="D624" s="658"/>
    </row>
    <row r="625" spans="1:4" hidden="1" outlineLevel="1" x14ac:dyDescent="0.2">
      <c r="A625" s="659" t="s">
        <v>1930</v>
      </c>
      <c r="B625" s="660" t="s">
        <v>1922</v>
      </c>
      <c r="C625" s="661" t="s">
        <v>11</v>
      </c>
      <c r="D625" s="662">
        <v>454.75</v>
      </c>
    </row>
    <row r="626" spans="1:4" hidden="1" outlineLevel="1" x14ac:dyDescent="0.2">
      <c r="A626" s="655" t="s">
        <v>1931</v>
      </c>
      <c r="B626" s="656" t="s">
        <v>1328</v>
      </c>
      <c r="C626" s="657"/>
      <c r="D626" s="658"/>
    </row>
    <row r="627" spans="1:4" hidden="1" outlineLevel="1" x14ac:dyDescent="0.2">
      <c r="A627" s="663" t="s">
        <v>1932</v>
      </c>
      <c r="B627" s="664" t="s">
        <v>1922</v>
      </c>
      <c r="C627" s="665" t="s">
        <v>11</v>
      </c>
      <c r="D627" s="666">
        <v>454.75</v>
      </c>
    </row>
    <row r="628" spans="1:4" hidden="1" outlineLevel="1" x14ac:dyDescent="0.2">
      <c r="A628" s="655" t="s">
        <v>1933</v>
      </c>
      <c r="B628" s="656" t="s">
        <v>1332</v>
      </c>
      <c r="C628" s="657"/>
      <c r="D628" s="658"/>
    </row>
    <row r="629" spans="1:4" hidden="1" outlineLevel="1" x14ac:dyDescent="0.2">
      <c r="A629" s="659" t="s">
        <v>1934</v>
      </c>
      <c r="B629" s="660" t="s">
        <v>1922</v>
      </c>
      <c r="C629" s="661" t="s">
        <v>11</v>
      </c>
      <c r="D629" s="662">
        <v>454.75</v>
      </c>
    </row>
    <row r="630" spans="1:4" hidden="1" outlineLevel="1" x14ac:dyDescent="0.2">
      <c r="A630" s="655" t="s">
        <v>1935</v>
      </c>
      <c r="B630" s="656" t="s">
        <v>1336</v>
      </c>
      <c r="C630" s="657"/>
      <c r="D630" s="658"/>
    </row>
    <row r="631" spans="1:4" hidden="1" outlineLevel="1" x14ac:dyDescent="0.2">
      <c r="A631" s="663" t="s">
        <v>1936</v>
      </c>
      <c r="B631" s="664" t="s">
        <v>1922</v>
      </c>
      <c r="C631" s="665" t="s">
        <v>11</v>
      </c>
      <c r="D631" s="666">
        <v>454.75</v>
      </c>
    </row>
    <row r="632" spans="1:4" hidden="1" outlineLevel="1" x14ac:dyDescent="0.2">
      <c r="A632" s="655" t="s">
        <v>1937</v>
      </c>
      <c r="B632" s="656" t="s">
        <v>1340</v>
      </c>
      <c r="C632" s="657"/>
      <c r="D632" s="658"/>
    </row>
    <row r="633" spans="1:4" hidden="1" outlineLevel="1" x14ac:dyDescent="0.2">
      <c r="A633" s="659" t="s">
        <v>1938</v>
      </c>
      <c r="B633" s="660" t="s">
        <v>1922</v>
      </c>
      <c r="C633" s="661" t="s">
        <v>11</v>
      </c>
      <c r="D633" s="662">
        <v>454.75</v>
      </c>
    </row>
    <row r="634" spans="1:4" hidden="1" outlineLevel="1" x14ac:dyDescent="0.2">
      <c r="A634" s="655" t="s">
        <v>1939</v>
      </c>
      <c r="B634" s="656" t="s">
        <v>1344</v>
      </c>
      <c r="C634" s="657"/>
      <c r="D634" s="658"/>
    </row>
    <row r="635" spans="1:4" hidden="1" outlineLevel="1" x14ac:dyDescent="0.2">
      <c r="A635" s="663" t="s">
        <v>1940</v>
      </c>
      <c r="B635" s="664" t="s">
        <v>1922</v>
      </c>
      <c r="C635" s="665" t="s">
        <v>11</v>
      </c>
      <c r="D635" s="666">
        <v>454.75</v>
      </c>
    </row>
    <row r="636" spans="1:4" hidden="1" outlineLevel="1" x14ac:dyDescent="0.2">
      <c r="A636" s="655" t="s">
        <v>1941</v>
      </c>
      <c r="B636" s="656" t="s">
        <v>1348</v>
      </c>
      <c r="C636" s="657"/>
      <c r="D636" s="658"/>
    </row>
    <row r="637" spans="1:4" hidden="1" outlineLevel="1" x14ac:dyDescent="0.2">
      <c r="A637" s="659" t="s">
        <v>1942</v>
      </c>
      <c r="B637" s="660" t="s">
        <v>1922</v>
      </c>
      <c r="C637" s="661" t="s">
        <v>11</v>
      </c>
      <c r="D637" s="662">
        <v>454.75</v>
      </c>
    </row>
    <row r="638" spans="1:4" hidden="1" outlineLevel="1" x14ac:dyDescent="0.2">
      <c r="A638" s="655" t="s">
        <v>1943</v>
      </c>
      <c r="B638" s="656" t="s">
        <v>1352</v>
      </c>
      <c r="C638" s="657"/>
      <c r="D638" s="658"/>
    </row>
    <row r="639" spans="1:4" hidden="1" outlineLevel="1" x14ac:dyDescent="0.2">
      <c r="A639" s="663" t="s">
        <v>1944</v>
      </c>
      <c r="B639" s="664" t="s">
        <v>1922</v>
      </c>
      <c r="C639" s="665" t="s">
        <v>11</v>
      </c>
      <c r="D639" s="666">
        <v>454.75</v>
      </c>
    </row>
    <row r="640" spans="1:4" hidden="1" outlineLevel="1" x14ac:dyDescent="0.2">
      <c r="A640" s="655" t="s">
        <v>1945</v>
      </c>
      <c r="B640" s="656" t="s">
        <v>1356</v>
      </c>
      <c r="C640" s="657"/>
      <c r="D640" s="658"/>
    </row>
    <row r="641" spans="1:4" hidden="1" outlineLevel="1" x14ac:dyDescent="0.2">
      <c r="A641" s="659" t="s">
        <v>1946</v>
      </c>
      <c r="B641" s="660" t="s">
        <v>1922</v>
      </c>
      <c r="C641" s="661" t="s">
        <v>11</v>
      </c>
      <c r="D641" s="662">
        <v>454.75</v>
      </c>
    </row>
    <row r="642" spans="1:4" hidden="1" outlineLevel="1" x14ac:dyDescent="0.2">
      <c r="A642" s="655" t="s">
        <v>1947</v>
      </c>
      <c r="B642" s="656" t="s">
        <v>1360</v>
      </c>
      <c r="C642" s="657"/>
      <c r="D642" s="658"/>
    </row>
    <row r="643" spans="1:4" hidden="1" outlineLevel="1" x14ac:dyDescent="0.2">
      <c r="A643" s="663" t="s">
        <v>1948</v>
      </c>
      <c r="B643" s="664" t="s">
        <v>1922</v>
      </c>
      <c r="C643" s="665" t="s">
        <v>11</v>
      </c>
      <c r="D643" s="666">
        <v>454.75</v>
      </c>
    </row>
    <row r="644" spans="1:4" hidden="1" outlineLevel="1" x14ac:dyDescent="0.2">
      <c r="A644" s="655" t="s">
        <v>1949</v>
      </c>
      <c r="B644" s="656" t="s">
        <v>1364</v>
      </c>
      <c r="C644" s="657"/>
      <c r="D644" s="658"/>
    </row>
    <row r="645" spans="1:4" hidden="1" outlineLevel="1" x14ac:dyDescent="0.2">
      <c r="A645" s="659" t="s">
        <v>1950</v>
      </c>
      <c r="B645" s="660" t="s">
        <v>1922</v>
      </c>
      <c r="C645" s="661" t="s">
        <v>11</v>
      </c>
      <c r="D645" s="662">
        <v>447.5</v>
      </c>
    </row>
    <row r="646" spans="1:4" hidden="1" outlineLevel="1" x14ac:dyDescent="0.2">
      <c r="A646" s="655" t="s">
        <v>1951</v>
      </c>
      <c r="B646" s="656" t="s">
        <v>1368</v>
      </c>
      <c r="C646" s="657"/>
      <c r="D646" s="658"/>
    </row>
    <row r="647" spans="1:4" hidden="1" outlineLevel="1" x14ac:dyDescent="0.2">
      <c r="A647" s="663" t="s">
        <v>1952</v>
      </c>
      <c r="B647" s="664" t="s">
        <v>1922</v>
      </c>
      <c r="C647" s="665" t="s">
        <v>11</v>
      </c>
      <c r="D647" s="666">
        <v>403.73</v>
      </c>
    </row>
    <row r="648" spans="1:4" collapsed="1" x14ac:dyDescent="0.2">
      <c r="A648" s="651" t="s">
        <v>1953</v>
      </c>
      <c r="B648" s="652" t="s">
        <v>1954</v>
      </c>
      <c r="C648" s="653"/>
      <c r="D648" s="654"/>
    </row>
    <row r="649" spans="1:4" hidden="1" outlineLevel="1" x14ac:dyDescent="0.2">
      <c r="A649" s="655" t="s">
        <v>1955</v>
      </c>
      <c r="B649" s="656" t="s">
        <v>1292</v>
      </c>
      <c r="C649" s="657"/>
      <c r="D649" s="658"/>
    </row>
    <row r="650" spans="1:4" hidden="1" outlineLevel="1" x14ac:dyDescent="0.2">
      <c r="A650" s="659" t="s">
        <v>1956</v>
      </c>
      <c r="B650" s="660" t="s">
        <v>1957</v>
      </c>
      <c r="C650" s="661" t="s">
        <v>11</v>
      </c>
      <c r="D650" s="662">
        <v>772.87</v>
      </c>
    </row>
    <row r="651" spans="1:4" hidden="1" outlineLevel="1" x14ac:dyDescent="0.2">
      <c r="A651" s="655" t="s">
        <v>1958</v>
      </c>
      <c r="B651" s="656" t="s">
        <v>1296</v>
      </c>
      <c r="C651" s="657"/>
      <c r="D651" s="658"/>
    </row>
    <row r="652" spans="1:4" hidden="1" outlineLevel="1" x14ac:dyDescent="0.2">
      <c r="A652" s="663" t="s">
        <v>1959</v>
      </c>
      <c r="B652" s="664" t="s">
        <v>1957</v>
      </c>
      <c r="C652" s="665" t="s">
        <v>11</v>
      </c>
      <c r="D652" s="666">
        <v>756.88</v>
      </c>
    </row>
    <row r="653" spans="1:4" hidden="1" outlineLevel="1" x14ac:dyDescent="0.2">
      <c r="A653" s="655" t="s">
        <v>1960</v>
      </c>
      <c r="B653" s="656" t="s">
        <v>1299</v>
      </c>
      <c r="C653" s="657"/>
      <c r="D653" s="658"/>
    </row>
    <row r="654" spans="1:4" hidden="1" outlineLevel="1" x14ac:dyDescent="0.2">
      <c r="A654" s="659" t="s">
        <v>1961</v>
      </c>
      <c r="B654" s="660" t="s">
        <v>1957</v>
      </c>
      <c r="C654" s="661" t="s">
        <v>11</v>
      </c>
      <c r="D654" s="662">
        <v>759.45</v>
      </c>
    </row>
    <row r="655" spans="1:4" hidden="1" outlineLevel="1" x14ac:dyDescent="0.2">
      <c r="A655" s="655" t="s">
        <v>1962</v>
      </c>
      <c r="B655" s="656" t="s">
        <v>1302</v>
      </c>
      <c r="C655" s="657"/>
      <c r="D655" s="658"/>
    </row>
    <row r="656" spans="1:4" hidden="1" outlineLevel="1" x14ac:dyDescent="0.2">
      <c r="A656" s="663" t="s">
        <v>1963</v>
      </c>
      <c r="B656" s="664" t="s">
        <v>1957</v>
      </c>
      <c r="C656" s="665" t="s">
        <v>11</v>
      </c>
      <c r="D656" s="666">
        <v>795.51</v>
      </c>
    </row>
    <row r="657" spans="1:8" hidden="1" outlineLevel="1" x14ac:dyDescent="0.2">
      <c r="A657" s="655" t="s">
        <v>1964</v>
      </c>
      <c r="B657" s="656" t="s">
        <v>1305</v>
      </c>
      <c r="C657" s="657"/>
      <c r="D657" s="658"/>
    </row>
    <row r="658" spans="1:8" hidden="1" outlineLevel="1" x14ac:dyDescent="0.2">
      <c r="A658" s="659" t="s">
        <v>1965</v>
      </c>
      <c r="B658" s="660" t="s">
        <v>1957</v>
      </c>
      <c r="C658" s="661" t="s">
        <v>11</v>
      </c>
      <c r="D658" s="662">
        <v>774.23</v>
      </c>
    </row>
    <row r="659" spans="1:8" hidden="1" outlineLevel="1" x14ac:dyDescent="0.2">
      <c r="A659" s="655" t="s">
        <v>1966</v>
      </c>
      <c r="B659" s="656" t="s">
        <v>1308</v>
      </c>
      <c r="C659" s="657"/>
      <c r="D659" s="658"/>
    </row>
    <row r="660" spans="1:8" hidden="1" outlineLevel="1" x14ac:dyDescent="0.2">
      <c r="A660" s="663" t="s">
        <v>1967</v>
      </c>
      <c r="B660" s="664" t="s">
        <v>1957</v>
      </c>
      <c r="C660" s="665" t="s">
        <v>11</v>
      </c>
      <c r="D660" s="666">
        <v>35.68</v>
      </c>
    </row>
    <row r="661" spans="1:8" hidden="1" outlineLevel="1" x14ac:dyDescent="0.2">
      <c r="A661" s="913" t="s">
        <v>1933</v>
      </c>
      <c r="B661" s="702" t="s">
        <v>1311</v>
      </c>
      <c r="C661" s="703"/>
      <c r="D661" s="704"/>
      <c r="F661" s="656" t="s">
        <v>4182</v>
      </c>
      <c r="G661" s="657"/>
      <c r="H661" s="658"/>
    </row>
    <row r="662" spans="1:8" hidden="1" outlineLevel="1" x14ac:dyDescent="0.2">
      <c r="A662" s="914" t="s">
        <v>1934</v>
      </c>
      <c r="B662" s="707" t="s">
        <v>4944</v>
      </c>
      <c r="C662" s="708" t="s">
        <v>11</v>
      </c>
      <c r="D662" s="709">
        <v>42.36</v>
      </c>
      <c r="F662" s="664" t="s">
        <v>1957</v>
      </c>
      <c r="G662" s="665" t="s">
        <v>11</v>
      </c>
      <c r="H662" s="666">
        <f>SUM(D662:D686)</f>
        <v>550.68000000000006</v>
      </c>
    </row>
    <row r="663" spans="1:8" hidden="1" outlineLevel="1" x14ac:dyDescent="0.2">
      <c r="A663" s="913" t="s">
        <v>1935</v>
      </c>
      <c r="B663" s="702" t="s">
        <v>1316</v>
      </c>
      <c r="C663" s="703"/>
      <c r="D663" s="704"/>
    </row>
    <row r="664" spans="1:8" hidden="1" outlineLevel="1" x14ac:dyDescent="0.2">
      <c r="A664" s="915" t="s">
        <v>1936</v>
      </c>
      <c r="B664" s="710" t="s">
        <v>4944</v>
      </c>
      <c r="C664" s="711" t="s">
        <v>11</v>
      </c>
      <c r="D664" s="916">
        <v>42.36</v>
      </c>
    </row>
    <row r="665" spans="1:8" hidden="1" outlineLevel="1" x14ac:dyDescent="0.2">
      <c r="A665" s="913" t="s">
        <v>1937</v>
      </c>
      <c r="B665" s="702" t="s">
        <v>1320</v>
      </c>
      <c r="C665" s="703"/>
      <c r="D665" s="704"/>
    </row>
    <row r="666" spans="1:8" hidden="1" outlineLevel="1" x14ac:dyDescent="0.2">
      <c r="A666" s="914" t="s">
        <v>1938</v>
      </c>
      <c r="B666" s="707" t="s">
        <v>4944</v>
      </c>
      <c r="C666" s="708" t="s">
        <v>11</v>
      </c>
      <c r="D666" s="709">
        <v>42.36</v>
      </c>
    </row>
    <row r="667" spans="1:8" hidden="1" outlineLevel="1" x14ac:dyDescent="0.2">
      <c r="A667" s="913" t="s">
        <v>1939</v>
      </c>
      <c r="B667" s="702" t="s">
        <v>1324</v>
      </c>
      <c r="C667" s="703"/>
      <c r="D667" s="704"/>
    </row>
    <row r="668" spans="1:8" hidden="1" outlineLevel="1" x14ac:dyDescent="0.2">
      <c r="A668" s="915" t="s">
        <v>1940</v>
      </c>
      <c r="B668" s="710" t="s">
        <v>4944</v>
      </c>
      <c r="C668" s="711" t="s">
        <v>11</v>
      </c>
      <c r="D668" s="916">
        <v>42.36</v>
      </c>
    </row>
    <row r="669" spans="1:8" hidden="1" outlineLevel="1" x14ac:dyDescent="0.2">
      <c r="A669" s="913" t="s">
        <v>1941</v>
      </c>
      <c r="B669" s="702" t="s">
        <v>1328</v>
      </c>
      <c r="C669" s="703"/>
      <c r="D669" s="704"/>
    </row>
    <row r="670" spans="1:8" hidden="1" outlineLevel="1" x14ac:dyDescent="0.2">
      <c r="A670" s="914" t="s">
        <v>1942</v>
      </c>
      <c r="B670" s="707" t="s">
        <v>4944</v>
      </c>
      <c r="C670" s="708" t="s">
        <v>11</v>
      </c>
      <c r="D670" s="709">
        <v>42.36</v>
      </c>
    </row>
    <row r="671" spans="1:8" hidden="1" outlineLevel="1" x14ac:dyDescent="0.2">
      <c r="A671" s="913" t="s">
        <v>1943</v>
      </c>
      <c r="B671" s="702" t="s">
        <v>1332</v>
      </c>
      <c r="C671" s="703"/>
      <c r="D671" s="704"/>
    </row>
    <row r="672" spans="1:8" hidden="1" outlineLevel="1" x14ac:dyDescent="0.2">
      <c r="A672" s="915" t="s">
        <v>1944</v>
      </c>
      <c r="B672" s="710" t="s">
        <v>4944</v>
      </c>
      <c r="C672" s="711" t="s">
        <v>11</v>
      </c>
      <c r="D672" s="916">
        <v>42.36</v>
      </c>
    </row>
    <row r="673" spans="1:4" hidden="1" outlineLevel="1" x14ac:dyDescent="0.2">
      <c r="A673" s="913" t="s">
        <v>1945</v>
      </c>
      <c r="B673" s="702" t="s">
        <v>1336</v>
      </c>
      <c r="C673" s="703"/>
      <c r="D673" s="704"/>
    </row>
    <row r="674" spans="1:4" hidden="1" outlineLevel="1" x14ac:dyDescent="0.2">
      <c r="A674" s="914" t="s">
        <v>1946</v>
      </c>
      <c r="B674" s="707" t="s">
        <v>4944</v>
      </c>
      <c r="C674" s="708" t="s">
        <v>11</v>
      </c>
      <c r="D674" s="709">
        <v>42.36</v>
      </c>
    </row>
    <row r="675" spans="1:4" hidden="1" outlineLevel="1" x14ac:dyDescent="0.2">
      <c r="A675" s="913" t="s">
        <v>1947</v>
      </c>
      <c r="B675" s="702" t="s">
        <v>1340</v>
      </c>
      <c r="C675" s="703"/>
      <c r="D675" s="704"/>
    </row>
    <row r="676" spans="1:4" hidden="1" outlineLevel="1" x14ac:dyDescent="0.2">
      <c r="A676" s="915" t="s">
        <v>1948</v>
      </c>
      <c r="B676" s="710" t="s">
        <v>4944</v>
      </c>
      <c r="C676" s="711" t="s">
        <v>11</v>
      </c>
      <c r="D676" s="916">
        <v>42.36</v>
      </c>
    </row>
    <row r="677" spans="1:4" hidden="1" outlineLevel="1" x14ac:dyDescent="0.2">
      <c r="A677" s="913" t="s">
        <v>1949</v>
      </c>
      <c r="B677" s="702" t="s">
        <v>1344</v>
      </c>
      <c r="C677" s="703"/>
      <c r="D677" s="704"/>
    </row>
    <row r="678" spans="1:4" hidden="1" outlineLevel="1" x14ac:dyDescent="0.2">
      <c r="A678" s="914" t="s">
        <v>1950</v>
      </c>
      <c r="B678" s="707" t="s">
        <v>4944</v>
      </c>
      <c r="C678" s="708" t="s">
        <v>11</v>
      </c>
      <c r="D678" s="709">
        <v>42.36</v>
      </c>
    </row>
    <row r="679" spans="1:4" hidden="1" outlineLevel="1" x14ac:dyDescent="0.2">
      <c r="A679" s="913" t="s">
        <v>1951</v>
      </c>
      <c r="B679" s="702" t="s">
        <v>1348</v>
      </c>
      <c r="C679" s="703"/>
      <c r="D679" s="704"/>
    </row>
    <row r="680" spans="1:4" hidden="1" outlineLevel="1" x14ac:dyDescent="0.2">
      <c r="A680" s="915" t="s">
        <v>1952</v>
      </c>
      <c r="B680" s="710" t="s">
        <v>4944</v>
      </c>
      <c r="C680" s="711" t="s">
        <v>11</v>
      </c>
      <c r="D680" s="916">
        <v>42.36</v>
      </c>
    </row>
    <row r="681" spans="1:4" hidden="1" outlineLevel="1" x14ac:dyDescent="0.2">
      <c r="A681" s="913" t="s">
        <v>4945</v>
      </c>
      <c r="B681" s="702" t="s">
        <v>1352</v>
      </c>
      <c r="C681" s="703"/>
      <c r="D681" s="704"/>
    </row>
    <row r="682" spans="1:4" hidden="1" outlineLevel="1" x14ac:dyDescent="0.2">
      <c r="A682" s="914" t="s">
        <v>4946</v>
      </c>
      <c r="B682" s="707" t="s">
        <v>4944</v>
      </c>
      <c r="C682" s="708" t="s">
        <v>11</v>
      </c>
      <c r="D682" s="709">
        <v>42.36</v>
      </c>
    </row>
    <row r="683" spans="1:4" hidden="1" outlineLevel="1" x14ac:dyDescent="0.2">
      <c r="A683" s="913" t="s">
        <v>4947</v>
      </c>
      <c r="B683" s="702" t="s">
        <v>1356</v>
      </c>
      <c r="C683" s="703"/>
      <c r="D683" s="704"/>
    </row>
    <row r="684" spans="1:4" hidden="1" outlineLevel="1" x14ac:dyDescent="0.2">
      <c r="A684" s="915" t="s">
        <v>4948</v>
      </c>
      <c r="B684" s="710" t="s">
        <v>4944</v>
      </c>
      <c r="C684" s="711" t="s">
        <v>11</v>
      </c>
      <c r="D684" s="916">
        <v>42.36</v>
      </c>
    </row>
    <row r="685" spans="1:4" hidden="1" outlineLevel="1" x14ac:dyDescent="0.2">
      <c r="A685" s="913" t="s">
        <v>4949</v>
      </c>
      <c r="B685" s="702" t="s">
        <v>1360</v>
      </c>
      <c r="C685" s="703"/>
      <c r="D685" s="704"/>
    </row>
    <row r="686" spans="1:4" hidden="1" outlineLevel="1" x14ac:dyDescent="0.2">
      <c r="A686" s="914" t="s">
        <v>4950</v>
      </c>
      <c r="B686" s="707" t="s">
        <v>4944</v>
      </c>
      <c r="C686" s="708" t="s">
        <v>11</v>
      </c>
      <c r="D686" s="709">
        <v>42.36</v>
      </c>
    </row>
    <row r="687" spans="1:4" hidden="1" outlineLevel="1" x14ac:dyDescent="0.2">
      <c r="A687" s="913" t="s">
        <v>4951</v>
      </c>
      <c r="B687" s="702" t="s">
        <v>1364</v>
      </c>
      <c r="C687" s="703"/>
      <c r="D687" s="704"/>
    </row>
    <row r="688" spans="1:4" hidden="1" outlineLevel="1" x14ac:dyDescent="0.2">
      <c r="A688" s="915" t="s">
        <v>4952</v>
      </c>
      <c r="B688" s="710" t="s">
        <v>4944</v>
      </c>
      <c r="C688" s="711" t="s">
        <v>11</v>
      </c>
      <c r="D688" s="916">
        <v>65.58</v>
      </c>
    </row>
    <row r="689" spans="1:8" hidden="1" outlineLevel="1" x14ac:dyDescent="0.2">
      <c r="A689" s="913" t="s">
        <v>4953</v>
      </c>
      <c r="B689" s="702" t="s">
        <v>1283</v>
      </c>
      <c r="C689" s="703"/>
      <c r="D689" s="704"/>
    </row>
    <row r="690" spans="1:8" hidden="1" outlineLevel="1" x14ac:dyDescent="0.2">
      <c r="A690" s="914" t="s">
        <v>4954</v>
      </c>
      <c r="B690" s="707" t="s">
        <v>1957</v>
      </c>
      <c r="C690" s="708" t="s">
        <v>11</v>
      </c>
      <c r="D690" s="709">
        <v>49.6</v>
      </c>
    </row>
    <row r="691" spans="1:8" hidden="1" outlineLevel="1" x14ac:dyDescent="0.2">
      <c r="A691" s="913" t="s">
        <v>4955</v>
      </c>
      <c r="B691" s="702" t="s">
        <v>1374</v>
      </c>
      <c r="C691" s="703"/>
      <c r="D691" s="704"/>
    </row>
    <row r="692" spans="1:8" hidden="1" outlineLevel="1" x14ac:dyDescent="0.2">
      <c r="A692" s="915" t="s">
        <v>4956</v>
      </c>
      <c r="B692" s="710" t="s">
        <v>1957</v>
      </c>
      <c r="C692" s="711" t="s">
        <v>11</v>
      </c>
      <c r="D692" s="916">
        <v>52.24</v>
      </c>
    </row>
    <row r="693" spans="1:8" collapsed="1" x14ac:dyDescent="0.2">
      <c r="A693" s="651" t="s">
        <v>1968</v>
      </c>
      <c r="B693" s="652" t="s">
        <v>1969</v>
      </c>
      <c r="C693" s="653"/>
      <c r="D693" s="654"/>
    </row>
    <row r="694" spans="1:8" hidden="1" outlineLevel="1" x14ac:dyDescent="0.2">
      <c r="A694" s="655" t="s">
        <v>1970</v>
      </c>
      <c r="B694" s="656" t="s">
        <v>1308</v>
      </c>
      <c r="C694" s="657"/>
      <c r="D694" s="658"/>
    </row>
    <row r="695" spans="1:8" hidden="1" outlineLevel="1" x14ac:dyDescent="0.2">
      <c r="A695" s="659" t="s">
        <v>1971</v>
      </c>
      <c r="B695" s="660" t="s">
        <v>1972</v>
      </c>
      <c r="C695" s="661" t="s">
        <v>11</v>
      </c>
      <c r="D695" s="662">
        <v>52.05</v>
      </c>
    </row>
    <row r="696" spans="1:8" collapsed="1" x14ac:dyDescent="0.2">
      <c r="A696" s="651" t="s">
        <v>1973</v>
      </c>
      <c r="B696" s="652" t="s">
        <v>133</v>
      </c>
      <c r="C696" s="653"/>
      <c r="D696" s="654"/>
    </row>
    <row r="697" spans="1:8" hidden="1" outlineLevel="1" x14ac:dyDescent="0.2">
      <c r="A697" s="655" t="s">
        <v>1974</v>
      </c>
      <c r="B697" s="656" t="s">
        <v>1292</v>
      </c>
      <c r="C697" s="657"/>
      <c r="D697" s="658"/>
    </row>
    <row r="698" spans="1:8" hidden="1" outlineLevel="1" x14ac:dyDescent="0.2">
      <c r="A698" s="659" t="s">
        <v>1975</v>
      </c>
      <c r="B698" s="660" t="s">
        <v>1976</v>
      </c>
      <c r="C698" s="661" t="s">
        <v>11</v>
      </c>
      <c r="D698" s="916">
        <v>350.91</v>
      </c>
    </row>
    <row r="699" spans="1:8" hidden="1" outlineLevel="1" x14ac:dyDescent="0.2">
      <c r="A699" s="655" t="s">
        <v>1977</v>
      </c>
      <c r="B699" s="656" t="s">
        <v>1296</v>
      </c>
      <c r="C699" s="657"/>
      <c r="D699" s="704"/>
      <c r="F699" s="656" t="s">
        <v>1296</v>
      </c>
      <c r="G699" s="657"/>
      <c r="H699" s="658"/>
    </row>
    <row r="700" spans="1:8" hidden="1" outlineLevel="1" x14ac:dyDescent="0.2">
      <c r="A700" s="663" t="s">
        <v>1978</v>
      </c>
      <c r="B700" s="664" t="s">
        <v>1976</v>
      </c>
      <c r="C700" s="665" t="s">
        <v>11</v>
      </c>
      <c r="D700" s="709">
        <v>76.319999999999993</v>
      </c>
      <c r="F700" s="664" t="s">
        <v>1976</v>
      </c>
      <c r="G700" s="665" t="s">
        <v>11</v>
      </c>
      <c r="H700" s="666">
        <f>SUM(D700:D704)</f>
        <v>228.10999999999999</v>
      </c>
    </row>
    <row r="701" spans="1:8" hidden="1" outlineLevel="1" x14ac:dyDescent="0.2">
      <c r="A701" s="655" t="s">
        <v>1979</v>
      </c>
      <c r="B701" s="656" t="s">
        <v>1299</v>
      </c>
      <c r="C701" s="657"/>
      <c r="D701" s="704"/>
    </row>
    <row r="702" spans="1:8" hidden="1" outlineLevel="1" x14ac:dyDescent="0.2">
      <c r="A702" s="659" t="s">
        <v>1980</v>
      </c>
      <c r="B702" s="660" t="s">
        <v>1976</v>
      </c>
      <c r="C702" s="661" t="s">
        <v>11</v>
      </c>
      <c r="D702" s="916">
        <v>75.47</v>
      </c>
    </row>
    <row r="703" spans="1:8" hidden="1" outlineLevel="1" x14ac:dyDescent="0.2">
      <c r="A703" s="655" t="s">
        <v>1981</v>
      </c>
      <c r="B703" s="656" t="s">
        <v>1302</v>
      </c>
      <c r="C703" s="657"/>
      <c r="D703" s="704"/>
    </row>
    <row r="704" spans="1:8" hidden="1" outlineLevel="1" x14ac:dyDescent="0.2">
      <c r="A704" s="663" t="s">
        <v>1982</v>
      </c>
      <c r="B704" s="664" t="s">
        <v>1976</v>
      </c>
      <c r="C704" s="665" t="s">
        <v>11</v>
      </c>
      <c r="D704" s="709">
        <v>76.319999999999993</v>
      </c>
    </row>
    <row r="705" spans="1:8" hidden="1" outlineLevel="1" x14ac:dyDescent="0.2">
      <c r="A705" s="655" t="s">
        <v>1983</v>
      </c>
      <c r="B705" s="656" t="s">
        <v>1305</v>
      </c>
      <c r="C705" s="657"/>
      <c r="D705" s="704"/>
    </row>
    <row r="706" spans="1:8" hidden="1" outlineLevel="1" x14ac:dyDescent="0.2">
      <c r="A706" s="659" t="s">
        <v>1984</v>
      </c>
      <c r="B706" s="660" t="s">
        <v>1976</v>
      </c>
      <c r="C706" s="661" t="s">
        <v>11</v>
      </c>
      <c r="D706" s="916">
        <v>83.47</v>
      </c>
    </row>
    <row r="707" spans="1:8" hidden="1" outlineLevel="1" x14ac:dyDescent="0.2">
      <c r="A707" s="655" t="s">
        <v>1985</v>
      </c>
      <c r="B707" s="656" t="s">
        <v>1308</v>
      </c>
      <c r="C707" s="657"/>
      <c r="D707" s="704"/>
    </row>
    <row r="708" spans="1:8" hidden="1" outlineLevel="1" x14ac:dyDescent="0.2">
      <c r="A708" s="663" t="s">
        <v>1986</v>
      </c>
      <c r="B708" s="664" t="s">
        <v>1976</v>
      </c>
      <c r="C708" s="665" t="s">
        <v>11</v>
      </c>
      <c r="D708" s="709">
        <v>73.05</v>
      </c>
    </row>
    <row r="709" spans="1:8" hidden="1" outlineLevel="1" x14ac:dyDescent="0.2">
      <c r="A709" s="659" t="s">
        <v>1987</v>
      </c>
      <c r="B709" s="660" t="s">
        <v>1988</v>
      </c>
      <c r="C709" s="661" t="s">
        <v>11</v>
      </c>
      <c r="D709" s="916">
        <v>839.62</v>
      </c>
    </row>
    <row r="710" spans="1:8" hidden="1" outlineLevel="1" x14ac:dyDescent="0.2">
      <c r="A710" s="655" t="s">
        <v>1989</v>
      </c>
      <c r="B710" s="656" t="s">
        <v>1311</v>
      </c>
      <c r="C710" s="657"/>
      <c r="D710" s="658"/>
      <c r="F710" s="656" t="s">
        <v>4182</v>
      </c>
      <c r="G710" s="657"/>
      <c r="H710" s="658"/>
    </row>
    <row r="711" spans="1:8" hidden="1" outlineLevel="1" x14ac:dyDescent="0.2">
      <c r="A711" s="663" t="s">
        <v>1990</v>
      </c>
      <c r="B711" s="664" t="s">
        <v>1976</v>
      </c>
      <c r="C711" s="665" t="s">
        <v>11</v>
      </c>
      <c r="D711" s="709">
        <v>60.97</v>
      </c>
      <c r="F711" s="664" t="s">
        <v>1976</v>
      </c>
      <c r="G711" s="665" t="s">
        <v>11</v>
      </c>
      <c r="H711" s="666" cm="1">
        <f t="array" ref="H711:H712">SUMIF(B710:B748,F711:F712,D710:D748)</f>
        <v>759.25000000000023</v>
      </c>
    </row>
    <row r="712" spans="1:8" hidden="1" outlineLevel="1" x14ac:dyDescent="0.2">
      <c r="A712" s="659" t="s">
        <v>1991</v>
      </c>
      <c r="B712" s="660" t="s">
        <v>1988</v>
      </c>
      <c r="C712" s="661" t="s">
        <v>11</v>
      </c>
      <c r="D712" s="916">
        <v>443.68</v>
      </c>
      <c r="F712" s="660" t="s">
        <v>1988</v>
      </c>
      <c r="G712" s="661" t="s">
        <v>11</v>
      </c>
      <c r="H712" s="662">
        <v>5767.84</v>
      </c>
    </row>
    <row r="713" spans="1:8" hidden="1" outlineLevel="1" x14ac:dyDescent="0.2">
      <c r="A713" s="655" t="s">
        <v>1992</v>
      </c>
      <c r="B713" s="656" t="s">
        <v>1316</v>
      </c>
      <c r="C713" s="657"/>
      <c r="D713" s="704"/>
    </row>
    <row r="714" spans="1:8" hidden="1" outlineLevel="1" x14ac:dyDescent="0.2">
      <c r="A714" s="663" t="s">
        <v>1993</v>
      </c>
      <c r="B714" s="664" t="s">
        <v>1976</v>
      </c>
      <c r="C714" s="665" t="s">
        <v>11</v>
      </c>
      <c r="D714" s="709">
        <v>58.19</v>
      </c>
    </row>
    <row r="715" spans="1:8" hidden="1" outlineLevel="1" x14ac:dyDescent="0.2">
      <c r="A715" s="659" t="s">
        <v>1994</v>
      </c>
      <c r="B715" s="660" t="s">
        <v>1988</v>
      </c>
      <c r="C715" s="661" t="s">
        <v>11</v>
      </c>
      <c r="D715" s="916">
        <v>443.68</v>
      </c>
    </row>
    <row r="716" spans="1:8" hidden="1" outlineLevel="1" x14ac:dyDescent="0.2">
      <c r="A716" s="655" t="s">
        <v>1995</v>
      </c>
      <c r="B716" s="656" t="s">
        <v>1320</v>
      </c>
      <c r="C716" s="657"/>
      <c r="D716" s="704"/>
    </row>
    <row r="717" spans="1:8" hidden="1" outlineLevel="1" x14ac:dyDescent="0.2">
      <c r="A717" s="663" t="s">
        <v>1996</v>
      </c>
      <c r="B717" s="664" t="s">
        <v>1976</v>
      </c>
      <c r="C717" s="665" t="s">
        <v>11</v>
      </c>
      <c r="D717" s="709">
        <v>58.19</v>
      </c>
    </row>
    <row r="718" spans="1:8" hidden="1" outlineLevel="1" x14ac:dyDescent="0.2">
      <c r="A718" s="659" t="s">
        <v>1997</v>
      </c>
      <c r="B718" s="660" t="s">
        <v>1988</v>
      </c>
      <c r="C718" s="661" t="s">
        <v>11</v>
      </c>
      <c r="D718" s="916">
        <v>443.68</v>
      </c>
    </row>
    <row r="719" spans="1:8" hidden="1" outlineLevel="1" x14ac:dyDescent="0.2">
      <c r="A719" s="655" t="s">
        <v>1998</v>
      </c>
      <c r="B719" s="656" t="s">
        <v>1324</v>
      </c>
      <c r="C719" s="657"/>
      <c r="D719" s="704"/>
    </row>
    <row r="720" spans="1:8" hidden="1" outlineLevel="1" x14ac:dyDescent="0.2">
      <c r="A720" s="663" t="s">
        <v>1999</v>
      </c>
      <c r="B720" s="664" t="s">
        <v>1976</v>
      </c>
      <c r="C720" s="665" t="s">
        <v>11</v>
      </c>
      <c r="D720" s="709">
        <v>58.19</v>
      </c>
    </row>
    <row r="721" spans="1:4" hidden="1" outlineLevel="1" x14ac:dyDescent="0.2">
      <c r="A721" s="659" t="s">
        <v>2000</v>
      </c>
      <c r="B721" s="660" t="s">
        <v>1988</v>
      </c>
      <c r="C721" s="661" t="s">
        <v>11</v>
      </c>
      <c r="D721" s="916">
        <v>443.68</v>
      </c>
    </row>
    <row r="722" spans="1:4" hidden="1" outlineLevel="1" x14ac:dyDescent="0.2">
      <c r="A722" s="655" t="s">
        <v>2001</v>
      </c>
      <c r="B722" s="656" t="s">
        <v>1328</v>
      </c>
      <c r="C722" s="657"/>
      <c r="D722" s="704"/>
    </row>
    <row r="723" spans="1:4" hidden="1" outlineLevel="1" x14ac:dyDescent="0.2">
      <c r="A723" s="663" t="s">
        <v>2002</v>
      </c>
      <c r="B723" s="664" t="s">
        <v>1976</v>
      </c>
      <c r="C723" s="665" t="s">
        <v>11</v>
      </c>
      <c r="D723" s="709">
        <v>58.19</v>
      </c>
    </row>
    <row r="724" spans="1:4" hidden="1" outlineLevel="1" x14ac:dyDescent="0.2">
      <c r="A724" s="659" t="s">
        <v>2003</v>
      </c>
      <c r="B724" s="660" t="s">
        <v>1988</v>
      </c>
      <c r="C724" s="661" t="s">
        <v>11</v>
      </c>
      <c r="D724" s="916">
        <v>443.68</v>
      </c>
    </row>
    <row r="725" spans="1:4" hidden="1" outlineLevel="1" x14ac:dyDescent="0.2">
      <c r="A725" s="655" t="s">
        <v>2004</v>
      </c>
      <c r="B725" s="656" t="s">
        <v>1332</v>
      </c>
      <c r="C725" s="657"/>
      <c r="D725" s="658"/>
    </row>
    <row r="726" spans="1:4" hidden="1" outlineLevel="1" x14ac:dyDescent="0.2">
      <c r="A726" s="663" t="s">
        <v>2005</v>
      </c>
      <c r="B726" s="664" t="s">
        <v>1976</v>
      </c>
      <c r="C726" s="665" t="s">
        <v>11</v>
      </c>
      <c r="D726" s="709">
        <v>58.19</v>
      </c>
    </row>
    <row r="727" spans="1:4" hidden="1" outlineLevel="1" x14ac:dyDescent="0.2">
      <c r="A727" s="659" t="s">
        <v>2006</v>
      </c>
      <c r="B727" s="660" t="s">
        <v>1988</v>
      </c>
      <c r="C727" s="661" t="s">
        <v>11</v>
      </c>
      <c r="D727" s="916">
        <v>443.68</v>
      </c>
    </row>
    <row r="728" spans="1:4" hidden="1" outlineLevel="1" x14ac:dyDescent="0.2">
      <c r="A728" s="655" t="s">
        <v>2007</v>
      </c>
      <c r="B728" s="656" t="s">
        <v>1336</v>
      </c>
      <c r="C728" s="657"/>
      <c r="D728" s="704"/>
    </row>
    <row r="729" spans="1:4" hidden="1" outlineLevel="1" x14ac:dyDescent="0.2">
      <c r="A729" s="663" t="s">
        <v>2008</v>
      </c>
      <c r="B729" s="664" t="s">
        <v>1976</v>
      </c>
      <c r="C729" s="665" t="s">
        <v>11</v>
      </c>
      <c r="D729" s="709">
        <v>58.19</v>
      </c>
    </row>
    <row r="730" spans="1:4" hidden="1" outlineLevel="1" x14ac:dyDescent="0.2">
      <c r="A730" s="659" t="s">
        <v>2009</v>
      </c>
      <c r="B730" s="660" t="s">
        <v>1988</v>
      </c>
      <c r="C730" s="661" t="s">
        <v>11</v>
      </c>
      <c r="D730" s="916">
        <v>443.68</v>
      </c>
    </row>
    <row r="731" spans="1:4" hidden="1" outlineLevel="1" x14ac:dyDescent="0.2">
      <c r="A731" s="655" t="s">
        <v>2010</v>
      </c>
      <c r="B731" s="656" t="s">
        <v>1340</v>
      </c>
      <c r="C731" s="657"/>
      <c r="D731" s="704"/>
    </row>
    <row r="732" spans="1:4" hidden="1" outlineLevel="1" x14ac:dyDescent="0.2">
      <c r="A732" s="663" t="s">
        <v>2011</v>
      </c>
      <c r="B732" s="664" t="s">
        <v>1976</v>
      </c>
      <c r="C732" s="665" t="s">
        <v>11</v>
      </c>
      <c r="D732" s="709">
        <v>58.19</v>
      </c>
    </row>
    <row r="733" spans="1:4" hidden="1" outlineLevel="1" x14ac:dyDescent="0.2">
      <c r="A733" s="659" t="s">
        <v>2012</v>
      </c>
      <c r="B733" s="660" t="s">
        <v>1988</v>
      </c>
      <c r="C733" s="661" t="s">
        <v>11</v>
      </c>
      <c r="D733" s="916">
        <v>443.68</v>
      </c>
    </row>
    <row r="734" spans="1:4" hidden="1" outlineLevel="1" x14ac:dyDescent="0.2">
      <c r="A734" s="655" t="s">
        <v>2013</v>
      </c>
      <c r="B734" s="656" t="s">
        <v>1344</v>
      </c>
      <c r="C734" s="657"/>
      <c r="D734" s="704"/>
    </row>
    <row r="735" spans="1:4" hidden="1" outlineLevel="1" x14ac:dyDescent="0.2">
      <c r="A735" s="663" t="s">
        <v>2014</v>
      </c>
      <c r="B735" s="664" t="s">
        <v>1976</v>
      </c>
      <c r="C735" s="665" t="s">
        <v>11</v>
      </c>
      <c r="D735" s="709">
        <v>58.19</v>
      </c>
    </row>
    <row r="736" spans="1:4" hidden="1" outlineLevel="1" x14ac:dyDescent="0.2">
      <c r="A736" s="659" t="s">
        <v>2015</v>
      </c>
      <c r="B736" s="660" t="s">
        <v>1988</v>
      </c>
      <c r="C736" s="661" t="s">
        <v>11</v>
      </c>
      <c r="D736" s="916">
        <v>443.68</v>
      </c>
    </row>
    <row r="737" spans="1:4" hidden="1" outlineLevel="1" x14ac:dyDescent="0.2">
      <c r="A737" s="655" t="s">
        <v>2016</v>
      </c>
      <c r="B737" s="656" t="s">
        <v>1348</v>
      </c>
      <c r="C737" s="657"/>
      <c r="D737" s="704"/>
    </row>
    <row r="738" spans="1:4" hidden="1" outlineLevel="1" x14ac:dyDescent="0.2">
      <c r="A738" s="663" t="s">
        <v>2017</v>
      </c>
      <c r="B738" s="664" t="s">
        <v>1976</v>
      </c>
      <c r="C738" s="665" t="s">
        <v>11</v>
      </c>
      <c r="D738" s="709">
        <v>58.19</v>
      </c>
    </row>
    <row r="739" spans="1:4" hidden="1" outlineLevel="1" x14ac:dyDescent="0.2">
      <c r="A739" s="659" t="s">
        <v>2018</v>
      </c>
      <c r="B739" s="660" t="s">
        <v>1988</v>
      </c>
      <c r="C739" s="661" t="s">
        <v>11</v>
      </c>
      <c r="D739" s="916">
        <v>443.68</v>
      </c>
    </row>
    <row r="740" spans="1:4" hidden="1" outlineLevel="1" x14ac:dyDescent="0.2">
      <c r="A740" s="655" t="s">
        <v>2019</v>
      </c>
      <c r="B740" s="656" t="s">
        <v>1352</v>
      </c>
      <c r="C740" s="657"/>
      <c r="D740" s="704"/>
    </row>
    <row r="741" spans="1:4" hidden="1" outlineLevel="1" x14ac:dyDescent="0.2">
      <c r="A741" s="663" t="s">
        <v>2020</v>
      </c>
      <c r="B741" s="664" t="s">
        <v>1976</v>
      </c>
      <c r="C741" s="665" t="s">
        <v>11</v>
      </c>
      <c r="D741" s="709">
        <v>58.19</v>
      </c>
    </row>
    <row r="742" spans="1:4" hidden="1" outlineLevel="1" x14ac:dyDescent="0.2">
      <c r="A742" s="659" t="s">
        <v>2021</v>
      </c>
      <c r="B742" s="660" t="s">
        <v>1988</v>
      </c>
      <c r="C742" s="661" t="s">
        <v>11</v>
      </c>
      <c r="D742" s="916">
        <v>443.68</v>
      </c>
    </row>
    <row r="743" spans="1:4" hidden="1" outlineLevel="1" x14ac:dyDescent="0.2">
      <c r="A743" s="655" t="s">
        <v>2022</v>
      </c>
      <c r="B743" s="656" t="s">
        <v>1356</v>
      </c>
      <c r="C743" s="657"/>
      <c r="D743" s="704"/>
    </row>
    <row r="744" spans="1:4" hidden="1" outlineLevel="1" x14ac:dyDescent="0.2">
      <c r="A744" s="663" t="s">
        <v>2023</v>
      </c>
      <c r="B744" s="664" t="s">
        <v>1976</v>
      </c>
      <c r="C744" s="665" t="s">
        <v>11</v>
      </c>
      <c r="D744" s="709">
        <v>58.19</v>
      </c>
    </row>
    <row r="745" spans="1:4" hidden="1" outlineLevel="1" x14ac:dyDescent="0.2">
      <c r="A745" s="659" t="s">
        <v>2024</v>
      </c>
      <c r="B745" s="660" t="s">
        <v>1988</v>
      </c>
      <c r="C745" s="661" t="s">
        <v>11</v>
      </c>
      <c r="D745" s="916">
        <v>443.68</v>
      </c>
    </row>
    <row r="746" spans="1:4" hidden="1" outlineLevel="1" x14ac:dyDescent="0.2">
      <c r="A746" s="655" t="s">
        <v>2025</v>
      </c>
      <c r="B746" s="656" t="s">
        <v>1360</v>
      </c>
      <c r="C746" s="657"/>
      <c r="D746" s="704"/>
    </row>
    <row r="747" spans="1:4" hidden="1" outlineLevel="1" x14ac:dyDescent="0.2">
      <c r="A747" s="663" t="s">
        <v>2026</v>
      </c>
      <c r="B747" s="664" t="s">
        <v>1976</v>
      </c>
      <c r="C747" s="665" t="s">
        <v>11</v>
      </c>
      <c r="D747" s="709">
        <v>58.19</v>
      </c>
    </row>
    <row r="748" spans="1:4" hidden="1" outlineLevel="1" x14ac:dyDescent="0.2">
      <c r="A748" s="659" t="s">
        <v>2027</v>
      </c>
      <c r="B748" s="660" t="s">
        <v>1988</v>
      </c>
      <c r="C748" s="661" t="s">
        <v>11</v>
      </c>
      <c r="D748" s="916">
        <v>443.68</v>
      </c>
    </row>
    <row r="749" spans="1:4" hidden="1" outlineLevel="1" x14ac:dyDescent="0.2">
      <c r="A749" s="655" t="s">
        <v>2028</v>
      </c>
      <c r="B749" s="656" t="s">
        <v>1364</v>
      </c>
      <c r="C749" s="657"/>
      <c r="D749" s="704"/>
    </row>
    <row r="750" spans="1:4" hidden="1" outlineLevel="1" x14ac:dyDescent="0.2">
      <c r="A750" s="663" t="s">
        <v>2029</v>
      </c>
      <c r="B750" s="664" t="s">
        <v>1976</v>
      </c>
      <c r="C750" s="665" t="s">
        <v>11</v>
      </c>
      <c r="D750" s="709">
        <v>57.57</v>
      </c>
    </row>
    <row r="751" spans="1:4" hidden="1" outlineLevel="1" x14ac:dyDescent="0.2">
      <c r="A751" s="659" t="s">
        <v>2030</v>
      </c>
      <c r="B751" s="660" t="s">
        <v>1988</v>
      </c>
      <c r="C751" s="661" t="s">
        <v>11</v>
      </c>
      <c r="D751" s="916">
        <v>478.1</v>
      </c>
    </row>
    <row r="752" spans="1:4" hidden="1" outlineLevel="1" x14ac:dyDescent="0.2">
      <c r="A752" s="655" t="s">
        <v>2031</v>
      </c>
      <c r="B752" s="656" t="s">
        <v>1368</v>
      </c>
      <c r="C752" s="657"/>
      <c r="D752" s="658"/>
    </row>
    <row r="753" spans="1:8" hidden="1" outlineLevel="1" x14ac:dyDescent="0.2">
      <c r="A753" s="663" t="s">
        <v>2032</v>
      </c>
      <c r="B753" s="664" t="s">
        <v>1988</v>
      </c>
      <c r="C753" s="665" t="s">
        <v>11</v>
      </c>
      <c r="D753" s="709">
        <v>378.59</v>
      </c>
    </row>
    <row r="754" spans="1:8" hidden="1" outlineLevel="1" x14ac:dyDescent="0.2">
      <c r="A754" s="655" t="s">
        <v>2033</v>
      </c>
      <c r="B754" s="656" t="s">
        <v>1287</v>
      </c>
      <c r="C754" s="657"/>
      <c r="D754" s="704"/>
    </row>
    <row r="755" spans="1:8" hidden="1" outlineLevel="1" x14ac:dyDescent="0.2">
      <c r="A755" s="659" t="s">
        <v>2034</v>
      </c>
      <c r="B755" s="660" t="s">
        <v>1988</v>
      </c>
      <c r="C755" s="661" t="s">
        <v>11</v>
      </c>
      <c r="D755" s="916">
        <v>54.69</v>
      </c>
    </row>
    <row r="756" spans="1:8" collapsed="1" x14ac:dyDescent="0.2">
      <c r="A756" s="651" t="s">
        <v>2035</v>
      </c>
      <c r="B756" s="652" t="s">
        <v>2036</v>
      </c>
      <c r="C756" s="653"/>
      <c r="D756" s="654"/>
    </row>
    <row r="757" spans="1:8" hidden="1" outlineLevel="1" x14ac:dyDescent="0.2">
      <c r="A757" s="655" t="s">
        <v>2037</v>
      </c>
      <c r="B757" s="656" t="s">
        <v>1292</v>
      </c>
      <c r="C757" s="657"/>
      <c r="D757" s="658"/>
    </row>
    <row r="758" spans="1:8" hidden="1" outlineLevel="1" x14ac:dyDescent="0.2">
      <c r="A758" s="663" t="s">
        <v>2038</v>
      </c>
      <c r="B758" s="707" t="s">
        <v>2121</v>
      </c>
      <c r="C758" s="708" t="s">
        <v>11</v>
      </c>
      <c r="D758" s="709">
        <v>5.33</v>
      </c>
    </row>
    <row r="759" spans="1:8" hidden="1" outlineLevel="1" x14ac:dyDescent="0.2">
      <c r="A759" s="659" t="s">
        <v>2040</v>
      </c>
      <c r="B759" s="710" t="s">
        <v>2039</v>
      </c>
      <c r="C759" s="711" t="s">
        <v>11</v>
      </c>
      <c r="D759" s="916">
        <v>579.59</v>
      </c>
    </row>
    <row r="760" spans="1:8" hidden="1" outlineLevel="1" x14ac:dyDescent="0.2">
      <c r="A760" s="663" t="s">
        <v>2042</v>
      </c>
      <c r="B760" s="707" t="s">
        <v>2041</v>
      </c>
      <c r="C760" s="708" t="s">
        <v>11</v>
      </c>
      <c r="D760" s="709">
        <v>17.420000000000002</v>
      </c>
    </row>
    <row r="761" spans="1:8" hidden="1" outlineLevel="1" x14ac:dyDescent="0.2">
      <c r="A761" s="659" t="s">
        <v>2044</v>
      </c>
      <c r="B761" s="710" t="s">
        <v>2043</v>
      </c>
      <c r="C761" s="711" t="s">
        <v>11</v>
      </c>
      <c r="D761" s="916">
        <v>138.19</v>
      </c>
    </row>
    <row r="762" spans="1:8" hidden="1" outlineLevel="1" x14ac:dyDescent="0.2">
      <c r="A762" s="663" t="s">
        <v>4957</v>
      </c>
      <c r="B762" s="707" t="s">
        <v>2045</v>
      </c>
      <c r="C762" s="708" t="s">
        <v>11</v>
      </c>
      <c r="D762" s="709">
        <v>18.190000000000001</v>
      </c>
    </row>
    <row r="763" spans="1:8" hidden="1" outlineLevel="1" x14ac:dyDescent="0.2">
      <c r="A763" s="655" t="s">
        <v>2046</v>
      </c>
      <c r="B763" s="656" t="s">
        <v>1296</v>
      </c>
      <c r="C763" s="657"/>
      <c r="D763" s="658"/>
      <c r="F763" s="656" t="s">
        <v>1296</v>
      </c>
      <c r="G763" s="657"/>
      <c r="H763" s="658"/>
    </row>
    <row r="764" spans="1:8" hidden="1" outlineLevel="1" x14ac:dyDescent="0.2">
      <c r="A764" s="663" t="s">
        <v>2047</v>
      </c>
      <c r="B764" s="710" t="s">
        <v>2121</v>
      </c>
      <c r="C764" s="711" t="s">
        <v>11</v>
      </c>
      <c r="D764" s="916">
        <v>5.34</v>
      </c>
      <c r="F764" s="707" t="s">
        <v>2121</v>
      </c>
      <c r="G764" s="665" t="s">
        <v>11</v>
      </c>
      <c r="H764" s="666">
        <f>SUMIF(B763:B777,F764,D763:D777)</f>
        <v>16.02</v>
      </c>
    </row>
    <row r="765" spans="1:8" hidden="1" outlineLevel="1" x14ac:dyDescent="0.2">
      <c r="A765" s="659" t="s">
        <v>2048</v>
      </c>
      <c r="B765" s="707" t="s">
        <v>2039</v>
      </c>
      <c r="C765" s="708" t="s">
        <v>11</v>
      </c>
      <c r="D765" s="709">
        <v>767.81</v>
      </c>
      <c r="F765" s="664" t="s">
        <v>2039</v>
      </c>
      <c r="G765" s="665" t="s">
        <v>11</v>
      </c>
      <c r="H765" s="666" cm="1">
        <f t="array" ref="H765:H767">SUMIF(B763:B777,F765:F767,D763:D777)</f>
        <v>2225.9500000000003</v>
      </c>
    </row>
    <row r="766" spans="1:8" hidden="1" outlineLevel="1" x14ac:dyDescent="0.2">
      <c r="A766" s="663" t="s">
        <v>2049</v>
      </c>
      <c r="B766" s="710" t="s">
        <v>2041</v>
      </c>
      <c r="C766" s="711" t="s">
        <v>11</v>
      </c>
      <c r="D766" s="916">
        <v>6.5</v>
      </c>
      <c r="F766" s="660" t="s">
        <v>2041</v>
      </c>
      <c r="G766" s="661" t="s">
        <v>11</v>
      </c>
      <c r="H766" s="662">
        <v>19.5</v>
      </c>
    </row>
    <row r="767" spans="1:8" hidden="1" outlineLevel="1" x14ac:dyDescent="0.2">
      <c r="A767" s="659" t="s">
        <v>4958</v>
      </c>
      <c r="B767" s="707" t="s">
        <v>2045</v>
      </c>
      <c r="C767" s="708" t="s">
        <v>11</v>
      </c>
      <c r="D767" s="709">
        <v>14.33</v>
      </c>
      <c r="F767" s="664" t="s">
        <v>2045</v>
      </c>
      <c r="G767" s="665" t="s">
        <v>11</v>
      </c>
      <c r="H767" s="666">
        <v>42.99</v>
      </c>
    </row>
    <row r="768" spans="1:8" hidden="1" outlineLevel="1" x14ac:dyDescent="0.2">
      <c r="A768" s="655" t="s">
        <v>2050</v>
      </c>
      <c r="B768" s="656" t="s">
        <v>1299</v>
      </c>
      <c r="C768" s="657"/>
      <c r="D768" s="658"/>
    </row>
    <row r="769" spans="1:4" hidden="1" outlineLevel="1" x14ac:dyDescent="0.2">
      <c r="A769" s="659" t="s">
        <v>2051</v>
      </c>
      <c r="B769" s="710" t="s">
        <v>2121</v>
      </c>
      <c r="C769" s="711" t="s">
        <v>11</v>
      </c>
      <c r="D769" s="916">
        <v>5.34</v>
      </c>
    </row>
    <row r="770" spans="1:4" hidden="1" outlineLevel="1" x14ac:dyDescent="0.2">
      <c r="A770" s="663" t="s">
        <v>2052</v>
      </c>
      <c r="B770" s="707" t="s">
        <v>2039</v>
      </c>
      <c r="C770" s="708" t="s">
        <v>11</v>
      </c>
      <c r="D770" s="709">
        <v>729.07</v>
      </c>
    </row>
    <row r="771" spans="1:4" hidden="1" outlineLevel="1" x14ac:dyDescent="0.2">
      <c r="A771" s="659" t="s">
        <v>2053</v>
      </c>
      <c r="B771" s="710" t="s">
        <v>2041</v>
      </c>
      <c r="C771" s="711" t="s">
        <v>11</v>
      </c>
      <c r="D771" s="916">
        <v>6.5</v>
      </c>
    </row>
    <row r="772" spans="1:4" hidden="1" outlineLevel="1" x14ac:dyDescent="0.2">
      <c r="A772" s="663" t="s">
        <v>4959</v>
      </c>
      <c r="B772" s="707" t="s">
        <v>2045</v>
      </c>
      <c r="C772" s="708" t="s">
        <v>11</v>
      </c>
      <c r="D772" s="709">
        <v>14.33</v>
      </c>
    </row>
    <row r="773" spans="1:4" hidden="1" outlineLevel="1" x14ac:dyDescent="0.2">
      <c r="A773" s="655" t="s">
        <v>2054</v>
      </c>
      <c r="B773" s="656" t="s">
        <v>1302</v>
      </c>
      <c r="C773" s="657"/>
      <c r="D773" s="658"/>
    </row>
    <row r="774" spans="1:4" hidden="1" outlineLevel="1" x14ac:dyDescent="0.2">
      <c r="A774" s="655"/>
      <c r="B774" s="710" t="s">
        <v>2121</v>
      </c>
      <c r="C774" s="711" t="s">
        <v>11</v>
      </c>
      <c r="D774" s="916">
        <v>5.34</v>
      </c>
    </row>
    <row r="775" spans="1:4" hidden="1" outlineLevel="1" x14ac:dyDescent="0.2">
      <c r="A775" s="663" t="s">
        <v>2055</v>
      </c>
      <c r="B775" s="707" t="s">
        <v>2039</v>
      </c>
      <c r="C775" s="708" t="s">
        <v>11</v>
      </c>
      <c r="D775" s="709">
        <v>729.07</v>
      </c>
    </row>
    <row r="776" spans="1:4" hidden="1" outlineLevel="1" x14ac:dyDescent="0.2">
      <c r="A776" s="659" t="s">
        <v>2056</v>
      </c>
      <c r="B776" s="710" t="s">
        <v>2041</v>
      </c>
      <c r="C776" s="711" t="s">
        <v>11</v>
      </c>
      <c r="D776" s="916">
        <v>6.5</v>
      </c>
    </row>
    <row r="777" spans="1:4" hidden="1" outlineLevel="1" x14ac:dyDescent="0.2">
      <c r="A777" s="663" t="s">
        <v>2057</v>
      </c>
      <c r="B777" s="707" t="s">
        <v>2045</v>
      </c>
      <c r="C777" s="708" t="s">
        <v>11</v>
      </c>
      <c r="D777" s="709">
        <v>14.33</v>
      </c>
    </row>
    <row r="778" spans="1:4" hidden="1" outlineLevel="1" x14ac:dyDescent="0.2">
      <c r="A778" s="655" t="s">
        <v>2058</v>
      </c>
      <c r="B778" s="656" t="s">
        <v>1305</v>
      </c>
      <c r="C778" s="657"/>
      <c r="D778" s="658"/>
    </row>
    <row r="779" spans="1:4" hidden="1" outlineLevel="1" x14ac:dyDescent="0.2">
      <c r="A779" s="655"/>
      <c r="B779" s="710" t="s">
        <v>2121</v>
      </c>
      <c r="C779" s="711" t="s">
        <v>11</v>
      </c>
      <c r="D779" s="916">
        <v>5.59</v>
      </c>
    </row>
    <row r="780" spans="1:4" hidden="1" outlineLevel="1" x14ac:dyDescent="0.2">
      <c r="A780" s="659" t="s">
        <v>2059</v>
      </c>
      <c r="B780" s="707" t="s">
        <v>2039</v>
      </c>
      <c r="C780" s="708" t="s">
        <v>11</v>
      </c>
      <c r="D780" s="709">
        <v>668.74</v>
      </c>
    </row>
    <row r="781" spans="1:4" hidden="1" outlineLevel="1" x14ac:dyDescent="0.2">
      <c r="A781" s="663" t="s">
        <v>2060</v>
      </c>
      <c r="B781" s="710" t="s">
        <v>2041</v>
      </c>
      <c r="C781" s="711" t="s">
        <v>11</v>
      </c>
      <c r="D781" s="916">
        <v>6.19</v>
      </c>
    </row>
    <row r="782" spans="1:4" hidden="1" outlineLevel="1" x14ac:dyDescent="0.2">
      <c r="A782" s="659" t="s">
        <v>2061</v>
      </c>
      <c r="B782" s="707" t="s">
        <v>2045</v>
      </c>
      <c r="C782" s="708" t="s">
        <v>11</v>
      </c>
      <c r="D782" s="709">
        <v>14.34</v>
      </c>
    </row>
    <row r="783" spans="1:4" hidden="1" outlineLevel="1" x14ac:dyDescent="0.2">
      <c r="A783" s="655" t="s">
        <v>2062</v>
      </c>
      <c r="B783" s="702" t="s">
        <v>1308</v>
      </c>
      <c r="C783" s="703"/>
      <c r="D783" s="704"/>
    </row>
    <row r="784" spans="1:4" hidden="1" outlineLevel="1" x14ac:dyDescent="0.2">
      <c r="A784" s="655"/>
      <c r="B784" s="710" t="s">
        <v>2121</v>
      </c>
      <c r="C784" s="711" t="s">
        <v>11</v>
      </c>
      <c r="D784" s="916">
        <v>5</v>
      </c>
    </row>
    <row r="785" spans="1:8" hidden="1" outlineLevel="1" x14ac:dyDescent="0.2">
      <c r="A785" s="663" t="s">
        <v>2063</v>
      </c>
      <c r="B785" s="707" t="s">
        <v>2041</v>
      </c>
      <c r="C785" s="708" t="s">
        <v>11</v>
      </c>
      <c r="D785" s="709">
        <v>6.11</v>
      </c>
    </row>
    <row r="786" spans="1:8" hidden="1" outlineLevel="1" x14ac:dyDescent="0.2">
      <c r="A786" s="655" t="s">
        <v>2064</v>
      </c>
      <c r="B786" s="702" t="s">
        <v>1311</v>
      </c>
      <c r="C786" s="703"/>
      <c r="D786" s="704"/>
      <c r="F786" s="656" t="s">
        <v>4182</v>
      </c>
      <c r="G786" s="657"/>
      <c r="H786" s="658"/>
    </row>
    <row r="787" spans="1:8" hidden="1" outlineLevel="1" x14ac:dyDescent="0.2">
      <c r="A787" s="655"/>
      <c r="B787" s="710" t="s">
        <v>2121</v>
      </c>
      <c r="C787" s="711" t="s">
        <v>11</v>
      </c>
      <c r="D787" s="916">
        <v>5.0999999999999996</v>
      </c>
      <c r="F787" s="660" t="s">
        <v>2121</v>
      </c>
      <c r="G787" s="661" t="s">
        <v>11</v>
      </c>
      <c r="H787" s="662">
        <f>SUMIF(B787:B837,F787,D787:D837)</f>
        <v>66.300000000000011</v>
      </c>
    </row>
    <row r="788" spans="1:8" hidden="1" outlineLevel="1" x14ac:dyDescent="0.2">
      <c r="A788" s="659" t="s">
        <v>2065</v>
      </c>
      <c r="B788" s="707" t="s">
        <v>2039</v>
      </c>
      <c r="C788" s="708" t="s">
        <v>11</v>
      </c>
      <c r="D788" s="709">
        <v>3.11</v>
      </c>
      <c r="F788" s="660" t="s">
        <v>2039</v>
      </c>
      <c r="G788" s="661" t="s">
        <v>11</v>
      </c>
      <c r="H788" s="662" cm="1">
        <f t="array" ref="H788:H789">SUMIF(B786:B837,F788:F789,D786:D837)</f>
        <v>10.19</v>
      </c>
    </row>
    <row r="789" spans="1:8" hidden="1" outlineLevel="1" x14ac:dyDescent="0.2">
      <c r="A789" s="663" t="s">
        <v>2066</v>
      </c>
      <c r="B789" s="710" t="s">
        <v>2041</v>
      </c>
      <c r="C789" s="711" t="s">
        <v>11</v>
      </c>
      <c r="D789" s="916">
        <v>6.01</v>
      </c>
      <c r="F789" s="664" t="s">
        <v>2041</v>
      </c>
      <c r="G789" s="665" t="s">
        <v>11</v>
      </c>
      <c r="H789" s="666">
        <v>84.009999999999991</v>
      </c>
    </row>
    <row r="790" spans="1:8" hidden="1" outlineLevel="1" x14ac:dyDescent="0.2">
      <c r="A790" s="655" t="s">
        <v>2067</v>
      </c>
      <c r="B790" s="702" t="s">
        <v>1316</v>
      </c>
      <c r="C790" s="703"/>
      <c r="D790" s="704"/>
    </row>
    <row r="791" spans="1:8" hidden="1" outlineLevel="1" x14ac:dyDescent="0.2">
      <c r="A791" s="655"/>
      <c r="B791" s="707" t="s">
        <v>2121</v>
      </c>
      <c r="C791" s="708" t="s">
        <v>11</v>
      </c>
      <c r="D791" s="709">
        <v>5.0999999999999996</v>
      </c>
    </row>
    <row r="792" spans="1:8" hidden="1" outlineLevel="1" x14ac:dyDescent="0.2">
      <c r="A792" s="659" t="s">
        <v>2068</v>
      </c>
      <c r="B792" s="710" t="s">
        <v>2039</v>
      </c>
      <c r="C792" s="711" t="s">
        <v>11</v>
      </c>
      <c r="D792" s="916">
        <v>0.59</v>
      </c>
    </row>
    <row r="793" spans="1:8" hidden="1" outlineLevel="1" x14ac:dyDescent="0.2">
      <c r="A793" s="663" t="s">
        <v>2069</v>
      </c>
      <c r="B793" s="707" t="s">
        <v>2041</v>
      </c>
      <c r="C793" s="708" t="s">
        <v>11</v>
      </c>
      <c r="D793" s="709">
        <v>6.5</v>
      </c>
    </row>
    <row r="794" spans="1:8" hidden="1" outlineLevel="1" x14ac:dyDescent="0.2">
      <c r="A794" s="655" t="s">
        <v>2070</v>
      </c>
      <c r="B794" s="702" t="s">
        <v>1320</v>
      </c>
      <c r="C794" s="703"/>
      <c r="D794" s="704"/>
    </row>
    <row r="795" spans="1:8" hidden="1" outlineLevel="1" x14ac:dyDescent="0.2">
      <c r="A795" s="655"/>
      <c r="B795" s="710" t="s">
        <v>2121</v>
      </c>
      <c r="C795" s="711" t="s">
        <v>11</v>
      </c>
      <c r="D795" s="916">
        <v>5.0999999999999996</v>
      </c>
    </row>
    <row r="796" spans="1:8" hidden="1" outlineLevel="1" x14ac:dyDescent="0.2">
      <c r="A796" s="659" t="s">
        <v>2071</v>
      </c>
      <c r="B796" s="707" t="s">
        <v>2039</v>
      </c>
      <c r="C796" s="708" t="s">
        <v>11</v>
      </c>
      <c r="D796" s="709">
        <v>0.59</v>
      </c>
    </row>
    <row r="797" spans="1:8" hidden="1" outlineLevel="1" x14ac:dyDescent="0.2">
      <c r="A797" s="663" t="s">
        <v>2072</v>
      </c>
      <c r="B797" s="710" t="s">
        <v>2041</v>
      </c>
      <c r="C797" s="711" t="s">
        <v>11</v>
      </c>
      <c r="D797" s="916">
        <v>6.5</v>
      </c>
    </row>
    <row r="798" spans="1:8" hidden="1" outlineLevel="1" x14ac:dyDescent="0.2">
      <c r="A798" s="655" t="s">
        <v>2073</v>
      </c>
      <c r="B798" s="702" t="s">
        <v>1324</v>
      </c>
      <c r="C798" s="703"/>
      <c r="D798" s="704"/>
    </row>
    <row r="799" spans="1:8" hidden="1" outlineLevel="1" x14ac:dyDescent="0.2">
      <c r="A799" s="655"/>
      <c r="B799" s="707" t="s">
        <v>2121</v>
      </c>
      <c r="C799" s="708" t="s">
        <v>11</v>
      </c>
      <c r="D799" s="709">
        <v>5.0999999999999996</v>
      </c>
    </row>
    <row r="800" spans="1:8" hidden="1" outlineLevel="1" x14ac:dyDescent="0.2">
      <c r="A800" s="659" t="s">
        <v>2074</v>
      </c>
      <c r="B800" s="710" t="s">
        <v>2039</v>
      </c>
      <c r="C800" s="711" t="s">
        <v>11</v>
      </c>
      <c r="D800" s="916">
        <v>0.59</v>
      </c>
    </row>
    <row r="801" spans="1:4" hidden="1" outlineLevel="1" x14ac:dyDescent="0.2">
      <c r="A801" s="663" t="s">
        <v>2075</v>
      </c>
      <c r="B801" s="707" t="s">
        <v>2041</v>
      </c>
      <c r="C801" s="708" t="s">
        <v>11</v>
      </c>
      <c r="D801" s="709">
        <v>6.5</v>
      </c>
    </row>
    <row r="802" spans="1:4" hidden="1" outlineLevel="1" x14ac:dyDescent="0.2">
      <c r="A802" s="655" t="s">
        <v>2076</v>
      </c>
      <c r="B802" s="702" t="s">
        <v>1328</v>
      </c>
      <c r="C802" s="703"/>
      <c r="D802" s="704"/>
    </row>
    <row r="803" spans="1:4" hidden="1" outlineLevel="1" x14ac:dyDescent="0.2">
      <c r="A803" s="655"/>
      <c r="B803" s="710" t="s">
        <v>2121</v>
      </c>
      <c r="C803" s="711" t="s">
        <v>11</v>
      </c>
      <c r="D803" s="916">
        <v>5.0999999999999996</v>
      </c>
    </row>
    <row r="804" spans="1:4" hidden="1" outlineLevel="1" x14ac:dyDescent="0.2">
      <c r="A804" s="659" t="s">
        <v>2077</v>
      </c>
      <c r="B804" s="707" t="s">
        <v>2039</v>
      </c>
      <c r="C804" s="708" t="s">
        <v>11</v>
      </c>
      <c r="D804" s="709">
        <v>0.59</v>
      </c>
    </row>
    <row r="805" spans="1:4" hidden="1" outlineLevel="1" x14ac:dyDescent="0.2">
      <c r="A805" s="663" t="s">
        <v>2078</v>
      </c>
      <c r="B805" s="710" t="s">
        <v>2041</v>
      </c>
      <c r="C805" s="711" t="s">
        <v>11</v>
      </c>
      <c r="D805" s="916">
        <v>6.5</v>
      </c>
    </row>
    <row r="806" spans="1:4" hidden="1" outlineLevel="1" x14ac:dyDescent="0.2">
      <c r="A806" s="655" t="s">
        <v>2079</v>
      </c>
      <c r="B806" s="702" t="s">
        <v>1332</v>
      </c>
      <c r="C806" s="703"/>
      <c r="D806" s="704"/>
    </row>
    <row r="807" spans="1:4" hidden="1" outlineLevel="1" x14ac:dyDescent="0.2">
      <c r="A807" s="655"/>
      <c r="B807" s="707" t="s">
        <v>2121</v>
      </c>
      <c r="C807" s="708" t="s">
        <v>11</v>
      </c>
      <c r="D807" s="709">
        <v>5.0999999999999996</v>
      </c>
    </row>
    <row r="808" spans="1:4" hidden="1" outlineLevel="1" x14ac:dyDescent="0.2">
      <c r="A808" s="659" t="s">
        <v>2080</v>
      </c>
      <c r="B808" s="710" t="s">
        <v>2039</v>
      </c>
      <c r="C808" s="711" t="s">
        <v>11</v>
      </c>
      <c r="D808" s="916">
        <v>0.59</v>
      </c>
    </row>
    <row r="809" spans="1:4" hidden="1" outlineLevel="1" x14ac:dyDescent="0.2">
      <c r="A809" s="663" t="s">
        <v>2081</v>
      </c>
      <c r="B809" s="707" t="s">
        <v>2041</v>
      </c>
      <c r="C809" s="708" t="s">
        <v>11</v>
      </c>
      <c r="D809" s="709">
        <v>6.5</v>
      </c>
    </row>
    <row r="810" spans="1:4" hidden="1" outlineLevel="1" x14ac:dyDescent="0.2">
      <c r="A810" s="655" t="s">
        <v>2082</v>
      </c>
      <c r="B810" s="702" t="s">
        <v>1336</v>
      </c>
      <c r="C810" s="703"/>
      <c r="D810" s="704"/>
    </row>
    <row r="811" spans="1:4" hidden="1" outlineLevel="1" x14ac:dyDescent="0.2">
      <c r="A811" s="655"/>
      <c r="B811" s="710" t="s">
        <v>2121</v>
      </c>
      <c r="C811" s="711" t="s">
        <v>11</v>
      </c>
      <c r="D811" s="916">
        <v>5.0999999999999996</v>
      </c>
    </row>
    <row r="812" spans="1:4" hidden="1" outlineLevel="1" x14ac:dyDescent="0.2">
      <c r="A812" s="659" t="s">
        <v>2083</v>
      </c>
      <c r="B812" s="707" t="s">
        <v>2039</v>
      </c>
      <c r="C812" s="708" t="s">
        <v>11</v>
      </c>
      <c r="D812" s="709">
        <v>0.59</v>
      </c>
    </row>
    <row r="813" spans="1:4" hidden="1" outlineLevel="1" x14ac:dyDescent="0.2">
      <c r="A813" s="663" t="s">
        <v>2084</v>
      </c>
      <c r="B813" s="710" t="s">
        <v>2041</v>
      </c>
      <c r="C813" s="711" t="s">
        <v>11</v>
      </c>
      <c r="D813" s="916">
        <v>6.5</v>
      </c>
    </row>
    <row r="814" spans="1:4" hidden="1" outlineLevel="1" x14ac:dyDescent="0.2">
      <c r="A814" s="655" t="s">
        <v>2085</v>
      </c>
      <c r="B814" s="702" t="s">
        <v>1340</v>
      </c>
      <c r="C814" s="703"/>
      <c r="D814" s="704"/>
    </row>
    <row r="815" spans="1:4" hidden="1" outlineLevel="1" x14ac:dyDescent="0.2">
      <c r="A815" s="655"/>
      <c r="B815" s="707" t="s">
        <v>2121</v>
      </c>
      <c r="C815" s="708" t="s">
        <v>11</v>
      </c>
      <c r="D815" s="709">
        <v>5.0999999999999996</v>
      </c>
    </row>
    <row r="816" spans="1:4" hidden="1" outlineLevel="1" x14ac:dyDescent="0.2">
      <c r="A816" s="659" t="s">
        <v>2086</v>
      </c>
      <c r="B816" s="710" t="s">
        <v>2039</v>
      </c>
      <c r="C816" s="711" t="s">
        <v>11</v>
      </c>
      <c r="D816" s="916">
        <v>0.59</v>
      </c>
    </row>
    <row r="817" spans="1:4" hidden="1" outlineLevel="1" x14ac:dyDescent="0.2">
      <c r="A817" s="663" t="s">
        <v>2087</v>
      </c>
      <c r="B817" s="707" t="s">
        <v>2041</v>
      </c>
      <c r="C817" s="708" t="s">
        <v>11</v>
      </c>
      <c r="D817" s="709">
        <v>6.5</v>
      </c>
    </row>
    <row r="818" spans="1:4" hidden="1" outlineLevel="1" x14ac:dyDescent="0.2">
      <c r="A818" s="655" t="s">
        <v>2088</v>
      </c>
      <c r="B818" s="702" t="s">
        <v>1344</v>
      </c>
      <c r="C818" s="703"/>
      <c r="D818" s="704"/>
    </row>
    <row r="819" spans="1:4" hidden="1" outlineLevel="1" x14ac:dyDescent="0.2">
      <c r="A819" s="655"/>
      <c r="B819" s="710" t="s">
        <v>2121</v>
      </c>
      <c r="C819" s="711" t="s">
        <v>11</v>
      </c>
      <c r="D819" s="916">
        <v>5.0999999999999996</v>
      </c>
    </row>
    <row r="820" spans="1:4" hidden="1" outlineLevel="1" x14ac:dyDescent="0.2">
      <c r="A820" s="659" t="s">
        <v>2089</v>
      </c>
      <c r="B820" s="707" t="s">
        <v>2039</v>
      </c>
      <c r="C820" s="708" t="s">
        <v>11</v>
      </c>
      <c r="D820" s="709">
        <v>0.59</v>
      </c>
    </row>
    <row r="821" spans="1:4" hidden="1" outlineLevel="1" x14ac:dyDescent="0.2">
      <c r="A821" s="663" t="s">
        <v>2090</v>
      </c>
      <c r="B821" s="710" t="s">
        <v>2041</v>
      </c>
      <c r="C821" s="711" t="s">
        <v>11</v>
      </c>
      <c r="D821" s="916">
        <v>6.5</v>
      </c>
    </row>
    <row r="822" spans="1:4" hidden="1" outlineLevel="1" x14ac:dyDescent="0.2">
      <c r="A822" s="655" t="s">
        <v>2091</v>
      </c>
      <c r="B822" s="702" t="s">
        <v>1348</v>
      </c>
      <c r="C822" s="703"/>
      <c r="D822" s="704"/>
    </row>
    <row r="823" spans="1:4" hidden="1" outlineLevel="1" x14ac:dyDescent="0.2">
      <c r="A823" s="655"/>
      <c r="B823" s="707" t="s">
        <v>2121</v>
      </c>
      <c r="C823" s="708" t="s">
        <v>11</v>
      </c>
      <c r="D823" s="709">
        <v>5.0999999999999996</v>
      </c>
    </row>
    <row r="824" spans="1:4" hidden="1" outlineLevel="1" x14ac:dyDescent="0.2">
      <c r="A824" s="659" t="s">
        <v>2092</v>
      </c>
      <c r="B824" s="710" t="s">
        <v>2039</v>
      </c>
      <c r="C824" s="711" t="s">
        <v>11</v>
      </c>
      <c r="D824" s="916">
        <v>0.59</v>
      </c>
    </row>
    <row r="825" spans="1:4" hidden="1" outlineLevel="1" x14ac:dyDescent="0.2">
      <c r="A825" s="663" t="s">
        <v>2093</v>
      </c>
      <c r="B825" s="707" t="s">
        <v>2041</v>
      </c>
      <c r="C825" s="708" t="s">
        <v>11</v>
      </c>
      <c r="D825" s="709">
        <v>6.5</v>
      </c>
    </row>
    <row r="826" spans="1:4" hidden="1" outlineLevel="1" x14ac:dyDescent="0.2">
      <c r="A826" s="655" t="s">
        <v>2094</v>
      </c>
      <c r="B826" s="702" t="s">
        <v>1352</v>
      </c>
      <c r="C826" s="703"/>
      <c r="D826" s="704"/>
    </row>
    <row r="827" spans="1:4" hidden="1" outlineLevel="1" x14ac:dyDescent="0.2">
      <c r="A827" s="655"/>
      <c r="B827" s="710" t="s">
        <v>2121</v>
      </c>
      <c r="C827" s="711" t="s">
        <v>11</v>
      </c>
      <c r="D827" s="916">
        <v>5.0999999999999996</v>
      </c>
    </row>
    <row r="828" spans="1:4" hidden="1" outlineLevel="1" x14ac:dyDescent="0.2">
      <c r="A828" s="659" t="s">
        <v>2095</v>
      </c>
      <c r="B828" s="707" t="s">
        <v>2039</v>
      </c>
      <c r="C828" s="708" t="s">
        <v>11</v>
      </c>
      <c r="D828" s="709">
        <v>0.59</v>
      </c>
    </row>
    <row r="829" spans="1:4" hidden="1" outlineLevel="1" x14ac:dyDescent="0.2">
      <c r="A829" s="663" t="s">
        <v>2096</v>
      </c>
      <c r="B829" s="710" t="s">
        <v>2041</v>
      </c>
      <c r="C829" s="711" t="s">
        <v>11</v>
      </c>
      <c r="D829" s="916">
        <v>6.5</v>
      </c>
    </row>
    <row r="830" spans="1:4" hidden="1" outlineLevel="1" x14ac:dyDescent="0.2">
      <c r="A830" s="655" t="s">
        <v>2097</v>
      </c>
      <c r="B830" s="702" t="s">
        <v>1356</v>
      </c>
      <c r="C830" s="703"/>
      <c r="D830" s="704"/>
    </row>
    <row r="831" spans="1:4" hidden="1" outlineLevel="1" x14ac:dyDescent="0.2">
      <c r="A831" s="655"/>
      <c r="B831" s="707" t="s">
        <v>2121</v>
      </c>
      <c r="C831" s="708" t="s">
        <v>11</v>
      </c>
      <c r="D831" s="709">
        <v>5.0999999999999996</v>
      </c>
    </row>
    <row r="832" spans="1:4" hidden="1" outlineLevel="1" x14ac:dyDescent="0.2">
      <c r="A832" s="659" t="s">
        <v>2098</v>
      </c>
      <c r="B832" s="710" t="s">
        <v>2039</v>
      </c>
      <c r="C832" s="711" t="s">
        <v>11</v>
      </c>
      <c r="D832" s="916">
        <v>0.59</v>
      </c>
    </row>
    <row r="833" spans="1:4" hidden="1" outlineLevel="1" x14ac:dyDescent="0.2">
      <c r="A833" s="663" t="s">
        <v>2099</v>
      </c>
      <c r="B833" s="707" t="s">
        <v>2041</v>
      </c>
      <c r="C833" s="708" t="s">
        <v>11</v>
      </c>
      <c r="D833" s="709">
        <v>6.5</v>
      </c>
    </row>
    <row r="834" spans="1:4" hidden="1" outlineLevel="1" x14ac:dyDescent="0.2">
      <c r="A834" s="655" t="s">
        <v>2100</v>
      </c>
      <c r="B834" s="702" t="s">
        <v>1360</v>
      </c>
      <c r="C834" s="703"/>
      <c r="D834" s="704"/>
    </row>
    <row r="835" spans="1:4" hidden="1" outlineLevel="1" x14ac:dyDescent="0.2">
      <c r="A835" s="655"/>
      <c r="B835" s="710" t="s">
        <v>2121</v>
      </c>
      <c r="C835" s="711" t="s">
        <v>11</v>
      </c>
      <c r="D835" s="916">
        <v>5.0999999999999996</v>
      </c>
    </row>
    <row r="836" spans="1:4" hidden="1" outlineLevel="1" x14ac:dyDescent="0.2">
      <c r="A836" s="659" t="s">
        <v>2101</v>
      </c>
      <c r="B836" s="707" t="s">
        <v>2039</v>
      </c>
      <c r="C836" s="708" t="s">
        <v>11</v>
      </c>
      <c r="D836" s="709">
        <v>0.59</v>
      </c>
    </row>
    <row r="837" spans="1:4" hidden="1" outlineLevel="1" x14ac:dyDescent="0.2">
      <c r="A837" s="663" t="s">
        <v>2102</v>
      </c>
      <c r="B837" s="710" t="s">
        <v>2041</v>
      </c>
      <c r="C837" s="711" t="s">
        <v>11</v>
      </c>
      <c r="D837" s="916">
        <v>6.5</v>
      </c>
    </row>
    <row r="838" spans="1:4" hidden="1" outlineLevel="1" x14ac:dyDescent="0.2">
      <c r="A838" s="655" t="s">
        <v>2103</v>
      </c>
      <c r="B838" s="702" t="s">
        <v>1364</v>
      </c>
      <c r="C838" s="703"/>
      <c r="D838" s="704"/>
    </row>
    <row r="839" spans="1:4" hidden="1" outlineLevel="1" x14ac:dyDescent="0.2">
      <c r="A839" s="655"/>
      <c r="B839" s="707" t="s">
        <v>2121</v>
      </c>
      <c r="C839" s="708" t="s">
        <v>11</v>
      </c>
      <c r="D839" s="709">
        <v>5.2</v>
      </c>
    </row>
    <row r="840" spans="1:4" hidden="1" outlineLevel="1" x14ac:dyDescent="0.2">
      <c r="A840" s="659" t="s">
        <v>2104</v>
      </c>
      <c r="B840" s="710" t="s">
        <v>2039</v>
      </c>
      <c r="C840" s="711" t="s">
        <v>11</v>
      </c>
      <c r="D840" s="916">
        <v>0.59</v>
      </c>
    </row>
    <row r="841" spans="1:4" hidden="1" outlineLevel="1" x14ac:dyDescent="0.2">
      <c r="A841" s="663" t="s">
        <v>2105</v>
      </c>
      <c r="B841" s="707" t="s">
        <v>2041</v>
      </c>
      <c r="C841" s="708" t="s">
        <v>11</v>
      </c>
      <c r="D841" s="709">
        <v>6.21</v>
      </c>
    </row>
    <row r="842" spans="1:4" hidden="1" outlineLevel="1" x14ac:dyDescent="0.2">
      <c r="A842" s="655" t="s">
        <v>2106</v>
      </c>
      <c r="B842" s="702" t="s">
        <v>1368</v>
      </c>
      <c r="C842" s="703"/>
      <c r="D842" s="704"/>
    </row>
    <row r="843" spans="1:4" hidden="1" outlineLevel="1" x14ac:dyDescent="0.2">
      <c r="A843" s="659" t="s">
        <v>2107</v>
      </c>
      <c r="B843" s="707" t="s">
        <v>2039</v>
      </c>
      <c r="C843" s="708" t="s">
        <v>11</v>
      </c>
      <c r="D843" s="709">
        <v>75.25</v>
      </c>
    </row>
    <row r="844" spans="1:4" hidden="1" outlineLevel="1" x14ac:dyDescent="0.2">
      <c r="A844" s="663" t="s">
        <v>2108</v>
      </c>
      <c r="B844" s="710" t="s">
        <v>2041</v>
      </c>
      <c r="C844" s="711" t="s">
        <v>11</v>
      </c>
      <c r="D844" s="916">
        <v>7.3</v>
      </c>
    </row>
    <row r="845" spans="1:4" hidden="1" outlineLevel="1" x14ac:dyDescent="0.2">
      <c r="A845" s="655" t="s">
        <v>2109</v>
      </c>
      <c r="B845" s="702" t="s">
        <v>1283</v>
      </c>
      <c r="C845" s="703"/>
      <c r="D845" s="704"/>
    </row>
    <row r="846" spans="1:4" hidden="1" outlineLevel="1" x14ac:dyDescent="0.2">
      <c r="A846" s="659" t="s">
        <v>2110</v>
      </c>
      <c r="B846" s="707" t="s">
        <v>2039</v>
      </c>
      <c r="C846" s="708" t="s">
        <v>11</v>
      </c>
      <c r="D846" s="709">
        <v>393.58</v>
      </c>
    </row>
    <row r="847" spans="1:4" hidden="1" outlineLevel="1" x14ac:dyDescent="0.2">
      <c r="A847" s="663" t="s">
        <v>2111</v>
      </c>
      <c r="B847" s="710" t="s">
        <v>2112</v>
      </c>
      <c r="C847" s="711" t="s">
        <v>11</v>
      </c>
      <c r="D847" s="916">
        <v>49.6</v>
      </c>
    </row>
    <row r="848" spans="1:4" collapsed="1" x14ac:dyDescent="0.2">
      <c r="A848" s="651" t="s">
        <v>2113</v>
      </c>
      <c r="B848" s="652" t="s">
        <v>2114</v>
      </c>
      <c r="C848" s="653"/>
      <c r="D848" s="654"/>
    </row>
    <row r="849" spans="1:8" hidden="1" outlineLevel="1" x14ac:dyDescent="0.2">
      <c r="A849" s="655" t="s">
        <v>2115</v>
      </c>
      <c r="B849" s="656" t="s">
        <v>1292</v>
      </c>
      <c r="C849" s="657"/>
      <c r="D849" s="658"/>
    </row>
    <row r="850" spans="1:8" hidden="1" outlineLevel="1" x14ac:dyDescent="0.2">
      <c r="A850" s="663" t="s">
        <v>2116</v>
      </c>
      <c r="B850" s="664" t="s">
        <v>2117</v>
      </c>
      <c r="C850" s="665" t="s">
        <v>11</v>
      </c>
      <c r="D850" s="666">
        <v>17.190000000000001</v>
      </c>
    </row>
    <row r="851" spans="1:8" hidden="1" outlineLevel="1" x14ac:dyDescent="0.2">
      <c r="A851" s="659" t="s">
        <v>2118</v>
      </c>
      <c r="B851" s="660" t="s">
        <v>2119</v>
      </c>
      <c r="C851" s="661" t="s">
        <v>11</v>
      </c>
      <c r="D851" s="662">
        <v>7.77</v>
      </c>
    </row>
    <row r="852" spans="1:8" hidden="1" outlineLevel="1" x14ac:dyDescent="0.2">
      <c r="A852" s="738" t="s">
        <v>2120</v>
      </c>
      <c r="B852" s="739" t="s">
        <v>2121</v>
      </c>
      <c r="C852" s="740" t="s">
        <v>11</v>
      </c>
      <c r="D852" s="741">
        <v>5.78</v>
      </c>
    </row>
    <row r="853" spans="1:8" hidden="1" outlineLevel="1" x14ac:dyDescent="0.2">
      <c r="A853" s="659" t="s">
        <v>2122</v>
      </c>
      <c r="B853" s="660" t="s">
        <v>2123</v>
      </c>
      <c r="C853" s="661" t="s">
        <v>11</v>
      </c>
      <c r="D853" s="662">
        <v>37.03</v>
      </c>
    </row>
    <row r="854" spans="1:8" hidden="1" outlineLevel="1" x14ac:dyDescent="0.2">
      <c r="A854" s="663" t="s">
        <v>2124</v>
      </c>
      <c r="B854" s="664" t="s">
        <v>2125</v>
      </c>
      <c r="C854" s="665" t="s">
        <v>11</v>
      </c>
      <c r="D854" s="666">
        <v>62.99</v>
      </c>
    </row>
    <row r="855" spans="1:8" hidden="1" outlineLevel="1" x14ac:dyDescent="0.2">
      <c r="A855" s="655" t="s">
        <v>2126</v>
      </c>
      <c r="B855" s="656" t="s">
        <v>1296</v>
      </c>
      <c r="C855" s="657"/>
      <c r="D855" s="658"/>
      <c r="F855" s="656" t="s">
        <v>1296</v>
      </c>
      <c r="G855" s="657"/>
      <c r="H855" s="658"/>
    </row>
    <row r="856" spans="1:8" hidden="1" outlineLevel="1" x14ac:dyDescent="0.2">
      <c r="A856" s="738" t="s">
        <v>2127</v>
      </c>
      <c r="B856" s="739" t="s">
        <v>2121</v>
      </c>
      <c r="C856" s="740" t="s">
        <v>11</v>
      </c>
      <c r="D856" s="741">
        <v>4.83</v>
      </c>
      <c r="F856" s="739" t="s">
        <v>2121</v>
      </c>
      <c r="G856" s="740" t="s">
        <v>11</v>
      </c>
      <c r="H856" s="741" cm="1">
        <f t="array" ref="H856:H857">SUMIF(B855:B863,F856:F857,D855:D863)</f>
        <v>14.42</v>
      </c>
    </row>
    <row r="857" spans="1:8" hidden="1" outlineLevel="1" x14ac:dyDescent="0.2">
      <c r="A857" s="663" t="s">
        <v>2128</v>
      </c>
      <c r="B857" s="664" t="s">
        <v>2125</v>
      </c>
      <c r="C857" s="665" t="s">
        <v>11</v>
      </c>
      <c r="D857" s="666">
        <v>6.39</v>
      </c>
      <c r="F857" s="664" t="s">
        <v>2125</v>
      </c>
      <c r="G857" s="665" t="s">
        <v>11</v>
      </c>
      <c r="H857" s="666">
        <v>19.169999999999998</v>
      </c>
    </row>
    <row r="858" spans="1:8" hidden="1" outlineLevel="1" x14ac:dyDescent="0.2">
      <c r="A858" s="655" t="s">
        <v>2129</v>
      </c>
      <c r="B858" s="656" t="s">
        <v>1299</v>
      </c>
      <c r="C858" s="657"/>
      <c r="D858" s="658"/>
    </row>
    <row r="859" spans="1:8" hidden="1" outlineLevel="1" x14ac:dyDescent="0.2">
      <c r="A859" s="738" t="s">
        <v>2130</v>
      </c>
      <c r="B859" s="739" t="s">
        <v>2121</v>
      </c>
      <c r="C859" s="740" t="s">
        <v>11</v>
      </c>
      <c r="D859" s="741">
        <v>4.76</v>
      </c>
    </row>
    <row r="860" spans="1:8" hidden="1" outlineLevel="1" x14ac:dyDescent="0.2">
      <c r="A860" s="663" t="s">
        <v>2131</v>
      </c>
      <c r="B860" s="664" t="s">
        <v>2125</v>
      </c>
      <c r="C860" s="665" t="s">
        <v>11</v>
      </c>
      <c r="D860" s="666">
        <v>6.39</v>
      </c>
    </row>
    <row r="861" spans="1:8" hidden="1" outlineLevel="1" x14ac:dyDescent="0.2">
      <c r="A861" s="655" t="s">
        <v>2132</v>
      </c>
      <c r="B861" s="656" t="s">
        <v>1302</v>
      </c>
      <c r="C861" s="657"/>
      <c r="D861" s="658"/>
    </row>
    <row r="862" spans="1:8" hidden="1" outlineLevel="1" x14ac:dyDescent="0.2">
      <c r="A862" s="738" t="s">
        <v>2133</v>
      </c>
      <c r="B862" s="739" t="s">
        <v>2121</v>
      </c>
      <c r="C862" s="740" t="s">
        <v>11</v>
      </c>
      <c r="D862" s="741">
        <v>4.83</v>
      </c>
    </row>
    <row r="863" spans="1:8" hidden="1" outlineLevel="1" x14ac:dyDescent="0.2">
      <c r="A863" s="663" t="s">
        <v>2134</v>
      </c>
      <c r="B863" s="664" t="s">
        <v>2125</v>
      </c>
      <c r="C863" s="665" t="s">
        <v>11</v>
      </c>
      <c r="D863" s="666">
        <v>6.39</v>
      </c>
    </row>
    <row r="864" spans="1:8" hidden="1" outlineLevel="1" x14ac:dyDescent="0.2">
      <c r="A864" s="655" t="s">
        <v>2135</v>
      </c>
      <c r="B864" s="656" t="s">
        <v>1305</v>
      </c>
      <c r="C864" s="657"/>
      <c r="D864" s="658"/>
    </row>
    <row r="865" spans="1:8" hidden="1" outlineLevel="1" x14ac:dyDescent="0.2">
      <c r="A865" s="738" t="s">
        <v>2136</v>
      </c>
      <c r="B865" s="739" t="s">
        <v>2121</v>
      </c>
      <c r="C865" s="740" t="s">
        <v>11</v>
      </c>
      <c r="D865" s="741">
        <v>6.07</v>
      </c>
    </row>
    <row r="866" spans="1:8" hidden="1" outlineLevel="1" x14ac:dyDescent="0.2">
      <c r="A866" s="663" t="s">
        <v>2137</v>
      </c>
      <c r="B866" s="664" t="s">
        <v>2125</v>
      </c>
      <c r="C866" s="665" t="s">
        <v>11</v>
      </c>
      <c r="D866" s="666">
        <v>6.35</v>
      </c>
    </row>
    <row r="867" spans="1:8" hidden="1" outlineLevel="1" x14ac:dyDescent="0.2">
      <c r="A867" s="655" t="s">
        <v>2138</v>
      </c>
      <c r="B867" s="656" t="s">
        <v>1308</v>
      </c>
      <c r="C867" s="657"/>
      <c r="D867" s="658"/>
    </row>
    <row r="868" spans="1:8" hidden="1" outlineLevel="1" x14ac:dyDescent="0.2">
      <c r="A868" s="738" t="s">
        <v>2139</v>
      </c>
      <c r="B868" s="739" t="s">
        <v>2121</v>
      </c>
      <c r="C868" s="740" t="s">
        <v>11</v>
      </c>
      <c r="D868" s="741">
        <v>6.42</v>
      </c>
    </row>
    <row r="869" spans="1:8" hidden="1" outlineLevel="1" x14ac:dyDescent="0.2">
      <c r="A869" s="663" t="s">
        <v>2140</v>
      </c>
      <c r="B869" s="664" t="s">
        <v>2141</v>
      </c>
      <c r="C869" s="665" t="s">
        <v>11</v>
      </c>
      <c r="D869" s="666">
        <v>238.81</v>
      </c>
    </row>
    <row r="870" spans="1:8" hidden="1" outlineLevel="1" x14ac:dyDescent="0.2">
      <c r="A870" s="659" t="s">
        <v>2142</v>
      </c>
      <c r="B870" s="660" t="s">
        <v>2123</v>
      </c>
      <c r="C870" s="661" t="s">
        <v>11</v>
      </c>
      <c r="D870" s="662">
        <v>242.69</v>
      </c>
    </row>
    <row r="871" spans="1:8" hidden="1" outlineLevel="1" x14ac:dyDescent="0.2">
      <c r="A871" s="663" t="s">
        <v>2143</v>
      </c>
      <c r="B871" s="664" t="s">
        <v>2144</v>
      </c>
      <c r="C871" s="665" t="s">
        <v>11</v>
      </c>
      <c r="D871" s="666">
        <v>9.98</v>
      </c>
    </row>
    <row r="872" spans="1:8" hidden="1" outlineLevel="1" x14ac:dyDescent="0.2">
      <c r="A872" s="659" t="s">
        <v>2145</v>
      </c>
      <c r="B872" s="660" t="s">
        <v>2125</v>
      </c>
      <c r="C872" s="661" t="s">
        <v>11</v>
      </c>
      <c r="D872" s="662">
        <v>47.19</v>
      </c>
    </row>
    <row r="873" spans="1:8" hidden="1" outlineLevel="1" x14ac:dyDescent="0.2">
      <c r="A873" s="663" t="s">
        <v>2146</v>
      </c>
      <c r="B873" s="664" t="s">
        <v>2147</v>
      </c>
      <c r="C873" s="665" t="s">
        <v>11</v>
      </c>
      <c r="D873" s="666">
        <v>67.45</v>
      </c>
    </row>
    <row r="874" spans="1:8" hidden="1" outlineLevel="1" x14ac:dyDescent="0.2">
      <c r="A874" s="655" t="s">
        <v>2148</v>
      </c>
      <c r="B874" s="656" t="s">
        <v>1311</v>
      </c>
      <c r="C874" s="657"/>
      <c r="D874" s="658"/>
      <c r="F874" s="656" t="s">
        <v>4182</v>
      </c>
      <c r="G874" s="657"/>
      <c r="H874" s="658"/>
    </row>
    <row r="875" spans="1:8" hidden="1" outlineLevel="1" x14ac:dyDescent="0.2">
      <c r="A875" s="659" t="s">
        <v>2149</v>
      </c>
      <c r="B875" s="660" t="s">
        <v>2121</v>
      </c>
      <c r="C875" s="661" t="s">
        <v>11</v>
      </c>
      <c r="D875" s="662">
        <v>5.48</v>
      </c>
      <c r="F875" s="739" t="s">
        <v>2121</v>
      </c>
      <c r="G875" s="740" t="s">
        <v>11</v>
      </c>
      <c r="H875" s="741" cm="1">
        <f t="array" ref="H875:H880">SUMIF(B874:B964,F875:F880,D874:D964)</f>
        <v>71.240000000000023</v>
      </c>
    </row>
    <row r="876" spans="1:8" hidden="1" outlineLevel="1" x14ac:dyDescent="0.2">
      <c r="A876" s="663" t="s">
        <v>2150</v>
      </c>
      <c r="B876" s="664" t="s">
        <v>2151</v>
      </c>
      <c r="C876" s="665" t="s">
        <v>11</v>
      </c>
      <c r="D876" s="666">
        <v>27.24</v>
      </c>
      <c r="F876" s="664" t="s">
        <v>2151</v>
      </c>
      <c r="G876" s="665" t="s">
        <v>11</v>
      </c>
      <c r="H876" s="666">
        <v>328.68</v>
      </c>
    </row>
    <row r="877" spans="1:8" hidden="1" outlineLevel="1" x14ac:dyDescent="0.2">
      <c r="A877" s="659" t="s">
        <v>2152</v>
      </c>
      <c r="B877" s="660" t="s">
        <v>2153</v>
      </c>
      <c r="C877" s="661" t="s">
        <v>11</v>
      </c>
      <c r="D877" s="662">
        <v>196.74</v>
      </c>
      <c r="F877" s="660" t="s">
        <v>2153</v>
      </c>
      <c r="G877" s="661" t="s">
        <v>11</v>
      </c>
      <c r="H877" s="662">
        <v>2557.62</v>
      </c>
    </row>
    <row r="878" spans="1:8" hidden="1" outlineLevel="1" x14ac:dyDescent="0.2">
      <c r="A878" s="663" t="s">
        <v>2154</v>
      </c>
      <c r="B878" s="664" t="s">
        <v>2144</v>
      </c>
      <c r="C878" s="665" t="s">
        <v>11</v>
      </c>
      <c r="D878" s="666">
        <v>11.47</v>
      </c>
      <c r="F878" s="664" t="s">
        <v>2144</v>
      </c>
      <c r="G878" s="665" t="s">
        <v>11</v>
      </c>
      <c r="H878" s="666">
        <v>149.11000000000001</v>
      </c>
    </row>
    <row r="879" spans="1:8" hidden="1" outlineLevel="1" x14ac:dyDescent="0.2">
      <c r="A879" s="659" t="s">
        <v>2155</v>
      </c>
      <c r="B879" s="660" t="s">
        <v>2156</v>
      </c>
      <c r="C879" s="661" t="s">
        <v>11</v>
      </c>
      <c r="D879" s="662">
        <v>36.26</v>
      </c>
      <c r="F879" s="660" t="s">
        <v>2156</v>
      </c>
      <c r="G879" s="661" t="s">
        <v>11</v>
      </c>
      <c r="H879" s="662">
        <v>471.37999999999994</v>
      </c>
    </row>
    <row r="880" spans="1:8" hidden="1" outlineLevel="1" x14ac:dyDescent="0.2">
      <c r="A880" s="663" t="s">
        <v>2157</v>
      </c>
      <c r="B880" s="664" t="s">
        <v>2125</v>
      </c>
      <c r="C880" s="665" t="s">
        <v>11</v>
      </c>
      <c r="D880" s="666">
        <v>32.54</v>
      </c>
      <c r="F880" s="664" t="s">
        <v>2125</v>
      </c>
      <c r="G880" s="665" t="s">
        <v>11</v>
      </c>
      <c r="H880" s="666">
        <v>423.0200000000001</v>
      </c>
    </row>
    <row r="881" spans="1:4" hidden="1" outlineLevel="1" x14ac:dyDescent="0.2">
      <c r="A881" s="655" t="s">
        <v>2158</v>
      </c>
      <c r="B881" s="656" t="s">
        <v>1316</v>
      </c>
      <c r="C881" s="657"/>
      <c r="D881" s="658"/>
    </row>
    <row r="882" spans="1:4" hidden="1" outlineLevel="1" x14ac:dyDescent="0.2">
      <c r="A882" s="659" t="s">
        <v>2159</v>
      </c>
      <c r="B882" s="660" t="s">
        <v>2121</v>
      </c>
      <c r="C882" s="661" t="s">
        <v>11</v>
      </c>
      <c r="D882" s="662">
        <v>5.48</v>
      </c>
    </row>
    <row r="883" spans="1:4" hidden="1" outlineLevel="1" x14ac:dyDescent="0.2">
      <c r="A883" s="663" t="s">
        <v>2160</v>
      </c>
      <c r="B883" s="664" t="s">
        <v>2151</v>
      </c>
      <c r="C883" s="665" t="s">
        <v>11</v>
      </c>
      <c r="D883" s="666">
        <v>25.12</v>
      </c>
    </row>
    <row r="884" spans="1:4" hidden="1" outlineLevel="1" x14ac:dyDescent="0.2">
      <c r="A884" s="659" t="s">
        <v>2161</v>
      </c>
      <c r="B884" s="660" t="s">
        <v>2153</v>
      </c>
      <c r="C884" s="661" t="s">
        <v>11</v>
      </c>
      <c r="D884" s="662">
        <v>196.74</v>
      </c>
    </row>
    <row r="885" spans="1:4" hidden="1" outlineLevel="1" x14ac:dyDescent="0.2">
      <c r="A885" s="663" t="s">
        <v>2162</v>
      </c>
      <c r="B885" s="664" t="s">
        <v>2144</v>
      </c>
      <c r="C885" s="665" t="s">
        <v>11</v>
      </c>
      <c r="D885" s="666">
        <v>11.47</v>
      </c>
    </row>
    <row r="886" spans="1:4" hidden="1" outlineLevel="1" x14ac:dyDescent="0.2">
      <c r="A886" s="659" t="s">
        <v>2163</v>
      </c>
      <c r="B886" s="660" t="s">
        <v>2156</v>
      </c>
      <c r="C886" s="661" t="s">
        <v>11</v>
      </c>
      <c r="D886" s="662">
        <v>36.26</v>
      </c>
    </row>
    <row r="887" spans="1:4" hidden="1" outlineLevel="1" x14ac:dyDescent="0.2">
      <c r="A887" s="663" t="s">
        <v>2164</v>
      </c>
      <c r="B887" s="664" t="s">
        <v>2125</v>
      </c>
      <c r="C887" s="665" t="s">
        <v>11</v>
      </c>
      <c r="D887" s="666">
        <v>32.54</v>
      </c>
    </row>
    <row r="888" spans="1:4" hidden="1" outlineLevel="1" x14ac:dyDescent="0.2">
      <c r="A888" s="655" t="s">
        <v>2165</v>
      </c>
      <c r="B888" s="656" t="s">
        <v>1320</v>
      </c>
      <c r="C888" s="657"/>
      <c r="D888" s="658"/>
    </row>
    <row r="889" spans="1:4" hidden="1" outlineLevel="1" x14ac:dyDescent="0.2">
      <c r="A889" s="659" t="s">
        <v>2166</v>
      </c>
      <c r="B889" s="660" t="s">
        <v>2121</v>
      </c>
      <c r="C889" s="661" t="s">
        <v>11</v>
      </c>
      <c r="D889" s="662">
        <v>5.48</v>
      </c>
    </row>
    <row r="890" spans="1:4" hidden="1" outlineLevel="1" x14ac:dyDescent="0.2">
      <c r="A890" s="663" t="s">
        <v>2167</v>
      </c>
      <c r="B890" s="664" t="s">
        <v>2151</v>
      </c>
      <c r="C890" s="665" t="s">
        <v>11</v>
      </c>
      <c r="D890" s="666">
        <v>25.12</v>
      </c>
    </row>
    <row r="891" spans="1:4" hidden="1" outlineLevel="1" x14ac:dyDescent="0.2">
      <c r="A891" s="659" t="s">
        <v>2168</v>
      </c>
      <c r="B891" s="660" t="s">
        <v>2153</v>
      </c>
      <c r="C891" s="661" t="s">
        <v>11</v>
      </c>
      <c r="D891" s="662">
        <v>196.74</v>
      </c>
    </row>
    <row r="892" spans="1:4" hidden="1" outlineLevel="1" x14ac:dyDescent="0.2">
      <c r="A892" s="663" t="s">
        <v>2169</v>
      </c>
      <c r="B892" s="664" t="s">
        <v>2144</v>
      </c>
      <c r="C892" s="665" t="s">
        <v>11</v>
      </c>
      <c r="D892" s="666">
        <v>11.47</v>
      </c>
    </row>
    <row r="893" spans="1:4" hidden="1" outlineLevel="1" x14ac:dyDescent="0.2">
      <c r="A893" s="659" t="s">
        <v>2170</v>
      </c>
      <c r="B893" s="660" t="s">
        <v>2156</v>
      </c>
      <c r="C893" s="661" t="s">
        <v>11</v>
      </c>
      <c r="D893" s="662">
        <v>36.26</v>
      </c>
    </row>
    <row r="894" spans="1:4" hidden="1" outlineLevel="1" x14ac:dyDescent="0.2">
      <c r="A894" s="663" t="s">
        <v>2171</v>
      </c>
      <c r="B894" s="664" t="s">
        <v>2125</v>
      </c>
      <c r="C894" s="665" t="s">
        <v>11</v>
      </c>
      <c r="D894" s="666">
        <v>32.54</v>
      </c>
    </row>
    <row r="895" spans="1:4" hidden="1" outlineLevel="1" x14ac:dyDescent="0.2">
      <c r="A895" s="655" t="s">
        <v>2172</v>
      </c>
      <c r="B895" s="656" t="s">
        <v>1324</v>
      </c>
      <c r="C895" s="657"/>
      <c r="D895" s="658"/>
    </row>
    <row r="896" spans="1:4" hidden="1" outlineLevel="1" x14ac:dyDescent="0.2">
      <c r="A896" s="659" t="s">
        <v>2173</v>
      </c>
      <c r="B896" s="660" t="s">
        <v>2121</v>
      </c>
      <c r="C896" s="661" t="s">
        <v>11</v>
      </c>
      <c r="D896" s="662">
        <v>5.48</v>
      </c>
    </row>
    <row r="897" spans="1:4" hidden="1" outlineLevel="1" x14ac:dyDescent="0.2">
      <c r="A897" s="663" t="s">
        <v>2174</v>
      </c>
      <c r="B897" s="664" t="s">
        <v>2151</v>
      </c>
      <c r="C897" s="665" t="s">
        <v>11</v>
      </c>
      <c r="D897" s="666">
        <v>25.12</v>
      </c>
    </row>
    <row r="898" spans="1:4" hidden="1" outlineLevel="1" x14ac:dyDescent="0.2">
      <c r="A898" s="659" t="s">
        <v>2175</v>
      </c>
      <c r="B898" s="660" t="s">
        <v>2153</v>
      </c>
      <c r="C898" s="661" t="s">
        <v>11</v>
      </c>
      <c r="D898" s="662">
        <v>196.74</v>
      </c>
    </row>
    <row r="899" spans="1:4" hidden="1" outlineLevel="1" x14ac:dyDescent="0.2">
      <c r="A899" s="663" t="s">
        <v>2176</v>
      </c>
      <c r="B899" s="664" t="s">
        <v>2144</v>
      </c>
      <c r="C899" s="665" t="s">
        <v>11</v>
      </c>
      <c r="D899" s="666">
        <v>11.47</v>
      </c>
    </row>
    <row r="900" spans="1:4" hidden="1" outlineLevel="1" x14ac:dyDescent="0.2">
      <c r="A900" s="659" t="s">
        <v>2177</v>
      </c>
      <c r="B900" s="660" t="s">
        <v>2156</v>
      </c>
      <c r="C900" s="661" t="s">
        <v>11</v>
      </c>
      <c r="D900" s="662">
        <v>36.26</v>
      </c>
    </row>
    <row r="901" spans="1:4" hidden="1" outlineLevel="1" x14ac:dyDescent="0.2">
      <c r="A901" s="663" t="s">
        <v>2178</v>
      </c>
      <c r="B901" s="664" t="s">
        <v>2125</v>
      </c>
      <c r="C901" s="665" t="s">
        <v>11</v>
      </c>
      <c r="D901" s="666">
        <v>32.54</v>
      </c>
    </row>
    <row r="902" spans="1:4" hidden="1" outlineLevel="1" x14ac:dyDescent="0.2">
      <c r="A902" s="655" t="s">
        <v>2179</v>
      </c>
      <c r="B902" s="656" t="s">
        <v>1328</v>
      </c>
      <c r="C902" s="657"/>
      <c r="D902" s="658"/>
    </row>
    <row r="903" spans="1:4" hidden="1" outlineLevel="1" x14ac:dyDescent="0.2">
      <c r="A903" s="659" t="s">
        <v>2180</v>
      </c>
      <c r="B903" s="660" t="s">
        <v>2121</v>
      </c>
      <c r="C903" s="661" t="s">
        <v>11</v>
      </c>
      <c r="D903" s="662">
        <v>5.48</v>
      </c>
    </row>
    <row r="904" spans="1:4" hidden="1" outlineLevel="1" x14ac:dyDescent="0.2">
      <c r="A904" s="663" t="s">
        <v>2181</v>
      </c>
      <c r="B904" s="664" t="s">
        <v>2151</v>
      </c>
      <c r="C904" s="665" t="s">
        <v>11</v>
      </c>
      <c r="D904" s="666">
        <v>25.12</v>
      </c>
    </row>
    <row r="905" spans="1:4" hidden="1" outlineLevel="1" x14ac:dyDescent="0.2">
      <c r="A905" s="659" t="s">
        <v>2182</v>
      </c>
      <c r="B905" s="660" t="s">
        <v>2153</v>
      </c>
      <c r="C905" s="661" t="s">
        <v>11</v>
      </c>
      <c r="D905" s="662">
        <v>196.74</v>
      </c>
    </row>
    <row r="906" spans="1:4" hidden="1" outlineLevel="1" x14ac:dyDescent="0.2">
      <c r="A906" s="663" t="s">
        <v>2183</v>
      </c>
      <c r="B906" s="664" t="s">
        <v>2144</v>
      </c>
      <c r="C906" s="665" t="s">
        <v>11</v>
      </c>
      <c r="D906" s="666">
        <v>11.47</v>
      </c>
    </row>
    <row r="907" spans="1:4" hidden="1" outlineLevel="1" x14ac:dyDescent="0.2">
      <c r="A907" s="659" t="s">
        <v>2184</v>
      </c>
      <c r="B907" s="660" t="s">
        <v>2156</v>
      </c>
      <c r="C907" s="661" t="s">
        <v>11</v>
      </c>
      <c r="D907" s="662">
        <v>36.26</v>
      </c>
    </row>
    <row r="908" spans="1:4" hidden="1" outlineLevel="1" x14ac:dyDescent="0.2">
      <c r="A908" s="663" t="s">
        <v>2185</v>
      </c>
      <c r="B908" s="664" t="s">
        <v>2125</v>
      </c>
      <c r="C908" s="665" t="s">
        <v>11</v>
      </c>
      <c r="D908" s="666">
        <v>32.54</v>
      </c>
    </row>
    <row r="909" spans="1:4" hidden="1" outlineLevel="1" x14ac:dyDescent="0.2">
      <c r="A909" s="655" t="s">
        <v>2186</v>
      </c>
      <c r="B909" s="656" t="s">
        <v>1332</v>
      </c>
      <c r="C909" s="657"/>
      <c r="D909" s="658"/>
    </row>
    <row r="910" spans="1:4" hidden="1" outlineLevel="1" x14ac:dyDescent="0.2">
      <c r="A910" s="659" t="s">
        <v>2187</v>
      </c>
      <c r="B910" s="660" t="s">
        <v>2121</v>
      </c>
      <c r="C910" s="661" t="s">
        <v>11</v>
      </c>
      <c r="D910" s="662">
        <v>5.48</v>
      </c>
    </row>
    <row r="911" spans="1:4" hidden="1" outlineLevel="1" x14ac:dyDescent="0.2">
      <c r="A911" s="663" t="s">
        <v>2188</v>
      </c>
      <c r="B911" s="664" t="s">
        <v>2151</v>
      </c>
      <c r="C911" s="665" t="s">
        <v>11</v>
      </c>
      <c r="D911" s="666">
        <v>25.12</v>
      </c>
    </row>
    <row r="912" spans="1:4" hidden="1" outlineLevel="1" x14ac:dyDescent="0.2">
      <c r="A912" s="659" t="s">
        <v>2189</v>
      </c>
      <c r="B912" s="660" t="s">
        <v>2153</v>
      </c>
      <c r="C912" s="661" t="s">
        <v>11</v>
      </c>
      <c r="D912" s="662">
        <v>196.74</v>
      </c>
    </row>
    <row r="913" spans="1:4" hidden="1" outlineLevel="1" x14ac:dyDescent="0.2">
      <c r="A913" s="663" t="s">
        <v>2190</v>
      </c>
      <c r="B913" s="664" t="s">
        <v>2144</v>
      </c>
      <c r="C913" s="665" t="s">
        <v>11</v>
      </c>
      <c r="D913" s="666">
        <v>11.47</v>
      </c>
    </row>
    <row r="914" spans="1:4" hidden="1" outlineLevel="1" x14ac:dyDescent="0.2">
      <c r="A914" s="659" t="s">
        <v>2191</v>
      </c>
      <c r="B914" s="660" t="s">
        <v>2156</v>
      </c>
      <c r="C914" s="661" t="s">
        <v>11</v>
      </c>
      <c r="D914" s="662">
        <v>36.26</v>
      </c>
    </row>
    <row r="915" spans="1:4" hidden="1" outlineLevel="1" x14ac:dyDescent="0.2">
      <c r="A915" s="663" t="s">
        <v>2192</v>
      </c>
      <c r="B915" s="664" t="s">
        <v>2125</v>
      </c>
      <c r="C915" s="665" t="s">
        <v>11</v>
      </c>
      <c r="D915" s="666">
        <v>32.54</v>
      </c>
    </row>
    <row r="916" spans="1:4" hidden="1" outlineLevel="1" x14ac:dyDescent="0.2">
      <c r="A916" s="655" t="s">
        <v>2193</v>
      </c>
      <c r="B916" s="656" t="s">
        <v>1336</v>
      </c>
      <c r="C916" s="657"/>
      <c r="D916" s="658"/>
    </row>
    <row r="917" spans="1:4" hidden="1" outlineLevel="1" x14ac:dyDescent="0.2">
      <c r="A917" s="659" t="s">
        <v>2194</v>
      </c>
      <c r="B917" s="660" t="s">
        <v>2121</v>
      </c>
      <c r="C917" s="661" t="s">
        <v>11</v>
      </c>
      <c r="D917" s="662">
        <v>5.48</v>
      </c>
    </row>
    <row r="918" spans="1:4" hidden="1" outlineLevel="1" x14ac:dyDescent="0.2">
      <c r="A918" s="663" t="s">
        <v>2195</v>
      </c>
      <c r="B918" s="664" t="s">
        <v>2151</v>
      </c>
      <c r="C918" s="665" t="s">
        <v>11</v>
      </c>
      <c r="D918" s="666">
        <v>25.12</v>
      </c>
    </row>
    <row r="919" spans="1:4" hidden="1" outlineLevel="1" x14ac:dyDescent="0.2">
      <c r="A919" s="659" t="s">
        <v>2196</v>
      </c>
      <c r="B919" s="660" t="s">
        <v>2153</v>
      </c>
      <c r="C919" s="661" t="s">
        <v>11</v>
      </c>
      <c r="D919" s="662">
        <v>196.74</v>
      </c>
    </row>
    <row r="920" spans="1:4" hidden="1" outlineLevel="1" x14ac:dyDescent="0.2">
      <c r="A920" s="663" t="s">
        <v>2197</v>
      </c>
      <c r="B920" s="664" t="s">
        <v>2144</v>
      </c>
      <c r="C920" s="665" t="s">
        <v>11</v>
      </c>
      <c r="D920" s="666">
        <v>11.47</v>
      </c>
    </row>
    <row r="921" spans="1:4" hidden="1" outlineLevel="1" x14ac:dyDescent="0.2">
      <c r="A921" s="659" t="s">
        <v>2198</v>
      </c>
      <c r="B921" s="660" t="s">
        <v>2156</v>
      </c>
      <c r="C921" s="661" t="s">
        <v>11</v>
      </c>
      <c r="D921" s="662">
        <v>36.26</v>
      </c>
    </row>
    <row r="922" spans="1:4" hidden="1" outlineLevel="1" x14ac:dyDescent="0.2">
      <c r="A922" s="663" t="s">
        <v>2199</v>
      </c>
      <c r="B922" s="664" t="s">
        <v>2125</v>
      </c>
      <c r="C922" s="665" t="s">
        <v>11</v>
      </c>
      <c r="D922" s="666">
        <v>32.54</v>
      </c>
    </row>
    <row r="923" spans="1:4" hidden="1" outlineLevel="1" x14ac:dyDescent="0.2">
      <c r="A923" s="655" t="s">
        <v>2200</v>
      </c>
      <c r="B923" s="656" t="s">
        <v>1340</v>
      </c>
      <c r="C923" s="657"/>
      <c r="D923" s="658"/>
    </row>
    <row r="924" spans="1:4" hidden="1" outlineLevel="1" x14ac:dyDescent="0.2">
      <c r="A924" s="659" t="s">
        <v>2201</v>
      </c>
      <c r="B924" s="660" t="s">
        <v>2121</v>
      </c>
      <c r="C924" s="661" t="s">
        <v>11</v>
      </c>
      <c r="D924" s="662">
        <v>5.48</v>
      </c>
    </row>
    <row r="925" spans="1:4" hidden="1" outlineLevel="1" x14ac:dyDescent="0.2">
      <c r="A925" s="663" t="s">
        <v>2202</v>
      </c>
      <c r="B925" s="664" t="s">
        <v>2151</v>
      </c>
      <c r="C925" s="665" t="s">
        <v>11</v>
      </c>
      <c r="D925" s="666">
        <v>25.12</v>
      </c>
    </row>
    <row r="926" spans="1:4" hidden="1" outlineLevel="1" x14ac:dyDescent="0.2">
      <c r="A926" s="659" t="s">
        <v>2203</v>
      </c>
      <c r="B926" s="660" t="s">
        <v>2153</v>
      </c>
      <c r="C926" s="661" t="s">
        <v>11</v>
      </c>
      <c r="D926" s="662">
        <v>196.74</v>
      </c>
    </row>
    <row r="927" spans="1:4" hidden="1" outlineLevel="1" x14ac:dyDescent="0.2">
      <c r="A927" s="663" t="s">
        <v>2204</v>
      </c>
      <c r="B927" s="664" t="s">
        <v>2144</v>
      </c>
      <c r="C927" s="665" t="s">
        <v>11</v>
      </c>
      <c r="D927" s="666">
        <v>11.47</v>
      </c>
    </row>
    <row r="928" spans="1:4" hidden="1" outlineLevel="1" x14ac:dyDescent="0.2">
      <c r="A928" s="659" t="s">
        <v>2205</v>
      </c>
      <c r="B928" s="660" t="s">
        <v>2156</v>
      </c>
      <c r="C928" s="661" t="s">
        <v>11</v>
      </c>
      <c r="D928" s="662">
        <v>36.26</v>
      </c>
    </row>
    <row r="929" spans="1:4" hidden="1" outlineLevel="1" x14ac:dyDescent="0.2">
      <c r="A929" s="663" t="s">
        <v>2206</v>
      </c>
      <c r="B929" s="664" t="s">
        <v>2125</v>
      </c>
      <c r="C929" s="665" t="s">
        <v>11</v>
      </c>
      <c r="D929" s="666">
        <v>32.54</v>
      </c>
    </row>
    <row r="930" spans="1:4" hidden="1" outlineLevel="1" x14ac:dyDescent="0.2">
      <c r="A930" s="655" t="s">
        <v>2207</v>
      </c>
      <c r="B930" s="656" t="s">
        <v>1344</v>
      </c>
      <c r="C930" s="657"/>
      <c r="D930" s="658"/>
    </row>
    <row r="931" spans="1:4" hidden="1" outlineLevel="1" x14ac:dyDescent="0.2">
      <c r="A931" s="659" t="s">
        <v>2208</v>
      </c>
      <c r="B931" s="660" t="s">
        <v>2121</v>
      </c>
      <c r="C931" s="661" t="s">
        <v>11</v>
      </c>
      <c r="D931" s="662">
        <v>5.48</v>
      </c>
    </row>
    <row r="932" spans="1:4" hidden="1" outlineLevel="1" x14ac:dyDescent="0.2">
      <c r="A932" s="663" t="s">
        <v>2209</v>
      </c>
      <c r="B932" s="664" t="s">
        <v>2151</v>
      </c>
      <c r="C932" s="665" t="s">
        <v>11</v>
      </c>
      <c r="D932" s="666">
        <v>25.12</v>
      </c>
    </row>
    <row r="933" spans="1:4" hidden="1" outlineLevel="1" x14ac:dyDescent="0.2">
      <c r="A933" s="659" t="s">
        <v>2210</v>
      </c>
      <c r="B933" s="660" t="s">
        <v>2153</v>
      </c>
      <c r="C933" s="661" t="s">
        <v>11</v>
      </c>
      <c r="D933" s="662">
        <v>196.74</v>
      </c>
    </row>
    <row r="934" spans="1:4" hidden="1" outlineLevel="1" x14ac:dyDescent="0.2">
      <c r="A934" s="663" t="s">
        <v>2211</v>
      </c>
      <c r="B934" s="664" t="s">
        <v>2144</v>
      </c>
      <c r="C934" s="665" t="s">
        <v>11</v>
      </c>
      <c r="D934" s="666">
        <v>11.47</v>
      </c>
    </row>
    <row r="935" spans="1:4" hidden="1" outlineLevel="1" x14ac:dyDescent="0.2">
      <c r="A935" s="659" t="s">
        <v>2212</v>
      </c>
      <c r="B935" s="660" t="s">
        <v>2156</v>
      </c>
      <c r="C935" s="661" t="s">
        <v>11</v>
      </c>
      <c r="D935" s="662">
        <v>36.26</v>
      </c>
    </row>
    <row r="936" spans="1:4" hidden="1" outlineLevel="1" x14ac:dyDescent="0.2">
      <c r="A936" s="663" t="s">
        <v>2213</v>
      </c>
      <c r="B936" s="664" t="s">
        <v>2125</v>
      </c>
      <c r="C936" s="665" t="s">
        <v>11</v>
      </c>
      <c r="D936" s="666">
        <v>32.54</v>
      </c>
    </row>
    <row r="937" spans="1:4" hidden="1" outlineLevel="1" x14ac:dyDescent="0.2">
      <c r="A937" s="655" t="s">
        <v>2214</v>
      </c>
      <c r="B937" s="656" t="s">
        <v>1348</v>
      </c>
      <c r="C937" s="657"/>
      <c r="D937" s="658"/>
    </row>
    <row r="938" spans="1:4" hidden="1" outlineLevel="1" x14ac:dyDescent="0.2">
      <c r="A938" s="659" t="s">
        <v>2215</v>
      </c>
      <c r="B938" s="660" t="s">
        <v>2121</v>
      </c>
      <c r="C938" s="661" t="s">
        <v>11</v>
      </c>
      <c r="D938" s="662">
        <v>5.48</v>
      </c>
    </row>
    <row r="939" spans="1:4" hidden="1" outlineLevel="1" x14ac:dyDescent="0.2">
      <c r="A939" s="663" t="s">
        <v>2216</v>
      </c>
      <c r="B939" s="664" t="s">
        <v>2151</v>
      </c>
      <c r="C939" s="665" t="s">
        <v>11</v>
      </c>
      <c r="D939" s="666">
        <v>25.12</v>
      </c>
    </row>
    <row r="940" spans="1:4" hidden="1" outlineLevel="1" x14ac:dyDescent="0.2">
      <c r="A940" s="659" t="s">
        <v>2217</v>
      </c>
      <c r="B940" s="660" t="s">
        <v>2153</v>
      </c>
      <c r="C940" s="661" t="s">
        <v>11</v>
      </c>
      <c r="D940" s="662">
        <v>196.74</v>
      </c>
    </row>
    <row r="941" spans="1:4" hidden="1" outlineLevel="1" x14ac:dyDescent="0.2">
      <c r="A941" s="663" t="s">
        <v>2218</v>
      </c>
      <c r="B941" s="664" t="s">
        <v>2144</v>
      </c>
      <c r="C941" s="665" t="s">
        <v>11</v>
      </c>
      <c r="D941" s="666">
        <v>11.47</v>
      </c>
    </row>
    <row r="942" spans="1:4" hidden="1" outlineLevel="1" x14ac:dyDescent="0.2">
      <c r="A942" s="659" t="s">
        <v>2219</v>
      </c>
      <c r="B942" s="660" t="s">
        <v>2156</v>
      </c>
      <c r="C942" s="661" t="s">
        <v>11</v>
      </c>
      <c r="D942" s="662">
        <v>36.26</v>
      </c>
    </row>
    <row r="943" spans="1:4" hidden="1" outlineLevel="1" x14ac:dyDescent="0.2">
      <c r="A943" s="663" t="s">
        <v>2220</v>
      </c>
      <c r="B943" s="664" t="s">
        <v>2125</v>
      </c>
      <c r="C943" s="665" t="s">
        <v>11</v>
      </c>
      <c r="D943" s="666">
        <v>32.54</v>
      </c>
    </row>
    <row r="944" spans="1:4" hidden="1" outlineLevel="1" x14ac:dyDescent="0.2">
      <c r="A944" s="655" t="s">
        <v>2221</v>
      </c>
      <c r="B944" s="656" t="s">
        <v>1352</v>
      </c>
      <c r="C944" s="657"/>
      <c r="D944" s="658"/>
    </row>
    <row r="945" spans="1:4" hidden="1" outlineLevel="1" x14ac:dyDescent="0.2">
      <c r="A945" s="659" t="s">
        <v>2222</v>
      </c>
      <c r="B945" s="660" t="s">
        <v>2121</v>
      </c>
      <c r="C945" s="661" t="s">
        <v>11</v>
      </c>
      <c r="D945" s="662">
        <v>5.48</v>
      </c>
    </row>
    <row r="946" spans="1:4" hidden="1" outlineLevel="1" x14ac:dyDescent="0.2">
      <c r="A946" s="663" t="s">
        <v>2223</v>
      </c>
      <c r="B946" s="664" t="s">
        <v>2151</v>
      </c>
      <c r="C946" s="665" t="s">
        <v>11</v>
      </c>
      <c r="D946" s="666">
        <v>25.12</v>
      </c>
    </row>
    <row r="947" spans="1:4" hidden="1" outlineLevel="1" x14ac:dyDescent="0.2">
      <c r="A947" s="659" t="s">
        <v>2224</v>
      </c>
      <c r="B947" s="660" t="s">
        <v>2153</v>
      </c>
      <c r="C947" s="661" t="s">
        <v>11</v>
      </c>
      <c r="D947" s="662">
        <v>196.74</v>
      </c>
    </row>
    <row r="948" spans="1:4" hidden="1" outlineLevel="1" x14ac:dyDescent="0.2">
      <c r="A948" s="663" t="s">
        <v>2225</v>
      </c>
      <c r="B948" s="664" t="s">
        <v>2144</v>
      </c>
      <c r="C948" s="665" t="s">
        <v>11</v>
      </c>
      <c r="D948" s="666">
        <v>11.47</v>
      </c>
    </row>
    <row r="949" spans="1:4" hidden="1" outlineLevel="1" x14ac:dyDescent="0.2">
      <c r="A949" s="659" t="s">
        <v>2226</v>
      </c>
      <c r="B949" s="660" t="s">
        <v>2156</v>
      </c>
      <c r="C949" s="661" t="s">
        <v>11</v>
      </c>
      <c r="D949" s="662">
        <v>36.26</v>
      </c>
    </row>
    <row r="950" spans="1:4" hidden="1" outlineLevel="1" x14ac:dyDescent="0.2">
      <c r="A950" s="663" t="s">
        <v>2227</v>
      </c>
      <c r="B950" s="664" t="s">
        <v>2125</v>
      </c>
      <c r="C950" s="665" t="s">
        <v>11</v>
      </c>
      <c r="D950" s="666">
        <v>32.54</v>
      </c>
    </row>
    <row r="951" spans="1:4" hidden="1" outlineLevel="1" x14ac:dyDescent="0.2">
      <c r="A951" s="655" t="s">
        <v>2228</v>
      </c>
      <c r="B951" s="656" t="s">
        <v>1356</v>
      </c>
      <c r="C951" s="657"/>
      <c r="D951" s="658"/>
    </row>
    <row r="952" spans="1:4" hidden="1" outlineLevel="1" x14ac:dyDescent="0.2">
      <c r="A952" s="659" t="s">
        <v>2229</v>
      </c>
      <c r="B952" s="660" t="s">
        <v>2121</v>
      </c>
      <c r="C952" s="661" t="s">
        <v>11</v>
      </c>
      <c r="D952" s="662">
        <v>5.48</v>
      </c>
    </row>
    <row r="953" spans="1:4" hidden="1" outlineLevel="1" x14ac:dyDescent="0.2">
      <c r="A953" s="663" t="s">
        <v>2230</v>
      </c>
      <c r="B953" s="664" t="s">
        <v>2151</v>
      </c>
      <c r="C953" s="665" t="s">
        <v>11</v>
      </c>
      <c r="D953" s="666">
        <v>25.12</v>
      </c>
    </row>
    <row r="954" spans="1:4" hidden="1" outlineLevel="1" x14ac:dyDescent="0.2">
      <c r="A954" s="659" t="s">
        <v>2231</v>
      </c>
      <c r="B954" s="660" t="s">
        <v>2153</v>
      </c>
      <c r="C954" s="661" t="s">
        <v>11</v>
      </c>
      <c r="D954" s="662">
        <v>196.74</v>
      </c>
    </row>
    <row r="955" spans="1:4" hidden="1" outlineLevel="1" x14ac:dyDescent="0.2">
      <c r="A955" s="663" t="s">
        <v>2232</v>
      </c>
      <c r="B955" s="664" t="s">
        <v>2144</v>
      </c>
      <c r="C955" s="665" t="s">
        <v>11</v>
      </c>
      <c r="D955" s="666">
        <v>11.47</v>
      </c>
    </row>
    <row r="956" spans="1:4" hidden="1" outlineLevel="1" x14ac:dyDescent="0.2">
      <c r="A956" s="659" t="s">
        <v>2233</v>
      </c>
      <c r="B956" s="660" t="s">
        <v>2156</v>
      </c>
      <c r="C956" s="661" t="s">
        <v>11</v>
      </c>
      <c r="D956" s="662">
        <v>36.26</v>
      </c>
    </row>
    <row r="957" spans="1:4" hidden="1" outlineLevel="1" x14ac:dyDescent="0.2">
      <c r="A957" s="663" t="s">
        <v>2234</v>
      </c>
      <c r="B957" s="664" t="s">
        <v>2125</v>
      </c>
      <c r="C957" s="665" t="s">
        <v>11</v>
      </c>
      <c r="D957" s="666">
        <v>32.54</v>
      </c>
    </row>
    <row r="958" spans="1:4" hidden="1" outlineLevel="1" x14ac:dyDescent="0.2">
      <c r="A958" s="655" t="s">
        <v>2235</v>
      </c>
      <c r="B958" s="656" t="s">
        <v>1360</v>
      </c>
      <c r="C958" s="657"/>
      <c r="D958" s="658"/>
    </row>
    <row r="959" spans="1:4" hidden="1" outlineLevel="1" x14ac:dyDescent="0.2">
      <c r="A959" s="659" t="s">
        <v>2236</v>
      </c>
      <c r="B959" s="660" t="s">
        <v>2121</v>
      </c>
      <c r="C959" s="661" t="s">
        <v>11</v>
      </c>
      <c r="D959" s="662">
        <v>5.48</v>
      </c>
    </row>
    <row r="960" spans="1:4" hidden="1" outlineLevel="1" x14ac:dyDescent="0.2">
      <c r="A960" s="663" t="s">
        <v>2237</v>
      </c>
      <c r="B960" s="664" t="s">
        <v>2151</v>
      </c>
      <c r="C960" s="665" t="s">
        <v>11</v>
      </c>
      <c r="D960" s="666">
        <v>25.12</v>
      </c>
    </row>
    <row r="961" spans="1:4" hidden="1" outlineLevel="1" x14ac:dyDescent="0.2">
      <c r="A961" s="659" t="s">
        <v>2238</v>
      </c>
      <c r="B961" s="660" t="s">
        <v>2153</v>
      </c>
      <c r="C961" s="661" t="s">
        <v>11</v>
      </c>
      <c r="D961" s="662">
        <v>196.74</v>
      </c>
    </row>
    <row r="962" spans="1:4" hidden="1" outlineLevel="1" x14ac:dyDescent="0.2">
      <c r="A962" s="663" t="s">
        <v>2239</v>
      </c>
      <c r="B962" s="664" t="s">
        <v>2144</v>
      </c>
      <c r="C962" s="665" t="s">
        <v>11</v>
      </c>
      <c r="D962" s="666">
        <v>11.47</v>
      </c>
    </row>
    <row r="963" spans="1:4" hidden="1" outlineLevel="1" x14ac:dyDescent="0.2">
      <c r="A963" s="659" t="s">
        <v>2240</v>
      </c>
      <c r="B963" s="660" t="s">
        <v>2156</v>
      </c>
      <c r="C963" s="661" t="s">
        <v>11</v>
      </c>
      <c r="D963" s="662">
        <v>36.26</v>
      </c>
    </row>
    <row r="964" spans="1:4" hidden="1" outlineLevel="1" x14ac:dyDescent="0.2">
      <c r="A964" s="663" t="s">
        <v>2241</v>
      </c>
      <c r="B964" s="664" t="s">
        <v>2125</v>
      </c>
      <c r="C964" s="665" t="s">
        <v>11</v>
      </c>
      <c r="D964" s="666">
        <v>32.54</v>
      </c>
    </row>
    <row r="965" spans="1:4" hidden="1" outlineLevel="1" x14ac:dyDescent="0.2">
      <c r="A965" s="655" t="s">
        <v>2242</v>
      </c>
      <c r="B965" s="656" t="s">
        <v>1364</v>
      </c>
      <c r="C965" s="657"/>
      <c r="D965" s="658"/>
    </row>
    <row r="966" spans="1:4" hidden="1" outlineLevel="1" x14ac:dyDescent="0.2">
      <c r="A966" s="659" t="s">
        <v>2243</v>
      </c>
      <c r="B966" s="660" t="s">
        <v>2121</v>
      </c>
      <c r="C966" s="661" t="s">
        <v>11</v>
      </c>
      <c r="D966" s="662">
        <v>5.23</v>
      </c>
    </row>
    <row r="967" spans="1:4" hidden="1" outlineLevel="1" x14ac:dyDescent="0.2">
      <c r="A967" s="663" t="s">
        <v>2244</v>
      </c>
      <c r="B967" s="664" t="s">
        <v>2151</v>
      </c>
      <c r="C967" s="665" t="s">
        <v>11</v>
      </c>
      <c r="D967" s="666">
        <v>25.06</v>
      </c>
    </row>
    <row r="968" spans="1:4" hidden="1" outlineLevel="1" x14ac:dyDescent="0.2">
      <c r="A968" s="659" t="s">
        <v>2245</v>
      </c>
      <c r="B968" s="660" t="s">
        <v>2153</v>
      </c>
      <c r="C968" s="661" t="s">
        <v>11</v>
      </c>
      <c r="D968" s="662">
        <v>165.99</v>
      </c>
    </row>
    <row r="969" spans="1:4" hidden="1" outlineLevel="1" x14ac:dyDescent="0.2">
      <c r="A969" s="663" t="s">
        <v>2246</v>
      </c>
      <c r="B969" s="664" t="s">
        <v>2144</v>
      </c>
      <c r="C969" s="665" t="s">
        <v>11</v>
      </c>
      <c r="D969" s="666">
        <v>11.26</v>
      </c>
    </row>
    <row r="970" spans="1:4" hidden="1" outlineLevel="1" x14ac:dyDescent="0.2">
      <c r="A970" s="659" t="s">
        <v>2247</v>
      </c>
      <c r="B970" s="660" t="s">
        <v>2156</v>
      </c>
      <c r="C970" s="661" t="s">
        <v>11</v>
      </c>
      <c r="D970" s="662">
        <v>42.57</v>
      </c>
    </row>
    <row r="971" spans="1:4" hidden="1" outlineLevel="1" x14ac:dyDescent="0.2">
      <c r="A971" s="663" t="s">
        <v>2248</v>
      </c>
      <c r="B971" s="664" t="s">
        <v>2125</v>
      </c>
      <c r="C971" s="665" t="s">
        <v>11</v>
      </c>
      <c r="D971" s="666">
        <v>32.630000000000003</v>
      </c>
    </row>
    <row r="972" spans="1:4" hidden="1" outlineLevel="1" x14ac:dyDescent="0.2">
      <c r="A972" s="655" t="s">
        <v>2249</v>
      </c>
      <c r="B972" s="656" t="s">
        <v>1368</v>
      </c>
      <c r="C972" s="657"/>
      <c r="D972" s="658"/>
    </row>
    <row r="973" spans="1:4" hidden="1" outlineLevel="1" x14ac:dyDescent="0.2">
      <c r="A973" s="659" t="s">
        <v>2250</v>
      </c>
      <c r="B973" s="660" t="s">
        <v>2151</v>
      </c>
      <c r="C973" s="661" t="s">
        <v>11</v>
      </c>
      <c r="D973" s="662">
        <v>67.239999999999995</v>
      </c>
    </row>
    <row r="974" spans="1:4" hidden="1" outlineLevel="1" x14ac:dyDescent="0.2">
      <c r="A974" s="663" t="s">
        <v>2251</v>
      </c>
      <c r="B974" s="664" t="s">
        <v>2153</v>
      </c>
      <c r="C974" s="665" t="s">
        <v>11</v>
      </c>
      <c r="D974" s="666">
        <v>195.79</v>
      </c>
    </row>
    <row r="975" spans="1:4" hidden="1" outlineLevel="1" x14ac:dyDescent="0.2">
      <c r="A975" s="659" t="s">
        <v>2252</v>
      </c>
      <c r="B975" s="660" t="s">
        <v>2144</v>
      </c>
      <c r="C975" s="661" t="s">
        <v>11</v>
      </c>
      <c r="D975" s="662">
        <v>11.76</v>
      </c>
    </row>
    <row r="976" spans="1:4" hidden="1" outlineLevel="1" x14ac:dyDescent="0.2">
      <c r="A976" s="663" t="s">
        <v>2253</v>
      </c>
      <c r="B976" s="664" t="s">
        <v>2156</v>
      </c>
      <c r="C976" s="665" t="s">
        <v>11</v>
      </c>
      <c r="D976" s="666">
        <v>12.09</v>
      </c>
    </row>
    <row r="977" spans="1:4" hidden="1" outlineLevel="1" x14ac:dyDescent="0.2">
      <c r="A977" s="659" t="s">
        <v>2254</v>
      </c>
      <c r="B977" s="660" t="s">
        <v>2125</v>
      </c>
      <c r="C977" s="661" t="s">
        <v>11</v>
      </c>
      <c r="D977" s="662">
        <v>37.340000000000003</v>
      </c>
    </row>
    <row r="978" spans="1:4" collapsed="1" x14ac:dyDescent="0.2">
      <c r="A978" s="651" t="s">
        <v>2255</v>
      </c>
      <c r="B978" s="652" t="s">
        <v>262</v>
      </c>
      <c r="C978" s="653"/>
      <c r="D978" s="654"/>
    </row>
    <row r="979" spans="1:4" hidden="1" outlineLevel="1" x14ac:dyDescent="0.2">
      <c r="A979" s="655" t="s">
        <v>2256</v>
      </c>
      <c r="B979" s="656" t="s">
        <v>1308</v>
      </c>
      <c r="C979" s="657"/>
      <c r="D979" s="658"/>
    </row>
    <row r="980" spans="1:4" hidden="1" outlineLevel="1" x14ac:dyDescent="0.2">
      <c r="A980" s="663" t="s">
        <v>2257</v>
      </c>
      <c r="B980" s="664" t="s">
        <v>2258</v>
      </c>
      <c r="C980" s="665" t="s">
        <v>11</v>
      </c>
      <c r="D980" s="666">
        <v>30.91</v>
      </c>
    </row>
    <row r="981" spans="1:4" hidden="1" outlineLevel="1" x14ac:dyDescent="0.2">
      <c r="A981" s="659" t="s">
        <v>2259</v>
      </c>
      <c r="B981" s="660" t="s">
        <v>2260</v>
      </c>
      <c r="C981" s="661" t="s">
        <v>11</v>
      </c>
      <c r="D981" s="662">
        <v>0.35</v>
      </c>
    </row>
    <row r="982" spans="1:4" hidden="1" outlineLevel="1" x14ac:dyDescent="0.2">
      <c r="A982" s="655" t="s">
        <v>2261</v>
      </c>
      <c r="B982" s="656" t="s">
        <v>1311</v>
      </c>
      <c r="C982" s="657"/>
      <c r="D982" s="658"/>
    </row>
    <row r="983" spans="1:4" hidden="1" outlineLevel="1" x14ac:dyDescent="0.2">
      <c r="A983" s="663" t="s">
        <v>2262</v>
      </c>
      <c r="B983" s="664" t="s">
        <v>2263</v>
      </c>
      <c r="C983" s="665" t="s">
        <v>11</v>
      </c>
      <c r="D983" s="666">
        <v>11.88</v>
      </c>
    </row>
    <row r="984" spans="1:4" hidden="1" outlineLevel="1" x14ac:dyDescent="0.2">
      <c r="A984" s="659" t="s">
        <v>2264</v>
      </c>
      <c r="B984" s="660" t="s">
        <v>2265</v>
      </c>
      <c r="C984" s="661" t="s">
        <v>11</v>
      </c>
      <c r="D984" s="662">
        <v>141.53</v>
      </c>
    </row>
    <row r="985" spans="1:4" hidden="1" outlineLevel="1" x14ac:dyDescent="0.2">
      <c r="A985" s="655" t="s">
        <v>2266</v>
      </c>
      <c r="B985" s="656" t="s">
        <v>1316</v>
      </c>
      <c r="C985" s="657"/>
      <c r="D985" s="658"/>
    </row>
    <row r="986" spans="1:4" hidden="1" outlineLevel="1" x14ac:dyDescent="0.2">
      <c r="A986" s="663" t="s">
        <v>2267</v>
      </c>
      <c r="B986" s="664" t="s">
        <v>2265</v>
      </c>
      <c r="C986" s="665" t="s">
        <v>11</v>
      </c>
      <c r="D986" s="666">
        <v>141.53</v>
      </c>
    </row>
    <row r="987" spans="1:4" hidden="1" outlineLevel="1" x14ac:dyDescent="0.2">
      <c r="A987" s="655" t="s">
        <v>2268</v>
      </c>
      <c r="B987" s="656" t="s">
        <v>1320</v>
      </c>
      <c r="C987" s="657"/>
      <c r="D987" s="658"/>
    </row>
    <row r="988" spans="1:4" hidden="1" outlineLevel="1" x14ac:dyDescent="0.2">
      <c r="A988" s="659" t="s">
        <v>2269</v>
      </c>
      <c r="B988" s="660" t="s">
        <v>2265</v>
      </c>
      <c r="C988" s="661" t="s">
        <v>11</v>
      </c>
      <c r="D988" s="662">
        <v>141.53</v>
      </c>
    </row>
    <row r="989" spans="1:4" hidden="1" outlineLevel="1" x14ac:dyDescent="0.2">
      <c r="A989" s="655" t="s">
        <v>2270</v>
      </c>
      <c r="B989" s="656" t="s">
        <v>1324</v>
      </c>
      <c r="C989" s="657"/>
      <c r="D989" s="658"/>
    </row>
    <row r="990" spans="1:4" hidden="1" outlineLevel="1" x14ac:dyDescent="0.2">
      <c r="A990" s="663" t="s">
        <v>2271</v>
      </c>
      <c r="B990" s="664" t="s">
        <v>2265</v>
      </c>
      <c r="C990" s="665" t="s">
        <v>11</v>
      </c>
      <c r="D990" s="666">
        <v>141.53</v>
      </c>
    </row>
    <row r="991" spans="1:4" hidden="1" outlineLevel="1" x14ac:dyDescent="0.2">
      <c r="A991" s="655" t="s">
        <v>2272</v>
      </c>
      <c r="B991" s="656" t="s">
        <v>1328</v>
      </c>
      <c r="C991" s="657"/>
      <c r="D991" s="658"/>
    </row>
    <row r="992" spans="1:4" hidden="1" outlineLevel="1" x14ac:dyDescent="0.2">
      <c r="A992" s="659" t="s">
        <v>2273</v>
      </c>
      <c r="B992" s="660" t="s">
        <v>2265</v>
      </c>
      <c r="C992" s="661" t="s">
        <v>11</v>
      </c>
      <c r="D992" s="662">
        <v>141.53</v>
      </c>
    </row>
    <row r="993" spans="1:4" hidden="1" outlineLevel="1" x14ac:dyDescent="0.2">
      <c r="A993" s="655" t="s">
        <v>2274</v>
      </c>
      <c r="B993" s="656" t="s">
        <v>1332</v>
      </c>
      <c r="C993" s="657"/>
      <c r="D993" s="658"/>
    </row>
    <row r="994" spans="1:4" hidden="1" outlineLevel="1" x14ac:dyDescent="0.2">
      <c r="A994" s="663" t="s">
        <v>2275</v>
      </c>
      <c r="B994" s="664" t="s">
        <v>2265</v>
      </c>
      <c r="C994" s="665" t="s">
        <v>11</v>
      </c>
      <c r="D994" s="666">
        <v>141.53</v>
      </c>
    </row>
    <row r="995" spans="1:4" hidden="1" outlineLevel="1" x14ac:dyDescent="0.2">
      <c r="A995" s="655" t="s">
        <v>2276</v>
      </c>
      <c r="B995" s="656" t="s">
        <v>1336</v>
      </c>
      <c r="C995" s="657"/>
      <c r="D995" s="658"/>
    </row>
    <row r="996" spans="1:4" hidden="1" outlineLevel="1" x14ac:dyDescent="0.2">
      <c r="A996" s="659" t="s">
        <v>2277</v>
      </c>
      <c r="B996" s="660" t="s">
        <v>2265</v>
      </c>
      <c r="C996" s="661" t="s">
        <v>11</v>
      </c>
      <c r="D996" s="662">
        <v>141.53</v>
      </c>
    </row>
    <row r="997" spans="1:4" hidden="1" outlineLevel="1" x14ac:dyDescent="0.2">
      <c r="A997" s="655" t="s">
        <v>2278</v>
      </c>
      <c r="B997" s="656" t="s">
        <v>1340</v>
      </c>
      <c r="C997" s="657"/>
      <c r="D997" s="658"/>
    </row>
    <row r="998" spans="1:4" hidden="1" outlineLevel="1" x14ac:dyDescent="0.2">
      <c r="A998" s="663" t="s">
        <v>2279</v>
      </c>
      <c r="B998" s="664" t="s">
        <v>2265</v>
      </c>
      <c r="C998" s="665" t="s">
        <v>11</v>
      </c>
      <c r="D998" s="666">
        <v>141.53</v>
      </c>
    </row>
    <row r="999" spans="1:4" hidden="1" outlineLevel="1" x14ac:dyDescent="0.2">
      <c r="A999" s="655" t="s">
        <v>2280</v>
      </c>
      <c r="B999" s="656" t="s">
        <v>1344</v>
      </c>
      <c r="C999" s="657"/>
      <c r="D999" s="658"/>
    </row>
    <row r="1000" spans="1:4" hidden="1" outlineLevel="1" x14ac:dyDescent="0.2">
      <c r="A1000" s="659" t="s">
        <v>2281</v>
      </c>
      <c r="B1000" s="660" t="s">
        <v>2265</v>
      </c>
      <c r="C1000" s="661" t="s">
        <v>11</v>
      </c>
      <c r="D1000" s="662">
        <v>141.53</v>
      </c>
    </row>
    <row r="1001" spans="1:4" hidden="1" outlineLevel="1" x14ac:dyDescent="0.2">
      <c r="A1001" s="655" t="s">
        <v>2282</v>
      </c>
      <c r="B1001" s="656" t="s">
        <v>1348</v>
      </c>
      <c r="C1001" s="657"/>
      <c r="D1001" s="658"/>
    </row>
    <row r="1002" spans="1:4" hidden="1" outlineLevel="1" x14ac:dyDescent="0.2">
      <c r="A1002" s="663" t="s">
        <v>2283</v>
      </c>
      <c r="B1002" s="664" t="s">
        <v>2265</v>
      </c>
      <c r="C1002" s="665" t="s">
        <v>11</v>
      </c>
      <c r="D1002" s="666">
        <v>141.53</v>
      </c>
    </row>
    <row r="1003" spans="1:4" hidden="1" outlineLevel="1" x14ac:dyDescent="0.2">
      <c r="A1003" s="655" t="s">
        <v>2284</v>
      </c>
      <c r="B1003" s="656" t="s">
        <v>1352</v>
      </c>
      <c r="C1003" s="657"/>
      <c r="D1003" s="658"/>
    </row>
    <row r="1004" spans="1:4" hidden="1" outlineLevel="1" x14ac:dyDescent="0.2">
      <c r="A1004" s="659" t="s">
        <v>2285</v>
      </c>
      <c r="B1004" s="660" t="s">
        <v>2265</v>
      </c>
      <c r="C1004" s="661" t="s">
        <v>11</v>
      </c>
      <c r="D1004" s="662">
        <v>141.53</v>
      </c>
    </row>
    <row r="1005" spans="1:4" hidden="1" outlineLevel="1" x14ac:dyDescent="0.2">
      <c r="A1005" s="655" t="s">
        <v>2286</v>
      </c>
      <c r="B1005" s="656" t="s">
        <v>1356</v>
      </c>
      <c r="C1005" s="657"/>
      <c r="D1005" s="658"/>
    </row>
    <row r="1006" spans="1:4" hidden="1" outlineLevel="1" x14ac:dyDescent="0.2">
      <c r="A1006" s="663" t="s">
        <v>2287</v>
      </c>
      <c r="B1006" s="664" t="s">
        <v>2265</v>
      </c>
      <c r="C1006" s="665" t="s">
        <v>11</v>
      </c>
      <c r="D1006" s="666">
        <v>141.53</v>
      </c>
    </row>
    <row r="1007" spans="1:4" hidden="1" outlineLevel="1" x14ac:dyDescent="0.2">
      <c r="A1007" s="655" t="s">
        <v>2288</v>
      </c>
      <c r="B1007" s="656" t="s">
        <v>1360</v>
      </c>
      <c r="C1007" s="657"/>
      <c r="D1007" s="658"/>
    </row>
    <row r="1008" spans="1:4" hidden="1" outlineLevel="1" x14ac:dyDescent="0.2">
      <c r="A1008" s="659" t="s">
        <v>2289</v>
      </c>
      <c r="B1008" s="660" t="s">
        <v>2265</v>
      </c>
      <c r="C1008" s="661" t="s">
        <v>11</v>
      </c>
      <c r="D1008" s="662">
        <v>141.53</v>
      </c>
    </row>
    <row r="1009" spans="1:8" hidden="1" outlineLevel="1" x14ac:dyDescent="0.2">
      <c r="A1009" s="655" t="s">
        <v>2290</v>
      </c>
      <c r="B1009" s="656" t="s">
        <v>1364</v>
      </c>
      <c r="C1009" s="657"/>
      <c r="D1009" s="658"/>
    </row>
    <row r="1010" spans="1:8" hidden="1" outlineLevel="1" x14ac:dyDescent="0.2">
      <c r="A1010" s="663" t="s">
        <v>2291</v>
      </c>
      <c r="B1010" s="664" t="s">
        <v>2265</v>
      </c>
      <c r="C1010" s="665" t="s">
        <v>11</v>
      </c>
      <c r="D1010" s="666">
        <v>177.75</v>
      </c>
    </row>
    <row r="1011" spans="1:8" hidden="1" outlineLevel="1" x14ac:dyDescent="0.2">
      <c r="A1011" s="655" t="s">
        <v>2292</v>
      </c>
      <c r="B1011" s="656" t="s">
        <v>1368</v>
      </c>
      <c r="C1011" s="657"/>
      <c r="D1011" s="658"/>
    </row>
    <row r="1012" spans="1:8" hidden="1" outlineLevel="1" x14ac:dyDescent="0.2">
      <c r="A1012" s="659" t="s">
        <v>2293</v>
      </c>
      <c r="B1012" s="660" t="s">
        <v>2265</v>
      </c>
      <c r="C1012" s="661" t="s">
        <v>11</v>
      </c>
      <c r="D1012" s="662">
        <v>54.38</v>
      </c>
    </row>
    <row r="1013" spans="1:8" collapsed="1" x14ac:dyDescent="0.2">
      <c r="A1013" s="651" t="s">
        <v>2294</v>
      </c>
      <c r="B1013" s="652" t="s">
        <v>2295</v>
      </c>
      <c r="C1013" s="653"/>
      <c r="D1013" s="654"/>
    </row>
    <row r="1014" spans="1:8" hidden="1" outlineLevel="1" x14ac:dyDescent="0.2">
      <c r="A1014" s="655" t="s">
        <v>2296</v>
      </c>
      <c r="B1014" s="656" t="s">
        <v>1292</v>
      </c>
      <c r="C1014" s="657"/>
      <c r="D1014" s="658"/>
    </row>
    <row r="1015" spans="1:8" hidden="1" outlineLevel="1" x14ac:dyDescent="0.2">
      <c r="A1015" s="663" t="s">
        <v>2297</v>
      </c>
      <c r="B1015" s="664" t="s">
        <v>2298</v>
      </c>
      <c r="C1015" s="665" t="s">
        <v>3</v>
      </c>
      <c r="D1015" s="666">
        <v>7.27</v>
      </c>
    </row>
    <row r="1016" spans="1:8" hidden="1" outlineLevel="1" x14ac:dyDescent="0.2">
      <c r="A1016" s="659" t="s">
        <v>2299</v>
      </c>
      <c r="B1016" s="660" t="s">
        <v>2300</v>
      </c>
      <c r="C1016" s="661" t="s">
        <v>3</v>
      </c>
      <c r="D1016" s="662">
        <v>35.5</v>
      </c>
    </row>
    <row r="1017" spans="1:8" hidden="1" outlineLevel="1" x14ac:dyDescent="0.2">
      <c r="A1017" s="655" t="s">
        <v>2301</v>
      </c>
      <c r="B1017" s="656" t="s">
        <v>1296</v>
      </c>
      <c r="C1017" s="657"/>
      <c r="D1017" s="658"/>
    </row>
    <row r="1018" spans="1:8" hidden="1" outlineLevel="1" x14ac:dyDescent="0.2">
      <c r="A1018" s="663" t="s">
        <v>2302</v>
      </c>
      <c r="B1018" s="664" t="s">
        <v>2300</v>
      </c>
      <c r="C1018" s="665" t="s">
        <v>3</v>
      </c>
      <c r="D1018" s="666">
        <v>6.31</v>
      </c>
    </row>
    <row r="1019" spans="1:8" hidden="1" outlineLevel="1" x14ac:dyDescent="0.2">
      <c r="A1019" s="655" t="s">
        <v>2303</v>
      </c>
      <c r="B1019" s="656" t="s">
        <v>1299</v>
      </c>
      <c r="C1019" s="657"/>
      <c r="D1019" s="658"/>
      <c r="F1019" s="656" t="s">
        <v>1296</v>
      </c>
      <c r="G1019" s="657"/>
      <c r="H1019" s="658"/>
    </row>
    <row r="1020" spans="1:8" hidden="1" outlineLevel="1" x14ac:dyDescent="0.2">
      <c r="A1020" s="659" t="s">
        <v>2304</v>
      </c>
      <c r="B1020" s="660" t="s">
        <v>2300</v>
      </c>
      <c r="C1020" s="661" t="s">
        <v>3</v>
      </c>
      <c r="D1020" s="662">
        <v>6.3</v>
      </c>
      <c r="F1020" s="664" t="s">
        <v>2300</v>
      </c>
      <c r="G1020" s="665" t="s">
        <v>3</v>
      </c>
      <c r="H1020" s="666">
        <f>SUM(D1018:D1022)</f>
        <v>18.96</v>
      </c>
    </row>
    <row r="1021" spans="1:8" hidden="1" outlineLevel="1" x14ac:dyDescent="0.2">
      <c r="A1021" s="655" t="s">
        <v>2305</v>
      </c>
      <c r="B1021" s="656" t="s">
        <v>1302</v>
      </c>
      <c r="C1021" s="657"/>
      <c r="D1021" s="658"/>
    </row>
    <row r="1022" spans="1:8" hidden="1" outlineLevel="1" x14ac:dyDescent="0.2">
      <c r="A1022" s="663" t="s">
        <v>2306</v>
      </c>
      <c r="B1022" s="664" t="s">
        <v>2300</v>
      </c>
      <c r="C1022" s="665" t="s">
        <v>3</v>
      </c>
      <c r="D1022" s="666">
        <v>6.35</v>
      </c>
    </row>
    <row r="1023" spans="1:8" hidden="1" outlineLevel="1" x14ac:dyDescent="0.2">
      <c r="A1023" s="655" t="s">
        <v>2307</v>
      </c>
      <c r="B1023" s="656" t="s">
        <v>1305</v>
      </c>
      <c r="C1023" s="657"/>
      <c r="D1023" s="658"/>
    </row>
    <row r="1024" spans="1:8" hidden="1" outlineLevel="1" x14ac:dyDescent="0.2">
      <c r="A1024" s="659" t="s">
        <v>2308</v>
      </c>
      <c r="B1024" s="660" t="s">
        <v>2300</v>
      </c>
      <c r="C1024" s="661" t="s">
        <v>3</v>
      </c>
      <c r="D1024" s="662">
        <v>6.47</v>
      </c>
    </row>
    <row r="1025" spans="1:8" hidden="1" outlineLevel="1" x14ac:dyDescent="0.2">
      <c r="A1025" s="655" t="s">
        <v>2309</v>
      </c>
      <c r="B1025" s="656" t="s">
        <v>1308</v>
      </c>
      <c r="C1025" s="657"/>
      <c r="D1025" s="658"/>
    </row>
    <row r="1026" spans="1:8" hidden="1" outlineLevel="1" x14ac:dyDescent="0.2">
      <c r="A1026" s="663" t="s">
        <v>2310</v>
      </c>
      <c r="B1026" s="664" t="s">
        <v>2311</v>
      </c>
      <c r="C1026" s="665" t="s">
        <v>3</v>
      </c>
      <c r="D1026" s="666">
        <v>203.35</v>
      </c>
    </row>
    <row r="1027" spans="1:8" hidden="1" outlineLevel="1" x14ac:dyDescent="0.2">
      <c r="A1027" s="659" t="s">
        <v>2312</v>
      </c>
      <c r="B1027" s="660" t="s">
        <v>2300</v>
      </c>
      <c r="C1027" s="661" t="s">
        <v>3</v>
      </c>
      <c r="D1027" s="662">
        <v>225.07</v>
      </c>
    </row>
    <row r="1028" spans="1:8" hidden="1" outlineLevel="1" x14ac:dyDescent="0.2">
      <c r="A1028" s="655" t="s">
        <v>2313</v>
      </c>
      <c r="B1028" s="656" t="s">
        <v>1311</v>
      </c>
      <c r="C1028" s="657"/>
      <c r="D1028" s="658"/>
      <c r="F1028" s="656" t="s">
        <v>1311</v>
      </c>
      <c r="G1028" s="657"/>
      <c r="H1028" s="658"/>
    </row>
    <row r="1029" spans="1:8" hidden="1" outlineLevel="1" x14ac:dyDescent="0.2">
      <c r="A1029" s="663" t="s">
        <v>2314</v>
      </c>
      <c r="B1029" s="664" t="s">
        <v>2311</v>
      </c>
      <c r="C1029" s="665" t="s">
        <v>3</v>
      </c>
      <c r="D1029" s="666">
        <v>460.04</v>
      </c>
      <c r="F1029" s="664" t="s">
        <v>2311</v>
      </c>
      <c r="G1029" s="665" t="s">
        <v>3</v>
      </c>
      <c r="H1029" s="666" cm="1">
        <f t="array" ref="H1029:H1030">SUMIF(B1028:B1066,F1029:F1030,D1028:D1066)</f>
        <v>5983.7500000000018</v>
      </c>
    </row>
    <row r="1030" spans="1:8" hidden="1" outlineLevel="1" x14ac:dyDescent="0.2">
      <c r="A1030" s="659" t="s">
        <v>2315</v>
      </c>
      <c r="B1030" s="660" t="s">
        <v>2300</v>
      </c>
      <c r="C1030" s="661" t="s">
        <v>3</v>
      </c>
      <c r="D1030" s="662">
        <v>80</v>
      </c>
      <c r="F1030" s="660" t="s">
        <v>2300</v>
      </c>
      <c r="G1030" s="661" t="s">
        <v>3</v>
      </c>
      <c r="H1030" s="662">
        <v>920.5999999999998</v>
      </c>
    </row>
    <row r="1031" spans="1:8" hidden="1" outlineLevel="1" x14ac:dyDescent="0.2">
      <c r="A1031" s="655" t="s">
        <v>2316</v>
      </c>
      <c r="B1031" s="656" t="s">
        <v>1316</v>
      </c>
      <c r="C1031" s="657"/>
      <c r="D1031" s="658"/>
    </row>
    <row r="1032" spans="1:8" hidden="1" outlineLevel="1" x14ac:dyDescent="0.2">
      <c r="A1032" s="663" t="s">
        <v>2317</v>
      </c>
      <c r="B1032" s="664" t="s">
        <v>2311</v>
      </c>
      <c r="C1032" s="665" t="s">
        <v>3</v>
      </c>
      <c r="D1032" s="666">
        <v>460.3</v>
      </c>
    </row>
    <row r="1033" spans="1:8" hidden="1" outlineLevel="1" x14ac:dyDescent="0.2">
      <c r="A1033" s="659" t="s">
        <v>2318</v>
      </c>
      <c r="B1033" s="660" t="s">
        <v>2300</v>
      </c>
      <c r="C1033" s="661" t="s">
        <v>3</v>
      </c>
      <c r="D1033" s="662">
        <v>70.05</v>
      </c>
    </row>
    <row r="1034" spans="1:8" hidden="1" outlineLevel="1" x14ac:dyDescent="0.2">
      <c r="A1034" s="655" t="s">
        <v>2319</v>
      </c>
      <c r="B1034" s="656" t="s">
        <v>1320</v>
      </c>
      <c r="C1034" s="657"/>
      <c r="D1034" s="658"/>
    </row>
    <row r="1035" spans="1:8" hidden="1" outlineLevel="1" x14ac:dyDescent="0.2">
      <c r="A1035" s="663" t="s">
        <v>2320</v>
      </c>
      <c r="B1035" s="664" t="s">
        <v>2311</v>
      </c>
      <c r="C1035" s="665" t="s">
        <v>3</v>
      </c>
      <c r="D1035" s="666">
        <v>460.31</v>
      </c>
    </row>
    <row r="1036" spans="1:8" hidden="1" outlineLevel="1" x14ac:dyDescent="0.2">
      <c r="A1036" s="659" t="s">
        <v>2321</v>
      </c>
      <c r="B1036" s="660" t="s">
        <v>2300</v>
      </c>
      <c r="C1036" s="661" t="s">
        <v>3</v>
      </c>
      <c r="D1036" s="662">
        <v>70.05</v>
      </c>
    </row>
    <row r="1037" spans="1:8" hidden="1" outlineLevel="1" x14ac:dyDescent="0.2">
      <c r="A1037" s="655" t="s">
        <v>2322</v>
      </c>
      <c r="B1037" s="656" t="s">
        <v>1324</v>
      </c>
      <c r="C1037" s="657"/>
      <c r="D1037" s="658"/>
    </row>
    <row r="1038" spans="1:8" hidden="1" outlineLevel="1" x14ac:dyDescent="0.2">
      <c r="A1038" s="663" t="s">
        <v>2323</v>
      </c>
      <c r="B1038" s="664" t="s">
        <v>2311</v>
      </c>
      <c r="C1038" s="665" t="s">
        <v>3</v>
      </c>
      <c r="D1038" s="666">
        <v>460.31</v>
      </c>
    </row>
    <row r="1039" spans="1:8" hidden="1" outlineLevel="1" x14ac:dyDescent="0.2">
      <c r="A1039" s="659" t="s">
        <v>2324</v>
      </c>
      <c r="B1039" s="660" t="s">
        <v>2300</v>
      </c>
      <c r="C1039" s="661" t="s">
        <v>3</v>
      </c>
      <c r="D1039" s="662">
        <v>70.05</v>
      </c>
    </row>
    <row r="1040" spans="1:8" hidden="1" outlineLevel="1" x14ac:dyDescent="0.2">
      <c r="A1040" s="655" t="s">
        <v>2325</v>
      </c>
      <c r="B1040" s="656" t="s">
        <v>1328</v>
      </c>
      <c r="C1040" s="657"/>
      <c r="D1040" s="658"/>
    </row>
    <row r="1041" spans="1:4" hidden="1" outlineLevel="1" x14ac:dyDescent="0.2">
      <c r="A1041" s="663" t="s">
        <v>2326</v>
      </c>
      <c r="B1041" s="664" t="s">
        <v>2311</v>
      </c>
      <c r="C1041" s="665" t="s">
        <v>3</v>
      </c>
      <c r="D1041" s="666">
        <v>460.31</v>
      </c>
    </row>
    <row r="1042" spans="1:4" hidden="1" outlineLevel="1" x14ac:dyDescent="0.2">
      <c r="A1042" s="659" t="s">
        <v>2327</v>
      </c>
      <c r="B1042" s="660" t="s">
        <v>2300</v>
      </c>
      <c r="C1042" s="661" t="s">
        <v>3</v>
      </c>
      <c r="D1042" s="662">
        <v>70.05</v>
      </c>
    </row>
    <row r="1043" spans="1:4" hidden="1" outlineLevel="1" x14ac:dyDescent="0.2">
      <c r="A1043" s="655" t="s">
        <v>2328</v>
      </c>
      <c r="B1043" s="656" t="s">
        <v>1332</v>
      </c>
      <c r="C1043" s="657"/>
      <c r="D1043" s="658"/>
    </row>
    <row r="1044" spans="1:4" hidden="1" outlineLevel="1" x14ac:dyDescent="0.2">
      <c r="A1044" s="663" t="s">
        <v>2329</v>
      </c>
      <c r="B1044" s="664" t="s">
        <v>2311</v>
      </c>
      <c r="C1044" s="665" t="s">
        <v>3</v>
      </c>
      <c r="D1044" s="666">
        <v>460.31</v>
      </c>
    </row>
    <row r="1045" spans="1:4" hidden="1" outlineLevel="1" x14ac:dyDescent="0.2">
      <c r="A1045" s="659" t="s">
        <v>2330</v>
      </c>
      <c r="B1045" s="660" t="s">
        <v>2300</v>
      </c>
      <c r="C1045" s="661" t="s">
        <v>3</v>
      </c>
      <c r="D1045" s="662">
        <v>70.05</v>
      </c>
    </row>
    <row r="1046" spans="1:4" hidden="1" outlineLevel="1" x14ac:dyDescent="0.2">
      <c r="A1046" s="655" t="s">
        <v>2331</v>
      </c>
      <c r="B1046" s="656" t="s">
        <v>1336</v>
      </c>
      <c r="C1046" s="657"/>
      <c r="D1046" s="658"/>
    </row>
    <row r="1047" spans="1:4" hidden="1" outlineLevel="1" x14ac:dyDescent="0.2">
      <c r="A1047" s="663" t="s">
        <v>2332</v>
      </c>
      <c r="B1047" s="664" t="s">
        <v>2311</v>
      </c>
      <c r="C1047" s="665" t="s">
        <v>3</v>
      </c>
      <c r="D1047" s="666">
        <v>460.31</v>
      </c>
    </row>
    <row r="1048" spans="1:4" hidden="1" outlineLevel="1" x14ac:dyDescent="0.2">
      <c r="A1048" s="659" t="s">
        <v>2333</v>
      </c>
      <c r="B1048" s="660" t="s">
        <v>2300</v>
      </c>
      <c r="C1048" s="661" t="s">
        <v>3</v>
      </c>
      <c r="D1048" s="662">
        <v>70.05</v>
      </c>
    </row>
    <row r="1049" spans="1:4" hidden="1" outlineLevel="1" x14ac:dyDescent="0.2">
      <c r="A1049" s="655" t="s">
        <v>2334</v>
      </c>
      <c r="B1049" s="656" t="s">
        <v>1340</v>
      </c>
      <c r="C1049" s="657"/>
      <c r="D1049" s="658"/>
    </row>
    <row r="1050" spans="1:4" hidden="1" outlineLevel="1" x14ac:dyDescent="0.2">
      <c r="A1050" s="663" t="s">
        <v>2335</v>
      </c>
      <c r="B1050" s="664" t="s">
        <v>2311</v>
      </c>
      <c r="C1050" s="665" t="s">
        <v>3</v>
      </c>
      <c r="D1050" s="666">
        <v>460.31</v>
      </c>
    </row>
    <row r="1051" spans="1:4" hidden="1" outlineLevel="1" x14ac:dyDescent="0.2">
      <c r="A1051" s="659" t="s">
        <v>2336</v>
      </c>
      <c r="B1051" s="660" t="s">
        <v>2300</v>
      </c>
      <c r="C1051" s="661" t="s">
        <v>3</v>
      </c>
      <c r="D1051" s="662">
        <v>70.05</v>
      </c>
    </row>
    <row r="1052" spans="1:4" hidden="1" outlineLevel="1" x14ac:dyDescent="0.2">
      <c r="A1052" s="655" t="s">
        <v>2337</v>
      </c>
      <c r="B1052" s="656" t="s">
        <v>1344</v>
      </c>
      <c r="C1052" s="657"/>
      <c r="D1052" s="658"/>
    </row>
    <row r="1053" spans="1:4" hidden="1" outlineLevel="1" x14ac:dyDescent="0.2">
      <c r="A1053" s="663" t="s">
        <v>2338</v>
      </c>
      <c r="B1053" s="664" t="s">
        <v>2311</v>
      </c>
      <c r="C1053" s="665" t="s">
        <v>3</v>
      </c>
      <c r="D1053" s="666">
        <v>460.31</v>
      </c>
    </row>
    <row r="1054" spans="1:4" hidden="1" outlineLevel="1" x14ac:dyDescent="0.2">
      <c r="A1054" s="659" t="s">
        <v>2339</v>
      </c>
      <c r="B1054" s="660" t="s">
        <v>2300</v>
      </c>
      <c r="C1054" s="661" t="s">
        <v>3</v>
      </c>
      <c r="D1054" s="662">
        <v>70.05</v>
      </c>
    </row>
    <row r="1055" spans="1:4" hidden="1" outlineLevel="1" x14ac:dyDescent="0.2">
      <c r="A1055" s="655" t="s">
        <v>2340</v>
      </c>
      <c r="B1055" s="656" t="s">
        <v>1348</v>
      </c>
      <c r="C1055" s="657"/>
      <c r="D1055" s="658"/>
    </row>
    <row r="1056" spans="1:4" hidden="1" outlineLevel="1" x14ac:dyDescent="0.2">
      <c r="A1056" s="663" t="s">
        <v>2341</v>
      </c>
      <c r="B1056" s="664" t="s">
        <v>2311</v>
      </c>
      <c r="C1056" s="665" t="s">
        <v>3</v>
      </c>
      <c r="D1056" s="666">
        <v>460.31</v>
      </c>
    </row>
    <row r="1057" spans="1:4" hidden="1" outlineLevel="1" x14ac:dyDescent="0.2">
      <c r="A1057" s="659" t="s">
        <v>2342</v>
      </c>
      <c r="B1057" s="660" t="s">
        <v>2300</v>
      </c>
      <c r="C1057" s="661" t="s">
        <v>3</v>
      </c>
      <c r="D1057" s="662">
        <v>70.05</v>
      </c>
    </row>
    <row r="1058" spans="1:4" hidden="1" outlineLevel="1" x14ac:dyDescent="0.2">
      <c r="A1058" s="655" t="s">
        <v>2343</v>
      </c>
      <c r="B1058" s="656" t="s">
        <v>1352</v>
      </c>
      <c r="C1058" s="657"/>
      <c r="D1058" s="658"/>
    </row>
    <row r="1059" spans="1:4" hidden="1" outlineLevel="1" x14ac:dyDescent="0.2">
      <c r="A1059" s="663" t="s">
        <v>2344</v>
      </c>
      <c r="B1059" s="664" t="s">
        <v>2311</v>
      </c>
      <c r="C1059" s="665" t="s">
        <v>3</v>
      </c>
      <c r="D1059" s="666">
        <v>460.31</v>
      </c>
    </row>
    <row r="1060" spans="1:4" hidden="1" outlineLevel="1" x14ac:dyDescent="0.2">
      <c r="A1060" s="659" t="s">
        <v>2345</v>
      </c>
      <c r="B1060" s="660" t="s">
        <v>2300</v>
      </c>
      <c r="C1060" s="661" t="s">
        <v>3</v>
      </c>
      <c r="D1060" s="662">
        <v>70.05</v>
      </c>
    </row>
    <row r="1061" spans="1:4" hidden="1" outlineLevel="1" x14ac:dyDescent="0.2">
      <c r="A1061" s="655" t="s">
        <v>2346</v>
      </c>
      <c r="B1061" s="656" t="s">
        <v>1356</v>
      </c>
      <c r="C1061" s="657"/>
      <c r="D1061" s="658"/>
    </row>
    <row r="1062" spans="1:4" hidden="1" outlineLevel="1" x14ac:dyDescent="0.2">
      <c r="A1062" s="663" t="s">
        <v>2347</v>
      </c>
      <c r="B1062" s="664" t="s">
        <v>2311</v>
      </c>
      <c r="C1062" s="665" t="s">
        <v>3</v>
      </c>
      <c r="D1062" s="666">
        <v>460.31</v>
      </c>
    </row>
    <row r="1063" spans="1:4" hidden="1" outlineLevel="1" x14ac:dyDescent="0.2">
      <c r="A1063" s="659" t="s">
        <v>2348</v>
      </c>
      <c r="B1063" s="660" t="s">
        <v>2300</v>
      </c>
      <c r="C1063" s="661" t="s">
        <v>3</v>
      </c>
      <c r="D1063" s="662">
        <v>70.05</v>
      </c>
    </row>
    <row r="1064" spans="1:4" hidden="1" outlineLevel="1" x14ac:dyDescent="0.2">
      <c r="A1064" s="655" t="s">
        <v>2349</v>
      </c>
      <c r="B1064" s="656" t="s">
        <v>1360</v>
      </c>
      <c r="C1064" s="657"/>
      <c r="D1064" s="658"/>
    </row>
    <row r="1065" spans="1:4" hidden="1" outlineLevel="1" x14ac:dyDescent="0.2">
      <c r="A1065" s="663" t="s">
        <v>2350</v>
      </c>
      <c r="B1065" s="664" t="s">
        <v>2311</v>
      </c>
      <c r="C1065" s="665" t="s">
        <v>3</v>
      </c>
      <c r="D1065" s="666">
        <v>460.31</v>
      </c>
    </row>
    <row r="1066" spans="1:4" hidden="1" outlineLevel="1" x14ac:dyDescent="0.2">
      <c r="A1066" s="659" t="s">
        <v>2351</v>
      </c>
      <c r="B1066" s="660" t="s">
        <v>2300</v>
      </c>
      <c r="C1066" s="661" t="s">
        <v>3</v>
      </c>
      <c r="D1066" s="662">
        <v>70.05</v>
      </c>
    </row>
    <row r="1067" spans="1:4" hidden="1" outlineLevel="1" x14ac:dyDescent="0.2">
      <c r="A1067" s="655" t="s">
        <v>2352</v>
      </c>
      <c r="B1067" s="656" t="s">
        <v>1364</v>
      </c>
      <c r="C1067" s="657"/>
      <c r="D1067" s="658"/>
    </row>
    <row r="1068" spans="1:4" hidden="1" outlineLevel="1" x14ac:dyDescent="0.2">
      <c r="A1068" s="663" t="s">
        <v>2353</v>
      </c>
      <c r="B1068" s="664" t="s">
        <v>2311</v>
      </c>
      <c r="C1068" s="665" t="s">
        <v>3</v>
      </c>
      <c r="D1068" s="666">
        <v>475.58</v>
      </c>
    </row>
    <row r="1069" spans="1:4" hidden="1" outlineLevel="1" x14ac:dyDescent="0.2">
      <c r="A1069" s="659" t="s">
        <v>2354</v>
      </c>
      <c r="B1069" s="660" t="s">
        <v>2300</v>
      </c>
      <c r="C1069" s="661" t="s">
        <v>3</v>
      </c>
      <c r="D1069" s="662">
        <v>82.32</v>
      </c>
    </row>
    <row r="1070" spans="1:4" hidden="1" outlineLevel="1" x14ac:dyDescent="0.2">
      <c r="A1070" s="655" t="s">
        <v>2355</v>
      </c>
      <c r="B1070" s="656" t="s">
        <v>1368</v>
      </c>
      <c r="C1070" s="657"/>
      <c r="D1070" s="658"/>
    </row>
    <row r="1071" spans="1:4" hidden="1" outlineLevel="1" x14ac:dyDescent="0.2">
      <c r="A1071" s="663" t="s">
        <v>2356</v>
      </c>
      <c r="B1071" s="664" t="s">
        <v>2311</v>
      </c>
      <c r="C1071" s="665" t="s">
        <v>3</v>
      </c>
      <c r="D1071" s="666">
        <v>272.32</v>
      </c>
    </row>
    <row r="1072" spans="1:4" hidden="1" outlineLevel="1" x14ac:dyDescent="0.2">
      <c r="A1072" s="659" t="s">
        <v>2357</v>
      </c>
      <c r="B1072" s="660" t="s">
        <v>2300</v>
      </c>
      <c r="C1072" s="661" t="s">
        <v>3</v>
      </c>
      <c r="D1072" s="662">
        <v>95.33</v>
      </c>
    </row>
    <row r="1073" spans="1:8" collapsed="1" x14ac:dyDescent="0.2">
      <c r="A1073" s="651" t="s">
        <v>2358</v>
      </c>
      <c r="B1073" s="652" t="s">
        <v>2359</v>
      </c>
      <c r="C1073" s="653"/>
      <c r="D1073" s="654"/>
    </row>
    <row r="1074" spans="1:8" ht="18" hidden="1" customHeight="1" outlineLevel="1" x14ac:dyDescent="0.2">
      <c r="A1074" s="655" t="s">
        <v>2360</v>
      </c>
      <c r="B1074" s="656" t="s">
        <v>1296</v>
      </c>
      <c r="C1074" s="657"/>
      <c r="D1074" s="658"/>
    </row>
    <row r="1075" spans="1:8" hidden="1" outlineLevel="1" x14ac:dyDescent="0.2">
      <c r="A1075" s="663" t="s">
        <v>2361</v>
      </c>
      <c r="B1075" s="664" t="s">
        <v>2362</v>
      </c>
      <c r="C1075" s="665" t="s">
        <v>11</v>
      </c>
      <c r="D1075" s="666">
        <v>4.7</v>
      </c>
    </row>
    <row r="1076" spans="1:8" collapsed="1" x14ac:dyDescent="0.2">
      <c r="A1076" s="651" t="s">
        <v>2363</v>
      </c>
      <c r="B1076" s="652" t="s">
        <v>137</v>
      </c>
      <c r="C1076" s="653"/>
      <c r="D1076" s="654"/>
    </row>
    <row r="1077" spans="1:8" hidden="1" outlineLevel="1" x14ac:dyDescent="0.2">
      <c r="A1077" s="655" t="s">
        <v>2364</v>
      </c>
      <c r="B1077" s="702" t="s">
        <v>1292</v>
      </c>
      <c r="C1077" s="703"/>
      <c r="D1077" s="704"/>
    </row>
    <row r="1078" spans="1:8" hidden="1" outlineLevel="1" x14ac:dyDescent="0.2">
      <c r="A1078" s="663" t="s">
        <v>2365</v>
      </c>
      <c r="B1078" s="707" t="s">
        <v>2366</v>
      </c>
      <c r="C1078" s="708" t="s">
        <v>11</v>
      </c>
      <c r="D1078" s="709">
        <v>23.38</v>
      </c>
    </row>
    <row r="1079" spans="1:8" hidden="1" outlineLevel="1" x14ac:dyDescent="0.2">
      <c r="A1079" s="659" t="s">
        <v>2367</v>
      </c>
      <c r="B1079" s="710" t="s">
        <v>2121</v>
      </c>
      <c r="C1079" s="711" t="s">
        <v>11</v>
      </c>
      <c r="D1079" s="916">
        <v>16.45</v>
      </c>
    </row>
    <row r="1080" spans="1:8" hidden="1" outlineLevel="1" x14ac:dyDescent="0.2">
      <c r="A1080" s="655" t="s">
        <v>2368</v>
      </c>
      <c r="B1080" s="702" t="s">
        <v>1296</v>
      </c>
      <c r="C1080" s="703"/>
      <c r="D1080" s="704"/>
      <c r="F1080" s="656" t="s">
        <v>1296</v>
      </c>
      <c r="G1080" s="657"/>
      <c r="H1080" s="658"/>
    </row>
    <row r="1081" spans="1:8" hidden="1" outlineLevel="1" x14ac:dyDescent="0.2">
      <c r="A1081" s="663" t="s">
        <v>2369</v>
      </c>
      <c r="B1081" s="707" t="s">
        <v>2366</v>
      </c>
      <c r="C1081" s="708" t="s">
        <v>11</v>
      </c>
      <c r="D1081" s="709">
        <v>27.97</v>
      </c>
      <c r="F1081" s="664" t="s">
        <v>2366</v>
      </c>
      <c r="G1081" s="665" t="s">
        <v>11</v>
      </c>
      <c r="H1081" s="666" cm="1">
        <f t="array" ref="H1081:H1082">SUMIF(B1080:B1088,F1081:F1082,D1080:D1088)</f>
        <v>83.91</v>
      </c>
    </row>
    <row r="1082" spans="1:8" hidden="1" outlineLevel="1" x14ac:dyDescent="0.2">
      <c r="A1082" s="659" t="s">
        <v>2370</v>
      </c>
      <c r="B1082" s="710" t="s">
        <v>2121</v>
      </c>
      <c r="C1082" s="711" t="s">
        <v>11</v>
      </c>
      <c r="D1082" s="916">
        <v>15.51</v>
      </c>
      <c r="F1082" s="660" t="s">
        <v>2121</v>
      </c>
      <c r="G1082" s="661" t="s">
        <v>11</v>
      </c>
      <c r="H1082" s="662">
        <v>46.46</v>
      </c>
    </row>
    <row r="1083" spans="1:8" hidden="1" outlineLevel="1" x14ac:dyDescent="0.2">
      <c r="A1083" s="655" t="s">
        <v>2371</v>
      </c>
      <c r="B1083" s="702" t="s">
        <v>1299</v>
      </c>
      <c r="C1083" s="703"/>
      <c r="D1083" s="704"/>
    </row>
    <row r="1084" spans="1:8" hidden="1" outlineLevel="1" x14ac:dyDescent="0.2">
      <c r="A1084" s="663" t="s">
        <v>2372</v>
      </c>
      <c r="B1084" s="707" t="s">
        <v>2366</v>
      </c>
      <c r="C1084" s="708" t="s">
        <v>11</v>
      </c>
      <c r="D1084" s="709">
        <v>27.97</v>
      </c>
    </row>
    <row r="1085" spans="1:8" hidden="1" outlineLevel="1" x14ac:dyDescent="0.2">
      <c r="A1085" s="659" t="s">
        <v>2373</v>
      </c>
      <c r="B1085" s="710" t="s">
        <v>2121</v>
      </c>
      <c r="C1085" s="711" t="s">
        <v>11</v>
      </c>
      <c r="D1085" s="916">
        <v>15.44</v>
      </c>
    </row>
    <row r="1086" spans="1:8" hidden="1" outlineLevel="1" x14ac:dyDescent="0.2">
      <c r="A1086" s="655" t="s">
        <v>2374</v>
      </c>
      <c r="B1086" s="702" t="s">
        <v>1302</v>
      </c>
      <c r="C1086" s="703"/>
      <c r="D1086" s="704"/>
    </row>
    <row r="1087" spans="1:8" hidden="1" outlineLevel="1" x14ac:dyDescent="0.2">
      <c r="A1087" s="663" t="s">
        <v>2375</v>
      </c>
      <c r="B1087" s="707" t="s">
        <v>2366</v>
      </c>
      <c r="C1087" s="708" t="s">
        <v>11</v>
      </c>
      <c r="D1087" s="709">
        <v>27.97</v>
      </c>
    </row>
    <row r="1088" spans="1:8" hidden="1" outlineLevel="1" x14ac:dyDescent="0.2">
      <c r="A1088" s="659" t="s">
        <v>2376</v>
      </c>
      <c r="B1088" s="710" t="s">
        <v>2121</v>
      </c>
      <c r="C1088" s="711" t="s">
        <v>11</v>
      </c>
      <c r="D1088" s="916">
        <v>15.51</v>
      </c>
    </row>
    <row r="1089" spans="1:8" hidden="1" outlineLevel="1" x14ac:dyDescent="0.2">
      <c r="A1089" s="655" t="s">
        <v>2377</v>
      </c>
      <c r="B1089" s="702" t="s">
        <v>1305</v>
      </c>
      <c r="C1089" s="703"/>
      <c r="D1089" s="704"/>
    </row>
    <row r="1090" spans="1:8" hidden="1" outlineLevel="1" x14ac:dyDescent="0.2">
      <c r="A1090" s="663" t="s">
        <v>2378</v>
      </c>
      <c r="B1090" s="707" t="s">
        <v>2366</v>
      </c>
      <c r="C1090" s="708" t="s">
        <v>11</v>
      </c>
      <c r="D1090" s="709">
        <v>30.57</v>
      </c>
    </row>
    <row r="1091" spans="1:8" hidden="1" outlineLevel="1" x14ac:dyDescent="0.2">
      <c r="A1091" s="659" t="s">
        <v>2379</v>
      </c>
      <c r="B1091" s="710" t="s">
        <v>2121</v>
      </c>
      <c r="C1091" s="711" t="s">
        <v>11</v>
      </c>
      <c r="D1091" s="916">
        <v>17.25</v>
      </c>
    </row>
    <row r="1092" spans="1:8" hidden="1" outlineLevel="1" x14ac:dyDescent="0.2">
      <c r="A1092" s="655" t="s">
        <v>2380</v>
      </c>
      <c r="B1092" s="702" t="s">
        <v>1308</v>
      </c>
      <c r="C1092" s="703"/>
      <c r="D1092" s="704"/>
    </row>
    <row r="1093" spans="1:8" hidden="1" outlineLevel="1" x14ac:dyDescent="0.2">
      <c r="A1093" s="663" t="s">
        <v>2381</v>
      </c>
      <c r="B1093" s="707" t="s">
        <v>2121</v>
      </c>
      <c r="C1093" s="708" t="s">
        <v>11</v>
      </c>
      <c r="D1093" s="709">
        <v>16.43</v>
      </c>
    </row>
    <row r="1094" spans="1:8" hidden="1" outlineLevel="1" x14ac:dyDescent="0.2">
      <c r="A1094" s="655" t="s">
        <v>2382</v>
      </c>
      <c r="B1094" s="702" t="s">
        <v>1311</v>
      </c>
      <c r="C1094" s="703"/>
      <c r="D1094" s="704"/>
      <c r="F1094" s="656" t="s">
        <v>1311</v>
      </c>
      <c r="G1094" s="657"/>
      <c r="H1094" s="658"/>
    </row>
    <row r="1095" spans="1:8" hidden="1" outlineLevel="1" x14ac:dyDescent="0.2">
      <c r="A1095" s="659" t="s">
        <v>2383</v>
      </c>
      <c r="B1095" s="710" t="s">
        <v>2121</v>
      </c>
      <c r="C1095" s="711" t="s">
        <v>11</v>
      </c>
      <c r="D1095" s="916">
        <v>15.68</v>
      </c>
      <c r="F1095" s="660" t="s">
        <v>2121</v>
      </c>
      <c r="G1095" s="661" t="s">
        <v>11</v>
      </c>
      <c r="H1095" s="662">
        <f>SUM(D1095:D1119)</f>
        <v>203.84000000000006</v>
      </c>
    </row>
    <row r="1096" spans="1:8" hidden="1" outlineLevel="1" x14ac:dyDescent="0.2">
      <c r="A1096" s="655" t="s">
        <v>2384</v>
      </c>
      <c r="B1096" s="702" t="s">
        <v>1316</v>
      </c>
      <c r="C1096" s="703"/>
      <c r="D1096" s="704"/>
    </row>
    <row r="1097" spans="1:8" hidden="1" outlineLevel="1" x14ac:dyDescent="0.2">
      <c r="A1097" s="663" t="s">
        <v>2385</v>
      </c>
      <c r="B1097" s="707" t="s">
        <v>2121</v>
      </c>
      <c r="C1097" s="708" t="s">
        <v>11</v>
      </c>
      <c r="D1097" s="709">
        <v>15.68</v>
      </c>
    </row>
    <row r="1098" spans="1:8" hidden="1" outlineLevel="1" x14ac:dyDescent="0.2">
      <c r="A1098" s="655" t="s">
        <v>2386</v>
      </c>
      <c r="B1098" s="702" t="s">
        <v>1320</v>
      </c>
      <c r="C1098" s="703"/>
      <c r="D1098" s="704"/>
    </row>
    <row r="1099" spans="1:8" hidden="1" outlineLevel="1" x14ac:dyDescent="0.2">
      <c r="A1099" s="659" t="s">
        <v>2387</v>
      </c>
      <c r="B1099" s="710" t="s">
        <v>2121</v>
      </c>
      <c r="C1099" s="711" t="s">
        <v>11</v>
      </c>
      <c r="D1099" s="916">
        <v>15.68</v>
      </c>
    </row>
    <row r="1100" spans="1:8" hidden="1" outlineLevel="1" x14ac:dyDescent="0.2">
      <c r="A1100" s="655" t="s">
        <v>2388</v>
      </c>
      <c r="B1100" s="702" t="s">
        <v>1324</v>
      </c>
      <c r="C1100" s="703"/>
      <c r="D1100" s="704"/>
    </row>
    <row r="1101" spans="1:8" hidden="1" outlineLevel="1" x14ac:dyDescent="0.2">
      <c r="A1101" s="663" t="s">
        <v>2389</v>
      </c>
      <c r="B1101" s="707" t="s">
        <v>2121</v>
      </c>
      <c r="C1101" s="708" t="s">
        <v>11</v>
      </c>
      <c r="D1101" s="709">
        <v>15.68</v>
      </c>
    </row>
    <row r="1102" spans="1:8" hidden="1" outlineLevel="1" x14ac:dyDescent="0.2">
      <c r="A1102" s="655" t="s">
        <v>2390</v>
      </c>
      <c r="B1102" s="702" t="s">
        <v>1328</v>
      </c>
      <c r="C1102" s="703"/>
      <c r="D1102" s="704"/>
    </row>
    <row r="1103" spans="1:8" hidden="1" outlineLevel="1" x14ac:dyDescent="0.2">
      <c r="A1103" s="659" t="s">
        <v>2391</v>
      </c>
      <c r="B1103" s="710" t="s">
        <v>2121</v>
      </c>
      <c r="C1103" s="711" t="s">
        <v>11</v>
      </c>
      <c r="D1103" s="916">
        <v>15.68</v>
      </c>
    </row>
    <row r="1104" spans="1:8" hidden="1" outlineLevel="1" x14ac:dyDescent="0.2">
      <c r="A1104" s="655" t="s">
        <v>2392</v>
      </c>
      <c r="B1104" s="702" t="s">
        <v>1332</v>
      </c>
      <c r="C1104" s="703"/>
      <c r="D1104" s="704"/>
    </row>
    <row r="1105" spans="1:4" hidden="1" outlineLevel="1" x14ac:dyDescent="0.2">
      <c r="A1105" s="663" t="s">
        <v>2393</v>
      </c>
      <c r="B1105" s="707" t="s">
        <v>2121</v>
      </c>
      <c r="C1105" s="708" t="s">
        <v>11</v>
      </c>
      <c r="D1105" s="709">
        <v>15.68</v>
      </c>
    </row>
    <row r="1106" spans="1:4" hidden="1" outlineLevel="1" x14ac:dyDescent="0.2">
      <c r="A1106" s="655" t="s">
        <v>2394</v>
      </c>
      <c r="B1106" s="702" t="s">
        <v>1336</v>
      </c>
      <c r="C1106" s="703"/>
      <c r="D1106" s="704"/>
    </row>
    <row r="1107" spans="1:4" hidden="1" outlineLevel="1" x14ac:dyDescent="0.2">
      <c r="A1107" s="659" t="s">
        <v>2395</v>
      </c>
      <c r="B1107" s="710" t="s">
        <v>2121</v>
      </c>
      <c r="C1107" s="711" t="s">
        <v>11</v>
      </c>
      <c r="D1107" s="916">
        <v>15.68</v>
      </c>
    </row>
    <row r="1108" spans="1:4" hidden="1" outlineLevel="1" x14ac:dyDescent="0.2">
      <c r="A1108" s="655" t="s">
        <v>2396</v>
      </c>
      <c r="B1108" s="702" t="s">
        <v>1340</v>
      </c>
      <c r="C1108" s="703"/>
      <c r="D1108" s="704"/>
    </row>
    <row r="1109" spans="1:4" hidden="1" outlineLevel="1" x14ac:dyDescent="0.2">
      <c r="A1109" s="663" t="s">
        <v>2397</v>
      </c>
      <c r="B1109" s="707" t="s">
        <v>2121</v>
      </c>
      <c r="C1109" s="708" t="s">
        <v>11</v>
      </c>
      <c r="D1109" s="709">
        <v>15.68</v>
      </c>
    </row>
    <row r="1110" spans="1:4" hidden="1" outlineLevel="1" x14ac:dyDescent="0.2">
      <c r="A1110" s="655" t="s">
        <v>2398</v>
      </c>
      <c r="B1110" s="702" t="s">
        <v>1344</v>
      </c>
      <c r="C1110" s="703"/>
      <c r="D1110" s="704"/>
    </row>
    <row r="1111" spans="1:4" hidden="1" outlineLevel="1" x14ac:dyDescent="0.2">
      <c r="A1111" s="659" t="s">
        <v>2399</v>
      </c>
      <c r="B1111" s="710" t="s">
        <v>2121</v>
      </c>
      <c r="C1111" s="711" t="s">
        <v>11</v>
      </c>
      <c r="D1111" s="916">
        <v>15.68</v>
      </c>
    </row>
    <row r="1112" spans="1:4" hidden="1" outlineLevel="1" x14ac:dyDescent="0.2">
      <c r="A1112" s="655" t="s">
        <v>2400</v>
      </c>
      <c r="B1112" s="702" t="s">
        <v>1348</v>
      </c>
      <c r="C1112" s="703"/>
      <c r="D1112" s="704"/>
    </row>
    <row r="1113" spans="1:4" hidden="1" outlineLevel="1" x14ac:dyDescent="0.2">
      <c r="A1113" s="663" t="s">
        <v>2401</v>
      </c>
      <c r="B1113" s="707" t="s">
        <v>2121</v>
      </c>
      <c r="C1113" s="708" t="s">
        <v>11</v>
      </c>
      <c r="D1113" s="709">
        <v>15.68</v>
      </c>
    </row>
    <row r="1114" spans="1:4" hidden="1" outlineLevel="1" x14ac:dyDescent="0.2">
      <c r="A1114" s="655" t="s">
        <v>2402</v>
      </c>
      <c r="B1114" s="702" t="s">
        <v>1352</v>
      </c>
      <c r="C1114" s="703"/>
      <c r="D1114" s="704"/>
    </row>
    <row r="1115" spans="1:4" hidden="1" outlineLevel="1" x14ac:dyDescent="0.2">
      <c r="A1115" s="659" t="s">
        <v>2403</v>
      </c>
      <c r="B1115" s="710" t="s">
        <v>2121</v>
      </c>
      <c r="C1115" s="711" t="s">
        <v>11</v>
      </c>
      <c r="D1115" s="916">
        <v>15.68</v>
      </c>
    </row>
    <row r="1116" spans="1:4" hidden="1" outlineLevel="1" x14ac:dyDescent="0.2">
      <c r="A1116" s="655" t="s">
        <v>2404</v>
      </c>
      <c r="B1116" s="702" t="s">
        <v>1356</v>
      </c>
      <c r="C1116" s="703"/>
      <c r="D1116" s="704"/>
    </row>
    <row r="1117" spans="1:4" hidden="1" outlineLevel="1" x14ac:dyDescent="0.2">
      <c r="A1117" s="663" t="s">
        <v>2405</v>
      </c>
      <c r="B1117" s="707" t="s">
        <v>2121</v>
      </c>
      <c r="C1117" s="708" t="s">
        <v>11</v>
      </c>
      <c r="D1117" s="709">
        <v>15.68</v>
      </c>
    </row>
    <row r="1118" spans="1:4" hidden="1" outlineLevel="1" x14ac:dyDescent="0.2">
      <c r="A1118" s="655" t="s">
        <v>2406</v>
      </c>
      <c r="B1118" s="702" t="s">
        <v>1360</v>
      </c>
      <c r="C1118" s="703"/>
      <c r="D1118" s="704"/>
    </row>
    <row r="1119" spans="1:4" hidden="1" outlineLevel="1" x14ac:dyDescent="0.2">
      <c r="A1119" s="659" t="s">
        <v>2407</v>
      </c>
      <c r="B1119" s="710" t="s">
        <v>2121</v>
      </c>
      <c r="C1119" s="711" t="s">
        <v>11</v>
      </c>
      <c r="D1119" s="916">
        <v>15.68</v>
      </c>
    </row>
    <row r="1120" spans="1:4" hidden="1" outlineLevel="1" x14ac:dyDescent="0.2">
      <c r="A1120" s="655" t="s">
        <v>2408</v>
      </c>
      <c r="B1120" s="702" t="s">
        <v>1364</v>
      </c>
      <c r="C1120" s="703"/>
      <c r="D1120" s="704"/>
    </row>
    <row r="1121" spans="1:8" hidden="1" outlineLevel="1" x14ac:dyDescent="0.2">
      <c r="A1121" s="663" t="s">
        <v>2409</v>
      </c>
      <c r="B1121" s="707" t="s">
        <v>2121</v>
      </c>
      <c r="C1121" s="708" t="s">
        <v>11</v>
      </c>
      <c r="D1121" s="709">
        <v>15.64</v>
      </c>
    </row>
    <row r="1122" spans="1:8" collapsed="1" x14ac:dyDescent="0.2">
      <c r="A1122" s="651" t="s">
        <v>2410</v>
      </c>
      <c r="B1122" s="652" t="s">
        <v>2411</v>
      </c>
      <c r="C1122" s="653"/>
      <c r="D1122" s="654"/>
    </row>
    <row r="1123" spans="1:8" hidden="1" outlineLevel="1" x14ac:dyDescent="0.2">
      <c r="A1123" s="655" t="s">
        <v>2412</v>
      </c>
      <c r="B1123" s="656" t="s">
        <v>1292</v>
      </c>
      <c r="C1123" s="657"/>
      <c r="D1123" s="658"/>
    </row>
    <row r="1124" spans="1:8" hidden="1" outlineLevel="1" x14ac:dyDescent="0.2">
      <c r="A1124" s="659" t="s">
        <v>2413</v>
      </c>
      <c r="B1124" s="660" t="s">
        <v>2414</v>
      </c>
      <c r="C1124" s="661" t="s">
        <v>11</v>
      </c>
      <c r="D1124" s="689">
        <v>68.2</v>
      </c>
      <c r="F1124" s="743" t="s">
        <v>4208</v>
      </c>
    </row>
    <row r="1125" spans="1:8" hidden="1" outlineLevel="1" x14ac:dyDescent="0.2">
      <c r="A1125" s="663" t="s">
        <v>2415</v>
      </c>
      <c r="B1125" s="664" t="s">
        <v>2416</v>
      </c>
      <c r="C1125" s="665" t="s">
        <v>11</v>
      </c>
      <c r="D1125" s="745">
        <v>73.23</v>
      </c>
      <c r="F1125" s="744" t="s">
        <v>4209</v>
      </c>
    </row>
    <row r="1126" spans="1:8" hidden="1" outlineLevel="1" x14ac:dyDescent="0.2">
      <c r="A1126" s="659" t="s">
        <v>2417</v>
      </c>
      <c r="B1126" s="660" t="s">
        <v>2418</v>
      </c>
      <c r="C1126" s="661" t="s">
        <v>11</v>
      </c>
      <c r="D1126" s="689">
        <v>69.709999999999994</v>
      </c>
      <c r="F1126" s="747" t="s">
        <v>4210</v>
      </c>
    </row>
    <row r="1127" spans="1:8" hidden="1" outlineLevel="1" x14ac:dyDescent="0.2">
      <c r="A1127" s="663" t="s">
        <v>2419</v>
      </c>
      <c r="B1127" s="664" t="s">
        <v>2420</v>
      </c>
      <c r="C1127" s="665" t="s">
        <v>11</v>
      </c>
      <c r="D1127" s="746">
        <v>141.58000000000001</v>
      </c>
      <c r="F1127" s="747" t="s">
        <v>4211</v>
      </c>
    </row>
    <row r="1128" spans="1:8" hidden="1" outlineLevel="1" x14ac:dyDescent="0.2">
      <c r="A1128" s="659" t="s">
        <v>2421</v>
      </c>
      <c r="B1128" s="660" t="s">
        <v>2422</v>
      </c>
      <c r="C1128" s="661" t="s">
        <v>11</v>
      </c>
      <c r="D1128" s="662">
        <v>329.73</v>
      </c>
      <c r="F1128" s="747" t="s">
        <v>4212</v>
      </c>
    </row>
    <row r="1129" spans="1:8" hidden="1" outlineLevel="1" x14ac:dyDescent="0.2">
      <c r="A1129" s="663" t="s">
        <v>2423</v>
      </c>
      <c r="B1129" s="664" t="s">
        <v>2424</v>
      </c>
      <c r="C1129" s="665" t="s">
        <v>11</v>
      </c>
      <c r="D1129" s="666">
        <v>45.77</v>
      </c>
    </row>
    <row r="1130" spans="1:8" hidden="1" outlineLevel="1" x14ac:dyDescent="0.2">
      <c r="A1130" s="659" t="s">
        <v>2425</v>
      </c>
      <c r="B1130" s="660" t="s">
        <v>2426</v>
      </c>
      <c r="C1130" s="661" t="s">
        <v>11</v>
      </c>
      <c r="D1130" s="662">
        <v>619.71</v>
      </c>
    </row>
    <row r="1131" spans="1:8" hidden="1" outlineLevel="1" x14ac:dyDescent="0.2">
      <c r="A1131" s="663" t="s">
        <v>2427</v>
      </c>
      <c r="B1131" s="664" t="s">
        <v>2428</v>
      </c>
      <c r="C1131" s="665" t="s">
        <v>11</v>
      </c>
      <c r="D1131" s="666">
        <v>22.44</v>
      </c>
    </row>
    <row r="1132" spans="1:8" hidden="1" outlineLevel="1" x14ac:dyDescent="0.2">
      <c r="A1132" s="655" t="s">
        <v>2429</v>
      </c>
      <c r="B1132" s="656" t="s">
        <v>1296</v>
      </c>
      <c r="C1132" s="657"/>
      <c r="D1132" s="658"/>
      <c r="F1132" s="656" t="s">
        <v>1296</v>
      </c>
      <c r="G1132" s="657"/>
      <c r="H1132" s="658"/>
    </row>
    <row r="1133" spans="1:8" hidden="1" outlineLevel="1" x14ac:dyDescent="0.2">
      <c r="A1133" s="659" t="s">
        <v>2430</v>
      </c>
      <c r="B1133" s="660" t="s">
        <v>2414</v>
      </c>
      <c r="C1133" s="661" t="s">
        <v>11</v>
      </c>
      <c r="D1133" s="662">
        <v>36.65</v>
      </c>
      <c r="F1133" s="660" t="s">
        <v>2414</v>
      </c>
      <c r="G1133" s="661" t="s">
        <v>11</v>
      </c>
      <c r="H1133" s="689" cm="1">
        <f t="array" ref="H1133:H1137">SUMIF(B1132:B1149,F1133:F1137,D1132:D1149)</f>
        <v>109.94999999999999</v>
      </c>
    </row>
    <row r="1134" spans="1:8" hidden="1" outlineLevel="1" x14ac:dyDescent="0.2">
      <c r="A1134" s="663" t="s">
        <v>2431</v>
      </c>
      <c r="B1134" s="664" t="s">
        <v>2416</v>
      </c>
      <c r="C1134" s="665" t="s">
        <v>11</v>
      </c>
      <c r="D1134" s="666">
        <v>64.010000000000005</v>
      </c>
      <c r="F1134" s="664" t="s">
        <v>2416</v>
      </c>
      <c r="G1134" s="665" t="s">
        <v>11</v>
      </c>
      <c r="H1134" s="745">
        <v>191.44</v>
      </c>
    </row>
    <row r="1135" spans="1:8" hidden="1" outlineLevel="1" x14ac:dyDescent="0.2">
      <c r="A1135" s="659" t="s">
        <v>2432</v>
      </c>
      <c r="B1135" s="660" t="s">
        <v>2418</v>
      </c>
      <c r="C1135" s="661" t="s">
        <v>11</v>
      </c>
      <c r="D1135" s="662">
        <v>39.81</v>
      </c>
      <c r="F1135" s="660" t="s">
        <v>2418</v>
      </c>
      <c r="G1135" s="661" t="s">
        <v>11</v>
      </c>
      <c r="H1135" s="689">
        <v>119.43</v>
      </c>
    </row>
    <row r="1136" spans="1:8" hidden="1" outlineLevel="1" x14ac:dyDescent="0.2">
      <c r="A1136" s="663" t="s">
        <v>2433</v>
      </c>
      <c r="B1136" s="664" t="s">
        <v>2422</v>
      </c>
      <c r="C1136" s="665" t="s">
        <v>11</v>
      </c>
      <c r="D1136" s="666">
        <v>111.59</v>
      </c>
      <c r="F1136" s="664" t="s">
        <v>2422</v>
      </c>
      <c r="G1136" s="665" t="s">
        <v>11</v>
      </c>
      <c r="H1136" s="666">
        <v>349.29</v>
      </c>
    </row>
    <row r="1137" spans="1:8" hidden="1" outlineLevel="1" x14ac:dyDescent="0.2">
      <c r="A1137" s="659" t="s">
        <v>2434</v>
      </c>
      <c r="B1137" s="660" t="s">
        <v>2426</v>
      </c>
      <c r="C1137" s="661" t="s">
        <v>11</v>
      </c>
      <c r="D1137" s="662">
        <v>801.58</v>
      </c>
      <c r="F1137" s="660" t="s">
        <v>2426</v>
      </c>
      <c r="G1137" s="661" t="s">
        <v>11</v>
      </c>
      <c r="H1137" s="662">
        <v>2501.12</v>
      </c>
    </row>
    <row r="1138" spans="1:8" hidden="1" outlineLevel="1" x14ac:dyDescent="0.2">
      <c r="A1138" s="655" t="s">
        <v>2435</v>
      </c>
      <c r="B1138" s="656" t="s">
        <v>1299</v>
      </c>
      <c r="C1138" s="657"/>
      <c r="D1138" s="658"/>
    </row>
    <row r="1139" spans="1:8" hidden="1" outlineLevel="1" x14ac:dyDescent="0.2">
      <c r="A1139" s="663" t="s">
        <v>2436</v>
      </c>
      <c r="B1139" s="664" t="s">
        <v>2414</v>
      </c>
      <c r="C1139" s="665" t="s">
        <v>11</v>
      </c>
      <c r="D1139" s="666">
        <v>36.65</v>
      </c>
    </row>
    <row r="1140" spans="1:8" hidden="1" outlineLevel="1" x14ac:dyDescent="0.2">
      <c r="A1140" s="659" t="s">
        <v>2437</v>
      </c>
      <c r="B1140" s="660" t="s">
        <v>2416</v>
      </c>
      <c r="C1140" s="661" t="s">
        <v>11</v>
      </c>
      <c r="D1140" s="662">
        <v>64.010000000000005</v>
      </c>
    </row>
    <row r="1141" spans="1:8" hidden="1" outlineLevel="1" x14ac:dyDescent="0.2">
      <c r="A1141" s="663" t="s">
        <v>2438</v>
      </c>
      <c r="B1141" s="664" t="s">
        <v>2418</v>
      </c>
      <c r="C1141" s="665" t="s">
        <v>11</v>
      </c>
      <c r="D1141" s="666">
        <v>39.81</v>
      </c>
    </row>
    <row r="1142" spans="1:8" hidden="1" outlineLevel="1" x14ac:dyDescent="0.2">
      <c r="A1142" s="659" t="s">
        <v>2439</v>
      </c>
      <c r="B1142" s="660" t="s">
        <v>2422</v>
      </c>
      <c r="C1142" s="661" t="s">
        <v>11</v>
      </c>
      <c r="D1142" s="662">
        <v>111.72</v>
      </c>
    </row>
    <row r="1143" spans="1:8" hidden="1" outlineLevel="1" x14ac:dyDescent="0.2">
      <c r="A1143" s="663" t="s">
        <v>2440</v>
      </c>
      <c r="B1143" s="664" t="s">
        <v>2426</v>
      </c>
      <c r="C1143" s="665" t="s">
        <v>11</v>
      </c>
      <c r="D1143" s="666">
        <v>805.02</v>
      </c>
    </row>
    <row r="1144" spans="1:8" hidden="1" outlineLevel="1" x14ac:dyDescent="0.2">
      <c r="A1144" s="655" t="s">
        <v>2441</v>
      </c>
      <c r="B1144" s="656" t="s">
        <v>1302</v>
      </c>
      <c r="C1144" s="657"/>
      <c r="D1144" s="658"/>
    </row>
    <row r="1145" spans="1:8" hidden="1" outlineLevel="1" x14ac:dyDescent="0.2">
      <c r="A1145" s="659" t="s">
        <v>2442</v>
      </c>
      <c r="B1145" s="660" t="s">
        <v>2414</v>
      </c>
      <c r="C1145" s="661" t="s">
        <v>11</v>
      </c>
      <c r="D1145" s="662">
        <v>36.65</v>
      </c>
    </row>
    <row r="1146" spans="1:8" hidden="1" outlineLevel="1" x14ac:dyDescent="0.2">
      <c r="A1146" s="663" t="s">
        <v>2443</v>
      </c>
      <c r="B1146" s="664" t="s">
        <v>2416</v>
      </c>
      <c r="C1146" s="665" t="s">
        <v>11</v>
      </c>
      <c r="D1146" s="666">
        <v>63.42</v>
      </c>
    </row>
    <row r="1147" spans="1:8" hidden="1" outlineLevel="1" x14ac:dyDescent="0.2">
      <c r="A1147" s="659" t="s">
        <v>2444</v>
      </c>
      <c r="B1147" s="660" t="s">
        <v>2418</v>
      </c>
      <c r="C1147" s="661" t="s">
        <v>11</v>
      </c>
      <c r="D1147" s="662">
        <v>39.81</v>
      </c>
    </row>
    <row r="1148" spans="1:8" hidden="1" outlineLevel="1" x14ac:dyDescent="0.2">
      <c r="A1148" s="663" t="s">
        <v>2445</v>
      </c>
      <c r="B1148" s="664" t="s">
        <v>2422</v>
      </c>
      <c r="C1148" s="665" t="s">
        <v>11</v>
      </c>
      <c r="D1148" s="666">
        <v>125.98</v>
      </c>
    </row>
    <row r="1149" spans="1:8" hidden="1" outlineLevel="1" x14ac:dyDescent="0.2">
      <c r="A1149" s="659" t="s">
        <v>2446</v>
      </c>
      <c r="B1149" s="660" t="s">
        <v>2426</v>
      </c>
      <c r="C1149" s="661" t="s">
        <v>11</v>
      </c>
      <c r="D1149" s="662">
        <v>894.52</v>
      </c>
    </row>
    <row r="1150" spans="1:8" hidden="1" outlineLevel="1" x14ac:dyDescent="0.2">
      <c r="A1150" s="655" t="s">
        <v>2447</v>
      </c>
      <c r="B1150" s="656" t="s">
        <v>1305</v>
      </c>
      <c r="C1150" s="657"/>
      <c r="D1150" s="658"/>
    </row>
    <row r="1151" spans="1:8" hidden="1" outlineLevel="1" x14ac:dyDescent="0.2">
      <c r="A1151" s="663" t="s">
        <v>2448</v>
      </c>
      <c r="B1151" s="664" t="s">
        <v>2414</v>
      </c>
      <c r="C1151" s="665" t="s">
        <v>11</v>
      </c>
      <c r="D1151" s="689">
        <v>36.659999999999997</v>
      </c>
    </row>
    <row r="1152" spans="1:8" hidden="1" outlineLevel="1" x14ac:dyDescent="0.2">
      <c r="A1152" s="659" t="s">
        <v>2449</v>
      </c>
      <c r="B1152" s="660" t="s">
        <v>2416</v>
      </c>
      <c r="C1152" s="661" t="s">
        <v>11</v>
      </c>
      <c r="D1152" s="745">
        <v>73.069999999999993</v>
      </c>
    </row>
    <row r="1153" spans="1:8" hidden="1" outlineLevel="1" x14ac:dyDescent="0.2">
      <c r="A1153" s="663" t="s">
        <v>2450</v>
      </c>
      <c r="B1153" s="664" t="s">
        <v>2418</v>
      </c>
      <c r="C1153" s="665" t="s">
        <v>11</v>
      </c>
      <c r="D1153" s="689">
        <v>48.44</v>
      </c>
    </row>
    <row r="1154" spans="1:8" hidden="1" outlineLevel="1" x14ac:dyDescent="0.2">
      <c r="A1154" s="659" t="s">
        <v>2451</v>
      </c>
      <c r="B1154" s="660" t="s">
        <v>2422</v>
      </c>
      <c r="C1154" s="661" t="s">
        <v>11</v>
      </c>
      <c r="D1154" s="662">
        <v>130.63999999999999</v>
      </c>
    </row>
    <row r="1155" spans="1:8" hidden="1" outlineLevel="1" x14ac:dyDescent="0.2">
      <c r="A1155" s="663" t="s">
        <v>2452</v>
      </c>
      <c r="B1155" s="664" t="s">
        <v>2426</v>
      </c>
      <c r="C1155" s="665" t="s">
        <v>11</v>
      </c>
      <c r="D1155" s="666">
        <v>930.81</v>
      </c>
    </row>
    <row r="1156" spans="1:8" hidden="1" outlineLevel="1" x14ac:dyDescent="0.2">
      <c r="A1156" s="655" t="s">
        <v>2453</v>
      </c>
      <c r="B1156" s="656" t="s">
        <v>1308</v>
      </c>
      <c r="C1156" s="657"/>
      <c r="D1156" s="658"/>
    </row>
    <row r="1157" spans="1:8" hidden="1" outlineLevel="1" x14ac:dyDescent="0.2">
      <c r="A1157" s="659" t="s">
        <v>2454</v>
      </c>
      <c r="B1157" s="660" t="s">
        <v>2455</v>
      </c>
      <c r="C1157" s="661" t="s">
        <v>11</v>
      </c>
      <c r="D1157" s="748">
        <v>559</v>
      </c>
    </row>
    <row r="1158" spans="1:8" hidden="1" outlineLevel="1" x14ac:dyDescent="0.2">
      <c r="A1158" s="663" t="s">
        <v>2456</v>
      </c>
      <c r="B1158" s="664" t="s">
        <v>2414</v>
      </c>
      <c r="C1158" s="665" t="s">
        <v>11</v>
      </c>
      <c r="D1158" s="689">
        <v>46.94</v>
      </c>
    </row>
    <row r="1159" spans="1:8" hidden="1" outlineLevel="1" x14ac:dyDescent="0.2">
      <c r="A1159" s="659" t="s">
        <v>2457</v>
      </c>
      <c r="B1159" s="660" t="s">
        <v>2416</v>
      </c>
      <c r="C1159" s="661" t="s">
        <v>11</v>
      </c>
      <c r="D1159" s="745">
        <v>82.89</v>
      </c>
    </row>
    <row r="1160" spans="1:8" hidden="1" outlineLevel="1" x14ac:dyDescent="0.2">
      <c r="A1160" s="663" t="s">
        <v>2458</v>
      </c>
      <c r="B1160" s="664" t="s">
        <v>2418</v>
      </c>
      <c r="C1160" s="665" t="s">
        <v>11</v>
      </c>
      <c r="D1160" s="689">
        <v>51.5</v>
      </c>
    </row>
    <row r="1161" spans="1:8" hidden="1" outlineLevel="1" x14ac:dyDescent="0.2">
      <c r="A1161" s="659" t="s">
        <v>2459</v>
      </c>
      <c r="B1161" s="660" t="s">
        <v>2420</v>
      </c>
      <c r="C1161" s="661" t="s">
        <v>11</v>
      </c>
      <c r="D1161" s="748">
        <v>247.72</v>
      </c>
    </row>
    <row r="1162" spans="1:8" hidden="1" outlineLevel="1" x14ac:dyDescent="0.2">
      <c r="A1162" s="663" t="s">
        <v>2460</v>
      </c>
      <c r="B1162" s="664" t="s">
        <v>2422</v>
      </c>
      <c r="C1162" s="665" t="s">
        <v>11</v>
      </c>
      <c r="D1162" s="666">
        <v>171.34</v>
      </c>
    </row>
    <row r="1163" spans="1:8" hidden="1" outlineLevel="1" x14ac:dyDescent="0.2">
      <c r="A1163" s="659" t="s">
        <v>2461</v>
      </c>
      <c r="B1163" s="660" t="s">
        <v>2424</v>
      </c>
      <c r="C1163" s="661" t="s">
        <v>11</v>
      </c>
      <c r="D1163" s="662">
        <v>29.16</v>
      </c>
    </row>
    <row r="1164" spans="1:8" hidden="1" outlineLevel="1" x14ac:dyDescent="0.2">
      <c r="A1164" s="655" t="s">
        <v>2462</v>
      </c>
      <c r="B1164" s="656" t="s">
        <v>1311</v>
      </c>
      <c r="C1164" s="657"/>
      <c r="D1164" s="658"/>
      <c r="F1164" s="656" t="s">
        <v>1311</v>
      </c>
      <c r="G1164" s="657"/>
      <c r="H1164" s="658"/>
    </row>
    <row r="1165" spans="1:8" hidden="1" outlineLevel="1" x14ac:dyDescent="0.2">
      <c r="A1165" s="663" t="s">
        <v>2463</v>
      </c>
      <c r="B1165" s="664" t="s">
        <v>2464</v>
      </c>
      <c r="C1165" s="665" t="s">
        <v>11</v>
      </c>
      <c r="D1165" s="666">
        <v>1013.76</v>
      </c>
      <c r="F1165" s="664" t="s">
        <v>2464</v>
      </c>
      <c r="G1165" s="665" t="s">
        <v>11</v>
      </c>
      <c r="H1165" s="748" cm="1">
        <f t="array" ref="H1165:H1170">SUMIF(B1164:B1254,F1165:F1170,D1164:D1254)</f>
        <v>13078.239999999998</v>
      </c>
    </row>
    <row r="1166" spans="1:8" hidden="1" outlineLevel="1" x14ac:dyDescent="0.2">
      <c r="A1166" s="659" t="s">
        <v>2465</v>
      </c>
      <c r="B1166" s="660" t="s">
        <v>2466</v>
      </c>
      <c r="C1166" s="661" t="s">
        <v>11</v>
      </c>
      <c r="D1166" s="662">
        <f>231.53-33.93*2.8</f>
        <v>136.52600000000001</v>
      </c>
      <c r="F1166" s="660" t="s">
        <v>2466</v>
      </c>
      <c r="G1166" s="661" t="s">
        <v>11</v>
      </c>
      <c r="H1166" s="748">
        <v>1869.8420000000006</v>
      </c>
    </row>
    <row r="1167" spans="1:8" hidden="1" outlineLevel="1" x14ac:dyDescent="0.2">
      <c r="A1167" s="663" t="s">
        <v>2467</v>
      </c>
      <c r="B1167" s="664" t="s">
        <v>2414</v>
      </c>
      <c r="C1167" s="665" t="s">
        <v>11</v>
      </c>
      <c r="D1167" s="666">
        <v>36.78</v>
      </c>
      <c r="F1167" s="664" t="s">
        <v>2414</v>
      </c>
      <c r="G1167" s="665" t="s">
        <v>11</v>
      </c>
      <c r="H1167" s="689">
        <v>478.13999999999987</v>
      </c>
    </row>
    <row r="1168" spans="1:8" hidden="1" outlineLevel="1" x14ac:dyDescent="0.2">
      <c r="A1168" s="659" t="s">
        <v>2468</v>
      </c>
      <c r="B1168" s="660" t="s">
        <v>2416</v>
      </c>
      <c r="C1168" s="661" t="s">
        <v>11</v>
      </c>
      <c r="D1168" s="662">
        <v>60.82</v>
      </c>
      <c r="F1168" s="660" t="s">
        <v>2416</v>
      </c>
      <c r="G1168" s="661" t="s">
        <v>11</v>
      </c>
      <c r="H1168" s="749">
        <v>790.6600000000002</v>
      </c>
    </row>
    <row r="1169" spans="1:8" hidden="1" outlineLevel="1" x14ac:dyDescent="0.2">
      <c r="A1169" s="663" t="s">
        <v>2469</v>
      </c>
      <c r="B1169" s="664" t="s">
        <v>2418</v>
      </c>
      <c r="C1169" s="665" t="s">
        <v>11</v>
      </c>
      <c r="D1169" s="666">
        <v>40.520000000000003</v>
      </c>
      <c r="F1169" s="664" t="s">
        <v>2418</v>
      </c>
      <c r="G1169" s="665" t="s">
        <v>11</v>
      </c>
      <c r="H1169" s="689">
        <v>526.76</v>
      </c>
    </row>
    <row r="1170" spans="1:8" hidden="1" outlineLevel="1" x14ac:dyDescent="0.2">
      <c r="A1170" s="659" t="s">
        <v>2470</v>
      </c>
      <c r="B1170" s="660" t="s">
        <v>2420</v>
      </c>
      <c r="C1170" s="661" t="s">
        <v>11</v>
      </c>
      <c r="D1170" s="662">
        <v>110.55</v>
      </c>
      <c r="F1170" s="660" t="s">
        <v>2420</v>
      </c>
      <c r="G1170" s="661" t="s">
        <v>11</v>
      </c>
      <c r="H1170" s="748">
        <v>1461.3899999999994</v>
      </c>
    </row>
    <row r="1171" spans="1:8" hidden="1" outlineLevel="1" x14ac:dyDescent="0.2">
      <c r="A1171" s="655" t="s">
        <v>2471</v>
      </c>
      <c r="B1171" s="656" t="s">
        <v>1316</v>
      </c>
      <c r="C1171" s="657"/>
      <c r="D1171" s="658"/>
    </row>
    <row r="1172" spans="1:8" hidden="1" outlineLevel="1" x14ac:dyDescent="0.2">
      <c r="A1172" s="663" t="s">
        <v>2472</v>
      </c>
      <c r="B1172" s="664" t="s">
        <v>2464</v>
      </c>
      <c r="C1172" s="665" t="s">
        <v>11</v>
      </c>
      <c r="D1172" s="666">
        <v>1005.19</v>
      </c>
    </row>
    <row r="1173" spans="1:8" hidden="1" outlineLevel="1" x14ac:dyDescent="0.2">
      <c r="A1173" s="659" t="s">
        <v>2473</v>
      </c>
      <c r="B1173" s="660" t="s">
        <v>2466</v>
      </c>
      <c r="C1173" s="661" t="s">
        <v>11</v>
      </c>
      <c r="D1173" s="662">
        <f>231.53-33.93*2.8</f>
        <v>136.52600000000001</v>
      </c>
    </row>
    <row r="1174" spans="1:8" hidden="1" outlineLevel="1" x14ac:dyDescent="0.2">
      <c r="A1174" s="663" t="s">
        <v>2474</v>
      </c>
      <c r="B1174" s="664" t="s">
        <v>2414</v>
      </c>
      <c r="C1174" s="665" t="s">
        <v>11</v>
      </c>
      <c r="D1174" s="666">
        <v>36.78</v>
      </c>
    </row>
    <row r="1175" spans="1:8" hidden="1" outlineLevel="1" x14ac:dyDescent="0.2">
      <c r="A1175" s="659" t="s">
        <v>2475</v>
      </c>
      <c r="B1175" s="660" t="s">
        <v>2416</v>
      </c>
      <c r="C1175" s="661" t="s">
        <v>11</v>
      </c>
      <c r="D1175" s="662">
        <v>60.82</v>
      </c>
    </row>
    <row r="1176" spans="1:8" hidden="1" outlineLevel="1" x14ac:dyDescent="0.2">
      <c r="A1176" s="663" t="s">
        <v>2476</v>
      </c>
      <c r="B1176" s="664" t="s">
        <v>2418</v>
      </c>
      <c r="C1176" s="665" t="s">
        <v>11</v>
      </c>
      <c r="D1176" s="666">
        <v>40.520000000000003</v>
      </c>
    </row>
    <row r="1177" spans="1:8" hidden="1" outlineLevel="1" x14ac:dyDescent="0.2">
      <c r="A1177" s="659" t="s">
        <v>2477</v>
      </c>
      <c r="B1177" s="660" t="s">
        <v>2420</v>
      </c>
      <c r="C1177" s="661" t="s">
        <v>11</v>
      </c>
      <c r="D1177" s="662">
        <v>112.57</v>
      </c>
    </row>
    <row r="1178" spans="1:8" hidden="1" outlineLevel="1" x14ac:dyDescent="0.2">
      <c r="A1178" s="655" t="s">
        <v>2478</v>
      </c>
      <c r="B1178" s="656" t="s">
        <v>1320</v>
      </c>
      <c r="C1178" s="657"/>
      <c r="D1178" s="658"/>
    </row>
    <row r="1179" spans="1:8" hidden="1" outlineLevel="1" x14ac:dyDescent="0.2">
      <c r="A1179" s="663" t="s">
        <v>2479</v>
      </c>
      <c r="B1179" s="664" t="s">
        <v>2464</v>
      </c>
      <c r="C1179" s="665" t="s">
        <v>11</v>
      </c>
      <c r="D1179" s="666">
        <v>1005.39</v>
      </c>
    </row>
    <row r="1180" spans="1:8" hidden="1" outlineLevel="1" x14ac:dyDescent="0.2">
      <c r="A1180" s="659" t="s">
        <v>2480</v>
      </c>
      <c r="B1180" s="660" t="s">
        <v>2466</v>
      </c>
      <c r="C1180" s="661" t="s">
        <v>11</v>
      </c>
      <c r="D1180" s="662">
        <f>231.53-33.93*2.8</f>
        <v>136.52600000000001</v>
      </c>
    </row>
    <row r="1181" spans="1:8" hidden="1" outlineLevel="1" x14ac:dyDescent="0.2">
      <c r="A1181" s="663" t="s">
        <v>2481</v>
      </c>
      <c r="B1181" s="664" t="s">
        <v>2414</v>
      </c>
      <c r="C1181" s="665" t="s">
        <v>11</v>
      </c>
      <c r="D1181" s="666">
        <v>36.78</v>
      </c>
    </row>
    <row r="1182" spans="1:8" hidden="1" outlineLevel="1" x14ac:dyDescent="0.2">
      <c r="A1182" s="659" t="s">
        <v>2482</v>
      </c>
      <c r="B1182" s="660" t="s">
        <v>2416</v>
      </c>
      <c r="C1182" s="661" t="s">
        <v>11</v>
      </c>
      <c r="D1182" s="662">
        <v>60.82</v>
      </c>
    </row>
    <row r="1183" spans="1:8" hidden="1" outlineLevel="1" x14ac:dyDescent="0.2">
      <c r="A1183" s="663" t="s">
        <v>2483</v>
      </c>
      <c r="B1183" s="664" t="s">
        <v>2418</v>
      </c>
      <c r="C1183" s="665" t="s">
        <v>11</v>
      </c>
      <c r="D1183" s="666">
        <v>40.520000000000003</v>
      </c>
    </row>
    <row r="1184" spans="1:8" hidden="1" outlineLevel="1" x14ac:dyDescent="0.2">
      <c r="A1184" s="659" t="s">
        <v>2484</v>
      </c>
      <c r="B1184" s="660" t="s">
        <v>2420</v>
      </c>
      <c r="C1184" s="661" t="s">
        <v>11</v>
      </c>
      <c r="D1184" s="662">
        <v>112.57</v>
      </c>
    </row>
    <row r="1185" spans="1:4" hidden="1" outlineLevel="1" x14ac:dyDescent="0.2">
      <c r="A1185" s="655" t="s">
        <v>2485</v>
      </c>
      <c r="B1185" s="656" t="s">
        <v>1324</v>
      </c>
      <c r="C1185" s="657"/>
      <c r="D1185" s="658"/>
    </row>
    <row r="1186" spans="1:4" hidden="1" outlineLevel="1" x14ac:dyDescent="0.2">
      <c r="A1186" s="663" t="s">
        <v>2486</v>
      </c>
      <c r="B1186" s="664" t="s">
        <v>2464</v>
      </c>
      <c r="C1186" s="665" t="s">
        <v>11</v>
      </c>
      <c r="D1186" s="666">
        <v>1005.39</v>
      </c>
    </row>
    <row r="1187" spans="1:4" hidden="1" outlineLevel="1" x14ac:dyDescent="0.2">
      <c r="A1187" s="659" t="s">
        <v>2487</v>
      </c>
      <c r="B1187" s="660" t="s">
        <v>2466</v>
      </c>
      <c r="C1187" s="661" t="s">
        <v>11</v>
      </c>
      <c r="D1187" s="662">
        <f>231.53-33.93*2.8</f>
        <v>136.52600000000001</v>
      </c>
    </row>
    <row r="1188" spans="1:4" hidden="1" outlineLevel="1" x14ac:dyDescent="0.2">
      <c r="A1188" s="663" t="s">
        <v>2488</v>
      </c>
      <c r="B1188" s="664" t="s">
        <v>2414</v>
      </c>
      <c r="C1188" s="665" t="s">
        <v>11</v>
      </c>
      <c r="D1188" s="666">
        <v>36.78</v>
      </c>
    </row>
    <row r="1189" spans="1:4" hidden="1" outlineLevel="1" x14ac:dyDescent="0.2">
      <c r="A1189" s="659" t="s">
        <v>2489</v>
      </c>
      <c r="B1189" s="660" t="s">
        <v>2416</v>
      </c>
      <c r="C1189" s="661" t="s">
        <v>11</v>
      </c>
      <c r="D1189" s="662">
        <v>60.82</v>
      </c>
    </row>
    <row r="1190" spans="1:4" hidden="1" outlineLevel="1" x14ac:dyDescent="0.2">
      <c r="A1190" s="663" t="s">
        <v>2490</v>
      </c>
      <c r="B1190" s="664" t="s">
        <v>2418</v>
      </c>
      <c r="C1190" s="665" t="s">
        <v>11</v>
      </c>
      <c r="D1190" s="666">
        <v>40.520000000000003</v>
      </c>
    </row>
    <row r="1191" spans="1:4" hidden="1" outlineLevel="1" x14ac:dyDescent="0.2">
      <c r="A1191" s="659" t="s">
        <v>2491</v>
      </c>
      <c r="B1191" s="660" t="s">
        <v>2420</v>
      </c>
      <c r="C1191" s="661" t="s">
        <v>11</v>
      </c>
      <c r="D1191" s="662">
        <v>112.57</v>
      </c>
    </row>
    <row r="1192" spans="1:4" hidden="1" outlineLevel="1" x14ac:dyDescent="0.2">
      <c r="A1192" s="655" t="s">
        <v>2492</v>
      </c>
      <c r="B1192" s="656" t="s">
        <v>1328</v>
      </c>
      <c r="C1192" s="657"/>
      <c r="D1192" s="658"/>
    </row>
    <row r="1193" spans="1:4" hidden="1" outlineLevel="1" x14ac:dyDescent="0.2">
      <c r="A1193" s="663" t="s">
        <v>2493</v>
      </c>
      <c r="B1193" s="664" t="s">
        <v>2464</v>
      </c>
      <c r="C1193" s="665" t="s">
        <v>11</v>
      </c>
      <c r="D1193" s="666">
        <v>1005.39</v>
      </c>
    </row>
    <row r="1194" spans="1:4" hidden="1" outlineLevel="1" x14ac:dyDescent="0.2">
      <c r="A1194" s="659" t="s">
        <v>2494</v>
      </c>
      <c r="B1194" s="660" t="s">
        <v>2466</v>
      </c>
      <c r="C1194" s="661" t="s">
        <v>11</v>
      </c>
      <c r="D1194" s="662">
        <f>231.53-33.93*2.8</f>
        <v>136.52600000000001</v>
      </c>
    </row>
    <row r="1195" spans="1:4" hidden="1" outlineLevel="1" x14ac:dyDescent="0.2">
      <c r="A1195" s="663" t="s">
        <v>2495</v>
      </c>
      <c r="B1195" s="664" t="s">
        <v>2414</v>
      </c>
      <c r="C1195" s="665" t="s">
        <v>11</v>
      </c>
      <c r="D1195" s="666">
        <v>36.78</v>
      </c>
    </row>
    <row r="1196" spans="1:4" hidden="1" outlineLevel="1" x14ac:dyDescent="0.2">
      <c r="A1196" s="659" t="s">
        <v>2496</v>
      </c>
      <c r="B1196" s="660" t="s">
        <v>2416</v>
      </c>
      <c r="C1196" s="661" t="s">
        <v>11</v>
      </c>
      <c r="D1196" s="662">
        <v>60.82</v>
      </c>
    </row>
    <row r="1197" spans="1:4" hidden="1" outlineLevel="1" x14ac:dyDescent="0.2">
      <c r="A1197" s="663" t="s">
        <v>2497</v>
      </c>
      <c r="B1197" s="664" t="s">
        <v>2418</v>
      </c>
      <c r="C1197" s="665" t="s">
        <v>11</v>
      </c>
      <c r="D1197" s="666">
        <v>40.520000000000003</v>
      </c>
    </row>
    <row r="1198" spans="1:4" hidden="1" outlineLevel="1" x14ac:dyDescent="0.2">
      <c r="A1198" s="659" t="s">
        <v>2498</v>
      </c>
      <c r="B1198" s="660" t="s">
        <v>2420</v>
      </c>
      <c r="C1198" s="661" t="s">
        <v>11</v>
      </c>
      <c r="D1198" s="662">
        <v>112.57</v>
      </c>
    </row>
    <row r="1199" spans="1:4" hidden="1" outlineLevel="1" x14ac:dyDescent="0.2">
      <c r="A1199" s="655" t="s">
        <v>2499</v>
      </c>
      <c r="B1199" s="656" t="s">
        <v>1332</v>
      </c>
      <c r="C1199" s="657"/>
      <c r="D1199" s="658"/>
    </row>
    <row r="1200" spans="1:4" hidden="1" outlineLevel="1" x14ac:dyDescent="0.2">
      <c r="A1200" s="663" t="s">
        <v>2500</v>
      </c>
      <c r="B1200" s="664" t="s">
        <v>2464</v>
      </c>
      <c r="C1200" s="665" t="s">
        <v>11</v>
      </c>
      <c r="D1200" s="666">
        <v>1005.39</v>
      </c>
    </row>
    <row r="1201" spans="1:4" hidden="1" outlineLevel="1" x14ac:dyDescent="0.2">
      <c r="A1201" s="659" t="s">
        <v>2501</v>
      </c>
      <c r="B1201" s="660" t="s">
        <v>2466</v>
      </c>
      <c r="C1201" s="661" t="s">
        <v>11</v>
      </c>
      <c r="D1201" s="662">
        <f>231.53-33.93*2.8</f>
        <v>136.52600000000001</v>
      </c>
    </row>
    <row r="1202" spans="1:4" hidden="1" outlineLevel="1" x14ac:dyDescent="0.2">
      <c r="A1202" s="663" t="s">
        <v>2502</v>
      </c>
      <c r="B1202" s="664" t="s">
        <v>2414</v>
      </c>
      <c r="C1202" s="665" t="s">
        <v>11</v>
      </c>
      <c r="D1202" s="666">
        <v>36.78</v>
      </c>
    </row>
    <row r="1203" spans="1:4" hidden="1" outlineLevel="1" x14ac:dyDescent="0.2">
      <c r="A1203" s="659" t="s">
        <v>2503</v>
      </c>
      <c r="B1203" s="660" t="s">
        <v>2416</v>
      </c>
      <c r="C1203" s="661" t="s">
        <v>11</v>
      </c>
      <c r="D1203" s="662">
        <v>60.82</v>
      </c>
    </row>
    <row r="1204" spans="1:4" hidden="1" outlineLevel="1" x14ac:dyDescent="0.2">
      <c r="A1204" s="663" t="s">
        <v>2504</v>
      </c>
      <c r="B1204" s="664" t="s">
        <v>2418</v>
      </c>
      <c r="C1204" s="665" t="s">
        <v>11</v>
      </c>
      <c r="D1204" s="666">
        <v>40.520000000000003</v>
      </c>
    </row>
    <row r="1205" spans="1:4" hidden="1" outlineLevel="1" x14ac:dyDescent="0.2">
      <c r="A1205" s="659" t="s">
        <v>2505</v>
      </c>
      <c r="B1205" s="660" t="s">
        <v>2420</v>
      </c>
      <c r="C1205" s="661" t="s">
        <v>11</v>
      </c>
      <c r="D1205" s="662">
        <v>112.57</v>
      </c>
    </row>
    <row r="1206" spans="1:4" hidden="1" outlineLevel="1" x14ac:dyDescent="0.2">
      <c r="A1206" s="655" t="s">
        <v>2506</v>
      </c>
      <c r="B1206" s="656" t="s">
        <v>1336</v>
      </c>
      <c r="C1206" s="657"/>
      <c r="D1206" s="658"/>
    </row>
    <row r="1207" spans="1:4" hidden="1" outlineLevel="1" x14ac:dyDescent="0.2">
      <c r="A1207" s="663" t="s">
        <v>2507</v>
      </c>
      <c r="B1207" s="664" t="s">
        <v>2464</v>
      </c>
      <c r="C1207" s="665" t="s">
        <v>11</v>
      </c>
      <c r="D1207" s="666">
        <v>1005.39</v>
      </c>
    </row>
    <row r="1208" spans="1:4" hidden="1" outlineLevel="1" x14ac:dyDescent="0.2">
      <c r="A1208" s="659" t="s">
        <v>2508</v>
      </c>
      <c r="B1208" s="660" t="s">
        <v>2466</v>
      </c>
      <c r="C1208" s="661" t="s">
        <v>11</v>
      </c>
      <c r="D1208" s="662">
        <f>231.53-33.93*2.8</f>
        <v>136.52600000000001</v>
      </c>
    </row>
    <row r="1209" spans="1:4" hidden="1" outlineLevel="1" x14ac:dyDescent="0.2">
      <c r="A1209" s="663" t="s">
        <v>2509</v>
      </c>
      <c r="B1209" s="664" t="s">
        <v>2414</v>
      </c>
      <c r="C1209" s="665" t="s">
        <v>11</v>
      </c>
      <c r="D1209" s="666">
        <v>36.78</v>
      </c>
    </row>
    <row r="1210" spans="1:4" hidden="1" outlineLevel="1" x14ac:dyDescent="0.2">
      <c r="A1210" s="659" t="s">
        <v>2510</v>
      </c>
      <c r="B1210" s="660" t="s">
        <v>2416</v>
      </c>
      <c r="C1210" s="661" t="s">
        <v>11</v>
      </c>
      <c r="D1210" s="662">
        <v>60.82</v>
      </c>
    </row>
    <row r="1211" spans="1:4" hidden="1" outlineLevel="1" x14ac:dyDescent="0.2">
      <c r="A1211" s="663" t="s">
        <v>2511</v>
      </c>
      <c r="B1211" s="664" t="s">
        <v>2418</v>
      </c>
      <c r="C1211" s="665" t="s">
        <v>11</v>
      </c>
      <c r="D1211" s="666">
        <v>40.520000000000003</v>
      </c>
    </row>
    <row r="1212" spans="1:4" hidden="1" outlineLevel="1" x14ac:dyDescent="0.2">
      <c r="A1212" s="659" t="s">
        <v>2512</v>
      </c>
      <c r="B1212" s="660" t="s">
        <v>2420</v>
      </c>
      <c r="C1212" s="661" t="s">
        <v>11</v>
      </c>
      <c r="D1212" s="662">
        <v>112.57</v>
      </c>
    </row>
    <row r="1213" spans="1:4" hidden="1" outlineLevel="1" x14ac:dyDescent="0.2">
      <c r="A1213" s="655" t="s">
        <v>2513</v>
      </c>
      <c r="B1213" s="656" t="s">
        <v>1340</v>
      </c>
      <c r="C1213" s="657"/>
      <c r="D1213" s="658"/>
    </row>
    <row r="1214" spans="1:4" hidden="1" outlineLevel="1" x14ac:dyDescent="0.2">
      <c r="A1214" s="663" t="s">
        <v>2514</v>
      </c>
      <c r="B1214" s="664" t="s">
        <v>2464</v>
      </c>
      <c r="C1214" s="665" t="s">
        <v>11</v>
      </c>
      <c r="D1214" s="666">
        <v>1005.39</v>
      </c>
    </row>
    <row r="1215" spans="1:4" hidden="1" outlineLevel="1" x14ac:dyDescent="0.2">
      <c r="A1215" s="659" t="s">
        <v>2515</v>
      </c>
      <c r="B1215" s="660" t="s">
        <v>2466</v>
      </c>
      <c r="C1215" s="661" t="s">
        <v>11</v>
      </c>
      <c r="D1215" s="662">
        <v>231.53</v>
      </c>
    </row>
    <row r="1216" spans="1:4" hidden="1" outlineLevel="1" x14ac:dyDescent="0.2">
      <c r="A1216" s="663" t="s">
        <v>2516</v>
      </c>
      <c r="B1216" s="664" t="s">
        <v>2414</v>
      </c>
      <c r="C1216" s="665" t="s">
        <v>11</v>
      </c>
      <c r="D1216" s="666">
        <v>36.78</v>
      </c>
    </row>
    <row r="1217" spans="1:4" hidden="1" outlineLevel="1" x14ac:dyDescent="0.2">
      <c r="A1217" s="659" t="s">
        <v>2517</v>
      </c>
      <c r="B1217" s="660" t="s">
        <v>2416</v>
      </c>
      <c r="C1217" s="661" t="s">
        <v>11</v>
      </c>
      <c r="D1217" s="662">
        <v>60.82</v>
      </c>
    </row>
    <row r="1218" spans="1:4" hidden="1" outlineLevel="1" x14ac:dyDescent="0.2">
      <c r="A1218" s="663" t="s">
        <v>2518</v>
      </c>
      <c r="B1218" s="664" t="s">
        <v>2418</v>
      </c>
      <c r="C1218" s="665" t="s">
        <v>11</v>
      </c>
      <c r="D1218" s="666">
        <v>40.520000000000003</v>
      </c>
    </row>
    <row r="1219" spans="1:4" hidden="1" outlineLevel="1" x14ac:dyDescent="0.2">
      <c r="A1219" s="659" t="s">
        <v>2519</v>
      </c>
      <c r="B1219" s="660" t="s">
        <v>2420</v>
      </c>
      <c r="C1219" s="661" t="s">
        <v>11</v>
      </c>
      <c r="D1219" s="662">
        <v>112.57</v>
      </c>
    </row>
    <row r="1220" spans="1:4" hidden="1" outlineLevel="1" x14ac:dyDescent="0.2">
      <c r="A1220" s="655" t="s">
        <v>2520</v>
      </c>
      <c r="B1220" s="656" t="s">
        <v>1344</v>
      </c>
      <c r="C1220" s="657"/>
      <c r="D1220" s="658"/>
    </row>
    <row r="1221" spans="1:4" hidden="1" outlineLevel="1" x14ac:dyDescent="0.2">
      <c r="A1221" s="663" t="s">
        <v>2521</v>
      </c>
      <c r="B1221" s="664" t="s">
        <v>2464</v>
      </c>
      <c r="C1221" s="665" t="s">
        <v>11</v>
      </c>
      <c r="D1221" s="666">
        <v>1005.39</v>
      </c>
    </row>
    <row r="1222" spans="1:4" hidden="1" outlineLevel="1" x14ac:dyDescent="0.2">
      <c r="A1222" s="659" t="s">
        <v>2522</v>
      </c>
      <c r="B1222" s="660" t="s">
        <v>2466</v>
      </c>
      <c r="C1222" s="661" t="s">
        <v>11</v>
      </c>
      <c r="D1222" s="662">
        <f>231.53-33.93*2.8</f>
        <v>136.52600000000001</v>
      </c>
    </row>
    <row r="1223" spans="1:4" hidden="1" outlineLevel="1" x14ac:dyDescent="0.2">
      <c r="A1223" s="663" t="s">
        <v>2523</v>
      </c>
      <c r="B1223" s="664" t="s">
        <v>2414</v>
      </c>
      <c r="C1223" s="665" t="s">
        <v>11</v>
      </c>
      <c r="D1223" s="666">
        <v>36.78</v>
      </c>
    </row>
    <row r="1224" spans="1:4" hidden="1" outlineLevel="1" x14ac:dyDescent="0.2">
      <c r="A1224" s="659" t="s">
        <v>2524</v>
      </c>
      <c r="B1224" s="660" t="s">
        <v>2416</v>
      </c>
      <c r="C1224" s="661" t="s">
        <v>11</v>
      </c>
      <c r="D1224" s="662">
        <v>60.82</v>
      </c>
    </row>
    <row r="1225" spans="1:4" hidden="1" outlineLevel="1" x14ac:dyDescent="0.2">
      <c r="A1225" s="663" t="s">
        <v>2525</v>
      </c>
      <c r="B1225" s="664" t="s">
        <v>2418</v>
      </c>
      <c r="C1225" s="665" t="s">
        <v>11</v>
      </c>
      <c r="D1225" s="666">
        <v>40.520000000000003</v>
      </c>
    </row>
    <row r="1226" spans="1:4" hidden="1" outlineLevel="1" x14ac:dyDescent="0.2">
      <c r="A1226" s="659" t="s">
        <v>2526</v>
      </c>
      <c r="B1226" s="660" t="s">
        <v>2420</v>
      </c>
      <c r="C1226" s="661" t="s">
        <v>11</v>
      </c>
      <c r="D1226" s="662">
        <v>112.57</v>
      </c>
    </row>
    <row r="1227" spans="1:4" hidden="1" outlineLevel="1" x14ac:dyDescent="0.2">
      <c r="A1227" s="655" t="s">
        <v>2527</v>
      </c>
      <c r="B1227" s="656" t="s">
        <v>1348</v>
      </c>
      <c r="C1227" s="657"/>
      <c r="D1227" s="658"/>
    </row>
    <row r="1228" spans="1:4" hidden="1" outlineLevel="1" x14ac:dyDescent="0.2">
      <c r="A1228" s="663" t="s">
        <v>2528</v>
      </c>
      <c r="B1228" s="664" t="s">
        <v>2464</v>
      </c>
      <c r="C1228" s="665" t="s">
        <v>11</v>
      </c>
      <c r="D1228" s="666">
        <v>1005.39</v>
      </c>
    </row>
    <row r="1229" spans="1:4" hidden="1" outlineLevel="1" x14ac:dyDescent="0.2">
      <c r="A1229" s="659" t="s">
        <v>2529</v>
      </c>
      <c r="B1229" s="660" t="s">
        <v>2466</v>
      </c>
      <c r="C1229" s="661" t="s">
        <v>11</v>
      </c>
      <c r="D1229" s="662">
        <f>231.53-33.93*2.8</f>
        <v>136.52600000000001</v>
      </c>
    </row>
    <row r="1230" spans="1:4" hidden="1" outlineLevel="1" x14ac:dyDescent="0.2">
      <c r="A1230" s="663" t="s">
        <v>2530</v>
      </c>
      <c r="B1230" s="664" t="s">
        <v>2414</v>
      </c>
      <c r="C1230" s="665" t="s">
        <v>11</v>
      </c>
      <c r="D1230" s="666">
        <v>36.78</v>
      </c>
    </row>
    <row r="1231" spans="1:4" hidden="1" outlineLevel="1" x14ac:dyDescent="0.2">
      <c r="A1231" s="659" t="s">
        <v>2531</v>
      </c>
      <c r="B1231" s="660" t="s">
        <v>2416</v>
      </c>
      <c r="C1231" s="661" t="s">
        <v>11</v>
      </c>
      <c r="D1231" s="662">
        <v>60.82</v>
      </c>
    </row>
    <row r="1232" spans="1:4" hidden="1" outlineLevel="1" x14ac:dyDescent="0.2">
      <c r="A1232" s="663" t="s">
        <v>2532</v>
      </c>
      <c r="B1232" s="664" t="s">
        <v>2418</v>
      </c>
      <c r="C1232" s="665" t="s">
        <v>11</v>
      </c>
      <c r="D1232" s="666">
        <v>40.520000000000003</v>
      </c>
    </row>
    <row r="1233" spans="1:4" hidden="1" outlineLevel="1" x14ac:dyDescent="0.2">
      <c r="A1233" s="659" t="s">
        <v>2533</v>
      </c>
      <c r="B1233" s="660" t="s">
        <v>2420</v>
      </c>
      <c r="C1233" s="661" t="s">
        <v>11</v>
      </c>
      <c r="D1233" s="662">
        <v>112.57</v>
      </c>
    </row>
    <row r="1234" spans="1:4" hidden="1" outlineLevel="1" x14ac:dyDescent="0.2">
      <c r="A1234" s="655" t="s">
        <v>2534</v>
      </c>
      <c r="B1234" s="656" t="s">
        <v>1352</v>
      </c>
      <c r="C1234" s="657"/>
      <c r="D1234" s="658"/>
    </row>
    <row r="1235" spans="1:4" hidden="1" outlineLevel="1" x14ac:dyDescent="0.2">
      <c r="A1235" s="663" t="s">
        <v>2535</v>
      </c>
      <c r="B1235" s="664" t="s">
        <v>2464</v>
      </c>
      <c r="C1235" s="665" t="s">
        <v>11</v>
      </c>
      <c r="D1235" s="666">
        <v>1005.39</v>
      </c>
    </row>
    <row r="1236" spans="1:4" hidden="1" outlineLevel="1" x14ac:dyDescent="0.2">
      <c r="A1236" s="659" t="s">
        <v>2536</v>
      </c>
      <c r="B1236" s="660" t="s">
        <v>2466</v>
      </c>
      <c r="C1236" s="661" t="s">
        <v>11</v>
      </c>
      <c r="D1236" s="662">
        <f>231.53-33.93*2.8</f>
        <v>136.52600000000001</v>
      </c>
    </row>
    <row r="1237" spans="1:4" hidden="1" outlineLevel="1" x14ac:dyDescent="0.2">
      <c r="A1237" s="663" t="s">
        <v>2537</v>
      </c>
      <c r="B1237" s="664" t="s">
        <v>2414</v>
      </c>
      <c r="C1237" s="665" t="s">
        <v>11</v>
      </c>
      <c r="D1237" s="666">
        <v>36.78</v>
      </c>
    </row>
    <row r="1238" spans="1:4" hidden="1" outlineLevel="1" x14ac:dyDescent="0.2">
      <c r="A1238" s="659" t="s">
        <v>2538</v>
      </c>
      <c r="B1238" s="660" t="s">
        <v>2416</v>
      </c>
      <c r="C1238" s="661" t="s">
        <v>11</v>
      </c>
      <c r="D1238" s="662">
        <v>60.82</v>
      </c>
    </row>
    <row r="1239" spans="1:4" hidden="1" outlineLevel="1" x14ac:dyDescent="0.2">
      <c r="A1239" s="663" t="s">
        <v>2539</v>
      </c>
      <c r="B1239" s="664" t="s">
        <v>2418</v>
      </c>
      <c r="C1239" s="665" t="s">
        <v>11</v>
      </c>
      <c r="D1239" s="666">
        <v>40.520000000000003</v>
      </c>
    </row>
    <row r="1240" spans="1:4" hidden="1" outlineLevel="1" x14ac:dyDescent="0.2">
      <c r="A1240" s="659" t="s">
        <v>2540</v>
      </c>
      <c r="B1240" s="660" t="s">
        <v>2420</v>
      </c>
      <c r="C1240" s="661" t="s">
        <v>11</v>
      </c>
      <c r="D1240" s="662">
        <v>112.57</v>
      </c>
    </row>
    <row r="1241" spans="1:4" hidden="1" outlineLevel="1" x14ac:dyDescent="0.2">
      <c r="A1241" s="655" t="s">
        <v>2541</v>
      </c>
      <c r="B1241" s="656" t="s">
        <v>1356</v>
      </c>
      <c r="C1241" s="657"/>
      <c r="D1241" s="658"/>
    </row>
    <row r="1242" spans="1:4" hidden="1" outlineLevel="1" x14ac:dyDescent="0.2">
      <c r="A1242" s="663" t="s">
        <v>2542</v>
      </c>
      <c r="B1242" s="664" t="s">
        <v>2464</v>
      </c>
      <c r="C1242" s="665" t="s">
        <v>11</v>
      </c>
      <c r="D1242" s="666">
        <v>1005.39</v>
      </c>
    </row>
    <row r="1243" spans="1:4" hidden="1" outlineLevel="1" x14ac:dyDescent="0.2">
      <c r="A1243" s="659" t="s">
        <v>2543</v>
      </c>
      <c r="B1243" s="660" t="s">
        <v>2466</v>
      </c>
      <c r="C1243" s="661" t="s">
        <v>11</v>
      </c>
      <c r="D1243" s="662">
        <f>231.53-33.93*2.8</f>
        <v>136.52600000000001</v>
      </c>
    </row>
    <row r="1244" spans="1:4" hidden="1" outlineLevel="1" x14ac:dyDescent="0.2">
      <c r="A1244" s="663" t="s">
        <v>2544</v>
      </c>
      <c r="B1244" s="664" t="s">
        <v>2414</v>
      </c>
      <c r="C1244" s="665" t="s">
        <v>11</v>
      </c>
      <c r="D1244" s="666">
        <v>36.78</v>
      </c>
    </row>
    <row r="1245" spans="1:4" hidden="1" outlineLevel="1" x14ac:dyDescent="0.2">
      <c r="A1245" s="659" t="s">
        <v>2545</v>
      </c>
      <c r="B1245" s="660" t="s">
        <v>2416</v>
      </c>
      <c r="C1245" s="661" t="s">
        <v>11</v>
      </c>
      <c r="D1245" s="662">
        <v>60.82</v>
      </c>
    </row>
    <row r="1246" spans="1:4" hidden="1" outlineLevel="1" x14ac:dyDescent="0.2">
      <c r="A1246" s="663" t="s">
        <v>2546</v>
      </c>
      <c r="B1246" s="664" t="s">
        <v>2418</v>
      </c>
      <c r="C1246" s="665" t="s">
        <v>11</v>
      </c>
      <c r="D1246" s="666">
        <v>40.520000000000003</v>
      </c>
    </row>
    <row r="1247" spans="1:4" hidden="1" outlineLevel="1" x14ac:dyDescent="0.2">
      <c r="A1247" s="659" t="s">
        <v>2547</v>
      </c>
      <c r="B1247" s="660" t="s">
        <v>2420</v>
      </c>
      <c r="C1247" s="661" t="s">
        <v>11</v>
      </c>
      <c r="D1247" s="662">
        <v>112.57</v>
      </c>
    </row>
    <row r="1248" spans="1:4" hidden="1" outlineLevel="1" x14ac:dyDescent="0.2">
      <c r="A1248" s="655" t="s">
        <v>2548</v>
      </c>
      <c r="B1248" s="656" t="s">
        <v>1360</v>
      </c>
      <c r="C1248" s="657"/>
      <c r="D1248" s="658"/>
    </row>
    <row r="1249" spans="1:4" hidden="1" outlineLevel="1" x14ac:dyDescent="0.2">
      <c r="A1249" s="663" t="s">
        <v>2549</v>
      </c>
      <c r="B1249" s="664" t="s">
        <v>2464</v>
      </c>
      <c r="C1249" s="665" t="s">
        <v>11</v>
      </c>
      <c r="D1249" s="666">
        <v>1005.39</v>
      </c>
    </row>
    <row r="1250" spans="1:4" hidden="1" outlineLevel="1" x14ac:dyDescent="0.2">
      <c r="A1250" s="659" t="s">
        <v>2550</v>
      </c>
      <c r="B1250" s="660" t="s">
        <v>2466</v>
      </c>
      <c r="C1250" s="661" t="s">
        <v>11</v>
      </c>
      <c r="D1250" s="662">
        <f>231.53-33.93*2.8</f>
        <v>136.52600000000001</v>
      </c>
    </row>
    <row r="1251" spans="1:4" hidden="1" outlineLevel="1" x14ac:dyDescent="0.2">
      <c r="A1251" s="663" t="s">
        <v>2551</v>
      </c>
      <c r="B1251" s="664" t="s">
        <v>2414</v>
      </c>
      <c r="C1251" s="665" t="s">
        <v>11</v>
      </c>
      <c r="D1251" s="666">
        <v>36.78</v>
      </c>
    </row>
    <row r="1252" spans="1:4" hidden="1" outlineLevel="1" x14ac:dyDescent="0.2">
      <c r="A1252" s="659" t="s">
        <v>2552</v>
      </c>
      <c r="B1252" s="660" t="s">
        <v>2416</v>
      </c>
      <c r="C1252" s="661" t="s">
        <v>11</v>
      </c>
      <c r="D1252" s="662">
        <v>60.82</v>
      </c>
    </row>
    <row r="1253" spans="1:4" hidden="1" outlineLevel="1" x14ac:dyDescent="0.2">
      <c r="A1253" s="663" t="s">
        <v>2553</v>
      </c>
      <c r="B1253" s="664" t="s">
        <v>2418</v>
      </c>
      <c r="C1253" s="665" t="s">
        <v>11</v>
      </c>
      <c r="D1253" s="666">
        <v>40.520000000000003</v>
      </c>
    </row>
    <row r="1254" spans="1:4" hidden="1" outlineLevel="1" x14ac:dyDescent="0.2">
      <c r="A1254" s="659" t="s">
        <v>2554</v>
      </c>
      <c r="B1254" s="660" t="s">
        <v>2420</v>
      </c>
      <c r="C1254" s="661" t="s">
        <v>11</v>
      </c>
      <c r="D1254" s="662">
        <v>112.57</v>
      </c>
    </row>
    <row r="1255" spans="1:4" hidden="1" outlineLevel="1" x14ac:dyDescent="0.2">
      <c r="A1255" s="655" t="s">
        <v>2555</v>
      </c>
      <c r="B1255" s="656" t="s">
        <v>1364</v>
      </c>
      <c r="C1255" s="657"/>
      <c r="D1255" s="658"/>
    </row>
    <row r="1256" spans="1:4" hidden="1" outlineLevel="1" x14ac:dyDescent="0.2">
      <c r="A1256" s="663" t="s">
        <v>2556</v>
      </c>
      <c r="B1256" s="664" t="s">
        <v>2464</v>
      </c>
      <c r="C1256" s="665" t="s">
        <v>11</v>
      </c>
      <c r="D1256" s="748">
        <v>1007.11</v>
      </c>
    </row>
    <row r="1257" spans="1:4" hidden="1" outlineLevel="1" x14ac:dyDescent="0.2">
      <c r="A1257" s="659" t="s">
        <v>2557</v>
      </c>
      <c r="B1257" s="660" t="s">
        <v>2466</v>
      </c>
      <c r="C1257" s="661" t="s">
        <v>11</v>
      </c>
      <c r="D1257" s="748">
        <f>269.61-110.62941493543</f>
        <v>158.98058506456999</v>
      </c>
    </row>
    <row r="1258" spans="1:4" hidden="1" outlineLevel="1" x14ac:dyDescent="0.2">
      <c r="A1258" s="663" t="s">
        <v>2558</v>
      </c>
      <c r="B1258" s="664" t="s">
        <v>2414</v>
      </c>
      <c r="C1258" s="665" t="s">
        <v>11</v>
      </c>
      <c r="D1258" s="689">
        <v>37.01</v>
      </c>
    </row>
    <row r="1259" spans="1:4" hidden="1" outlineLevel="1" x14ac:dyDescent="0.2">
      <c r="A1259" s="659" t="s">
        <v>2559</v>
      </c>
      <c r="B1259" s="660" t="s">
        <v>2416</v>
      </c>
      <c r="C1259" s="661" t="s">
        <v>11</v>
      </c>
      <c r="D1259" s="749">
        <v>61.23</v>
      </c>
    </row>
    <row r="1260" spans="1:4" hidden="1" outlineLevel="1" x14ac:dyDescent="0.2">
      <c r="A1260" s="663" t="s">
        <v>2560</v>
      </c>
      <c r="B1260" s="664" t="s">
        <v>2418</v>
      </c>
      <c r="C1260" s="665" t="s">
        <v>11</v>
      </c>
      <c r="D1260" s="689">
        <v>40.840000000000003</v>
      </c>
    </row>
    <row r="1261" spans="1:4" hidden="1" outlineLevel="1" x14ac:dyDescent="0.2">
      <c r="A1261" s="659" t="s">
        <v>2561</v>
      </c>
      <c r="B1261" s="660" t="s">
        <v>2420</v>
      </c>
      <c r="C1261" s="661" t="s">
        <v>11</v>
      </c>
      <c r="D1261" s="748">
        <v>110.14</v>
      </c>
    </row>
    <row r="1262" spans="1:4" hidden="1" outlineLevel="1" x14ac:dyDescent="0.2">
      <c r="A1262" s="655" t="s">
        <v>2562</v>
      </c>
      <c r="B1262" s="656" t="s">
        <v>1368</v>
      </c>
      <c r="C1262" s="657"/>
      <c r="D1262" s="658"/>
    </row>
    <row r="1263" spans="1:4" hidden="1" outlineLevel="1" x14ac:dyDescent="0.2">
      <c r="A1263" s="663" t="s">
        <v>2563</v>
      </c>
      <c r="B1263" s="664" t="s">
        <v>2464</v>
      </c>
      <c r="C1263" s="665" t="s">
        <v>11</v>
      </c>
      <c r="D1263" s="748">
        <v>507.44</v>
      </c>
    </row>
    <row r="1264" spans="1:4" hidden="1" outlineLevel="1" x14ac:dyDescent="0.2">
      <c r="A1264" s="659" t="s">
        <v>2564</v>
      </c>
      <c r="B1264" s="660" t="s">
        <v>2466</v>
      </c>
      <c r="C1264" s="661" t="s">
        <v>11</v>
      </c>
      <c r="D1264" s="748">
        <v>75.72</v>
      </c>
    </row>
    <row r="1265" spans="1:4" hidden="1" outlineLevel="1" x14ac:dyDescent="0.2">
      <c r="A1265" s="663" t="s">
        <v>2565</v>
      </c>
      <c r="B1265" s="664" t="s">
        <v>2414</v>
      </c>
      <c r="C1265" s="665" t="s">
        <v>11</v>
      </c>
      <c r="D1265" s="689">
        <v>40.19</v>
      </c>
    </row>
    <row r="1266" spans="1:4" hidden="1" outlineLevel="1" x14ac:dyDescent="0.2">
      <c r="A1266" s="659" t="s">
        <v>2566</v>
      </c>
      <c r="B1266" s="660" t="s">
        <v>2416</v>
      </c>
      <c r="C1266" s="661" t="s">
        <v>11</v>
      </c>
      <c r="D1266" s="749">
        <v>88.03</v>
      </c>
    </row>
    <row r="1267" spans="1:4" hidden="1" outlineLevel="1" x14ac:dyDescent="0.2">
      <c r="A1267" s="663" t="s">
        <v>2567</v>
      </c>
      <c r="B1267" s="664" t="s">
        <v>2418</v>
      </c>
      <c r="C1267" s="665" t="s">
        <v>11</v>
      </c>
      <c r="D1267" s="689">
        <v>45.64</v>
      </c>
    </row>
    <row r="1268" spans="1:4" hidden="1" outlineLevel="1" x14ac:dyDescent="0.2">
      <c r="A1268" s="659" t="s">
        <v>2568</v>
      </c>
      <c r="B1268" s="660" t="s">
        <v>2420</v>
      </c>
      <c r="C1268" s="661" t="s">
        <v>11</v>
      </c>
      <c r="D1268" s="748">
        <v>148.08000000000001</v>
      </c>
    </row>
    <row r="1269" spans="1:4" hidden="1" outlineLevel="1" x14ac:dyDescent="0.2">
      <c r="A1269" s="663" t="s">
        <v>2569</v>
      </c>
      <c r="B1269" s="664" t="s">
        <v>2570</v>
      </c>
      <c r="C1269" s="665" t="s">
        <v>11</v>
      </c>
      <c r="D1269" s="666">
        <v>51.1</v>
      </c>
    </row>
    <row r="1270" spans="1:4" hidden="1" outlineLevel="1" x14ac:dyDescent="0.2">
      <c r="A1270" s="655" t="s">
        <v>2571</v>
      </c>
      <c r="B1270" s="656" t="s">
        <v>1283</v>
      </c>
      <c r="C1270" s="657"/>
      <c r="D1270" s="658"/>
    </row>
    <row r="1271" spans="1:4" hidden="1" outlineLevel="1" x14ac:dyDescent="0.2">
      <c r="A1271" s="659" t="s">
        <v>2572</v>
      </c>
      <c r="B1271" s="660" t="s">
        <v>2573</v>
      </c>
      <c r="C1271" s="661" t="s">
        <v>11</v>
      </c>
      <c r="D1271" s="749">
        <v>217.99</v>
      </c>
    </row>
    <row r="1272" spans="1:4" hidden="1" outlineLevel="1" x14ac:dyDescent="0.2">
      <c r="A1272" s="663" t="s">
        <v>2574</v>
      </c>
      <c r="B1272" s="664" t="s">
        <v>2414</v>
      </c>
      <c r="C1272" s="665" t="s">
        <v>11</v>
      </c>
      <c r="D1272" s="689">
        <v>24.57</v>
      </c>
    </row>
    <row r="1273" spans="1:4" hidden="1" outlineLevel="1" x14ac:dyDescent="0.2">
      <c r="A1273" s="655" t="s">
        <v>2575</v>
      </c>
      <c r="B1273" s="656" t="s">
        <v>1374</v>
      </c>
      <c r="C1273" s="657"/>
      <c r="D1273" s="658"/>
    </row>
    <row r="1274" spans="1:4" hidden="1" outlineLevel="1" x14ac:dyDescent="0.2">
      <c r="A1274" s="659" t="s">
        <v>2576</v>
      </c>
      <c r="B1274" s="660" t="s">
        <v>2573</v>
      </c>
      <c r="C1274" s="661" t="s">
        <v>11</v>
      </c>
      <c r="D1274" s="749">
        <v>172.5</v>
      </c>
    </row>
    <row r="1275" spans="1:4" hidden="1" outlineLevel="1" x14ac:dyDescent="0.2">
      <c r="A1275" s="663" t="s">
        <v>2577</v>
      </c>
      <c r="B1275" s="664" t="s">
        <v>2414</v>
      </c>
      <c r="C1275" s="665" t="s">
        <v>11</v>
      </c>
      <c r="D1275" s="689">
        <v>22.92</v>
      </c>
    </row>
    <row r="1276" spans="1:4" collapsed="1" x14ac:dyDescent="0.2">
      <c r="A1276" s="651" t="s">
        <v>2578</v>
      </c>
      <c r="B1276" s="652" t="s">
        <v>2579</v>
      </c>
      <c r="C1276" s="653"/>
      <c r="D1276" s="654"/>
    </row>
    <row r="1277" spans="1:4" hidden="1" outlineLevel="1" x14ac:dyDescent="0.2">
      <c r="A1277" s="913" t="s">
        <v>2580</v>
      </c>
      <c r="B1277" s="702" t="s">
        <v>1292</v>
      </c>
      <c r="C1277" s="703"/>
      <c r="D1277" s="704"/>
    </row>
    <row r="1278" spans="1:4" hidden="1" outlineLevel="1" x14ac:dyDescent="0.2">
      <c r="A1278" s="914" t="s">
        <v>2581</v>
      </c>
      <c r="B1278" s="707" t="s">
        <v>4944</v>
      </c>
      <c r="C1278" s="708" t="s">
        <v>11</v>
      </c>
      <c r="D1278" s="709">
        <v>44.58</v>
      </c>
    </row>
    <row r="1279" spans="1:4" hidden="1" outlineLevel="1" x14ac:dyDescent="0.2">
      <c r="A1279" s="915" t="s">
        <v>4960</v>
      </c>
      <c r="B1279" s="710" t="s">
        <v>2582</v>
      </c>
      <c r="C1279" s="711" t="s">
        <v>11</v>
      </c>
      <c r="D1279" s="916">
        <v>772.87</v>
      </c>
    </row>
    <row r="1280" spans="1:4" hidden="1" outlineLevel="1" x14ac:dyDescent="0.2">
      <c r="A1280" s="913" t="s">
        <v>2583</v>
      </c>
      <c r="B1280" s="702" t="s">
        <v>1296</v>
      </c>
      <c r="C1280" s="703"/>
      <c r="D1280" s="704"/>
    </row>
    <row r="1281" spans="1:8" hidden="1" outlineLevel="1" x14ac:dyDescent="0.2">
      <c r="A1281" s="914" t="s">
        <v>2584</v>
      </c>
      <c r="B1281" s="707" t="s">
        <v>4944</v>
      </c>
      <c r="C1281" s="708" t="s">
        <v>11</v>
      </c>
      <c r="D1281" s="709">
        <v>41.37</v>
      </c>
    </row>
    <row r="1282" spans="1:8" hidden="1" outlineLevel="1" x14ac:dyDescent="0.2">
      <c r="A1282" s="915" t="s">
        <v>4961</v>
      </c>
      <c r="B1282" s="710" t="s">
        <v>2582</v>
      </c>
      <c r="C1282" s="711" t="s">
        <v>11</v>
      </c>
      <c r="D1282" s="916">
        <v>756.88</v>
      </c>
    </row>
    <row r="1283" spans="1:8" hidden="1" outlineLevel="1" x14ac:dyDescent="0.2">
      <c r="A1283" s="913" t="s">
        <v>2585</v>
      </c>
      <c r="B1283" s="702" t="s">
        <v>1299</v>
      </c>
      <c r="C1283" s="703"/>
      <c r="D1283" s="704"/>
    </row>
    <row r="1284" spans="1:8" hidden="1" outlineLevel="1" x14ac:dyDescent="0.2">
      <c r="A1284" s="914" t="s">
        <v>2586</v>
      </c>
      <c r="B1284" s="707" t="s">
        <v>4944</v>
      </c>
      <c r="C1284" s="708" t="s">
        <v>11</v>
      </c>
      <c r="D1284" s="709">
        <v>40.96</v>
      </c>
    </row>
    <row r="1285" spans="1:8" hidden="1" outlineLevel="1" x14ac:dyDescent="0.2">
      <c r="A1285" s="915" t="s">
        <v>4962</v>
      </c>
      <c r="B1285" s="710" t="s">
        <v>2582</v>
      </c>
      <c r="C1285" s="711" t="s">
        <v>11</v>
      </c>
      <c r="D1285" s="916">
        <v>759.45</v>
      </c>
    </row>
    <row r="1286" spans="1:8" hidden="1" outlineLevel="1" x14ac:dyDescent="0.2">
      <c r="A1286" s="913" t="s">
        <v>2587</v>
      </c>
      <c r="B1286" s="702" t="s">
        <v>1302</v>
      </c>
      <c r="C1286" s="703"/>
      <c r="D1286" s="704"/>
    </row>
    <row r="1287" spans="1:8" hidden="1" outlineLevel="1" x14ac:dyDescent="0.2">
      <c r="A1287" s="914" t="s">
        <v>2588</v>
      </c>
      <c r="B1287" s="707" t="s">
        <v>4944</v>
      </c>
      <c r="C1287" s="708" t="s">
        <v>11</v>
      </c>
      <c r="D1287" s="709">
        <v>41.37</v>
      </c>
    </row>
    <row r="1288" spans="1:8" hidden="1" outlineLevel="1" x14ac:dyDescent="0.2">
      <c r="A1288" s="915" t="s">
        <v>4963</v>
      </c>
      <c r="B1288" s="710" t="s">
        <v>2582</v>
      </c>
      <c r="C1288" s="711" t="s">
        <v>11</v>
      </c>
      <c r="D1288" s="916">
        <v>795.51</v>
      </c>
    </row>
    <row r="1289" spans="1:8" hidden="1" outlineLevel="1" x14ac:dyDescent="0.2">
      <c r="A1289" s="913" t="s">
        <v>2589</v>
      </c>
      <c r="B1289" s="702" t="s">
        <v>1305</v>
      </c>
      <c r="C1289" s="703"/>
      <c r="D1289" s="704"/>
    </row>
    <row r="1290" spans="1:8" hidden="1" outlineLevel="1" x14ac:dyDescent="0.2">
      <c r="A1290" s="914" t="s">
        <v>2590</v>
      </c>
      <c r="B1290" s="707" t="s">
        <v>4944</v>
      </c>
      <c r="C1290" s="708" t="s">
        <v>11</v>
      </c>
      <c r="D1290" s="709">
        <v>46.76</v>
      </c>
    </row>
    <row r="1291" spans="1:8" hidden="1" outlineLevel="1" x14ac:dyDescent="0.2">
      <c r="A1291" s="915" t="s">
        <v>4964</v>
      </c>
      <c r="B1291" s="710" t="s">
        <v>2582</v>
      </c>
      <c r="C1291" s="711" t="s">
        <v>11</v>
      </c>
      <c r="D1291" s="916">
        <v>774.23</v>
      </c>
    </row>
    <row r="1292" spans="1:8" hidden="1" outlineLevel="1" x14ac:dyDescent="0.2">
      <c r="A1292" s="913" t="s">
        <v>2591</v>
      </c>
      <c r="B1292" s="702" t="s">
        <v>1308</v>
      </c>
      <c r="C1292" s="703"/>
      <c r="D1292" s="704"/>
    </row>
    <row r="1293" spans="1:8" hidden="1" outlineLevel="1" x14ac:dyDescent="0.2">
      <c r="A1293" s="914" t="s">
        <v>2592</v>
      </c>
      <c r="B1293" s="707" t="s">
        <v>4944</v>
      </c>
      <c r="C1293" s="708" t="s">
        <v>11</v>
      </c>
      <c r="D1293" s="709">
        <v>45.74</v>
      </c>
    </row>
    <row r="1294" spans="1:8" hidden="1" outlineLevel="1" x14ac:dyDescent="0.2">
      <c r="A1294" s="915" t="s">
        <v>4965</v>
      </c>
      <c r="B1294" s="710" t="s">
        <v>2582</v>
      </c>
      <c r="C1294" s="711" t="s">
        <v>11</v>
      </c>
      <c r="D1294" s="916">
        <v>449.37</v>
      </c>
    </row>
    <row r="1295" spans="1:8" hidden="1" outlineLevel="1" x14ac:dyDescent="0.2">
      <c r="A1295" s="913" t="s">
        <v>2593</v>
      </c>
      <c r="B1295" s="702" t="s">
        <v>1311</v>
      </c>
      <c r="C1295" s="703"/>
      <c r="D1295" s="704"/>
      <c r="F1295" s="656" t="s">
        <v>4182</v>
      </c>
      <c r="G1295" s="657"/>
      <c r="H1295" s="658"/>
    </row>
    <row r="1296" spans="1:8" hidden="1" outlineLevel="1" x14ac:dyDescent="0.2">
      <c r="A1296" s="914" t="s">
        <v>2594</v>
      </c>
      <c r="B1296" s="707" t="s">
        <v>4944</v>
      </c>
      <c r="C1296" s="708" t="s">
        <v>11</v>
      </c>
      <c r="D1296" s="709">
        <v>42.36</v>
      </c>
      <c r="F1296" s="707" t="s">
        <v>4944</v>
      </c>
      <c r="G1296" s="661" t="s">
        <v>11</v>
      </c>
      <c r="H1296" s="662">
        <f>SUMIF(B1296:B1342,F1296,D1296:D1342)</f>
        <v>616.2600000000001</v>
      </c>
    </row>
    <row r="1297" spans="1:8" hidden="1" outlineLevel="1" x14ac:dyDescent="0.2">
      <c r="A1297" s="915" t="s">
        <v>4966</v>
      </c>
      <c r="B1297" s="710" t="s">
        <v>2582</v>
      </c>
      <c r="C1297" s="711" t="s">
        <v>11</v>
      </c>
      <c r="D1297" s="916">
        <v>457.38</v>
      </c>
      <c r="F1297" s="710" t="s">
        <v>2582</v>
      </c>
      <c r="G1297" s="661" t="s">
        <v>11</v>
      </c>
      <c r="H1297" s="662">
        <f>SUMIF(B1295:B1342,F1297,D1295:D1342)</f>
        <v>6867.4500000000007</v>
      </c>
    </row>
    <row r="1298" spans="1:8" hidden="1" outlineLevel="1" x14ac:dyDescent="0.2">
      <c r="A1298" s="913" t="s">
        <v>2595</v>
      </c>
      <c r="B1298" s="702" t="s">
        <v>1316</v>
      </c>
      <c r="C1298" s="703"/>
      <c r="D1298" s="704"/>
    </row>
    <row r="1299" spans="1:8" hidden="1" outlineLevel="1" x14ac:dyDescent="0.2">
      <c r="A1299" s="914" t="s">
        <v>2596</v>
      </c>
      <c r="B1299" s="707" t="s">
        <v>4944</v>
      </c>
      <c r="C1299" s="708" t="s">
        <v>11</v>
      </c>
      <c r="D1299" s="709">
        <v>42.36</v>
      </c>
    </row>
    <row r="1300" spans="1:8" hidden="1" outlineLevel="1" x14ac:dyDescent="0.2">
      <c r="A1300" s="915" t="s">
        <v>4967</v>
      </c>
      <c r="B1300" s="710" t="s">
        <v>2582</v>
      </c>
      <c r="C1300" s="711" t="s">
        <v>11</v>
      </c>
      <c r="D1300" s="916">
        <v>454.75</v>
      </c>
    </row>
    <row r="1301" spans="1:8" hidden="1" outlineLevel="1" x14ac:dyDescent="0.2">
      <c r="A1301" s="913" t="s">
        <v>2597</v>
      </c>
      <c r="B1301" s="702" t="s">
        <v>1320</v>
      </c>
      <c r="C1301" s="703"/>
      <c r="D1301" s="704"/>
    </row>
    <row r="1302" spans="1:8" hidden="1" outlineLevel="1" x14ac:dyDescent="0.2">
      <c r="A1302" s="914" t="s">
        <v>2598</v>
      </c>
      <c r="B1302" s="707" t="s">
        <v>4944</v>
      </c>
      <c r="C1302" s="708" t="s">
        <v>11</v>
      </c>
      <c r="D1302" s="709">
        <v>42.36</v>
      </c>
    </row>
    <row r="1303" spans="1:8" hidden="1" outlineLevel="1" x14ac:dyDescent="0.2">
      <c r="A1303" s="915" t="s">
        <v>4968</v>
      </c>
      <c r="B1303" s="710" t="s">
        <v>2582</v>
      </c>
      <c r="C1303" s="711" t="s">
        <v>11</v>
      </c>
      <c r="D1303" s="916">
        <v>454.75</v>
      </c>
    </row>
    <row r="1304" spans="1:8" hidden="1" outlineLevel="1" x14ac:dyDescent="0.2">
      <c r="A1304" s="913" t="s">
        <v>2599</v>
      </c>
      <c r="B1304" s="702" t="s">
        <v>1324</v>
      </c>
      <c r="C1304" s="703"/>
      <c r="D1304" s="704"/>
    </row>
    <row r="1305" spans="1:8" hidden="1" outlineLevel="1" x14ac:dyDescent="0.2">
      <c r="A1305" s="914" t="s">
        <v>2600</v>
      </c>
      <c r="B1305" s="707" t="s">
        <v>4944</v>
      </c>
      <c r="C1305" s="708" t="s">
        <v>11</v>
      </c>
      <c r="D1305" s="709">
        <v>42.36</v>
      </c>
    </row>
    <row r="1306" spans="1:8" hidden="1" outlineLevel="1" x14ac:dyDescent="0.2">
      <c r="A1306" s="915" t="s">
        <v>4969</v>
      </c>
      <c r="B1306" s="710" t="s">
        <v>2582</v>
      </c>
      <c r="C1306" s="711" t="s">
        <v>11</v>
      </c>
      <c r="D1306" s="916">
        <v>454.75</v>
      </c>
    </row>
    <row r="1307" spans="1:8" hidden="1" outlineLevel="1" x14ac:dyDescent="0.2">
      <c r="A1307" s="913" t="s">
        <v>2601</v>
      </c>
      <c r="B1307" s="702" t="s">
        <v>1328</v>
      </c>
      <c r="C1307" s="703"/>
      <c r="D1307" s="704"/>
    </row>
    <row r="1308" spans="1:8" hidden="1" outlineLevel="1" x14ac:dyDescent="0.2">
      <c r="A1308" s="914" t="s">
        <v>2602</v>
      </c>
      <c r="B1308" s="707" t="s">
        <v>4944</v>
      </c>
      <c r="C1308" s="708" t="s">
        <v>11</v>
      </c>
      <c r="D1308" s="709">
        <v>42.36</v>
      </c>
    </row>
    <row r="1309" spans="1:8" hidden="1" outlineLevel="1" x14ac:dyDescent="0.2">
      <c r="A1309" s="915" t="s">
        <v>4970</v>
      </c>
      <c r="B1309" s="710" t="s">
        <v>2582</v>
      </c>
      <c r="C1309" s="711" t="s">
        <v>11</v>
      </c>
      <c r="D1309" s="916">
        <v>454.75</v>
      </c>
    </row>
    <row r="1310" spans="1:8" hidden="1" outlineLevel="1" x14ac:dyDescent="0.2">
      <c r="A1310" s="913" t="s">
        <v>2603</v>
      </c>
      <c r="B1310" s="702" t="s">
        <v>1332</v>
      </c>
      <c r="C1310" s="703"/>
      <c r="D1310" s="704"/>
    </row>
    <row r="1311" spans="1:8" hidden="1" outlineLevel="1" x14ac:dyDescent="0.2">
      <c r="A1311" s="914" t="s">
        <v>2604</v>
      </c>
      <c r="B1311" s="707" t="s">
        <v>4944</v>
      </c>
      <c r="C1311" s="708" t="s">
        <v>11</v>
      </c>
      <c r="D1311" s="709">
        <v>42.36</v>
      </c>
    </row>
    <row r="1312" spans="1:8" hidden="1" outlineLevel="1" x14ac:dyDescent="0.2">
      <c r="A1312" s="915" t="s">
        <v>4971</v>
      </c>
      <c r="B1312" s="710" t="s">
        <v>2582</v>
      </c>
      <c r="C1312" s="711" t="s">
        <v>11</v>
      </c>
      <c r="D1312" s="916">
        <v>454.75</v>
      </c>
    </row>
    <row r="1313" spans="1:4" hidden="1" outlineLevel="1" x14ac:dyDescent="0.2">
      <c r="A1313" s="913" t="s">
        <v>2605</v>
      </c>
      <c r="B1313" s="702" t="s">
        <v>1336</v>
      </c>
      <c r="C1313" s="703"/>
      <c r="D1313" s="704"/>
    </row>
    <row r="1314" spans="1:4" hidden="1" outlineLevel="1" x14ac:dyDescent="0.2">
      <c r="A1314" s="914" t="s">
        <v>2606</v>
      </c>
      <c r="B1314" s="707" t="s">
        <v>4944</v>
      </c>
      <c r="C1314" s="708" t="s">
        <v>11</v>
      </c>
      <c r="D1314" s="709">
        <v>42.36</v>
      </c>
    </row>
    <row r="1315" spans="1:4" hidden="1" outlineLevel="1" x14ac:dyDescent="0.2">
      <c r="A1315" s="915" t="s">
        <v>4972</v>
      </c>
      <c r="B1315" s="710" t="s">
        <v>2582</v>
      </c>
      <c r="C1315" s="711" t="s">
        <v>11</v>
      </c>
      <c r="D1315" s="916">
        <v>454.75</v>
      </c>
    </row>
    <row r="1316" spans="1:4" hidden="1" outlineLevel="1" x14ac:dyDescent="0.2">
      <c r="A1316" s="913" t="s">
        <v>2607</v>
      </c>
      <c r="B1316" s="702" t="s">
        <v>1340</v>
      </c>
      <c r="C1316" s="703"/>
      <c r="D1316" s="704"/>
    </row>
    <row r="1317" spans="1:4" hidden="1" outlineLevel="1" x14ac:dyDescent="0.2">
      <c r="A1317" s="914" t="s">
        <v>2608</v>
      </c>
      <c r="B1317" s="707" t="s">
        <v>4944</v>
      </c>
      <c r="C1317" s="708" t="s">
        <v>11</v>
      </c>
      <c r="D1317" s="709">
        <v>42.36</v>
      </c>
    </row>
    <row r="1318" spans="1:4" hidden="1" outlineLevel="1" x14ac:dyDescent="0.2">
      <c r="A1318" s="915" t="s">
        <v>4973</v>
      </c>
      <c r="B1318" s="710" t="s">
        <v>2582</v>
      </c>
      <c r="C1318" s="711" t="s">
        <v>11</v>
      </c>
      <c r="D1318" s="916">
        <v>454.75</v>
      </c>
    </row>
    <row r="1319" spans="1:4" hidden="1" outlineLevel="1" x14ac:dyDescent="0.2">
      <c r="A1319" s="913" t="s">
        <v>2609</v>
      </c>
      <c r="B1319" s="702" t="s">
        <v>1344</v>
      </c>
      <c r="C1319" s="703"/>
      <c r="D1319" s="704"/>
    </row>
    <row r="1320" spans="1:4" hidden="1" outlineLevel="1" x14ac:dyDescent="0.2">
      <c r="A1320" s="914" t="s">
        <v>2610</v>
      </c>
      <c r="B1320" s="707" t="s">
        <v>4944</v>
      </c>
      <c r="C1320" s="708" t="s">
        <v>11</v>
      </c>
      <c r="D1320" s="709">
        <v>42.36</v>
      </c>
    </row>
    <row r="1321" spans="1:4" hidden="1" outlineLevel="1" x14ac:dyDescent="0.2">
      <c r="A1321" s="915" t="s">
        <v>4974</v>
      </c>
      <c r="B1321" s="710" t="s">
        <v>2582</v>
      </c>
      <c r="C1321" s="711" t="s">
        <v>11</v>
      </c>
      <c r="D1321" s="916">
        <v>454.75</v>
      </c>
    </row>
    <row r="1322" spans="1:4" hidden="1" outlineLevel="1" x14ac:dyDescent="0.2">
      <c r="A1322" s="913" t="s">
        <v>2611</v>
      </c>
      <c r="B1322" s="702" t="s">
        <v>1348</v>
      </c>
      <c r="C1322" s="703"/>
      <c r="D1322" s="704"/>
    </row>
    <row r="1323" spans="1:4" hidden="1" outlineLevel="1" x14ac:dyDescent="0.2">
      <c r="A1323" s="914" t="s">
        <v>2612</v>
      </c>
      <c r="B1323" s="707" t="s">
        <v>4944</v>
      </c>
      <c r="C1323" s="708" t="s">
        <v>11</v>
      </c>
      <c r="D1323" s="709">
        <v>42.36</v>
      </c>
    </row>
    <row r="1324" spans="1:4" hidden="1" outlineLevel="1" x14ac:dyDescent="0.2">
      <c r="A1324" s="915" t="s">
        <v>4975</v>
      </c>
      <c r="B1324" s="710" t="s">
        <v>2582</v>
      </c>
      <c r="C1324" s="711" t="s">
        <v>11</v>
      </c>
      <c r="D1324" s="916">
        <v>454.75</v>
      </c>
    </row>
    <row r="1325" spans="1:4" hidden="1" outlineLevel="1" x14ac:dyDescent="0.2">
      <c r="A1325" s="913" t="s">
        <v>2613</v>
      </c>
      <c r="B1325" s="702" t="s">
        <v>1352</v>
      </c>
      <c r="C1325" s="703"/>
      <c r="D1325" s="704"/>
    </row>
    <row r="1326" spans="1:4" hidden="1" outlineLevel="1" x14ac:dyDescent="0.2">
      <c r="A1326" s="914" t="s">
        <v>2614</v>
      </c>
      <c r="B1326" s="707" t="s">
        <v>4944</v>
      </c>
      <c r="C1326" s="708" t="s">
        <v>11</v>
      </c>
      <c r="D1326" s="709">
        <v>42.36</v>
      </c>
    </row>
    <row r="1327" spans="1:4" hidden="1" outlineLevel="1" x14ac:dyDescent="0.2">
      <c r="A1327" s="915" t="s">
        <v>4976</v>
      </c>
      <c r="B1327" s="710" t="s">
        <v>2582</v>
      </c>
      <c r="C1327" s="711" t="s">
        <v>11</v>
      </c>
      <c r="D1327" s="916">
        <v>454.75</v>
      </c>
    </row>
    <row r="1328" spans="1:4" hidden="1" outlineLevel="1" x14ac:dyDescent="0.2">
      <c r="A1328" s="913" t="s">
        <v>2615</v>
      </c>
      <c r="B1328" s="702" t="s">
        <v>1356</v>
      </c>
      <c r="C1328" s="703"/>
      <c r="D1328" s="704"/>
    </row>
    <row r="1329" spans="1:8" hidden="1" outlineLevel="1" x14ac:dyDescent="0.2">
      <c r="A1329" s="914" t="s">
        <v>2616</v>
      </c>
      <c r="B1329" s="707" t="s">
        <v>4944</v>
      </c>
      <c r="C1329" s="708" t="s">
        <v>11</v>
      </c>
      <c r="D1329" s="709">
        <v>42.36</v>
      </c>
    </row>
    <row r="1330" spans="1:8" hidden="1" outlineLevel="1" x14ac:dyDescent="0.2">
      <c r="A1330" s="915" t="s">
        <v>4977</v>
      </c>
      <c r="B1330" s="710" t="s">
        <v>2582</v>
      </c>
      <c r="C1330" s="711" t="s">
        <v>11</v>
      </c>
      <c r="D1330" s="916">
        <v>454.75</v>
      </c>
    </row>
    <row r="1331" spans="1:8" hidden="1" outlineLevel="1" x14ac:dyDescent="0.2">
      <c r="A1331" s="913" t="s">
        <v>2617</v>
      </c>
      <c r="B1331" s="702" t="s">
        <v>1360</v>
      </c>
      <c r="C1331" s="703"/>
      <c r="D1331" s="704"/>
    </row>
    <row r="1332" spans="1:8" hidden="1" outlineLevel="1" x14ac:dyDescent="0.2">
      <c r="A1332" s="914" t="s">
        <v>2618</v>
      </c>
      <c r="B1332" s="707" t="s">
        <v>4944</v>
      </c>
      <c r="C1332" s="708" t="s">
        <v>11</v>
      </c>
      <c r="D1332" s="709">
        <v>42.36</v>
      </c>
    </row>
    <row r="1333" spans="1:8" hidden="1" outlineLevel="1" x14ac:dyDescent="0.2">
      <c r="A1333" s="915" t="s">
        <v>4978</v>
      </c>
      <c r="B1333" s="710" t="s">
        <v>2582</v>
      </c>
      <c r="C1333" s="711" t="s">
        <v>11</v>
      </c>
      <c r="D1333" s="916">
        <v>454.75</v>
      </c>
    </row>
    <row r="1334" spans="1:8" hidden="1" outlineLevel="1" x14ac:dyDescent="0.2">
      <c r="A1334" s="913" t="s">
        <v>2619</v>
      </c>
      <c r="B1334" s="702" t="s">
        <v>1364</v>
      </c>
      <c r="C1334" s="703"/>
      <c r="D1334" s="704"/>
    </row>
    <row r="1335" spans="1:8" hidden="1" outlineLevel="1" x14ac:dyDescent="0.2">
      <c r="A1335" s="914" t="s">
        <v>2620</v>
      </c>
      <c r="B1335" s="707" t="s">
        <v>4944</v>
      </c>
      <c r="C1335" s="708" t="s">
        <v>11</v>
      </c>
      <c r="D1335" s="709">
        <v>65.58</v>
      </c>
    </row>
    <row r="1336" spans="1:8" hidden="1" outlineLevel="1" x14ac:dyDescent="0.2">
      <c r="A1336" s="915" t="s">
        <v>4979</v>
      </c>
      <c r="B1336" s="710" t="s">
        <v>2582</v>
      </c>
      <c r="C1336" s="711" t="s">
        <v>11</v>
      </c>
      <c r="D1336" s="916">
        <v>447.5</v>
      </c>
    </row>
    <row r="1337" spans="1:8" hidden="1" outlineLevel="1" x14ac:dyDescent="0.2">
      <c r="A1337" s="913" t="s">
        <v>2621</v>
      </c>
      <c r="B1337" s="702" t="s">
        <v>1368</v>
      </c>
      <c r="C1337" s="703"/>
      <c r="D1337" s="704"/>
    </row>
    <row r="1338" spans="1:8" hidden="1" outlineLevel="1" x14ac:dyDescent="0.2">
      <c r="A1338" s="914" t="s">
        <v>2622</v>
      </c>
      <c r="B1338" s="707" t="s">
        <v>2582</v>
      </c>
      <c r="C1338" s="708" t="s">
        <v>11</v>
      </c>
      <c r="D1338" s="709">
        <v>403.73</v>
      </c>
    </row>
    <row r="1339" spans="1:8" hidden="1" outlineLevel="1" x14ac:dyDescent="0.2">
      <c r="A1339" s="913" t="s">
        <v>2623</v>
      </c>
      <c r="B1339" s="702" t="s">
        <v>1283</v>
      </c>
      <c r="C1339" s="703"/>
      <c r="D1339" s="704"/>
    </row>
    <row r="1340" spans="1:8" hidden="1" outlineLevel="1" x14ac:dyDescent="0.2">
      <c r="A1340" s="915" t="s">
        <v>2624</v>
      </c>
      <c r="B1340" s="710" t="s">
        <v>2582</v>
      </c>
      <c r="C1340" s="711" t="s">
        <v>11</v>
      </c>
      <c r="D1340" s="916">
        <v>49.6</v>
      </c>
    </row>
    <row r="1341" spans="1:8" hidden="1" outlineLevel="1" x14ac:dyDescent="0.2">
      <c r="A1341" s="913" t="s">
        <v>2625</v>
      </c>
      <c r="B1341" s="702" t="s">
        <v>1374</v>
      </c>
      <c r="C1341" s="703"/>
      <c r="D1341" s="704"/>
    </row>
    <row r="1342" spans="1:8" hidden="1" outlineLevel="1" x14ac:dyDescent="0.2">
      <c r="A1342" s="914" t="s">
        <v>2626</v>
      </c>
      <c r="B1342" s="707" t="s">
        <v>2582</v>
      </c>
      <c r="C1342" s="708" t="s">
        <v>11</v>
      </c>
      <c r="D1342" s="709">
        <v>52.24</v>
      </c>
    </row>
    <row r="1343" spans="1:8" collapsed="1" x14ac:dyDescent="0.2">
      <c r="A1343" s="651" t="s">
        <v>2627</v>
      </c>
      <c r="B1343" s="652" t="s">
        <v>142</v>
      </c>
      <c r="C1343" s="653"/>
      <c r="D1343" s="654"/>
    </row>
    <row r="1344" spans="1:8" hidden="1" outlineLevel="1" x14ac:dyDescent="0.2">
      <c r="A1344" s="655" t="s">
        <v>2628</v>
      </c>
      <c r="B1344" s="656" t="s">
        <v>1292</v>
      </c>
      <c r="C1344" s="657"/>
      <c r="D1344" s="658"/>
      <c r="F1344" s="656" t="s">
        <v>1292</v>
      </c>
      <c r="G1344" s="657"/>
      <c r="H1344" s="658"/>
    </row>
    <row r="1345" spans="1:8" hidden="1" outlineLevel="1" x14ac:dyDescent="0.2">
      <c r="A1345" s="667" t="s">
        <v>2629</v>
      </c>
      <c r="B1345" s="668" t="s">
        <v>2630</v>
      </c>
      <c r="C1345" s="669"/>
      <c r="D1345" s="670"/>
      <c r="F1345" s="660" t="s">
        <v>2632</v>
      </c>
      <c r="G1345" s="661" t="str">
        <f>C1346</f>
        <v>m</v>
      </c>
      <c r="H1345" s="661">
        <f>D1346</f>
        <v>5.52</v>
      </c>
    </row>
    <row r="1346" spans="1:8" hidden="1" outlineLevel="1" x14ac:dyDescent="0.2">
      <c r="A1346" s="659" t="s">
        <v>2631</v>
      </c>
      <c r="B1346" s="660" t="s">
        <v>2632</v>
      </c>
      <c r="C1346" s="661" t="s">
        <v>3</v>
      </c>
      <c r="D1346" s="662">
        <v>5.52</v>
      </c>
      <c r="F1346" s="660" t="s">
        <v>4221</v>
      </c>
      <c r="G1346" s="661" t="str">
        <f>C1348</f>
        <v>m²</v>
      </c>
      <c r="H1346" s="662">
        <f>SUM(D1348:D1353,D1355:D1357,D1360)</f>
        <v>56.35</v>
      </c>
    </row>
    <row r="1347" spans="1:8" hidden="1" outlineLevel="1" x14ac:dyDescent="0.2">
      <c r="A1347" s="667" t="s">
        <v>2633</v>
      </c>
      <c r="B1347" s="668" t="s">
        <v>2634</v>
      </c>
      <c r="C1347" s="669"/>
      <c r="D1347" s="670"/>
      <c r="F1347" s="660" t="s">
        <v>4222</v>
      </c>
      <c r="G1347" s="661" t="str">
        <f>C1358</f>
        <v>m²</v>
      </c>
      <c r="H1347" s="662">
        <f>D1358+D1359</f>
        <v>18.740000000000002</v>
      </c>
    </row>
    <row r="1348" spans="1:8" hidden="1" outlineLevel="1" x14ac:dyDescent="0.2">
      <c r="A1348" s="663" t="s">
        <v>2635</v>
      </c>
      <c r="B1348" s="664" t="s">
        <v>2636</v>
      </c>
      <c r="C1348" s="665" t="s">
        <v>11</v>
      </c>
      <c r="D1348" s="666">
        <v>1.88</v>
      </c>
      <c r="F1348" s="660" t="s">
        <v>4996</v>
      </c>
      <c r="G1348" s="661" t="str">
        <f>C1359</f>
        <v>m²</v>
      </c>
      <c r="H1348" s="662">
        <v>24.35</v>
      </c>
    </row>
    <row r="1349" spans="1:8" hidden="1" outlineLevel="1" x14ac:dyDescent="0.2">
      <c r="A1349" s="659" t="s">
        <v>2637</v>
      </c>
      <c r="B1349" s="660" t="s">
        <v>2638</v>
      </c>
      <c r="C1349" s="661" t="s">
        <v>11</v>
      </c>
      <c r="D1349" s="662">
        <v>6.02</v>
      </c>
    </row>
    <row r="1350" spans="1:8" hidden="1" outlineLevel="1" x14ac:dyDescent="0.2">
      <c r="A1350" s="663" t="s">
        <v>2639</v>
      </c>
      <c r="B1350" s="664" t="s">
        <v>2640</v>
      </c>
      <c r="C1350" s="665" t="s">
        <v>11</v>
      </c>
      <c r="D1350" s="666">
        <v>6.65</v>
      </c>
    </row>
    <row r="1351" spans="1:8" hidden="1" outlineLevel="1" x14ac:dyDescent="0.2">
      <c r="A1351" s="659" t="s">
        <v>2641</v>
      </c>
      <c r="B1351" s="660" t="s">
        <v>2642</v>
      </c>
      <c r="C1351" s="661" t="s">
        <v>11</v>
      </c>
      <c r="D1351" s="662">
        <v>1.56</v>
      </c>
    </row>
    <row r="1352" spans="1:8" hidden="1" outlineLevel="1" x14ac:dyDescent="0.2">
      <c r="A1352" s="663" t="s">
        <v>2643</v>
      </c>
      <c r="B1352" s="664" t="s">
        <v>2644</v>
      </c>
      <c r="C1352" s="665" t="s">
        <v>11</v>
      </c>
      <c r="D1352" s="666">
        <v>0.84</v>
      </c>
    </row>
    <row r="1353" spans="1:8" hidden="1" outlineLevel="1" x14ac:dyDescent="0.2">
      <c r="A1353" s="659" t="s">
        <v>2645</v>
      </c>
      <c r="B1353" s="660" t="s">
        <v>2646</v>
      </c>
      <c r="C1353" s="661" t="s">
        <v>11</v>
      </c>
      <c r="D1353" s="662">
        <v>0.69</v>
      </c>
    </row>
    <row r="1354" spans="1:8" hidden="1" outlineLevel="1" x14ac:dyDescent="0.2">
      <c r="A1354" s="667" t="s">
        <v>2647</v>
      </c>
      <c r="B1354" s="668" t="s">
        <v>2648</v>
      </c>
      <c r="C1354" s="669"/>
      <c r="D1354" s="670"/>
    </row>
    <row r="1355" spans="1:8" hidden="1" outlineLevel="1" x14ac:dyDescent="0.2">
      <c r="A1355" s="663" t="s">
        <v>2649</v>
      </c>
      <c r="B1355" s="664" t="s">
        <v>2650</v>
      </c>
      <c r="C1355" s="665" t="s">
        <v>11</v>
      </c>
      <c r="D1355" s="666">
        <v>1.8</v>
      </c>
    </row>
    <row r="1356" spans="1:8" hidden="1" outlineLevel="1" x14ac:dyDescent="0.2">
      <c r="A1356" s="659" t="s">
        <v>2651</v>
      </c>
      <c r="B1356" s="660" t="s">
        <v>2652</v>
      </c>
      <c r="C1356" s="661" t="s">
        <v>11</v>
      </c>
      <c r="D1356" s="662">
        <v>27.73</v>
      </c>
    </row>
    <row r="1357" spans="1:8" hidden="1" outlineLevel="1" x14ac:dyDescent="0.2">
      <c r="A1357" s="663" t="s">
        <v>2653</v>
      </c>
      <c r="B1357" s="664" t="s">
        <v>2654</v>
      </c>
      <c r="C1357" s="665" t="s">
        <v>11</v>
      </c>
      <c r="D1357" s="666">
        <v>2.46</v>
      </c>
    </row>
    <row r="1358" spans="1:8" ht="25.5" hidden="1" outlineLevel="1" x14ac:dyDescent="0.2">
      <c r="A1358" s="659" t="s">
        <v>2655</v>
      </c>
      <c r="B1358" s="660" t="s">
        <v>2656</v>
      </c>
      <c r="C1358" s="661" t="s">
        <v>11</v>
      </c>
      <c r="D1358" s="662">
        <v>10.08</v>
      </c>
    </row>
    <row r="1359" spans="1:8" ht="25.5" hidden="1" outlineLevel="1" x14ac:dyDescent="0.2">
      <c r="A1359" s="663" t="s">
        <v>2657</v>
      </c>
      <c r="B1359" s="664" t="s">
        <v>2658</v>
      </c>
      <c r="C1359" s="665" t="s">
        <v>11</v>
      </c>
      <c r="D1359" s="666">
        <v>8.66</v>
      </c>
    </row>
    <row r="1360" spans="1:8" hidden="1" outlineLevel="1" x14ac:dyDescent="0.2">
      <c r="A1360" s="659" t="s">
        <v>2659</v>
      </c>
      <c r="B1360" s="660" t="s">
        <v>2660</v>
      </c>
      <c r="C1360" s="661" t="s">
        <v>11</v>
      </c>
      <c r="D1360" s="662">
        <v>6.72</v>
      </c>
    </row>
    <row r="1361" spans="1:8" hidden="1" outlineLevel="1" x14ac:dyDescent="0.2">
      <c r="A1361" s="655" t="s">
        <v>2661</v>
      </c>
      <c r="B1361" s="656" t="s">
        <v>1296</v>
      </c>
      <c r="C1361" s="657"/>
      <c r="D1361" s="658"/>
      <c r="F1361" s="656" t="s">
        <v>831</v>
      </c>
      <c r="G1361" s="657"/>
      <c r="H1361" s="658"/>
    </row>
    <row r="1362" spans="1:8" hidden="1" outlineLevel="1" x14ac:dyDescent="0.2">
      <c r="A1362" s="667" t="s">
        <v>2662</v>
      </c>
      <c r="B1362" s="668" t="s">
        <v>2630</v>
      </c>
      <c r="C1362" s="669"/>
      <c r="D1362" s="670"/>
      <c r="F1362" s="660" t="s">
        <v>2632</v>
      </c>
      <c r="G1362" s="661" t="str">
        <f>C1363</f>
        <v>m</v>
      </c>
      <c r="H1362" s="662">
        <f>D1363+D1373+D1383</f>
        <v>16.29</v>
      </c>
    </row>
    <row r="1363" spans="1:8" hidden="1" outlineLevel="1" x14ac:dyDescent="0.2">
      <c r="A1363" s="663" t="s">
        <v>2663</v>
      </c>
      <c r="B1363" s="664" t="s">
        <v>2632</v>
      </c>
      <c r="C1363" s="665" t="s">
        <v>3</v>
      </c>
      <c r="D1363" s="666">
        <v>5.46</v>
      </c>
      <c r="F1363" s="660" t="s">
        <v>4221</v>
      </c>
      <c r="G1363" s="661" t="str">
        <f>C1365</f>
        <v>m²</v>
      </c>
      <c r="H1363" s="662">
        <f>SUM(D1365:D1367,D1369:D1370,D1375:D1377,D1379:D1380,D1385:D1387,D1389:D1390)</f>
        <v>110.48000000000002</v>
      </c>
    </row>
    <row r="1364" spans="1:8" hidden="1" outlineLevel="1" x14ac:dyDescent="0.2">
      <c r="A1364" s="667" t="s">
        <v>2664</v>
      </c>
      <c r="B1364" s="668" t="s">
        <v>2634</v>
      </c>
      <c r="C1364" s="669"/>
      <c r="D1364" s="670"/>
      <c r="F1364" s="660" t="s">
        <v>4996</v>
      </c>
      <c r="G1364" s="661" t="str">
        <f>C1366</f>
        <v>m²</v>
      </c>
      <c r="H1364" s="662">
        <f>20.12+20.13+20.94</f>
        <v>61.19</v>
      </c>
    </row>
    <row r="1365" spans="1:8" hidden="1" outlineLevel="1" x14ac:dyDescent="0.2">
      <c r="A1365" s="659" t="s">
        <v>2665</v>
      </c>
      <c r="B1365" s="660" t="s">
        <v>2666</v>
      </c>
      <c r="C1365" s="661" t="s">
        <v>11</v>
      </c>
      <c r="D1365" s="662">
        <v>17.87</v>
      </c>
    </row>
    <row r="1366" spans="1:8" hidden="1" outlineLevel="1" x14ac:dyDescent="0.2">
      <c r="A1366" s="663" t="s">
        <v>2667</v>
      </c>
      <c r="B1366" s="664" t="s">
        <v>2644</v>
      </c>
      <c r="C1366" s="665" t="s">
        <v>11</v>
      </c>
      <c r="D1366" s="666">
        <v>0.84</v>
      </c>
    </row>
    <row r="1367" spans="1:8" hidden="1" outlineLevel="1" x14ac:dyDescent="0.2">
      <c r="A1367" s="659" t="s">
        <v>2668</v>
      </c>
      <c r="B1367" s="660" t="s">
        <v>2646</v>
      </c>
      <c r="C1367" s="661" t="s">
        <v>11</v>
      </c>
      <c r="D1367" s="662">
        <v>0.69</v>
      </c>
    </row>
    <row r="1368" spans="1:8" hidden="1" outlineLevel="1" x14ac:dyDescent="0.2">
      <c r="A1368" s="667" t="s">
        <v>2669</v>
      </c>
      <c r="B1368" s="668" t="s">
        <v>2648</v>
      </c>
      <c r="C1368" s="669"/>
      <c r="D1368" s="670"/>
    </row>
    <row r="1369" spans="1:8" hidden="1" outlineLevel="1" x14ac:dyDescent="0.2">
      <c r="A1369" s="663" t="s">
        <v>2670</v>
      </c>
      <c r="B1369" s="664" t="s">
        <v>2652</v>
      </c>
      <c r="C1369" s="665" t="s">
        <v>11</v>
      </c>
      <c r="D1369" s="666">
        <v>10.79</v>
      </c>
    </row>
    <row r="1370" spans="1:8" hidden="1" outlineLevel="1" x14ac:dyDescent="0.2">
      <c r="A1370" s="659" t="s">
        <v>2671</v>
      </c>
      <c r="B1370" s="660" t="s">
        <v>2672</v>
      </c>
      <c r="C1370" s="661" t="s">
        <v>11</v>
      </c>
      <c r="D1370" s="662">
        <v>6.4</v>
      </c>
    </row>
    <row r="1371" spans="1:8" hidden="1" outlineLevel="1" x14ac:dyDescent="0.2">
      <c r="A1371" s="655" t="s">
        <v>2673</v>
      </c>
      <c r="B1371" s="656" t="s">
        <v>1299</v>
      </c>
      <c r="C1371" s="657"/>
      <c r="D1371" s="658"/>
    </row>
    <row r="1372" spans="1:8" hidden="1" outlineLevel="1" x14ac:dyDescent="0.2">
      <c r="A1372" s="667" t="s">
        <v>2674</v>
      </c>
      <c r="B1372" s="668" t="s">
        <v>2630</v>
      </c>
      <c r="C1372" s="669"/>
      <c r="D1372" s="670"/>
    </row>
    <row r="1373" spans="1:8" hidden="1" outlineLevel="1" x14ac:dyDescent="0.2">
      <c r="A1373" s="663" t="s">
        <v>2675</v>
      </c>
      <c r="B1373" s="664" t="s">
        <v>2632</v>
      </c>
      <c r="C1373" s="665" t="s">
        <v>3</v>
      </c>
      <c r="D1373" s="666">
        <v>5.37</v>
      </c>
    </row>
    <row r="1374" spans="1:8" hidden="1" outlineLevel="1" x14ac:dyDescent="0.2">
      <c r="A1374" s="667" t="s">
        <v>2676</v>
      </c>
      <c r="B1374" s="668" t="s">
        <v>2634</v>
      </c>
      <c r="C1374" s="669"/>
      <c r="D1374" s="670"/>
    </row>
    <row r="1375" spans="1:8" hidden="1" outlineLevel="1" x14ac:dyDescent="0.2">
      <c r="A1375" s="659" t="s">
        <v>2677</v>
      </c>
      <c r="B1375" s="660" t="s">
        <v>2666</v>
      </c>
      <c r="C1375" s="661" t="s">
        <v>11</v>
      </c>
      <c r="D1375" s="662">
        <v>17.87</v>
      </c>
    </row>
    <row r="1376" spans="1:8" hidden="1" outlineLevel="1" x14ac:dyDescent="0.2">
      <c r="A1376" s="663" t="s">
        <v>2678</v>
      </c>
      <c r="B1376" s="664" t="s">
        <v>2644</v>
      </c>
      <c r="C1376" s="665" t="s">
        <v>11</v>
      </c>
      <c r="D1376" s="666">
        <v>0.84</v>
      </c>
    </row>
    <row r="1377" spans="1:8" hidden="1" outlineLevel="1" x14ac:dyDescent="0.2">
      <c r="A1377" s="659" t="s">
        <v>2679</v>
      </c>
      <c r="B1377" s="660" t="s">
        <v>2646</v>
      </c>
      <c r="C1377" s="661" t="s">
        <v>11</v>
      </c>
      <c r="D1377" s="662">
        <v>0.69</v>
      </c>
    </row>
    <row r="1378" spans="1:8" hidden="1" outlineLevel="1" x14ac:dyDescent="0.2">
      <c r="A1378" s="667" t="s">
        <v>2680</v>
      </c>
      <c r="B1378" s="668" t="s">
        <v>2648</v>
      </c>
      <c r="C1378" s="669"/>
      <c r="D1378" s="670"/>
    </row>
    <row r="1379" spans="1:8" hidden="1" outlineLevel="1" x14ac:dyDescent="0.2">
      <c r="A1379" s="663" t="s">
        <v>2681</v>
      </c>
      <c r="B1379" s="664" t="s">
        <v>2652</v>
      </c>
      <c r="C1379" s="665" t="s">
        <v>11</v>
      </c>
      <c r="D1379" s="666">
        <v>10.79</v>
      </c>
    </row>
    <row r="1380" spans="1:8" hidden="1" outlineLevel="1" x14ac:dyDescent="0.2">
      <c r="A1380" s="659" t="s">
        <v>2682</v>
      </c>
      <c r="B1380" s="660" t="s">
        <v>2672</v>
      </c>
      <c r="C1380" s="661" t="s">
        <v>11</v>
      </c>
      <c r="D1380" s="662">
        <v>6.4</v>
      </c>
    </row>
    <row r="1381" spans="1:8" hidden="1" outlineLevel="1" x14ac:dyDescent="0.2">
      <c r="A1381" s="655" t="s">
        <v>2683</v>
      </c>
      <c r="B1381" s="656" t="s">
        <v>1302</v>
      </c>
      <c r="C1381" s="657"/>
      <c r="D1381" s="658"/>
    </row>
    <row r="1382" spans="1:8" hidden="1" outlineLevel="1" x14ac:dyDescent="0.2">
      <c r="A1382" s="667" t="s">
        <v>2684</v>
      </c>
      <c r="B1382" s="668" t="s">
        <v>2630</v>
      </c>
      <c r="C1382" s="669"/>
      <c r="D1382" s="670"/>
    </row>
    <row r="1383" spans="1:8" hidden="1" outlineLevel="1" x14ac:dyDescent="0.2">
      <c r="A1383" s="663" t="s">
        <v>2685</v>
      </c>
      <c r="B1383" s="664" t="s">
        <v>2632</v>
      </c>
      <c r="C1383" s="665" t="s">
        <v>3</v>
      </c>
      <c r="D1383" s="666">
        <v>5.46</v>
      </c>
    </row>
    <row r="1384" spans="1:8" hidden="1" outlineLevel="1" x14ac:dyDescent="0.2">
      <c r="A1384" s="667" t="s">
        <v>2686</v>
      </c>
      <c r="B1384" s="668" t="s">
        <v>2634</v>
      </c>
      <c r="C1384" s="669"/>
      <c r="D1384" s="670"/>
    </row>
    <row r="1385" spans="1:8" hidden="1" outlineLevel="1" x14ac:dyDescent="0.2">
      <c r="A1385" s="659" t="s">
        <v>2687</v>
      </c>
      <c r="B1385" s="660" t="s">
        <v>2688</v>
      </c>
      <c r="C1385" s="661" t="s">
        <v>11</v>
      </c>
      <c r="D1385" s="662">
        <v>18.579999999999998</v>
      </c>
    </row>
    <row r="1386" spans="1:8" hidden="1" outlineLevel="1" x14ac:dyDescent="0.2">
      <c r="A1386" s="663" t="s">
        <v>2689</v>
      </c>
      <c r="B1386" s="664" t="s">
        <v>2644</v>
      </c>
      <c r="C1386" s="665" t="s">
        <v>11</v>
      </c>
      <c r="D1386" s="666">
        <v>0.84</v>
      </c>
    </row>
    <row r="1387" spans="1:8" hidden="1" outlineLevel="1" x14ac:dyDescent="0.2">
      <c r="A1387" s="659" t="s">
        <v>2690</v>
      </c>
      <c r="B1387" s="660" t="s">
        <v>2646</v>
      </c>
      <c r="C1387" s="661" t="s">
        <v>11</v>
      </c>
      <c r="D1387" s="662">
        <v>0.69</v>
      </c>
    </row>
    <row r="1388" spans="1:8" hidden="1" outlineLevel="1" x14ac:dyDescent="0.2">
      <c r="A1388" s="667" t="s">
        <v>2691</v>
      </c>
      <c r="B1388" s="668" t="s">
        <v>2648</v>
      </c>
      <c r="C1388" s="669"/>
      <c r="D1388" s="670"/>
    </row>
    <row r="1389" spans="1:8" hidden="1" outlineLevel="1" x14ac:dyDescent="0.2">
      <c r="A1389" s="663" t="s">
        <v>2692</v>
      </c>
      <c r="B1389" s="664" t="s">
        <v>2652</v>
      </c>
      <c r="C1389" s="665" t="s">
        <v>11</v>
      </c>
      <c r="D1389" s="666">
        <v>10.79</v>
      </c>
    </row>
    <row r="1390" spans="1:8" hidden="1" outlineLevel="1" x14ac:dyDescent="0.2">
      <c r="A1390" s="659" t="s">
        <v>2693</v>
      </c>
      <c r="B1390" s="660" t="s">
        <v>2672</v>
      </c>
      <c r="C1390" s="661" t="s">
        <v>11</v>
      </c>
      <c r="D1390" s="662">
        <v>6.4</v>
      </c>
    </row>
    <row r="1391" spans="1:8" hidden="1" outlineLevel="1" x14ac:dyDescent="0.2">
      <c r="A1391" s="655" t="s">
        <v>2694</v>
      </c>
      <c r="B1391" s="656" t="s">
        <v>1305</v>
      </c>
      <c r="C1391" s="657"/>
      <c r="D1391" s="658"/>
      <c r="F1391" s="656" t="s">
        <v>4223</v>
      </c>
      <c r="G1391" s="657"/>
      <c r="H1391" s="658"/>
    </row>
    <row r="1392" spans="1:8" hidden="1" outlineLevel="1" x14ac:dyDescent="0.2">
      <c r="A1392" s="667" t="s">
        <v>2695</v>
      </c>
      <c r="B1392" s="668" t="s">
        <v>2630</v>
      </c>
      <c r="C1392" s="669"/>
      <c r="D1392" s="670"/>
      <c r="F1392" s="660" t="s">
        <v>2632</v>
      </c>
      <c r="G1392" s="661" t="str">
        <f>C1393</f>
        <v>m</v>
      </c>
      <c r="H1392" s="662">
        <f>D1393</f>
        <v>5.38</v>
      </c>
    </row>
    <row r="1393" spans="1:8" hidden="1" outlineLevel="1" x14ac:dyDescent="0.2">
      <c r="A1393" s="663" t="s">
        <v>2696</v>
      </c>
      <c r="B1393" s="664" t="s">
        <v>2632</v>
      </c>
      <c r="C1393" s="665" t="s">
        <v>3</v>
      </c>
      <c r="D1393" s="666">
        <v>5.38</v>
      </c>
      <c r="F1393" s="660" t="s">
        <v>4221</v>
      </c>
      <c r="G1393" s="661" t="str">
        <f>C1395</f>
        <v>m²</v>
      </c>
      <c r="H1393" s="662">
        <f>SUM(D1395:D1397,D1399:D1400)</f>
        <v>37.299999999999997</v>
      </c>
    </row>
    <row r="1394" spans="1:8" hidden="1" outlineLevel="1" x14ac:dyDescent="0.2">
      <c r="A1394" s="667" t="s">
        <v>2697</v>
      </c>
      <c r="B1394" s="668" t="s">
        <v>2634</v>
      </c>
      <c r="C1394" s="669"/>
      <c r="D1394" s="670"/>
      <c r="F1394" s="660" t="s">
        <v>4996</v>
      </c>
      <c r="G1394" s="661" t="str">
        <f>C1396</f>
        <v>m²</v>
      </c>
      <c r="H1394" s="662">
        <v>22.03</v>
      </c>
    </row>
    <row r="1395" spans="1:8" hidden="1" outlineLevel="1" x14ac:dyDescent="0.2">
      <c r="A1395" s="659" t="s">
        <v>2698</v>
      </c>
      <c r="B1395" s="660" t="s">
        <v>2688</v>
      </c>
      <c r="C1395" s="661" t="s">
        <v>11</v>
      </c>
      <c r="D1395" s="662">
        <v>18.579999999999998</v>
      </c>
    </row>
    <row r="1396" spans="1:8" hidden="1" outlineLevel="1" x14ac:dyDescent="0.2">
      <c r="A1396" s="663" t="s">
        <v>2699</v>
      </c>
      <c r="B1396" s="664" t="s">
        <v>2644</v>
      </c>
      <c r="C1396" s="665" t="s">
        <v>11</v>
      </c>
      <c r="D1396" s="666">
        <v>0.84</v>
      </c>
    </row>
    <row r="1397" spans="1:8" hidden="1" outlineLevel="1" x14ac:dyDescent="0.2">
      <c r="A1397" s="659" t="s">
        <v>2700</v>
      </c>
      <c r="B1397" s="660" t="s">
        <v>2646</v>
      </c>
      <c r="C1397" s="661" t="s">
        <v>11</v>
      </c>
      <c r="D1397" s="662">
        <v>0.69</v>
      </c>
    </row>
    <row r="1398" spans="1:8" hidden="1" outlineLevel="1" x14ac:dyDescent="0.2">
      <c r="A1398" s="667" t="s">
        <v>2701</v>
      </c>
      <c r="B1398" s="668" t="s">
        <v>2648</v>
      </c>
      <c r="C1398" s="669"/>
      <c r="D1398" s="670"/>
    </row>
    <row r="1399" spans="1:8" hidden="1" outlineLevel="1" x14ac:dyDescent="0.2">
      <c r="A1399" s="663" t="s">
        <v>2702</v>
      </c>
      <c r="B1399" s="664" t="s">
        <v>2652</v>
      </c>
      <c r="C1399" s="665" t="s">
        <v>11</v>
      </c>
      <c r="D1399" s="666">
        <v>10.79</v>
      </c>
    </row>
    <row r="1400" spans="1:8" hidden="1" outlineLevel="1" x14ac:dyDescent="0.2">
      <c r="A1400" s="659" t="s">
        <v>2703</v>
      </c>
      <c r="B1400" s="660" t="s">
        <v>2672</v>
      </c>
      <c r="C1400" s="661" t="s">
        <v>11</v>
      </c>
      <c r="D1400" s="662">
        <v>6.4</v>
      </c>
    </row>
    <row r="1401" spans="1:8" hidden="1" outlineLevel="1" x14ac:dyDescent="0.2">
      <c r="A1401" s="655" t="s">
        <v>2704</v>
      </c>
      <c r="B1401" s="656" t="s">
        <v>1308</v>
      </c>
      <c r="C1401" s="657"/>
      <c r="D1401" s="658"/>
      <c r="F1401" s="656" t="s">
        <v>754</v>
      </c>
      <c r="G1401" s="657"/>
      <c r="H1401" s="658"/>
    </row>
    <row r="1402" spans="1:8" hidden="1" outlineLevel="1" x14ac:dyDescent="0.2">
      <c r="A1402" s="667" t="s">
        <v>2705</v>
      </c>
      <c r="B1402" s="668" t="s">
        <v>2630</v>
      </c>
      <c r="C1402" s="669"/>
      <c r="D1402" s="670"/>
      <c r="F1402" s="660" t="s">
        <v>2632</v>
      </c>
      <c r="G1402" s="661" t="str">
        <f>C1403</f>
        <v>m</v>
      </c>
      <c r="H1402" s="662">
        <f>D1403</f>
        <v>5.45</v>
      </c>
    </row>
    <row r="1403" spans="1:8" hidden="1" outlineLevel="1" x14ac:dyDescent="0.2">
      <c r="A1403" s="663" t="s">
        <v>2706</v>
      </c>
      <c r="B1403" s="664" t="s">
        <v>2632</v>
      </c>
      <c r="C1403" s="665" t="s">
        <v>3</v>
      </c>
      <c r="D1403" s="666">
        <v>5.45</v>
      </c>
      <c r="F1403" s="660" t="s">
        <v>4221</v>
      </c>
      <c r="G1403" s="661" t="str">
        <f>C1408</f>
        <v>m²</v>
      </c>
      <c r="H1403" s="662">
        <f>SUM(D1406:D1417,D1419:D1424)</f>
        <v>160.26</v>
      </c>
    </row>
    <row r="1404" spans="1:8" hidden="1" outlineLevel="1" x14ac:dyDescent="0.2">
      <c r="A1404" s="659" t="s">
        <v>2707</v>
      </c>
      <c r="B1404" s="660" t="s">
        <v>2708</v>
      </c>
      <c r="C1404" s="661" t="s">
        <v>3</v>
      </c>
      <c r="D1404" s="662">
        <v>14.46</v>
      </c>
      <c r="F1404" s="660" t="s">
        <v>4224</v>
      </c>
      <c r="G1404" s="661" t="s">
        <v>1</v>
      </c>
      <c r="H1404" s="662">
        <f>D1404</f>
        <v>14.46</v>
      </c>
    </row>
    <row r="1405" spans="1:8" hidden="1" outlineLevel="1" x14ac:dyDescent="0.2">
      <c r="A1405" s="667" t="s">
        <v>2709</v>
      </c>
      <c r="B1405" s="668" t="s">
        <v>2634</v>
      </c>
      <c r="C1405" s="669"/>
      <c r="D1405" s="670"/>
    </row>
    <row r="1406" spans="1:8" hidden="1" outlineLevel="1" x14ac:dyDescent="0.2">
      <c r="A1406" s="663" t="s">
        <v>2710</v>
      </c>
      <c r="B1406" s="664" t="s">
        <v>2711</v>
      </c>
      <c r="C1406" s="665" t="s">
        <v>11</v>
      </c>
      <c r="D1406" s="666">
        <v>0.04</v>
      </c>
    </row>
    <row r="1407" spans="1:8" hidden="1" outlineLevel="1" x14ac:dyDescent="0.2">
      <c r="A1407" s="659" t="s">
        <v>2712</v>
      </c>
      <c r="B1407" s="660" t="s">
        <v>2713</v>
      </c>
      <c r="C1407" s="661" t="s">
        <v>11</v>
      </c>
      <c r="D1407" s="662">
        <v>31.94</v>
      </c>
    </row>
    <row r="1408" spans="1:8" hidden="1" outlineLevel="1" x14ac:dyDescent="0.2">
      <c r="A1408" s="663" t="s">
        <v>2714</v>
      </c>
      <c r="B1408" s="664" t="s">
        <v>2715</v>
      </c>
      <c r="C1408" s="665" t="s">
        <v>11</v>
      </c>
      <c r="D1408" s="666">
        <v>5.31</v>
      </c>
    </row>
    <row r="1409" spans="1:4" hidden="1" outlineLevel="1" x14ac:dyDescent="0.2">
      <c r="A1409" s="659" t="s">
        <v>2716</v>
      </c>
      <c r="B1409" s="660" t="s">
        <v>2717</v>
      </c>
      <c r="C1409" s="661" t="s">
        <v>11</v>
      </c>
      <c r="D1409" s="662">
        <v>5.54</v>
      </c>
    </row>
    <row r="1410" spans="1:4" hidden="1" outlineLevel="1" x14ac:dyDescent="0.2">
      <c r="A1410" s="663" t="s">
        <v>2718</v>
      </c>
      <c r="B1410" s="664" t="s">
        <v>2719</v>
      </c>
      <c r="C1410" s="665" t="s">
        <v>11</v>
      </c>
      <c r="D1410" s="666">
        <v>6.37</v>
      </c>
    </row>
    <row r="1411" spans="1:4" hidden="1" outlineLevel="1" x14ac:dyDescent="0.2">
      <c r="A1411" s="659" t="s">
        <v>2720</v>
      </c>
      <c r="B1411" s="660" t="s">
        <v>2721</v>
      </c>
      <c r="C1411" s="661" t="s">
        <v>11</v>
      </c>
      <c r="D1411" s="662">
        <v>6.83</v>
      </c>
    </row>
    <row r="1412" spans="1:4" hidden="1" outlineLevel="1" x14ac:dyDescent="0.2">
      <c r="A1412" s="663" t="s">
        <v>2722</v>
      </c>
      <c r="B1412" s="664" t="s">
        <v>2723</v>
      </c>
      <c r="C1412" s="665" t="s">
        <v>11</v>
      </c>
      <c r="D1412" s="666">
        <v>8.5500000000000007</v>
      </c>
    </row>
    <row r="1413" spans="1:4" hidden="1" outlineLevel="1" x14ac:dyDescent="0.2">
      <c r="A1413" s="659" t="s">
        <v>2724</v>
      </c>
      <c r="B1413" s="660" t="s">
        <v>2725</v>
      </c>
      <c r="C1413" s="661" t="s">
        <v>11</v>
      </c>
      <c r="D1413" s="662">
        <v>6.71</v>
      </c>
    </row>
    <row r="1414" spans="1:4" hidden="1" outlineLevel="1" x14ac:dyDescent="0.2">
      <c r="A1414" s="663" t="s">
        <v>2726</v>
      </c>
      <c r="B1414" s="664" t="s">
        <v>2727</v>
      </c>
      <c r="C1414" s="665" t="s">
        <v>11</v>
      </c>
      <c r="D1414" s="666">
        <v>10.65</v>
      </c>
    </row>
    <row r="1415" spans="1:4" hidden="1" outlineLevel="1" x14ac:dyDescent="0.2">
      <c r="A1415" s="659" t="s">
        <v>2728</v>
      </c>
      <c r="B1415" s="660" t="s">
        <v>2729</v>
      </c>
      <c r="C1415" s="661" t="s">
        <v>11</v>
      </c>
      <c r="D1415" s="662">
        <v>12.62</v>
      </c>
    </row>
    <row r="1416" spans="1:4" hidden="1" outlineLevel="1" x14ac:dyDescent="0.2">
      <c r="A1416" s="663" t="s">
        <v>2730</v>
      </c>
      <c r="B1416" s="664" t="s">
        <v>2731</v>
      </c>
      <c r="C1416" s="665" t="s">
        <v>11</v>
      </c>
      <c r="D1416" s="666">
        <v>1.77</v>
      </c>
    </row>
    <row r="1417" spans="1:4" hidden="1" outlineLevel="1" x14ac:dyDescent="0.2">
      <c r="A1417" s="659" t="s">
        <v>2732</v>
      </c>
      <c r="B1417" s="660" t="s">
        <v>2646</v>
      </c>
      <c r="C1417" s="661" t="s">
        <v>11</v>
      </c>
      <c r="D1417" s="662">
        <v>0.69</v>
      </c>
    </row>
    <row r="1418" spans="1:4" hidden="1" outlineLevel="1" x14ac:dyDescent="0.2">
      <c r="A1418" s="667" t="s">
        <v>2733</v>
      </c>
      <c r="B1418" s="668" t="s">
        <v>2648</v>
      </c>
      <c r="C1418" s="669"/>
      <c r="D1418" s="670"/>
    </row>
    <row r="1419" spans="1:4" hidden="1" outlineLevel="1" x14ac:dyDescent="0.2">
      <c r="A1419" s="663" t="s">
        <v>2734</v>
      </c>
      <c r="B1419" s="664" t="s">
        <v>2735</v>
      </c>
      <c r="C1419" s="665" t="s">
        <v>11</v>
      </c>
      <c r="D1419" s="666">
        <v>10.29</v>
      </c>
    </row>
    <row r="1420" spans="1:4" hidden="1" outlineLevel="1" x14ac:dyDescent="0.2">
      <c r="A1420" s="659" t="s">
        <v>2736</v>
      </c>
      <c r="B1420" s="660" t="s">
        <v>2737</v>
      </c>
      <c r="C1420" s="661" t="s">
        <v>11</v>
      </c>
      <c r="D1420" s="662">
        <v>1.68</v>
      </c>
    </row>
    <row r="1421" spans="1:4" hidden="1" outlineLevel="1" x14ac:dyDescent="0.2">
      <c r="A1421" s="663" t="s">
        <v>2738</v>
      </c>
      <c r="B1421" s="664" t="s">
        <v>2739</v>
      </c>
      <c r="C1421" s="665" t="s">
        <v>11</v>
      </c>
      <c r="D1421" s="666">
        <v>11.4</v>
      </c>
    </row>
    <row r="1422" spans="1:4" hidden="1" outlineLevel="1" x14ac:dyDescent="0.2">
      <c r="A1422" s="659" t="s">
        <v>2740</v>
      </c>
      <c r="B1422" s="660" t="s">
        <v>2741</v>
      </c>
      <c r="C1422" s="661" t="s">
        <v>11</v>
      </c>
      <c r="D1422" s="662">
        <v>5.58</v>
      </c>
    </row>
    <row r="1423" spans="1:4" hidden="1" outlineLevel="1" x14ac:dyDescent="0.2">
      <c r="A1423" s="663" t="s">
        <v>2742</v>
      </c>
      <c r="B1423" s="664" t="s">
        <v>2743</v>
      </c>
      <c r="C1423" s="665" t="s">
        <v>11</v>
      </c>
      <c r="D1423" s="666">
        <v>8.3699999999999992</v>
      </c>
    </row>
    <row r="1424" spans="1:4" hidden="1" outlineLevel="1" x14ac:dyDescent="0.2">
      <c r="A1424" s="659" t="s">
        <v>2744</v>
      </c>
      <c r="B1424" s="660" t="s">
        <v>2745</v>
      </c>
      <c r="C1424" s="661" t="s">
        <v>11</v>
      </c>
      <c r="D1424" s="662">
        <v>25.92</v>
      </c>
    </row>
    <row r="1425" spans="1:8" hidden="1" outlineLevel="1" x14ac:dyDescent="0.2">
      <c r="A1425" s="655" t="s">
        <v>2746</v>
      </c>
      <c r="B1425" s="656" t="s">
        <v>1311</v>
      </c>
      <c r="C1425" s="657"/>
      <c r="D1425" s="658"/>
      <c r="F1425" s="656" t="s">
        <v>756</v>
      </c>
      <c r="G1425" s="657"/>
      <c r="H1425" s="658"/>
    </row>
    <row r="1426" spans="1:8" hidden="1" outlineLevel="1" x14ac:dyDescent="0.2">
      <c r="A1426" s="667" t="s">
        <v>2747</v>
      </c>
      <c r="B1426" s="668" t="s">
        <v>2630</v>
      </c>
      <c r="C1426" s="669"/>
      <c r="D1426" s="670"/>
      <c r="F1426" s="660" t="s">
        <v>2632</v>
      </c>
      <c r="G1426" s="661" t="str">
        <f>C1427</f>
        <v>m</v>
      </c>
      <c r="H1426" s="662">
        <f>SUMIF(B1425:B1671,F1426,D1425:D1671)</f>
        <v>69.16</v>
      </c>
    </row>
    <row r="1427" spans="1:8" hidden="1" outlineLevel="1" x14ac:dyDescent="0.2">
      <c r="A1427" s="663" t="s">
        <v>2748</v>
      </c>
      <c r="B1427" s="664" t="s">
        <v>2632</v>
      </c>
      <c r="C1427" s="665" t="s">
        <v>3</v>
      </c>
      <c r="D1427" s="666">
        <v>5.32</v>
      </c>
      <c r="F1427" s="660" t="s">
        <v>4221</v>
      </c>
      <c r="G1427" s="661" t="str">
        <f>C1432</f>
        <v>m²</v>
      </c>
      <c r="H1427" s="662">
        <f>SUM(D1425:D1671)-H1428-H1426</f>
        <v>1239.1794999999997</v>
      </c>
    </row>
    <row r="1428" spans="1:8" hidden="1" outlineLevel="1" x14ac:dyDescent="0.2">
      <c r="A1428" s="659" t="s">
        <v>2749</v>
      </c>
      <c r="B1428" s="660" t="s">
        <v>2750</v>
      </c>
      <c r="C1428" s="661" t="s">
        <v>3</v>
      </c>
      <c r="D1428" s="662">
        <v>18.77</v>
      </c>
      <c r="F1428" s="660" t="s">
        <v>4225</v>
      </c>
      <c r="G1428" s="661" t="s">
        <v>1</v>
      </c>
      <c r="H1428" s="662">
        <f>SUMIF(B1425:B1671,B1428,D1425:D1671)*1.05</f>
        <v>256.21050000000008</v>
      </c>
    </row>
    <row r="1429" spans="1:8" hidden="1" outlineLevel="1" x14ac:dyDescent="0.2">
      <c r="A1429" s="667" t="s">
        <v>2751</v>
      </c>
      <c r="B1429" s="668" t="s">
        <v>2634</v>
      </c>
      <c r="C1429" s="669"/>
      <c r="D1429" s="670"/>
    </row>
    <row r="1430" spans="1:8" hidden="1" outlineLevel="1" x14ac:dyDescent="0.2">
      <c r="A1430" s="663" t="s">
        <v>2752</v>
      </c>
      <c r="B1430" s="664" t="s">
        <v>2753</v>
      </c>
      <c r="C1430" s="665" t="s">
        <v>11</v>
      </c>
      <c r="D1430" s="666">
        <v>0.2</v>
      </c>
    </row>
    <row r="1431" spans="1:8" hidden="1" outlineLevel="1" x14ac:dyDescent="0.2">
      <c r="A1431" s="659" t="s">
        <v>2754</v>
      </c>
      <c r="B1431" s="660" t="s">
        <v>2755</v>
      </c>
      <c r="C1431" s="661" t="s">
        <v>11</v>
      </c>
      <c r="D1431" s="662">
        <v>8.7100000000000009</v>
      </c>
    </row>
    <row r="1432" spans="1:8" hidden="1" outlineLevel="1" x14ac:dyDescent="0.2">
      <c r="A1432" s="663" t="s">
        <v>2756</v>
      </c>
      <c r="B1432" s="664" t="s">
        <v>2757</v>
      </c>
      <c r="C1432" s="665" t="s">
        <v>11</v>
      </c>
      <c r="D1432" s="666">
        <v>6.16</v>
      </c>
    </row>
    <row r="1433" spans="1:8" hidden="1" outlineLevel="1" x14ac:dyDescent="0.2">
      <c r="A1433" s="659" t="s">
        <v>2758</v>
      </c>
      <c r="B1433" s="660" t="s">
        <v>2759</v>
      </c>
      <c r="C1433" s="661" t="s">
        <v>11</v>
      </c>
      <c r="D1433" s="662">
        <v>4.8</v>
      </c>
    </row>
    <row r="1434" spans="1:8" hidden="1" outlineLevel="1" x14ac:dyDescent="0.2">
      <c r="A1434" s="663" t="s">
        <v>2760</v>
      </c>
      <c r="B1434" s="664" t="s">
        <v>2761</v>
      </c>
      <c r="C1434" s="665" t="s">
        <v>11</v>
      </c>
      <c r="D1434" s="666">
        <v>17.600000000000001</v>
      </c>
    </row>
    <row r="1435" spans="1:8" hidden="1" outlineLevel="1" x14ac:dyDescent="0.2">
      <c r="A1435" s="659" t="s">
        <v>2762</v>
      </c>
      <c r="B1435" s="660" t="s">
        <v>2763</v>
      </c>
      <c r="C1435" s="661" t="s">
        <v>11</v>
      </c>
      <c r="D1435" s="662">
        <v>10.8</v>
      </c>
    </row>
    <row r="1436" spans="1:8" hidden="1" outlineLevel="1" x14ac:dyDescent="0.2">
      <c r="A1436" s="663" t="s">
        <v>2764</v>
      </c>
      <c r="B1436" s="664" t="s">
        <v>2765</v>
      </c>
      <c r="C1436" s="665" t="s">
        <v>11</v>
      </c>
      <c r="D1436" s="666">
        <v>3.96</v>
      </c>
    </row>
    <row r="1437" spans="1:8" hidden="1" outlineLevel="1" x14ac:dyDescent="0.2">
      <c r="A1437" s="659" t="s">
        <v>2766</v>
      </c>
      <c r="B1437" s="660" t="s">
        <v>2767</v>
      </c>
      <c r="C1437" s="661" t="s">
        <v>11</v>
      </c>
      <c r="D1437" s="662">
        <v>10.56</v>
      </c>
    </row>
    <row r="1438" spans="1:8" hidden="1" outlineLevel="1" x14ac:dyDescent="0.2">
      <c r="A1438" s="663" t="s">
        <v>2768</v>
      </c>
      <c r="B1438" s="664" t="s">
        <v>2644</v>
      </c>
      <c r="C1438" s="665" t="s">
        <v>11</v>
      </c>
      <c r="D1438" s="666">
        <v>0.84</v>
      </c>
    </row>
    <row r="1439" spans="1:8" hidden="1" outlineLevel="1" x14ac:dyDescent="0.2">
      <c r="A1439" s="659" t="s">
        <v>2769</v>
      </c>
      <c r="B1439" s="660" t="s">
        <v>2646</v>
      </c>
      <c r="C1439" s="661" t="s">
        <v>11</v>
      </c>
      <c r="D1439" s="662">
        <v>0.69</v>
      </c>
    </row>
    <row r="1440" spans="1:8" hidden="1" outlineLevel="1" x14ac:dyDescent="0.2">
      <c r="A1440" s="667" t="s">
        <v>2770</v>
      </c>
      <c r="B1440" s="668" t="s">
        <v>2648</v>
      </c>
      <c r="C1440" s="669"/>
      <c r="D1440" s="670"/>
    </row>
    <row r="1441" spans="1:4" hidden="1" outlineLevel="1" x14ac:dyDescent="0.2">
      <c r="A1441" s="663" t="s">
        <v>2771</v>
      </c>
      <c r="B1441" s="664" t="s">
        <v>2739</v>
      </c>
      <c r="C1441" s="665" t="s">
        <v>11</v>
      </c>
      <c r="D1441" s="666">
        <v>11.4</v>
      </c>
    </row>
    <row r="1442" spans="1:4" hidden="1" outlineLevel="1" x14ac:dyDescent="0.2">
      <c r="A1442" s="659" t="s">
        <v>2772</v>
      </c>
      <c r="B1442" s="660" t="s">
        <v>2773</v>
      </c>
      <c r="C1442" s="661" t="s">
        <v>11</v>
      </c>
      <c r="D1442" s="662">
        <v>11.96</v>
      </c>
    </row>
    <row r="1443" spans="1:4" hidden="1" outlineLevel="1" x14ac:dyDescent="0.2">
      <c r="A1443" s="663" t="s">
        <v>2774</v>
      </c>
      <c r="B1443" s="664" t="s">
        <v>2775</v>
      </c>
      <c r="C1443" s="665" t="s">
        <v>11</v>
      </c>
      <c r="D1443" s="666">
        <v>8.58</v>
      </c>
    </row>
    <row r="1444" spans="1:4" hidden="1" outlineLevel="1" x14ac:dyDescent="0.2">
      <c r="A1444" s="655" t="s">
        <v>2776</v>
      </c>
      <c r="B1444" s="656" t="s">
        <v>1316</v>
      </c>
      <c r="C1444" s="657"/>
      <c r="D1444" s="658"/>
    </row>
    <row r="1445" spans="1:4" hidden="1" outlineLevel="1" x14ac:dyDescent="0.2">
      <c r="A1445" s="667" t="s">
        <v>2777</v>
      </c>
      <c r="B1445" s="668" t="s">
        <v>2630</v>
      </c>
      <c r="C1445" s="669"/>
      <c r="D1445" s="670"/>
    </row>
    <row r="1446" spans="1:4" hidden="1" outlineLevel="1" x14ac:dyDescent="0.2">
      <c r="A1446" s="659" t="s">
        <v>2778</v>
      </c>
      <c r="B1446" s="660" t="s">
        <v>2632</v>
      </c>
      <c r="C1446" s="661" t="s">
        <v>3</v>
      </c>
      <c r="D1446" s="662">
        <v>5.32</v>
      </c>
    </row>
    <row r="1447" spans="1:4" hidden="1" outlineLevel="1" x14ac:dyDescent="0.2">
      <c r="A1447" s="663" t="s">
        <v>2779</v>
      </c>
      <c r="B1447" s="664" t="s">
        <v>2750</v>
      </c>
      <c r="C1447" s="665" t="s">
        <v>3</v>
      </c>
      <c r="D1447" s="666">
        <v>18.77</v>
      </c>
    </row>
    <row r="1448" spans="1:4" hidden="1" outlineLevel="1" x14ac:dyDescent="0.2">
      <c r="A1448" s="667" t="s">
        <v>2780</v>
      </c>
      <c r="B1448" s="668" t="s">
        <v>2634</v>
      </c>
      <c r="C1448" s="669"/>
      <c r="D1448" s="670"/>
    </row>
    <row r="1449" spans="1:4" hidden="1" outlineLevel="1" x14ac:dyDescent="0.2">
      <c r="A1449" s="659" t="s">
        <v>2781</v>
      </c>
      <c r="B1449" s="660" t="s">
        <v>2753</v>
      </c>
      <c r="C1449" s="661" t="s">
        <v>11</v>
      </c>
      <c r="D1449" s="662">
        <v>0.2</v>
      </c>
    </row>
    <row r="1450" spans="1:4" hidden="1" outlineLevel="1" x14ac:dyDescent="0.2">
      <c r="A1450" s="663" t="s">
        <v>2782</v>
      </c>
      <c r="B1450" s="664" t="s">
        <v>2755</v>
      </c>
      <c r="C1450" s="665" t="s">
        <v>11</v>
      </c>
      <c r="D1450" s="666">
        <v>8.7100000000000009</v>
      </c>
    </row>
    <row r="1451" spans="1:4" hidden="1" outlineLevel="1" x14ac:dyDescent="0.2">
      <c r="A1451" s="659" t="s">
        <v>2783</v>
      </c>
      <c r="B1451" s="660" t="s">
        <v>2757</v>
      </c>
      <c r="C1451" s="661" t="s">
        <v>11</v>
      </c>
      <c r="D1451" s="662">
        <v>6.16</v>
      </c>
    </row>
    <row r="1452" spans="1:4" hidden="1" outlineLevel="1" x14ac:dyDescent="0.2">
      <c r="A1452" s="663" t="s">
        <v>2784</v>
      </c>
      <c r="B1452" s="664" t="s">
        <v>2759</v>
      </c>
      <c r="C1452" s="665" t="s">
        <v>11</v>
      </c>
      <c r="D1452" s="666">
        <v>4.8</v>
      </c>
    </row>
    <row r="1453" spans="1:4" hidden="1" outlineLevel="1" x14ac:dyDescent="0.2">
      <c r="A1453" s="659" t="s">
        <v>2785</v>
      </c>
      <c r="B1453" s="660" t="s">
        <v>2761</v>
      </c>
      <c r="C1453" s="661" t="s">
        <v>11</v>
      </c>
      <c r="D1453" s="662">
        <v>17.600000000000001</v>
      </c>
    </row>
    <row r="1454" spans="1:4" hidden="1" outlineLevel="1" x14ac:dyDescent="0.2">
      <c r="A1454" s="663" t="s">
        <v>2786</v>
      </c>
      <c r="B1454" s="664" t="s">
        <v>2763</v>
      </c>
      <c r="C1454" s="665" t="s">
        <v>11</v>
      </c>
      <c r="D1454" s="666">
        <v>10.8</v>
      </c>
    </row>
    <row r="1455" spans="1:4" hidden="1" outlineLevel="1" x14ac:dyDescent="0.2">
      <c r="A1455" s="659" t="s">
        <v>2787</v>
      </c>
      <c r="B1455" s="660" t="s">
        <v>2765</v>
      </c>
      <c r="C1455" s="661" t="s">
        <v>11</v>
      </c>
      <c r="D1455" s="662">
        <v>3.96</v>
      </c>
    </row>
    <row r="1456" spans="1:4" hidden="1" outlineLevel="1" x14ac:dyDescent="0.2">
      <c r="A1456" s="663" t="s">
        <v>2788</v>
      </c>
      <c r="B1456" s="664" t="s">
        <v>2767</v>
      </c>
      <c r="C1456" s="665" t="s">
        <v>11</v>
      </c>
      <c r="D1456" s="666">
        <v>10.56</v>
      </c>
    </row>
    <row r="1457" spans="1:4" hidden="1" outlineLevel="1" x14ac:dyDescent="0.2">
      <c r="A1457" s="659" t="s">
        <v>2789</v>
      </c>
      <c r="B1457" s="660" t="s">
        <v>2644</v>
      </c>
      <c r="C1457" s="661" t="s">
        <v>11</v>
      </c>
      <c r="D1457" s="662">
        <v>0.84</v>
      </c>
    </row>
    <row r="1458" spans="1:4" hidden="1" outlineLevel="1" x14ac:dyDescent="0.2">
      <c r="A1458" s="663" t="s">
        <v>2790</v>
      </c>
      <c r="B1458" s="664" t="s">
        <v>2646</v>
      </c>
      <c r="C1458" s="665" t="s">
        <v>11</v>
      </c>
      <c r="D1458" s="666">
        <v>0.69</v>
      </c>
    </row>
    <row r="1459" spans="1:4" hidden="1" outlineLevel="1" x14ac:dyDescent="0.2">
      <c r="A1459" s="667" t="s">
        <v>2791</v>
      </c>
      <c r="B1459" s="668" t="s">
        <v>2648</v>
      </c>
      <c r="C1459" s="669"/>
      <c r="D1459" s="670"/>
    </row>
    <row r="1460" spans="1:4" hidden="1" outlineLevel="1" x14ac:dyDescent="0.2">
      <c r="A1460" s="659" t="s">
        <v>2792</v>
      </c>
      <c r="B1460" s="660" t="s">
        <v>2739</v>
      </c>
      <c r="C1460" s="661" t="s">
        <v>11</v>
      </c>
      <c r="D1460" s="662">
        <v>11.4</v>
      </c>
    </row>
    <row r="1461" spans="1:4" hidden="1" outlineLevel="1" x14ac:dyDescent="0.2">
      <c r="A1461" s="663" t="s">
        <v>2793</v>
      </c>
      <c r="B1461" s="664" t="s">
        <v>2773</v>
      </c>
      <c r="C1461" s="665" t="s">
        <v>11</v>
      </c>
      <c r="D1461" s="666">
        <v>11.96</v>
      </c>
    </row>
    <row r="1462" spans="1:4" hidden="1" outlineLevel="1" x14ac:dyDescent="0.2">
      <c r="A1462" s="659" t="s">
        <v>2794</v>
      </c>
      <c r="B1462" s="660" t="s">
        <v>2775</v>
      </c>
      <c r="C1462" s="661" t="s">
        <v>11</v>
      </c>
      <c r="D1462" s="662">
        <v>8.58</v>
      </c>
    </row>
    <row r="1463" spans="1:4" hidden="1" outlineLevel="1" x14ac:dyDescent="0.2">
      <c r="A1463" s="655" t="s">
        <v>2795</v>
      </c>
      <c r="B1463" s="656" t="s">
        <v>1320</v>
      </c>
      <c r="C1463" s="657"/>
      <c r="D1463" s="658"/>
    </row>
    <row r="1464" spans="1:4" hidden="1" outlineLevel="1" x14ac:dyDescent="0.2">
      <c r="A1464" s="667" t="s">
        <v>2796</v>
      </c>
      <c r="B1464" s="668" t="s">
        <v>2630</v>
      </c>
      <c r="C1464" s="669"/>
      <c r="D1464" s="670"/>
    </row>
    <row r="1465" spans="1:4" hidden="1" outlineLevel="1" x14ac:dyDescent="0.2">
      <c r="A1465" s="663" t="s">
        <v>2797</v>
      </c>
      <c r="B1465" s="664" t="s">
        <v>2632</v>
      </c>
      <c r="C1465" s="665" t="s">
        <v>3</v>
      </c>
      <c r="D1465" s="666">
        <v>5.32</v>
      </c>
    </row>
    <row r="1466" spans="1:4" hidden="1" outlineLevel="1" x14ac:dyDescent="0.2">
      <c r="A1466" s="659" t="s">
        <v>2798</v>
      </c>
      <c r="B1466" s="660" t="s">
        <v>2750</v>
      </c>
      <c r="C1466" s="661" t="s">
        <v>3</v>
      </c>
      <c r="D1466" s="662">
        <v>18.77</v>
      </c>
    </row>
    <row r="1467" spans="1:4" hidden="1" outlineLevel="1" x14ac:dyDescent="0.2">
      <c r="A1467" s="667" t="s">
        <v>2799</v>
      </c>
      <c r="B1467" s="668" t="s">
        <v>2634</v>
      </c>
      <c r="C1467" s="669"/>
      <c r="D1467" s="670"/>
    </row>
    <row r="1468" spans="1:4" hidden="1" outlineLevel="1" x14ac:dyDescent="0.2">
      <c r="A1468" s="663" t="s">
        <v>2800</v>
      </c>
      <c r="B1468" s="664" t="s">
        <v>2753</v>
      </c>
      <c r="C1468" s="665" t="s">
        <v>11</v>
      </c>
      <c r="D1468" s="666">
        <v>0.2</v>
      </c>
    </row>
    <row r="1469" spans="1:4" hidden="1" outlineLevel="1" x14ac:dyDescent="0.2">
      <c r="A1469" s="659" t="s">
        <v>2801</v>
      </c>
      <c r="B1469" s="660" t="s">
        <v>2755</v>
      </c>
      <c r="C1469" s="661" t="s">
        <v>11</v>
      </c>
      <c r="D1469" s="662">
        <v>8.7100000000000009</v>
      </c>
    </row>
    <row r="1470" spans="1:4" hidden="1" outlineLevel="1" x14ac:dyDescent="0.2">
      <c r="A1470" s="663" t="s">
        <v>2802</v>
      </c>
      <c r="B1470" s="664" t="s">
        <v>2757</v>
      </c>
      <c r="C1470" s="665" t="s">
        <v>11</v>
      </c>
      <c r="D1470" s="666">
        <v>6.16</v>
      </c>
    </row>
    <row r="1471" spans="1:4" hidden="1" outlineLevel="1" x14ac:dyDescent="0.2">
      <c r="A1471" s="659" t="s">
        <v>2803</v>
      </c>
      <c r="B1471" s="660" t="s">
        <v>2759</v>
      </c>
      <c r="C1471" s="661" t="s">
        <v>11</v>
      </c>
      <c r="D1471" s="662">
        <v>4.8</v>
      </c>
    </row>
    <row r="1472" spans="1:4" hidden="1" outlineLevel="1" x14ac:dyDescent="0.2">
      <c r="A1472" s="663" t="s">
        <v>2804</v>
      </c>
      <c r="B1472" s="664" t="s">
        <v>2761</v>
      </c>
      <c r="C1472" s="665" t="s">
        <v>11</v>
      </c>
      <c r="D1472" s="666">
        <v>17.600000000000001</v>
      </c>
    </row>
    <row r="1473" spans="1:4" hidden="1" outlineLevel="1" x14ac:dyDescent="0.2">
      <c r="A1473" s="659" t="s">
        <v>2805</v>
      </c>
      <c r="B1473" s="660" t="s">
        <v>2763</v>
      </c>
      <c r="C1473" s="661" t="s">
        <v>11</v>
      </c>
      <c r="D1473" s="662">
        <v>10.8</v>
      </c>
    </row>
    <row r="1474" spans="1:4" hidden="1" outlineLevel="1" x14ac:dyDescent="0.2">
      <c r="A1474" s="663" t="s">
        <v>2806</v>
      </c>
      <c r="B1474" s="664" t="s">
        <v>2765</v>
      </c>
      <c r="C1474" s="665" t="s">
        <v>11</v>
      </c>
      <c r="D1474" s="666">
        <v>3.96</v>
      </c>
    </row>
    <row r="1475" spans="1:4" hidden="1" outlineLevel="1" x14ac:dyDescent="0.2">
      <c r="A1475" s="659" t="s">
        <v>2807</v>
      </c>
      <c r="B1475" s="660" t="s">
        <v>2767</v>
      </c>
      <c r="C1475" s="661" t="s">
        <v>11</v>
      </c>
      <c r="D1475" s="662">
        <v>10.56</v>
      </c>
    </row>
    <row r="1476" spans="1:4" hidden="1" outlineLevel="1" x14ac:dyDescent="0.2">
      <c r="A1476" s="663" t="s">
        <v>2808</v>
      </c>
      <c r="B1476" s="664" t="s">
        <v>2644</v>
      </c>
      <c r="C1476" s="665" t="s">
        <v>11</v>
      </c>
      <c r="D1476" s="666">
        <v>0.84</v>
      </c>
    </row>
    <row r="1477" spans="1:4" hidden="1" outlineLevel="1" x14ac:dyDescent="0.2">
      <c r="A1477" s="659" t="s">
        <v>2809</v>
      </c>
      <c r="B1477" s="660" t="s">
        <v>2646</v>
      </c>
      <c r="C1477" s="661" t="s">
        <v>11</v>
      </c>
      <c r="D1477" s="662">
        <v>0.69</v>
      </c>
    </row>
    <row r="1478" spans="1:4" hidden="1" outlineLevel="1" x14ac:dyDescent="0.2">
      <c r="A1478" s="667" t="s">
        <v>2810</v>
      </c>
      <c r="B1478" s="668" t="s">
        <v>2648</v>
      </c>
      <c r="C1478" s="669"/>
      <c r="D1478" s="670"/>
    </row>
    <row r="1479" spans="1:4" hidden="1" outlineLevel="1" x14ac:dyDescent="0.2">
      <c r="A1479" s="663" t="s">
        <v>2811</v>
      </c>
      <c r="B1479" s="664" t="s">
        <v>2739</v>
      </c>
      <c r="C1479" s="665" t="s">
        <v>11</v>
      </c>
      <c r="D1479" s="666">
        <v>11.4</v>
      </c>
    </row>
    <row r="1480" spans="1:4" hidden="1" outlineLevel="1" x14ac:dyDescent="0.2">
      <c r="A1480" s="659" t="s">
        <v>2812</v>
      </c>
      <c r="B1480" s="660" t="s">
        <v>2773</v>
      </c>
      <c r="C1480" s="661" t="s">
        <v>11</v>
      </c>
      <c r="D1480" s="662">
        <v>11.96</v>
      </c>
    </row>
    <row r="1481" spans="1:4" hidden="1" outlineLevel="1" x14ac:dyDescent="0.2">
      <c r="A1481" s="663" t="s">
        <v>2813</v>
      </c>
      <c r="B1481" s="664" t="s">
        <v>2775</v>
      </c>
      <c r="C1481" s="665" t="s">
        <v>11</v>
      </c>
      <c r="D1481" s="666">
        <v>8.58</v>
      </c>
    </row>
    <row r="1482" spans="1:4" hidden="1" outlineLevel="1" x14ac:dyDescent="0.2">
      <c r="A1482" s="655" t="s">
        <v>2814</v>
      </c>
      <c r="B1482" s="656" t="s">
        <v>1324</v>
      </c>
      <c r="C1482" s="657"/>
      <c r="D1482" s="658"/>
    </row>
    <row r="1483" spans="1:4" hidden="1" outlineLevel="1" x14ac:dyDescent="0.2">
      <c r="A1483" s="667" t="s">
        <v>2815</v>
      </c>
      <c r="B1483" s="668" t="s">
        <v>2630</v>
      </c>
      <c r="C1483" s="669"/>
      <c r="D1483" s="670"/>
    </row>
    <row r="1484" spans="1:4" hidden="1" outlineLevel="1" x14ac:dyDescent="0.2">
      <c r="A1484" s="659" t="s">
        <v>2816</v>
      </c>
      <c r="B1484" s="660" t="s">
        <v>2632</v>
      </c>
      <c r="C1484" s="661" t="s">
        <v>3</v>
      </c>
      <c r="D1484" s="662">
        <v>5.32</v>
      </c>
    </row>
    <row r="1485" spans="1:4" hidden="1" outlineLevel="1" x14ac:dyDescent="0.2">
      <c r="A1485" s="663" t="s">
        <v>2817</v>
      </c>
      <c r="B1485" s="664" t="s">
        <v>2750</v>
      </c>
      <c r="C1485" s="665" t="s">
        <v>3</v>
      </c>
      <c r="D1485" s="666">
        <v>18.77</v>
      </c>
    </row>
    <row r="1486" spans="1:4" hidden="1" outlineLevel="1" x14ac:dyDescent="0.2">
      <c r="A1486" s="667" t="s">
        <v>2818</v>
      </c>
      <c r="B1486" s="668" t="s">
        <v>2634</v>
      </c>
      <c r="C1486" s="669"/>
      <c r="D1486" s="670"/>
    </row>
    <row r="1487" spans="1:4" hidden="1" outlineLevel="1" x14ac:dyDescent="0.2">
      <c r="A1487" s="659" t="s">
        <v>2819</v>
      </c>
      <c r="B1487" s="660" t="s">
        <v>2753</v>
      </c>
      <c r="C1487" s="661" t="s">
        <v>11</v>
      </c>
      <c r="D1487" s="662">
        <v>0.2</v>
      </c>
    </row>
    <row r="1488" spans="1:4" hidden="1" outlineLevel="1" x14ac:dyDescent="0.2">
      <c r="A1488" s="663" t="s">
        <v>2820</v>
      </c>
      <c r="B1488" s="664" t="s">
        <v>2755</v>
      </c>
      <c r="C1488" s="665" t="s">
        <v>11</v>
      </c>
      <c r="D1488" s="666">
        <v>8.7100000000000009</v>
      </c>
    </row>
    <row r="1489" spans="1:4" hidden="1" outlineLevel="1" x14ac:dyDescent="0.2">
      <c r="A1489" s="659" t="s">
        <v>2821</v>
      </c>
      <c r="B1489" s="660" t="s">
        <v>2757</v>
      </c>
      <c r="C1489" s="661" t="s">
        <v>11</v>
      </c>
      <c r="D1489" s="662">
        <v>6.16</v>
      </c>
    </row>
    <row r="1490" spans="1:4" hidden="1" outlineLevel="1" x14ac:dyDescent="0.2">
      <c r="A1490" s="663" t="s">
        <v>2822</v>
      </c>
      <c r="B1490" s="664" t="s">
        <v>2759</v>
      </c>
      <c r="C1490" s="665" t="s">
        <v>11</v>
      </c>
      <c r="D1490" s="666">
        <v>4.8</v>
      </c>
    </row>
    <row r="1491" spans="1:4" hidden="1" outlineLevel="1" x14ac:dyDescent="0.2">
      <c r="A1491" s="659" t="s">
        <v>2823</v>
      </c>
      <c r="B1491" s="660" t="s">
        <v>2761</v>
      </c>
      <c r="C1491" s="661" t="s">
        <v>11</v>
      </c>
      <c r="D1491" s="662">
        <v>17.600000000000001</v>
      </c>
    </row>
    <row r="1492" spans="1:4" hidden="1" outlineLevel="1" x14ac:dyDescent="0.2">
      <c r="A1492" s="663" t="s">
        <v>2824</v>
      </c>
      <c r="B1492" s="664" t="s">
        <v>2763</v>
      </c>
      <c r="C1492" s="665" t="s">
        <v>11</v>
      </c>
      <c r="D1492" s="666">
        <v>10.8</v>
      </c>
    </row>
    <row r="1493" spans="1:4" hidden="1" outlineLevel="1" x14ac:dyDescent="0.2">
      <c r="A1493" s="659" t="s">
        <v>2825</v>
      </c>
      <c r="B1493" s="660" t="s">
        <v>2765</v>
      </c>
      <c r="C1493" s="661" t="s">
        <v>11</v>
      </c>
      <c r="D1493" s="662">
        <v>3.96</v>
      </c>
    </row>
    <row r="1494" spans="1:4" hidden="1" outlineLevel="1" x14ac:dyDescent="0.2">
      <c r="A1494" s="663" t="s">
        <v>2826</v>
      </c>
      <c r="B1494" s="664" t="s">
        <v>2767</v>
      </c>
      <c r="C1494" s="665" t="s">
        <v>11</v>
      </c>
      <c r="D1494" s="666">
        <v>10.56</v>
      </c>
    </row>
    <row r="1495" spans="1:4" hidden="1" outlineLevel="1" x14ac:dyDescent="0.2">
      <c r="A1495" s="659" t="s">
        <v>2827</v>
      </c>
      <c r="B1495" s="660" t="s">
        <v>2644</v>
      </c>
      <c r="C1495" s="661" t="s">
        <v>11</v>
      </c>
      <c r="D1495" s="662">
        <v>0.84</v>
      </c>
    </row>
    <row r="1496" spans="1:4" hidden="1" outlineLevel="1" x14ac:dyDescent="0.2">
      <c r="A1496" s="663" t="s">
        <v>2828</v>
      </c>
      <c r="B1496" s="664" t="s">
        <v>2646</v>
      </c>
      <c r="C1496" s="665" t="s">
        <v>11</v>
      </c>
      <c r="D1496" s="666">
        <v>0.69</v>
      </c>
    </row>
    <row r="1497" spans="1:4" hidden="1" outlineLevel="1" x14ac:dyDescent="0.2">
      <c r="A1497" s="667" t="s">
        <v>2829</v>
      </c>
      <c r="B1497" s="668" t="s">
        <v>2648</v>
      </c>
      <c r="C1497" s="669"/>
      <c r="D1497" s="670"/>
    </row>
    <row r="1498" spans="1:4" hidden="1" outlineLevel="1" x14ac:dyDescent="0.2">
      <c r="A1498" s="659" t="s">
        <v>2830</v>
      </c>
      <c r="B1498" s="660" t="s">
        <v>2739</v>
      </c>
      <c r="C1498" s="661" t="s">
        <v>11</v>
      </c>
      <c r="D1498" s="662">
        <v>11.4</v>
      </c>
    </row>
    <row r="1499" spans="1:4" hidden="1" outlineLevel="1" x14ac:dyDescent="0.2">
      <c r="A1499" s="663" t="s">
        <v>2831</v>
      </c>
      <c r="B1499" s="664" t="s">
        <v>2773</v>
      </c>
      <c r="C1499" s="665" t="s">
        <v>11</v>
      </c>
      <c r="D1499" s="666">
        <v>11.96</v>
      </c>
    </row>
    <row r="1500" spans="1:4" hidden="1" outlineLevel="1" x14ac:dyDescent="0.2">
      <c r="A1500" s="659" t="s">
        <v>2832</v>
      </c>
      <c r="B1500" s="660" t="s">
        <v>2775</v>
      </c>
      <c r="C1500" s="661" t="s">
        <v>11</v>
      </c>
      <c r="D1500" s="662">
        <v>8.58</v>
      </c>
    </row>
    <row r="1501" spans="1:4" hidden="1" outlineLevel="1" x14ac:dyDescent="0.2">
      <c r="A1501" s="655" t="s">
        <v>2833</v>
      </c>
      <c r="B1501" s="656" t="s">
        <v>1328</v>
      </c>
      <c r="C1501" s="657"/>
      <c r="D1501" s="658"/>
    </row>
    <row r="1502" spans="1:4" hidden="1" outlineLevel="1" x14ac:dyDescent="0.2">
      <c r="A1502" s="667" t="s">
        <v>2834</v>
      </c>
      <c r="B1502" s="668" t="s">
        <v>2630</v>
      </c>
      <c r="C1502" s="669"/>
      <c r="D1502" s="670"/>
    </row>
    <row r="1503" spans="1:4" hidden="1" outlineLevel="1" x14ac:dyDescent="0.2">
      <c r="A1503" s="663" t="s">
        <v>2835</v>
      </c>
      <c r="B1503" s="664" t="s">
        <v>2632</v>
      </c>
      <c r="C1503" s="665" t="s">
        <v>3</v>
      </c>
      <c r="D1503" s="666">
        <v>5.32</v>
      </c>
    </row>
    <row r="1504" spans="1:4" hidden="1" outlineLevel="1" x14ac:dyDescent="0.2">
      <c r="A1504" s="659" t="s">
        <v>2836</v>
      </c>
      <c r="B1504" s="660" t="s">
        <v>2750</v>
      </c>
      <c r="C1504" s="661" t="s">
        <v>3</v>
      </c>
      <c r="D1504" s="662">
        <v>18.77</v>
      </c>
    </row>
    <row r="1505" spans="1:4" hidden="1" outlineLevel="1" x14ac:dyDescent="0.2">
      <c r="A1505" s="667" t="s">
        <v>2837</v>
      </c>
      <c r="B1505" s="668" t="s">
        <v>2634</v>
      </c>
      <c r="C1505" s="669"/>
      <c r="D1505" s="670"/>
    </row>
    <row r="1506" spans="1:4" hidden="1" outlineLevel="1" x14ac:dyDescent="0.2">
      <c r="A1506" s="663" t="s">
        <v>2838</v>
      </c>
      <c r="B1506" s="664" t="s">
        <v>2753</v>
      </c>
      <c r="C1506" s="665" t="s">
        <v>11</v>
      </c>
      <c r="D1506" s="666">
        <v>0.2</v>
      </c>
    </row>
    <row r="1507" spans="1:4" hidden="1" outlineLevel="1" x14ac:dyDescent="0.2">
      <c r="A1507" s="659" t="s">
        <v>2839</v>
      </c>
      <c r="B1507" s="660" t="s">
        <v>2755</v>
      </c>
      <c r="C1507" s="661" t="s">
        <v>11</v>
      </c>
      <c r="D1507" s="662">
        <v>8.7100000000000009</v>
      </c>
    </row>
    <row r="1508" spans="1:4" hidden="1" outlineLevel="1" x14ac:dyDescent="0.2">
      <c r="A1508" s="663" t="s">
        <v>2840</v>
      </c>
      <c r="B1508" s="664" t="s">
        <v>2757</v>
      </c>
      <c r="C1508" s="665" t="s">
        <v>11</v>
      </c>
      <c r="D1508" s="666">
        <v>6.16</v>
      </c>
    </row>
    <row r="1509" spans="1:4" hidden="1" outlineLevel="1" x14ac:dyDescent="0.2">
      <c r="A1509" s="659" t="s">
        <v>2841</v>
      </c>
      <c r="B1509" s="660" t="s">
        <v>2759</v>
      </c>
      <c r="C1509" s="661" t="s">
        <v>11</v>
      </c>
      <c r="D1509" s="662">
        <v>4.8</v>
      </c>
    </row>
    <row r="1510" spans="1:4" hidden="1" outlineLevel="1" x14ac:dyDescent="0.2">
      <c r="A1510" s="663" t="s">
        <v>2842</v>
      </c>
      <c r="B1510" s="664" t="s">
        <v>2761</v>
      </c>
      <c r="C1510" s="665" t="s">
        <v>11</v>
      </c>
      <c r="D1510" s="666">
        <v>17.600000000000001</v>
      </c>
    </row>
    <row r="1511" spans="1:4" hidden="1" outlineLevel="1" x14ac:dyDescent="0.2">
      <c r="A1511" s="659" t="s">
        <v>2843</v>
      </c>
      <c r="B1511" s="660" t="s">
        <v>2763</v>
      </c>
      <c r="C1511" s="661" t="s">
        <v>11</v>
      </c>
      <c r="D1511" s="662">
        <v>10.8</v>
      </c>
    </row>
    <row r="1512" spans="1:4" hidden="1" outlineLevel="1" x14ac:dyDescent="0.2">
      <c r="A1512" s="663" t="s">
        <v>2844</v>
      </c>
      <c r="B1512" s="664" t="s">
        <v>2765</v>
      </c>
      <c r="C1512" s="665" t="s">
        <v>11</v>
      </c>
      <c r="D1512" s="666">
        <v>3.96</v>
      </c>
    </row>
    <row r="1513" spans="1:4" hidden="1" outlineLevel="1" x14ac:dyDescent="0.2">
      <c r="A1513" s="659" t="s">
        <v>2845</v>
      </c>
      <c r="B1513" s="660" t="s">
        <v>2767</v>
      </c>
      <c r="C1513" s="661" t="s">
        <v>11</v>
      </c>
      <c r="D1513" s="662">
        <v>10.56</v>
      </c>
    </row>
    <row r="1514" spans="1:4" hidden="1" outlineLevel="1" x14ac:dyDescent="0.2">
      <c r="A1514" s="663" t="s">
        <v>2846</v>
      </c>
      <c r="B1514" s="664" t="s">
        <v>2644</v>
      </c>
      <c r="C1514" s="665" t="s">
        <v>11</v>
      </c>
      <c r="D1514" s="666">
        <v>0.84</v>
      </c>
    </row>
    <row r="1515" spans="1:4" hidden="1" outlineLevel="1" x14ac:dyDescent="0.2">
      <c r="A1515" s="659" t="s">
        <v>2847</v>
      </c>
      <c r="B1515" s="660" t="s">
        <v>2646</v>
      </c>
      <c r="C1515" s="661" t="s">
        <v>11</v>
      </c>
      <c r="D1515" s="662">
        <v>0.69</v>
      </c>
    </row>
    <row r="1516" spans="1:4" hidden="1" outlineLevel="1" x14ac:dyDescent="0.2">
      <c r="A1516" s="667" t="s">
        <v>2848</v>
      </c>
      <c r="B1516" s="668" t="s">
        <v>2648</v>
      </c>
      <c r="C1516" s="669"/>
      <c r="D1516" s="670"/>
    </row>
    <row r="1517" spans="1:4" hidden="1" outlineLevel="1" x14ac:dyDescent="0.2">
      <c r="A1517" s="663" t="s">
        <v>2849</v>
      </c>
      <c r="B1517" s="664" t="s">
        <v>2739</v>
      </c>
      <c r="C1517" s="665" t="s">
        <v>11</v>
      </c>
      <c r="D1517" s="666">
        <v>11.4</v>
      </c>
    </row>
    <row r="1518" spans="1:4" hidden="1" outlineLevel="1" x14ac:dyDescent="0.2">
      <c r="A1518" s="659" t="s">
        <v>2850</v>
      </c>
      <c r="B1518" s="660" t="s">
        <v>2773</v>
      </c>
      <c r="C1518" s="661" t="s">
        <v>11</v>
      </c>
      <c r="D1518" s="662">
        <v>11.96</v>
      </c>
    </row>
    <row r="1519" spans="1:4" hidden="1" outlineLevel="1" x14ac:dyDescent="0.2">
      <c r="A1519" s="663" t="s">
        <v>2851</v>
      </c>
      <c r="B1519" s="664" t="s">
        <v>2775</v>
      </c>
      <c r="C1519" s="665" t="s">
        <v>11</v>
      </c>
      <c r="D1519" s="666">
        <v>8.58</v>
      </c>
    </row>
    <row r="1520" spans="1:4" hidden="1" outlineLevel="1" x14ac:dyDescent="0.2">
      <c r="A1520" s="655" t="s">
        <v>2852</v>
      </c>
      <c r="B1520" s="656" t="s">
        <v>1332</v>
      </c>
      <c r="C1520" s="657"/>
      <c r="D1520" s="658"/>
    </row>
    <row r="1521" spans="1:4" hidden="1" outlineLevel="1" x14ac:dyDescent="0.2">
      <c r="A1521" s="667" t="s">
        <v>2853</v>
      </c>
      <c r="B1521" s="668" t="s">
        <v>2630</v>
      </c>
      <c r="C1521" s="669"/>
      <c r="D1521" s="670"/>
    </row>
    <row r="1522" spans="1:4" hidden="1" outlineLevel="1" x14ac:dyDescent="0.2">
      <c r="A1522" s="659" t="s">
        <v>2854</v>
      </c>
      <c r="B1522" s="660" t="s">
        <v>2632</v>
      </c>
      <c r="C1522" s="661" t="s">
        <v>3</v>
      </c>
      <c r="D1522" s="662">
        <v>5.32</v>
      </c>
    </row>
    <row r="1523" spans="1:4" hidden="1" outlineLevel="1" x14ac:dyDescent="0.2">
      <c r="A1523" s="663" t="s">
        <v>2855</v>
      </c>
      <c r="B1523" s="664" t="s">
        <v>2750</v>
      </c>
      <c r="C1523" s="665" t="s">
        <v>3</v>
      </c>
      <c r="D1523" s="666">
        <v>18.77</v>
      </c>
    </row>
    <row r="1524" spans="1:4" hidden="1" outlineLevel="1" x14ac:dyDescent="0.2">
      <c r="A1524" s="667" t="s">
        <v>2856</v>
      </c>
      <c r="B1524" s="668" t="s">
        <v>2634</v>
      </c>
      <c r="C1524" s="669"/>
      <c r="D1524" s="670"/>
    </row>
    <row r="1525" spans="1:4" hidden="1" outlineLevel="1" x14ac:dyDescent="0.2">
      <c r="A1525" s="659" t="s">
        <v>2857</v>
      </c>
      <c r="B1525" s="660" t="s">
        <v>2753</v>
      </c>
      <c r="C1525" s="661" t="s">
        <v>11</v>
      </c>
      <c r="D1525" s="662">
        <v>0.2</v>
      </c>
    </row>
    <row r="1526" spans="1:4" hidden="1" outlineLevel="1" x14ac:dyDescent="0.2">
      <c r="A1526" s="663" t="s">
        <v>2858</v>
      </c>
      <c r="B1526" s="664" t="s">
        <v>2755</v>
      </c>
      <c r="C1526" s="665" t="s">
        <v>11</v>
      </c>
      <c r="D1526" s="666">
        <v>8.7100000000000009</v>
      </c>
    </row>
    <row r="1527" spans="1:4" hidden="1" outlineLevel="1" x14ac:dyDescent="0.2">
      <c r="A1527" s="659" t="s">
        <v>2859</v>
      </c>
      <c r="B1527" s="660" t="s">
        <v>2757</v>
      </c>
      <c r="C1527" s="661" t="s">
        <v>11</v>
      </c>
      <c r="D1527" s="662">
        <v>6.16</v>
      </c>
    </row>
    <row r="1528" spans="1:4" hidden="1" outlineLevel="1" x14ac:dyDescent="0.2">
      <c r="A1528" s="663" t="s">
        <v>2860</v>
      </c>
      <c r="B1528" s="664" t="s">
        <v>2759</v>
      </c>
      <c r="C1528" s="665" t="s">
        <v>11</v>
      </c>
      <c r="D1528" s="666">
        <v>4.8</v>
      </c>
    </row>
    <row r="1529" spans="1:4" hidden="1" outlineLevel="1" x14ac:dyDescent="0.2">
      <c r="A1529" s="659" t="s">
        <v>2861</v>
      </c>
      <c r="B1529" s="660" t="s">
        <v>2761</v>
      </c>
      <c r="C1529" s="661" t="s">
        <v>11</v>
      </c>
      <c r="D1529" s="662">
        <v>17.600000000000001</v>
      </c>
    </row>
    <row r="1530" spans="1:4" hidden="1" outlineLevel="1" x14ac:dyDescent="0.2">
      <c r="A1530" s="663" t="s">
        <v>2862</v>
      </c>
      <c r="B1530" s="664" t="s">
        <v>2763</v>
      </c>
      <c r="C1530" s="665" t="s">
        <v>11</v>
      </c>
      <c r="D1530" s="666">
        <v>10.8</v>
      </c>
    </row>
    <row r="1531" spans="1:4" hidden="1" outlineLevel="1" x14ac:dyDescent="0.2">
      <c r="A1531" s="659" t="s">
        <v>2863</v>
      </c>
      <c r="B1531" s="660" t="s">
        <v>2765</v>
      </c>
      <c r="C1531" s="661" t="s">
        <v>11</v>
      </c>
      <c r="D1531" s="662">
        <v>3.96</v>
      </c>
    </row>
    <row r="1532" spans="1:4" hidden="1" outlineLevel="1" x14ac:dyDescent="0.2">
      <c r="A1532" s="663" t="s">
        <v>2864</v>
      </c>
      <c r="B1532" s="664" t="s">
        <v>2767</v>
      </c>
      <c r="C1532" s="665" t="s">
        <v>11</v>
      </c>
      <c r="D1532" s="666">
        <v>10.56</v>
      </c>
    </row>
    <row r="1533" spans="1:4" hidden="1" outlineLevel="1" x14ac:dyDescent="0.2">
      <c r="A1533" s="659" t="s">
        <v>2865</v>
      </c>
      <c r="B1533" s="660" t="s">
        <v>2644</v>
      </c>
      <c r="C1533" s="661" t="s">
        <v>11</v>
      </c>
      <c r="D1533" s="662">
        <v>0.84</v>
      </c>
    </row>
    <row r="1534" spans="1:4" hidden="1" outlineLevel="1" x14ac:dyDescent="0.2">
      <c r="A1534" s="663" t="s">
        <v>2866</v>
      </c>
      <c r="B1534" s="664" t="s">
        <v>2646</v>
      </c>
      <c r="C1534" s="665" t="s">
        <v>11</v>
      </c>
      <c r="D1534" s="666">
        <v>0.69</v>
      </c>
    </row>
    <row r="1535" spans="1:4" hidden="1" outlineLevel="1" x14ac:dyDescent="0.2">
      <c r="A1535" s="667" t="s">
        <v>2867</v>
      </c>
      <c r="B1535" s="668" t="s">
        <v>2648</v>
      </c>
      <c r="C1535" s="669"/>
      <c r="D1535" s="670"/>
    </row>
    <row r="1536" spans="1:4" hidden="1" outlineLevel="1" x14ac:dyDescent="0.2">
      <c r="A1536" s="659" t="s">
        <v>2868</v>
      </c>
      <c r="B1536" s="660" t="s">
        <v>2739</v>
      </c>
      <c r="C1536" s="661" t="s">
        <v>11</v>
      </c>
      <c r="D1536" s="662">
        <v>11.4</v>
      </c>
    </row>
    <row r="1537" spans="1:4" hidden="1" outlineLevel="1" x14ac:dyDescent="0.2">
      <c r="A1537" s="663" t="s">
        <v>2869</v>
      </c>
      <c r="B1537" s="664" t="s">
        <v>2773</v>
      </c>
      <c r="C1537" s="665" t="s">
        <v>11</v>
      </c>
      <c r="D1537" s="666">
        <v>11.96</v>
      </c>
    </row>
    <row r="1538" spans="1:4" hidden="1" outlineLevel="1" x14ac:dyDescent="0.2">
      <c r="A1538" s="659" t="s">
        <v>2870</v>
      </c>
      <c r="B1538" s="660" t="s">
        <v>2775</v>
      </c>
      <c r="C1538" s="661" t="s">
        <v>11</v>
      </c>
      <c r="D1538" s="662">
        <v>8.58</v>
      </c>
    </row>
    <row r="1539" spans="1:4" hidden="1" outlineLevel="1" x14ac:dyDescent="0.2">
      <c r="A1539" s="655" t="s">
        <v>2871</v>
      </c>
      <c r="B1539" s="656" t="s">
        <v>1336</v>
      </c>
      <c r="C1539" s="657"/>
      <c r="D1539" s="658"/>
    </row>
    <row r="1540" spans="1:4" hidden="1" outlineLevel="1" x14ac:dyDescent="0.2">
      <c r="A1540" s="667" t="s">
        <v>2872</v>
      </c>
      <c r="B1540" s="668" t="s">
        <v>2630</v>
      </c>
      <c r="C1540" s="669"/>
      <c r="D1540" s="670"/>
    </row>
    <row r="1541" spans="1:4" hidden="1" outlineLevel="1" x14ac:dyDescent="0.2">
      <c r="A1541" s="663" t="s">
        <v>2873</v>
      </c>
      <c r="B1541" s="664" t="s">
        <v>2632</v>
      </c>
      <c r="C1541" s="665" t="s">
        <v>3</v>
      </c>
      <c r="D1541" s="666">
        <v>5.32</v>
      </c>
    </row>
    <row r="1542" spans="1:4" hidden="1" outlineLevel="1" x14ac:dyDescent="0.2">
      <c r="A1542" s="659" t="s">
        <v>2874</v>
      </c>
      <c r="B1542" s="660" t="s">
        <v>2750</v>
      </c>
      <c r="C1542" s="661" t="s">
        <v>3</v>
      </c>
      <c r="D1542" s="662">
        <v>18.77</v>
      </c>
    </row>
    <row r="1543" spans="1:4" hidden="1" outlineLevel="1" x14ac:dyDescent="0.2">
      <c r="A1543" s="667" t="s">
        <v>2875</v>
      </c>
      <c r="B1543" s="668" t="s">
        <v>2634</v>
      </c>
      <c r="C1543" s="669"/>
      <c r="D1543" s="670"/>
    </row>
    <row r="1544" spans="1:4" hidden="1" outlineLevel="1" x14ac:dyDescent="0.2">
      <c r="A1544" s="663" t="s">
        <v>2876</v>
      </c>
      <c r="B1544" s="664" t="s">
        <v>2753</v>
      </c>
      <c r="C1544" s="665" t="s">
        <v>11</v>
      </c>
      <c r="D1544" s="666">
        <v>0.2</v>
      </c>
    </row>
    <row r="1545" spans="1:4" hidden="1" outlineLevel="1" x14ac:dyDescent="0.2">
      <c r="A1545" s="659" t="s">
        <v>2877</v>
      </c>
      <c r="B1545" s="660" t="s">
        <v>2755</v>
      </c>
      <c r="C1545" s="661" t="s">
        <v>11</v>
      </c>
      <c r="D1545" s="662">
        <v>8.7100000000000009</v>
      </c>
    </row>
    <row r="1546" spans="1:4" hidden="1" outlineLevel="1" x14ac:dyDescent="0.2">
      <c r="A1546" s="663" t="s">
        <v>2878</v>
      </c>
      <c r="B1546" s="664" t="s">
        <v>2757</v>
      </c>
      <c r="C1546" s="665" t="s">
        <v>11</v>
      </c>
      <c r="D1546" s="666">
        <v>6.16</v>
      </c>
    </row>
    <row r="1547" spans="1:4" hidden="1" outlineLevel="1" x14ac:dyDescent="0.2">
      <c r="A1547" s="659" t="s">
        <v>2879</v>
      </c>
      <c r="B1547" s="660" t="s">
        <v>2759</v>
      </c>
      <c r="C1547" s="661" t="s">
        <v>11</v>
      </c>
      <c r="D1547" s="662">
        <v>4.8</v>
      </c>
    </row>
    <row r="1548" spans="1:4" hidden="1" outlineLevel="1" x14ac:dyDescent="0.2">
      <c r="A1548" s="663" t="s">
        <v>2880</v>
      </c>
      <c r="B1548" s="664" t="s">
        <v>2761</v>
      </c>
      <c r="C1548" s="665" t="s">
        <v>11</v>
      </c>
      <c r="D1548" s="666">
        <v>17.600000000000001</v>
      </c>
    </row>
    <row r="1549" spans="1:4" hidden="1" outlineLevel="1" x14ac:dyDescent="0.2">
      <c r="A1549" s="659" t="s">
        <v>2881</v>
      </c>
      <c r="B1549" s="660" t="s">
        <v>2763</v>
      </c>
      <c r="C1549" s="661" t="s">
        <v>11</v>
      </c>
      <c r="D1549" s="662">
        <v>10.8</v>
      </c>
    </row>
    <row r="1550" spans="1:4" hidden="1" outlineLevel="1" x14ac:dyDescent="0.2">
      <c r="A1550" s="663" t="s">
        <v>2882</v>
      </c>
      <c r="B1550" s="664" t="s">
        <v>2765</v>
      </c>
      <c r="C1550" s="665" t="s">
        <v>11</v>
      </c>
      <c r="D1550" s="666">
        <v>3.96</v>
      </c>
    </row>
    <row r="1551" spans="1:4" hidden="1" outlineLevel="1" x14ac:dyDescent="0.2">
      <c r="A1551" s="659" t="s">
        <v>2883</v>
      </c>
      <c r="B1551" s="660" t="s">
        <v>2767</v>
      </c>
      <c r="C1551" s="661" t="s">
        <v>11</v>
      </c>
      <c r="D1551" s="662">
        <v>10.56</v>
      </c>
    </row>
    <row r="1552" spans="1:4" hidden="1" outlineLevel="1" x14ac:dyDescent="0.2">
      <c r="A1552" s="663" t="s">
        <v>2884</v>
      </c>
      <c r="B1552" s="664" t="s">
        <v>2644</v>
      </c>
      <c r="C1552" s="665" t="s">
        <v>11</v>
      </c>
      <c r="D1552" s="666">
        <v>0.84</v>
      </c>
    </row>
    <row r="1553" spans="1:4" hidden="1" outlineLevel="1" x14ac:dyDescent="0.2">
      <c r="A1553" s="659" t="s">
        <v>2885</v>
      </c>
      <c r="B1553" s="660" t="s">
        <v>2646</v>
      </c>
      <c r="C1553" s="661" t="s">
        <v>11</v>
      </c>
      <c r="D1553" s="662">
        <v>0.69</v>
      </c>
    </row>
    <row r="1554" spans="1:4" hidden="1" outlineLevel="1" x14ac:dyDescent="0.2">
      <c r="A1554" s="667" t="s">
        <v>2886</v>
      </c>
      <c r="B1554" s="668" t="s">
        <v>2648</v>
      </c>
      <c r="C1554" s="669"/>
      <c r="D1554" s="670"/>
    </row>
    <row r="1555" spans="1:4" hidden="1" outlineLevel="1" x14ac:dyDescent="0.2">
      <c r="A1555" s="663" t="s">
        <v>2887</v>
      </c>
      <c r="B1555" s="664" t="s">
        <v>2739</v>
      </c>
      <c r="C1555" s="665" t="s">
        <v>11</v>
      </c>
      <c r="D1555" s="666">
        <v>11.4</v>
      </c>
    </row>
    <row r="1556" spans="1:4" hidden="1" outlineLevel="1" x14ac:dyDescent="0.2">
      <c r="A1556" s="659" t="s">
        <v>2888</v>
      </c>
      <c r="B1556" s="660" t="s">
        <v>2773</v>
      </c>
      <c r="C1556" s="661" t="s">
        <v>11</v>
      </c>
      <c r="D1556" s="662">
        <v>11.96</v>
      </c>
    </row>
    <row r="1557" spans="1:4" hidden="1" outlineLevel="1" x14ac:dyDescent="0.2">
      <c r="A1557" s="663" t="s">
        <v>2889</v>
      </c>
      <c r="B1557" s="664" t="s">
        <v>2775</v>
      </c>
      <c r="C1557" s="665" t="s">
        <v>11</v>
      </c>
      <c r="D1557" s="666">
        <v>8.58</v>
      </c>
    </row>
    <row r="1558" spans="1:4" hidden="1" outlineLevel="1" x14ac:dyDescent="0.2">
      <c r="A1558" s="655" t="s">
        <v>2890</v>
      </c>
      <c r="B1558" s="656" t="s">
        <v>1340</v>
      </c>
      <c r="C1558" s="657"/>
      <c r="D1558" s="658"/>
    </row>
    <row r="1559" spans="1:4" hidden="1" outlineLevel="1" x14ac:dyDescent="0.2">
      <c r="A1559" s="667" t="s">
        <v>2891</v>
      </c>
      <c r="B1559" s="668" t="s">
        <v>2630</v>
      </c>
      <c r="C1559" s="669"/>
      <c r="D1559" s="670"/>
    </row>
    <row r="1560" spans="1:4" hidden="1" outlineLevel="1" x14ac:dyDescent="0.2">
      <c r="A1560" s="659" t="s">
        <v>2892</v>
      </c>
      <c r="B1560" s="660" t="s">
        <v>2632</v>
      </c>
      <c r="C1560" s="661" t="s">
        <v>3</v>
      </c>
      <c r="D1560" s="662">
        <v>5.32</v>
      </c>
    </row>
    <row r="1561" spans="1:4" hidden="1" outlineLevel="1" x14ac:dyDescent="0.2">
      <c r="A1561" s="663" t="s">
        <v>2893</v>
      </c>
      <c r="B1561" s="664" t="s">
        <v>2750</v>
      </c>
      <c r="C1561" s="665" t="s">
        <v>3</v>
      </c>
      <c r="D1561" s="666">
        <v>18.77</v>
      </c>
    </row>
    <row r="1562" spans="1:4" hidden="1" outlineLevel="1" x14ac:dyDescent="0.2">
      <c r="A1562" s="667" t="s">
        <v>2894</v>
      </c>
      <c r="B1562" s="668" t="s">
        <v>2634</v>
      </c>
      <c r="C1562" s="669"/>
      <c r="D1562" s="670"/>
    </row>
    <row r="1563" spans="1:4" hidden="1" outlineLevel="1" x14ac:dyDescent="0.2">
      <c r="A1563" s="659" t="s">
        <v>2895</v>
      </c>
      <c r="B1563" s="660" t="s">
        <v>2753</v>
      </c>
      <c r="C1563" s="661" t="s">
        <v>11</v>
      </c>
      <c r="D1563" s="662">
        <v>0.2</v>
      </c>
    </row>
    <row r="1564" spans="1:4" hidden="1" outlineLevel="1" x14ac:dyDescent="0.2">
      <c r="A1564" s="663" t="s">
        <v>2896</v>
      </c>
      <c r="B1564" s="664" t="s">
        <v>2755</v>
      </c>
      <c r="C1564" s="665" t="s">
        <v>11</v>
      </c>
      <c r="D1564" s="666">
        <v>8.7100000000000009</v>
      </c>
    </row>
    <row r="1565" spans="1:4" hidden="1" outlineLevel="1" x14ac:dyDescent="0.2">
      <c r="A1565" s="659" t="s">
        <v>2897</v>
      </c>
      <c r="B1565" s="660" t="s">
        <v>2757</v>
      </c>
      <c r="C1565" s="661" t="s">
        <v>11</v>
      </c>
      <c r="D1565" s="662">
        <v>6.16</v>
      </c>
    </row>
    <row r="1566" spans="1:4" hidden="1" outlineLevel="1" x14ac:dyDescent="0.2">
      <c r="A1566" s="663" t="s">
        <v>2898</v>
      </c>
      <c r="B1566" s="664" t="s">
        <v>2759</v>
      </c>
      <c r="C1566" s="665" t="s">
        <v>11</v>
      </c>
      <c r="D1566" s="666">
        <v>4.8</v>
      </c>
    </row>
    <row r="1567" spans="1:4" hidden="1" outlineLevel="1" x14ac:dyDescent="0.2">
      <c r="A1567" s="659" t="s">
        <v>2899</v>
      </c>
      <c r="B1567" s="660" t="s">
        <v>2761</v>
      </c>
      <c r="C1567" s="661" t="s">
        <v>11</v>
      </c>
      <c r="D1567" s="662">
        <v>17.600000000000001</v>
      </c>
    </row>
    <row r="1568" spans="1:4" hidden="1" outlineLevel="1" x14ac:dyDescent="0.2">
      <c r="A1568" s="663" t="s">
        <v>2900</v>
      </c>
      <c r="B1568" s="664" t="s">
        <v>2763</v>
      </c>
      <c r="C1568" s="665" t="s">
        <v>11</v>
      </c>
      <c r="D1568" s="666">
        <v>10.8</v>
      </c>
    </row>
    <row r="1569" spans="1:4" hidden="1" outlineLevel="1" x14ac:dyDescent="0.2">
      <c r="A1569" s="659" t="s">
        <v>2901</v>
      </c>
      <c r="B1569" s="660" t="s">
        <v>2765</v>
      </c>
      <c r="C1569" s="661" t="s">
        <v>11</v>
      </c>
      <c r="D1569" s="662">
        <v>3.96</v>
      </c>
    </row>
    <row r="1570" spans="1:4" hidden="1" outlineLevel="1" x14ac:dyDescent="0.2">
      <c r="A1570" s="663" t="s">
        <v>2902</v>
      </c>
      <c r="B1570" s="664" t="s">
        <v>2767</v>
      </c>
      <c r="C1570" s="665" t="s">
        <v>11</v>
      </c>
      <c r="D1570" s="666">
        <v>10.56</v>
      </c>
    </row>
    <row r="1571" spans="1:4" hidden="1" outlineLevel="1" x14ac:dyDescent="0.2">
      <c r="A1571" s="659" t="s">
        <v>2903</v>
      </c>
      <c r="B1571" s="660" t="s">
        <v>2644</v>
      </c>
      <c r="C1571" s="661" t="s">
        <v>11</v>
      </c>
      <c r="D1571" s="662">
        <v>0.84</v>
      </c>
    </row>
    <row r="1572" spans="1:4" hidden="1" outlineLevel="1" x14ac:dyDescent="0.2">
      <c r="A1572" s="663" t="s">
        <v>2904</v>
      </c>
      <c r="B1572" s="664" t="s">
        <v>2646</v>
      </c>
      <c r="C1572" s="665" t="s">
        <v>11</v>
      </c>
      <c r="D1572" s="666">
        <v>0.69</v>
      </c>
    </row>
    <row r="1573" spans="1:4" hidden="1" outlineLevel="1" x14ac:dyDescent="0.2">
      <c r="A1573" s="667" t="s">
        <v>2905</v>
      </c>
      <c r="B1573" s="668" t="s">
        <v>2648</v>
      </c>
      <c r="C1573" s="669"/>
      <c r="D1573" s="670"/>
    </row>
    <row r="1574" spans="1:4" hidden="1" outlineLevel="1" x14ac:dyDescent="0.2">
      <c r="A1574" s="659" t="s">
        <v>2906</v>
      </c>
      <c r="B1574" s="660" t="s">
        <v>2739</v>
      </c>
      <c r="C1574" s="661" t="s">
        <v>11</v>
      </c>
      <c r="D1574" s="662">
        <v>11.4</v>
      </c>
    </row>
    <row r="1575" spans="1:4" hidden="1" outlineLevel="1" x14ac:dyDescent="0.2">
      <c r="A1575" s="663" t="s">
        <v>2907</v>
      </c>
      <c r="B1575" s="664" t="s">
        <v>2773</v>
      </c>
      <c r="C1575" s="665" t="s">
        <v>11</v>
      </c>
      <c r="D1575" s="666">
        <v>11.96</v>
      </c>
    </row>
    <row r="1576" spans="1:4" hidden="1" outlineLevel="1" x14ac:dyDescent="0.2">
      <c r="A1576" s="659" t="s">
        <v>2908</v>
      </c>
      <c r="B1576" s="660" t="s">
        <v>2775</v>
      </c>
      <c r="C1576" s="661" t="s">
        <v>11</v>
      </c>
      <c r="D1576" s="662">
        <v>8.58</v>
      </c>
    </row>
    <row r="1577" spans="1:4" hidden="1" outlineLevel="1" x14ac:dyDescent="0.2">
      <c r="A1577" s="655" t="s">
        <v>2909</v>
      </c>
      <c r="B1577" s="656" t="s">
        <v>1344</v>
      </c>
      <c r="C1577" s="657"/>
      <c r="D1577" s="658"/>
    </row>
    <row r="1578" spans="1:4" hidden="1" outlineLevel="1" x14ac:dyDescent="0.2">
      <c r="A1578" s="667" t="s">
        <v>2910</v>
      </c>
      <c r="B1578" s="668" t="s">
        <v>2630</v>
      </c>
      <c r="C1578" s="669"/>
      <c r="D1578" s="670"/>
    </row>
    <row r="1579" spans="1:4" hidden="1" outlineLevel="1" x14ac:dyDescent="0.2">
      <c r="A1579" s="663" t="s">
        <v>2911</v>
      </c>
      <c r="B1579" s="664" t="s">
        <v>2632</v>
      </c>
      <c r="C1579" s="665" t="s">
        <v>3</v>
      </c>
      <c r="D1579" s="666">
        <v>5.32</v>
      </c>
    </row>
    <row r="1580" spans="1:4" hidden="1" outlineLevel="1" x14ac:dyDescent="0.2">
      <c r="A1580" s="659" t="s">
        <v>2912</v>
      </c>
      <c r="B1580" s="660" t="s">
        <v>2750</v>
      </c>
      <c r="C1580" s="661" t="s">
        <v>3</v>
      </c>
      <c r="D1580" s="662">
        <v>18.77</v>
      </c>
    </row>
    <row r="1581" spans="1:4" hidden="1" outlineLevel="1" x14ac:dyDescent="0.2">
      <c r="A1581" s="667" t="s">
        <v>2913</v>
      </c>
      <c r="B1581" s="668" t="s">
        <v>2634</v>
      </c>
      <c r="C1581" s="669"/>
      <c r="D1581" s="670"/>
    </row>
    <row r="1582" spans="1:4" hidden="1" outlineLevel="1" x14ac:dyDescent="0.2">
      <c r="A1582" s="663" t="s">
        <v>2914</v>
      </c>
      <c r="B1582" s="664" t="s">
        <v>2753</v>
      </c>
      <c r="C1582" s="665" t="s">
        <v>11</v>
      </c>
      <c r="D1582" s="666">
        <v>0.2</v>
      </c>
    </row>
    <row r="1583" spans="1:4" hidden="1" outlineLevel="1" x14ac:dyDescent="0.2">
      <c r="A1583" s="659" t="s">
        <v>2915</v>
      </c>
      <c r="B1583" s="660" t="s">
        <v>2755</v>
      </c>
      <c r="C1583" s="661" t="s">
        <v>11</v>
      </c>
      <c r="D1583" s="662">
        <v>8.7100000000000009</v>
      </c>
    </row>
    <row r="1584" spans="1:4" hidden="1" outlineLevel="1" x14ac:dyDescent="0.2">
      <c r="A1584" s="663" t="s">
        <v>2916</v>
      </c>
      <c r="B1584" s="664" t="s">
        <v>2757</v>
      </c>
      <c r="C1584" s="665" t="s">
        <v>11</v>
      </c>
      <c r="D1584" s="666">
        <v>6.16</v>
      </c>
    </row>
    <row r="1585" spans="1:4" hidden="1" outlineLevel="1" x14ac:dyDescent="0.2">
      <c r="A1585" s="659" t="s">
        <v>2917</v>
      </c>
      <c r="B1585" s="660" t="s">
        <v>2759</v>
      </c>
      <c r="C1585" s="661" t="s">
        <v>11</v>
      </c>
      <c r="D1585" s="662">
        <v>4.8</v>
      </c>
    </row>
    <row r="1586" spans="1:4" hidden="1" outlineLevel="1" x14ac:dyDescent="0.2">
      <c r="A1586" s="663" t="s">
        <v>2918</v>
      </c>
      <c r="B1586" s="664" t="s">
        <v>2761</v>
      </c>
      <c r="C1586" s="665" t="s">
        <v>11</v>
      </c>
      <c r="D1586" s="666">
        <v>17.600000000000001</v>
      </c>
    </row>
    <row r="1587" spans="1:4" hidden="1" outlineLevel="1" x14ac:dyDescent="0.2">
      <c r="A1587" s="659" t="s">
        <v>2919</v>
      </c>
      <c r="B1587" s="660" t="s">
        <v>2763</v>
      </c>
      <c r="C1587" s="661" t="s">
        <v>11</v>
      </c>
      <c r="D1587" s="662">
        <v>10.8</v>
      </c>
    </row>
    <row r="1588" spans="1:4" hidden="1" outlineLevel="1" x14ac:dyDescent="0.2">
      <c r="A1588" s="663" t="s">
        <v>2920</v>
      </c>
      <c r="B1588" s="664" t="s">
        <v>2765</v>
      </c>
      <c r="C1588" s="665" t="s">
        <v>11</v>
      </c>
      <c r="D1588" s="666">
        <v>3.96</v>
      </c>
    </row>
    <row r="1589" spans="1:4" hidden="1" outlineLevel="1" x14ac:dyDescent="0.2">
      <c r="A1589" s="659" t="s">
        <v>2921</v>
      </c>
      <c r="B1589" s="660" t="s">
        <v>2767</v>
      </c>
      <c r="C1589" s="661" t="s">
        <v>11</v>
      </c>
      <c r="D1589" s="662">
        <v>10.56</v>
      </c>
    </row>
    <row r="1590" spans="1:4" hidden="1" outlineLevel="1" x14ac:dyDescent="0.2">
      <c r="A1590" s="663" t="s">
        <v>2922</v>
      </c>
      <c r="B1590" s="664" t="s">
        <v>2644</v>
      </c>
      <c r="C1590" s="665" t="s">
        <v>11</v>
      </c>
      <c r="D1590" s="666">
        <v>0.84</v>
      </c>
    </row>
    <row r="1591" spans="1:4" hidden="1" outlineLevel="1" x14ac:dyDescent="0.2">
      <c r="A1591" s="659" t="s">
        <v>2923</v>
      </c>
      <c r="B1591" s="660" t="s">
        <v>2646</v>
      </c>
      <c r="C1591" s="661" t="s">
        <v>11</v>
      </c>
      <c r="D1591" s="662">
        <v>0.69</v>
      </c>
    </row>
    <row r="1592" spans="1:4" hidden="1" outlineLevel="1" x14ac:dyDescent="0.2">
      <c r="A1592" s="667" t="s">
        <v>2924</v>
      </c>
      <c r="B1592" s="668" t="s">
        <v>2648</v>
      </c>
      <c r="C1592" s="669"/>
      <c r="D1592" s="670"/>
    </row>
    <row r="1593" spans="1:4" hidden="1" outlineLevel="1" x14ac:dyDescent="0.2">
      <c r="A1593" s="663" t="s">
        <v>2925</v>
      </c>
      <c r="B1593" s="664" t="s">
        <v>2739</v>
      </c>
      <c r="C1593" s="665" t="s">
        <v>11</v>
      </c>
      <c r="D1593" s="666">
        <v>11.4</v>
      </c>
    </row>
    <row r="1594" spans="1:4" hidden="1" outlineLevel="1" x14ac:dyDescent="0.2">
      <c r="A1594" s="659" t="s">
        <v>2926</v>
      </c>
      <c r="B1594" s="660" t="s">
        <v>2773</v>
      </c>
      <c r="C1594" s="661" t="s">
        <v>11</v>
      </c>
      <c r="D1594" s="662">
        <v>11.96</v>
      </c>
    </row>
    <row r="1595" spans="1:4" hidden="1" outlineLevel="1" x14ac:dyDescent="0.2">
      <c r="A1595" s="663" t="s">
        <v>2927</v>
      </c>
      <c r="B1595" s="664" t="s">
        <v>2775</v>
      </c>
      <c r="C1595" s="665" t="s">
        <v>11</v>
      </c>
      <c r="D1595" s="666">
        <v>8.58</v>
      </c>
    </row>
    <row r="1596" spans="1:4" hidden="1" outlineLevel="1" x14ac:dyDescent="0.2">
      <c r="A1596" s="655" t="s">
        <v>2928</v>
      </c>
      <c r="B1596" s="656" t="s">
        <v>1348</v>
      </c>
      <c r="C1596" s="657"/>
      <c r="D1596" s="658"/>
    </row>
    <row r="1597" spans="1:4" hidden="1" outlineLevel="1" x14ac:dyDescent="0.2">
      <c r="A1597" s="667" t="s">
        <v>2929</v>
      </c>
      <c r="B1597" s="668" t="s">
        <v>2630</v>
      </c>
      <c r="C1597" s="669"/>
      <c r="D1597" s="670"/>
    </row>
    <row r="1598" spans="1:4" hidden="1" outlineLevel="1" x14ac:dyDescent="0.2">
      <c r="A1598" s="659" t="s">
        <v>2930</v>
      </c>
      <c r="B1598" s="660" t="s">
        <v>2632</v>
      </c>
      <c r="C1598" s="661" t="s">
        <v>3</v>
      </c>
      <c r="D1598" s="662">
        <v>5.32</v>
      </c>
    </row>
    <row r="1599" spans="1:4" hidden="1" outlineLevel="1" x14ac:dyDescent="0.2">
      <c r="A1599" s="663" t="s">
        <v>2931</v>
      </c>
      <c r="B1599" s="664" t="s">
        <v>2750</v>
      </c>
      <c r="C1599" s="665" t="s">
        <v>3</v>
      </c>
      <c r="D1599" s="666">
        <v>18.77</v>
      </c>
    </row>
    <row r="1600" spans="1:4" hidden="1" outlineLevel="1" x14ac:dyDescent="0.2">
      <c r="A1600" s="667" t="s">
        <v>2932</v>
      </c>
      <c r="B1600" s="668" t="s">
        <v>2634</v>
      </c>
      <c r="C1600" s="669"/>
      <c r="D1600" s="670"/>
    </row>
    <row r="1601" spans="1:4" hidden="1" outlineLevel="1" x14ac:dyDescent="0.2">
      <c r="A1601" s="659" t="s">
        <v>2933</v>
      </c>
      <c r="B1601" s="660" t="s">
        <v>2753</v>
      </c>
      <c r="C1601" s="661" t="s">
        <v>11</v>
      </c>
      <c r="D1601" s="662">
        <v>0.2</v>
      </c>
    </row>
    <row r="1602" spans="1:4" hidden="1" outlineLevel="1" x14ac:dyDescent="0.2">
      <c r="A1602" s="663" t="s">
        <v>2934</v>
      </c>
      <c r="B1602" s="664" t="s">
        <v>2755</v>
      </c>
      <c r="C1602" s="665" t="s">
        <v>11</v>
      </c>
      <c r="D1602" s="666">
        <v>8.7100000000000009</v>
      </c>
    </row>
    <row r="1603" spans="1:4" hidden="1" outlineLevel="1" x14ac:dyDescent="0.2">
      <c r="A1603" s="659" t="s">
        <v>2935</v>
      </c>
      <c r="B1603" s="660" t="s">
        <v>2757</v>
      </c>
      <c r="C1603" s="661" t="s">
        <v>11</v>
      </c>
      <c r="D1603" s="662">
        <v>6.16</v>
      </c>
    </row>
    <row r="1604" spans="1:4" hidden="1" outlineLevel="1" x14ac:dyDescent="0.2">
      <c r="A1604" s="663" t="s">
        <v>2936</v>
      </c>
      <c r="B1604" s="664" t="s">
        <v>2759</v>
      </c>
      <c r="C1604" s="665" t="s">
        <v>11</v>
      </c>
      <c r="D1604" s="666">
        <v>4.8</v>
      </c>
    </row>
    <row r="1605" spans="1:4" hidden="1" outlineLevel="1" x14ac:dyDescent="0.2">
      <c r="A1605" s="659" t="s">
        <v>2937</v>
      </c>
      <c r="B1605" s="660" t="s">
        <v>2761</v>
      </c>
      <c r="C1605" s="661" t="s">
        <v>11</v>
      </c>
      <c r="D1605" s="662">
        <v>17.600000000000001</v>
      </c>
    </row>
    <row r="1606" spans="1:4" hidden="1" outlineLevel="1" x14ac:dyDescent="0.2">
      <c r="A1606" s="663" t="s">
        <v>2938</v>
      </c>
      <c r="B1606" s="664" t="s">
        <v>2763</v>
      </c>
      <c r="C1606" s="665" t="s">
        <v>11</v>
      </c>
      <c r="D1606" s="666">
        <v>10.8</v>
      </c>
    </row>
    <row r="1607" spans="1:4" hidden="1" outlineLevel="1" x14ac:dyDescent="0.2">
      <c r="A1607" s="659" t="s">
        <v>2939</v>
      </c>
      <c r="B1607" s="660" t="s">
        <v>2765</v>
      </c>
      <c r="C1607" s="661" t="s">
        <v>11</v>
      </c>
      <c r="D1607" s="662">
        <v>3.96</v>
      </c>
    </row>
    <row r="1608" spans="1:4" hidden="1" outlineLevel="1" x14ac:dyDescent="0.2">
      <c r="A1608" s="663" t="s">
        <v>2940</v>
      </c>
      <c r="B1608" s="664" t="s">
        <v>2767</v>
      </c>
      <c r="C1608" s="665" t="s">
        <v>11</v>
      </c>
      <c r="D1608" s="666">
        <v>10.56</v>
      </c>
    </row>
    <row r="1609" spans="1:4" hidden="1" outlineLevel="1" x14ac:dyDescent="0.2">
      <c r="A1609" s="659" t="s">
        <v>2941</v>
      </c>
      <c r="B1609" s="660" t="s">
        <v>2644</v>
      </c>
      <c r="C1609" s="661" t="s">
        <v>11</v>
      </c>
      <c r="D1609" s="662">
        <v>0.84</v>
      </c>
    </row>
    <row r="1610" spans="1:4" hidden="1" outlineLevel="1" x14ac:dyDescent="0.2">
      <c r="A1610" s="663" t="s">
        <v>2942</v>
      </c>
      <c r="B1610" s="664" t="s">
        <v>2646</v>
      </c>
      <c r="C1610" s="665" t="s">
        <v>11</v>
      </c>
      <c r="D1610" s="666">
        <v>0.69</v>
      </c>
    </row>
    <row r="1611" spans="1:4" hidden="1" outlineLevel="1" x14ac:dyDescent="0.2">
      <c r="A1611" s="667" t="s">
        <v>2943</v>
      </c>
      <c r="B1611" s="668" t="s">
        <v>2648</v>
      </c>
      <c r="C1611" s="669"/>
      <c r="D1611" s="670"/>
    </row>
    <row r="1612" spans="1:4" hidden="1" outlineLevel="1" x14ac:dyDescent="0.2">
      <c r="A1612" s="659" t="s">
        <v>2944</v>
      </c>
      <c r="B1612" s="660" t="s">
        <v>2739</v>
      </c>
      <c r="C1612" s="661" t="s">
        <v>11</v>
      </c>
      <c r="D1612" s="662">
        <v>11.4</v>
      </c>
    </row>
    <row r="1613" spans="1:4" hidden="1" outlineLevel="1" x14ac:dyDescent="0.2">
      <c r="A1613" s="663" t="s">
        <v>2945</v>
      </c>
      <c r="B1613" s="664" t="s">
        <v>2773</v>
      </c>
      <c r="C1613" s="665" t="s">
        <v>11</v>
      </c>
      <c r="D1613" s="666">
        <v>11.96</v>
      </c>
    </row>
    <row r="1614" spans="1:4" hidden="1" outlineLevel="1" x14ac:dyDescent="0.2">
      <c r="A1614" s="659" t="s">
        <v>2946</v>
      </c>
      <c r="B1614" s="660" t="s">
        <v>2775</v>
      </c>
      <c r="C1614" s="661" t="s">
        <v>11</v>
      </c>
      <c r="D1614" s="662">
        <v>8.58</v>
      </c>
    </row>
    <row r="1615" spans="1:4" hidden="1" outlineLevel="1" x14ac:dyDescent="0.2">
      <c r="A1615" s="655" t="s">
        <v>2947</v>
      </c>
      <c r="B1615" s="656" t="s">
        <v>1352</v>
      </c>
      <c r="C1615" s="657"/>
      <c r="D1615" s="658"/>
    </row>
    <row r="1616" spans="1:4" hidden="1" outlineLevel="1" x14ac:dyDescent="0.2">
      <c r="A1616" s="667" t="s">
        <v>2948</v>
      </c>
      <c r="B1616" s="668" t="s">
        <v>2630</v>
      </c>
      <c r="C1616" s="669"/>
      <c r="D1616" s="670"/>
    </row>
    <row r="1617" spans="1:4" hidden="1" outlineLevel="1" x14ac:dyDescent="0.2">
      <c r="A1617" s="663" t="s">
        <v>2949</v>
      </c>
      <c r="B1617" s="664" t="s">
        <v>2632</v>
      </c>
      <c r="C1617" s="665" t="s">
        <v>3</v>
      </c>
      <c r="D1617" s="666">
        <v>5.32</v>
      </c>
    </row>
    <row r="1618" spans="1:4" hidden="1" outlineLevel="1" x14ac:dyDescent="0.2">
      <c r="A1618" s="659" t="s">
        <v>2950</v>
      </c>
      <c r="B1618" s="660" t="s">
        <v>2750</v>
      </c>
      <c r="C1618" s="661" t="s">
        <v>3</v>
      </c>
      <c r="D1618" s="662">
        <v>18.77</v>
      </c>
    </row>
    <row r="1619" spans="1:4" hidden="1" outlineLevel="1" x14ac:dyDescent="0.2">
      <c r="A1619" s="667" t="s">
        <v>2951</v>
      </c>
      <c r="B1619" s="668" t="s">
        <v>2634</v>
      </c>
      <c r="C1619" s="669"/>
      <c r="D1619" s="670"/>
    </row>
    <row r="1620" spans="1:4" hidden="1" outlineLevel="1" x14ac:dyDescent="0.2">
      <c r="A1620" s="663" t="s">
        <v>2952</v>
      </c>
      <c r="B1620" s="664" t="s">
        <v>2753</v>
      </c>
      <c r="C1620" s="665" t="s">
        <v>11</v>
      </c>
      <c r="D1620" s="666">
        <v>0.2</v>
      </c>
    </row>
    <row r="1621" spans="1:4" hidden="1" outlineLevel="1" x14ac:dyDescent="0.2">
      <c r="A1621" s="659" t="s">
        <v>2953</v>
      </c>
      <c r="B1621" s="660" t="s">
        <v>2755</v>
      </c>
      <c r="C1621" s="661" t="s">
        <v>11</v>
      </c>
      <c r="D1621" s="662">
        <v>8.7100000000000009</v>
      </c>
    </row>
    <row r="1622" spans="1:4" hidden="1" outlineLevel="1" x14ac:dyDescent="0.2">
      <c r="A1622" s="663" t="s">
        <v>2954</v>
      </c>
      <c r="B1622" s="664" t="s">
        <v>2757</v>
      </c>
      <c r="C1622" s="665" t="s">
        <v>11</v>
      </c>
      <c r="D1622" s="666">
        <v>6.16</v>
      </c>
    </row>
    <row r="1623" spans="1:4" hidden="1" outlineLevel="1" x14ac:dyDescent="0.2">
      <c r="A1623" s="659" t="s">
        <v>2955</v>
      </c>
      <c r="B1623" s="660" t="s">
        <v>2759</v>
      </c>
      <c r="C1623" s="661" t="s">
        <v>11</v>
      </c>
      <c r="D1623" s="662">
        <v>4.8</v>
      </c>
    </row>
    <row r="1624" spans="1:4" hidden="1" outlineLevel="1" x14ac:dyDescent="0.2">
      <c r="A1624" s="663" t="s">
        <v>2956</v>
      </c>
      <c r="B1624" s="664" t="s">
        <v>2761</v>
      </c>
      <c r="C1624" s="665" t="s">
        <v>11</v>
      </c>
      <c r="D1624" s="666">
        <v>17.600000000000001</v>
      </c>
    </row>
    <row r="1625" spans="1:4" hidden="1" outlineLevel="1" x14ac:dyDescent="0.2">
      <c r="A1625" s="659" t="s">
        <v>2957</v>
      </c>
      <c r="B1625" s="660" t="s">
        <v>2763</v>
      </c>
      <c r="C1625" s="661" t="s">
        <v>11</v>
      </c>
      <c r="D1625" s="662">
        <v>10.8</v>
      </c>
    </row>
    <row r="1626" spans="1:4" hidden="1" outlineLevel="1" x14ac:dyDescent="0.2">
      <c r="A1626" s="663" t="s">
        <v>2958</v>
      </c>
      <c r="B1626" s="664" t="s">
        <v>2765</v>
      </c>
      <c r="C1626" s="665" t="s">
        <v>11</v>
      </c>
      <c r="D1626" s="666">
        <v>3.96</v>
      </c>
    </row>
    <row r="1627" spans="1:4" hidden="1" outlineLevel="1" x14ac:dyDescent="0.2">
      <c r="A1627" s="659" t="s">
        <v>2959</v>
      </c>
      <c r="B1627" s="660" t="s">
        <v>2767</v>
      </c>
      <c r="C1627" s="661" t="s">
        <v>11</v>
      </c>
      <c r="D1627" s="662">
        <v>10.56</v>
      </c>
    </row>
    <row r="1628" spans="1:4" hidden="1" outlineLevel="1" x14ac:dyDescent="0.2">
      <c r="A1628" s="663" t="s">
        <v>2960</v>
      </c>
      <c r="B1628" s="664" t="s">
        <v>2644</v>
      </c>
      <c r="C1628" s="665" t="s">
        <v>11</v>
      </c>
      <c r="D1628" s="666">
        <v>0.84</v>
      </c>
    </row>
    <row r="1629" spans="1:4" hidden="1" outlineLevel="1" x14ac:dyDescent="0.2">
      <c r="A1629" s="659" t="s">
        <v>2961</v>
      </c>
      <c r="B1629" s="660" t="s">
        <v>2646</v>
      </c>
      <c r="C1629" s="661" t="s">
        <v>11</v>
      </c>
      <c r="D1629" s="662">
        <v>0.69</v>
      </c>
    </row>
    <row r="1630" spans="1:4" hidden="1" outlineLevel="1" x14ac:dyDescent="0.2">
      <c r="A1630" s="667" t="s">
        <v>2962</v>
      </c>
      <c r="B1630" s="668" t="s">
        <v>2648</v>
      </c>
      <c r="C1630" s="669"/>
      <c r="D1630" s="670"/>
    </row>
    <row r="1631" spans="1:4" hidden="1" outlineLevel="1" x14ac:dyDescent="0.2">
      <c r="A1631" s="663" t="s">
        <v>2963</v>
      </c>
      <c r="B1631" s="664" t="s">
        <v>2739</v>
      </c>
      <c r="C1631" s="665" t="s">
        <v>11</v>
      </c>
      <c r="D1631" s="666">
        <v>11.4</v>
      </c>
    </row>
    <row r="1632" spans="1:4" hidden="1" outlineLevel="1" x14ac:dyDescent="0.2">
      <c r="A1632" s="659" t="s">
        <v>2964</v>
      </c>
      <c r="B1632" s="660" t="s">
        <v>2773</v>
      </c>
      <c r="C1632" s="661" t="s">
        <v>11</v>
      </c>
      <c r="D1632" s="662">
        <v>11.96</v>
      </c>
    </row>
    <row r="1633" spans="1:4" hidden="1" outlineLevel="1" x14ac:dyDescent="0.2">
      <c r="A1633" s="663" t="s">
        <v>2965</v>
      </c>
      <c r="B1633" s="664" t="s">
        <v>2775</v>
      </c>
      <c r="C1633" s="665" t="s">
        <v>11</v>
      </c>
      <c r="D1633" s="666">
        <v>8.58</v>
      </c>
    </row>
    <row r="1634" spans="1:4" hidden="1" outlineLevel="1" x14ac:dyDescent="0.2">
      <c r="A1634" s="655" t="s">
        <v>2966</v>
      </c>
      <c r="B1634" s="656" t="s">
        <v>1356</v>
      </c>
      <c r="C1634" s="657"/>
      <c r="D1634" s="658"/>
    </row>
    <row r="1635" spans="1:4" hidden="1" outlineLevel="1" x14ac:dyDescent="0.2">
      <c r="A1635" s="667" t="s">
        <v>2967</v>
      </c>
      <c r="B1635" s="668" t="s">
        <v>2630</v>
      </c>
      <c r="C1635" s="669"/>
      <c r="D1635" s="670"/>
    </row>
    <row r="1636" spans="1:4" hidden="1" outlineLevel="1" x14ac:dyDescent="0.2">
      <c r="A1636" s="659" t="s">
        <v>2968</v>
      </c>
      <c r="B1636" s="660" t="s">
        <v>2632</v>
      </c>
      <c r="C1636" s="661" t="s">
        <v>3</v>
      </c>
      <c r="D1636" s="662">
        <v>5.32</v>
      </c>
    </row>
    <row r="1637" spans="1:4" hidden="1" outlineLevel="1" x14ac:dyDescent="0.2">
      <c r="A1637" s="663" t="s">
        <v>2969</v>
      </c>
      <c r="B1637" s="664" t="s">
        <v>2750</v>
      </c>
      <c r="C1637" s="665" t="s">
        <v>3</v>
      </c>
      <c r="D1637" s="666">
        <v>18.77</v>
      </c>
    </row>
    <row r="1638" spans="1:4" hidden="1" outlineLevel="1" x14ac:dyDescent="0.2">
      <c r="A1638" s="667" t="s">
        <v>2970</v>
      </c>
      <c r="B1638" s="668" t="s">
        <v>2634</v>
      </c>
      <c r="C1638" s="669"/>
      <c r="D1638" s="670"/>
    </row>
    <row r="1639" spans="1:4" hidden="1" outlineLevel="1" x14ac:dyDescent="0.2">
      <c r="A1639" s="659" t="s">
        <v>2971</v>
      </c>
      <c r="B1639" s="660" t="s">
        <v>2753</v>
      </c>
      <c r="C1639" s="661" t="s">
        <v>11</v>
      </c>
      <c r="D1639" s="662">
        <v>0.2</v>
      </c>
    </row>
    <row r="1640" spans="1:4" hidden="1" outlineLevel="1" x14ac:dyDescent="0.2">
      <c r="A1640" s="663" t="s">
        <v>2972</v>
      </c>
      <c r="B1640" s="664" t="s">
        <v>2755</v>
      </c>
      <c r="C1640" s="665" t="s">
        <v>11</v>
      </c>
      <c r="D1640" s="666">
        <v>8.7100000000000009</v>
      </c>
    </row>
    <row r="1641" spans="1:4" hidden="1" outlineLevel="1" x14ac:dyDescent="0.2">
      <c r="A1641" s="659" t="s">
        <v>2973</v>
      </c>
      <c r="B1641" s="660" t="s">
        <v>2757</v>
      </c>
      <c r="C1641" s="661" t="s">
        <v>11</v>
      </c>
      <c r="D1641" s="662">
        <v>6.16</v>
      </c>
    </row>
    <row r="1642" spans="1:4" hidden="1" outlineLevel="1" x14ac:dyDescent="0.2">
      <c r="A1642" s="663" t="s">
        <v>2974</v>
      </c>
      <c r="B1642" s="664" t="s">
        <v>2759</v>
      </c>
      <c r="C1642" s="665" t="s">
        <v>11</v>
      </c>
      <c r="D1642" s="666">
        <v>4.8</v>
      </c>
    </row>
    <row r="1643" spans="1:4" hidden="1" outlineLevel="1" x14ac:dyDescent="0.2">
      <c r="A1643" s="659" t="s">
        <v>2975</v>
      </c>
      <c r="B1643" s="660" t="s">
        <v>2761</v>
      </c>
      <c r="C1643" s="661" t="s">
        <v>11</v>
      </c>
      <c r="D1643" s="662">
        <v>17.600000000000001</v>
      </c>
    </row>
    <row r="1644" spans="1:4" hidden="1" outlineLevel="1" x14ac:dyDescent="0.2">
      <c r="A1644" s="663" t="s">
        <v>2976</v>
      </c>
      <c r="B1644" s="664" t="s">
        <v>2763</v>
      </c>
      <c r="C1644" s="665" t="s">
        <v>11</v>
      </c>
      <c r="D1644" s="666">
        <v>10.8</v>
      </c>
    </row>
    <row r="1645" spans="1:4" hidden="1" outlineLevel="1" x14ac:dyDescent="0.2">
      <c r="A1645" s="659" t="s">
        <v>2977</v>
      </c>
      <c r="B1645" s="660" t="s">
        <v>2765</v>
      </c>
      <c r="C1645" s="661" t="s">
        <v>11</v>
      </c>
      <c r="D1645" s="662">
        <v>3.96</v>
      </c>
    </row>
    <row r="1646" spans="1:4" hidden="1" outlineLevel="1" x14ac:dyDescent="0.2">
      <c r="A1646" s="663" t="s">
        <v>2978</v>
      </c>
      <c r="B1646" s="664" t="s">
        <v>2767</v>
      </c>
      <c r="C1646" s="665" t="s">
        <v>11</v>
      </c>
      <c r="D1646" s="666">
        <v>10.56</v>
      </c>
    </row>
    <row r="1647" spans="1:4" hidden="1" outlineLevel="1" x14ac:dyDescent="0.2">
      <c r="A1647" s="659" t="s">
        <v>2979</v>
      </c>
      <c r="B1647" s="660" t="s">
        <v>2644</v>
      </c>
      <c r="C1647" s="661" t="s">
        <v>11</v>
      </c>
      <c r="D1647" s="662">
        <v>0.84</v>
      </c>
    </row>
    <row r="1648" spans="1:4" hidden="1" outlineLevel="1" x14ac:dyDescent="0.2">
      <c r="A1648" s="663" t="s">
        <v>2980</v>
      </c>
      <c r="B1648" s="664" t="s">
        <v>2646</v>
      </c>
      <c r="C1648" s="665" t="s">
        <v>11</v>
      </c>
      <c r="D1648" s="666">
        <v>0.69</v>
      </c>
    </row>
    <row r="1649" spans="1:4" hidden="1" outlineLevel="1" x14ac:dyDescent="0.2">
      <c r="A1649" s="667" t="s">
        <v>2981</v>
      </c>
      <c r="B1649" s="668" t="s">
        <v>2648</v>
      </c>
      <c r="C1649" s="669"/>
      <c r="D1649" s="670"/>
    </row>
    <row r="1650" spans="1:4" hidden="1" outlineLevel="1" x14ac:dyDescent="0.2">
      <c r="A1650" s="659" t="s">
        <v>2982</v>
      </c>
      <c r="B1650" s="660" t="s">
        <v>2739</v>
      </c>
      <c r="C1650" s="661" t="s">
        <v>11</v>
      </c>
      <c r="D1650" s="662">
        <v>11.4</v>
      </c>
    </row>
    <row r="1651" spans="1:4" hidden="1" outlineLevel="1" x14ac:dyDescent="0.2">
      <c r="A1651" s="663" t="s">
        <v>2983</v>
      </c>
      <c r="B1651" s="664" t="s">
        <v>2773</v>
      </c>
      <c r="C1651" s="665" t="s">
        <v>11</v>
      </c>
      <c r="D1651" s="666">
        <v>11.96</v>
      </c>
    </row>
    <row r="1652" spans="1:4" hidden="1" outlineLevel="1" x14ac:dyDescent="0.2">
      <c r="A1652" s="659" t="s">
        <v>2984</v>
      </c>
      <c r="B1652" s="660" t="s">
        <v>2775</v>
      </c>
      <c r="C1652" s="661" t="s">
        <v>11</v>
      </c>
      <c r="D1652" s="662">
        <v>8.58</v>
      </c>
    </row>
    <row r="1653" spans="1:4" hidden="1" outlineLevel="1" x14ac:dyDescent="0.2">
      <c r="A1653" s="655" t="s">
        <v>2985</v>
      </c>
      <c r="B1653" s="656" t="s">
        <v>1360</v>
      </c>
      <c r="C1653" s="657"/>
      <c r="D1653" s="658"/>
    </row>
    <row r="1654" spans="1:4" hidden="1" outlineLevel="1" x14ac:dyDescent="0.2">
      <c r="A1654" s="667" t="s">
        <v>2986</v>
      </c>
      <c r="B1654" s="668" t="s">
        <v>2630</v>
      </c>
      <c r="C1654" s="669"/>
      <c r="D1654" s="670"/>
    </row>
    <row r="1655" spans="1:4" hidden="1" outlineLevel="1" x14ac:dyDescent="0.2">
      <c r="A1655" s="663" t="s">
        <v>2987</v>
      </c>
      <c r="B1655" s="664" t="s">
        <v>2632</v>
      </c>
      <c r="C1655" s="665" t="s">
        <v>3</v>
      </c>
      <c r="D1655" s="666">
        <v>5.32</v>
      </c>
    </row>
    <row r="1656" spans="1:4" hidden="1" outlineLevel="1" x14ac:dyDescent="0.2">
      <c r="A1656" s="659" t="s">
        <v>2988</v>
      </c>
      <c r="B1656" s="660" t="s">
        <v>2750</v>
      </c>
      <c r="C1656" s="661" t="s">
        <v>3</v>
      </c>
      <c r="D1656" s="662">
        <v>18.77</v>
      </c>
    </row>
    <row r="1657" spans="1:4" hidden="1" outlineLevel="1" x14ac:dyDescent="0.2">
      <c r="A1657" s="667" t="s">
        <v>2989</v>
      </c>
      <c r="B1657" s="668" t="s">
        <v>2634</v>
      </c>
      <c r="C1657" s="669"/>
      <c r="D1657" s="670"/>
    </row>
    <row r="1658" spans="1:4" hidden="1" outlineLevel="1" x14ac:dyDescent="0.2">
      <c r="A1658" s="663" t="s">
        <v>2990</v>
      </c>
      <c r="B1658" s="664" t="s">
        <v>2753</v>
      </c>
      <c r="C1658" s="665" t="s">
        <v>11</v>
      </c>
      <c r="D1658" s="666">
        <v>0.2</v>
      </c>
    </row>
    <row r="1659" spans="1:4" hidden="1" outlineLevel="1" x14ac:dyDescent="0.2">
      <c r="A1659" s="659" t="s">
        <v>2991</v>
      </c>
      <c r="B1659" s="660" t="s">
        <v>2755</v>
      </c>
      <c r="C1659" s="661" t="s">
        <v>11</v>
      </c>
      <c r="D1659" s="662">
        <v>8.7100000000000009</v>
      </c>
    </row>
    <row r="1660" spans="1:4" hidden="1" outlineLevel="1" x14ac:dyDescent="0.2">
      <c r="A1660" s="663" t="s">
        <v>2992</v>
      </c>
      <c r="B1660" s="664" t="s">
        <v>2757</v>
      </c>
      <c r="C1660" s="665" t="s">
        <v>11</v>
      </c>
      <c r="D1660" s="666">
        <v>6.16</v>
      </c>
    </row>
    <row r="1661" spans="1:4" hidden="1" outlineLevel="1" x14ac:dyDescent="0.2">
      <c r="A1661" s="659" t="s">
        <v>2993</v>
      </c>
      <c r="B1661" s="660" t="s">
        <v>2759</v>
      </c>
      <c r="C1661" s="661" t="s">
        <v>11</v>
      </c>
      <c r="D1661" s="662">
        <v>4.8</v>
      </c>
    </row>
    <row r="1662" spans="1:4" hidden="1" outlineLevel="1" x14ac:dyDescent="0.2">
      <c r="A1662" s="663" t="s">
        <v>2994</v>
      </c>
      <c r="B1662" s="664" t="s">
        <v>2761</v>
      </c>
      <c r="C1662" s="665" t="s">
        <v>11</v>
      </c>
      <c r="D1662" s="666">
        <v>17.600000000000001</v>
      </c>
    </row>
    <row r="1663" spans="1:4" hidden="1" outlineLevel="1" x14ac:dyDescent="0.2">
      <c r="A1663" s="659" t="s">
        <v>2995</v>
      </c>
      <c r="B1663" s="660" t="s">
        <v>2763</v>
      </c>
      <c r="C1663" s="661" t="s">
        <v>11</v>
      </c>
      <c r="D1663" s="662">
        <v>10.8</v>
      </c>
    </row>
    <row r="1664" spans="1:4" hidden="1" outlineLevel="1" x14ac:dyDescent="0.2">
      <c r="A1664" s="663" t="s">
        <v>2996</v>
      </c>
      <c r="B1664" s="664" t="s">
        <v>2765</v>
      </c>
      <c r="C1664" s="665" t="s">
        <v>11</v>
      </c>
      <c r="D1664" s="666">
        <v>3.96</v>
      </c>
    </row>
    <row r="1665" spans="1:8" hidden="1" outlineLevel="1" x14ac:dyDescent="0.2">
      <c r="A1665" s="659" t="s">
        <v>2997</v>
      </c>
      <c r="B1665" s="660" t="s">
        <v>2767</v>
      </c>
      <c r="C1665" s="661" t="s">
        <v>11</v>
      </c>
      <c r="D1665" s="662">
        <v>10.56</v>
      </c>
    </row>
    <row r="1666" spans="1:8" hidden="1" outlineLevel="1" x14ac:dyDescent="0.2">
      <c r="A1666" s="663" t="s">
        <v>2998</v>
      </c>
      <c r="B1666" s="664" t="s">
        <v>2644</v>
      </c>
      <c r="C1666" s="665" t="s">
        <v>11</v>
      </c>
      <c r="D1666" s="666">
        <v>0.84</v>
      </c>
    </row>
    <row r="1667" spans="1:8" hidden="1" outlineLevel="1" x14ac:dyDescent="0.2">
      <c r="A1667" s="659" t="s">
        <v>2999</v>
      </c>
      <c r="B1667" s="660" t="s">
        <v>2646</v>
      </c>
      <c r="C1667" s="661" t="s">
        <v>11</v>
      </c>
      <c r="D1667" s="662">
        <v>0.69</v>
      </c>
    </row>
    <row r="1668" spans="1:8" hidden="1" outlineLevel="1" x14ac:dyDescent="0.2">
      <c r="A1668" s="667" t="s">
        <v>3000</v>
      </c>
      <c r="B1668" s="668" t="s">
        <v>2648</v>
      </c>
      <c r="C1668" s="669"/>
      <c r="D1668" s="670"/>
    </row>
    <row r="1669" spans="1:8" hidden="1" outlineLevel="1" x14ac:dyDescent="0.2">
      <c r="A1669" s="663" t="s">
        <v>3001</v>
      </c>
      <c r="B1669" s="664" t="s">
        <v>2739</v>
      </c>
      <c r="C1669" s="665" t="s">
        <v>11</v>
      </c>
      <c r="D1669" s="666">
        <v>11.4</v>
      </c>
    </row>
    <row r="1670" spans="1:8" hidden="1" outlineLevel="1" x14ac:dyDescent="0.2">
      <c r="A1670" s="659" t="s">
        <v>3002</v>
      </c>
      <c r="B1670" s="660" t="s">
        <v>2773</v>
      </c>
      <c r="C1670" s="661" t="s">
        <v>11</v>
      </c>
      <c r="D1670" s="662">
        <v>11.96</v>
      </c>
    </row>
    <row r="1671" spans="1:8" hidden="1" outlineLevel="1" x14ac:dyDescent="0.2">
      <c r="A1671" s="663" t="s">
        <v>3003</v>
      </c>
      <c r="B1671" s="664" t="s">
        <v>2775</v>
      </c>
      <c r="C1671" s="665" t="s">
        <v>11</v>
      </c>
      <c r="D1671" s="666">
        <v>8.58</v>
      </c>
    </row>
    <row r="1672" spans="1:8" hidden="1" outlineLevel="1" x14ac:dyDescent="0.2">
      <c r="A1672" s="655" t="s">
        <v>3004</v>
      </c>
      <c r="B1672" s="656" t="s">
        <v>1364</v>
      </c>
      <c r="C1672" s="657"/>
      <c r="D1672" s="658"/>
      <c r="F1672" s="656" t="s">
        <v>758</v>
      </c>
      <c r="G1672" s="657"/>
      <c r="H1672" s="658"/>
    </row>
    <row r="1673" spans="1:8" hidden="1" outlineLevel="1" x14ac:dyDescent="0.2">
      <c r="A1673" s="667" t="s">
        <v>3005</v>
      </c>
      <c r="B1673" s="668" t="s">
        <v>2630</v>
      </c>
      <c r="C1673" s="669"/>
      <c r="D1673" s="670"/>
      <c r="F1673" s="660" t="s">
        <v>2632</v>
      </c>
      <c r="G1673" s="661" t="str">
        <f>C1674</f>
        <v>m</v>
      </c>
      <c r="H1673" s="662">
        <f>SUMIF(B1672:B1918,F1673,D1672:D1918)</f>
        <v>5.4</v>
      </c>
    </row>
    <row r="1674" spans="1:8" hidden="1" outlineLevel="1" x14ac:dyDescent="0.2">
      <c r="A1674" s="659" t="s">
        <v>3006</v>
      </c>
      <c r="B1674" s="660" t="s">
        <v>2632</v>
      </c>
      <c r="C1674" s="661" t="s">
        <v>3</v>
      </c>
      <c r="D1674" s="662">
        <v>5.4</v>
      </c>
      <c r="F1674" s="660" t="s">
        <v>4221</v>
      </c>
      <c r="G1674" s="661" t="str">
        <f>C1679</f>
        <v>m²</v>
      </c>
      <c r="H1674" s="662">
        <f>SUM(D1678:D1687,D1689:D1690)</f>
        <v>92.509999999999991</v>
      </c>
    </row>
    <row r="1675" spans="1:8" hidden="1" outlineLevel="1" x14ac:dyDescent="0.2">
      <c r="A1675" s="663" t="s">
        <v>3007</v>
      </c>
      <c r="B1675" s="664" t="s">
        <v>2708</v>
      </c>
      <c r="C1675" s="665" t="s">
        <v>3</v>
      </c>
      <c r="D1675" s="666">
        <v>10.23</v>
      </c>
      <c r="F1675" s="660" t="s">
        <v>4225</v>
      </c>
      <c r="G1675" s="661" t="s">
        <v>1</v>
      </c>
      <c r="H1675" s="662">
        <f>D1675+(D1676*1.05)</f>
        <v>29.938500000000001</v>
      </c>
    </row>
    <row r="1676" spans="1:8" hidden="1" outlineLevel="1" x14ac:dyDescent="0.2">
      <c r="A1676" s="659" t="s">
        <v>3008</v>
      </c>
      <c r="B1676" s="660" t="s">
        <v>2750</v>
      </c>
      <c r="C1676" s="661" t="s">
        <v>3</v>
      </c>
      <c r="D1676" s="662">
        <v>18.77</v>
      </c>
    </row>
    <row r="1677" spans="1:8" hidden="1" outlineLevel="1" x14ac:dyDescent="0.2">
      <c r="A1677" s="667" t="s">
        <v>3009</v>
      </c>
      <c r="B1677" s="668" t="s">
        <v>2634</v>
      </c>
      <c r="C1677" s="669"/>
      <c r="D1677" s="670"/>
    </row>
    <row r="1678" spans="1:8" hidden="1" outlineLevel="1" x14ac:dyDescent="0.2">
      <c r="A1678" s="663" t="s">
        <v>3010</v>
      </c>
      <c r="B1678" s="664" t="s">
        <v>2753</v>
      </c>
      <c r="C1678" s="665" t="s">
        <v>11</v>
      </c>
      <c r="D1678" s="666">
        <v>0.2</v>
      </c>
    </row>
    <row r="1679" spans="1:8" hidden="1" outlineLevel="1" x14ac:dyDescent="0.2">
      <c r="A1679" s="659" t="s">
        <v>3011</v>
      </c>
      <c r="B1679" s="660" t="s">
        <v>2755</v>
      </c>
      <c r="C1679" s="661" t="s">
        <v>11</v>
      </c>
      <c r="D1679" s="662">
        <v>9.34</v>
      </c>
    </row>
    <row r="1680" spans="1:8" hidden="1" outlineLevel="1" x14ac:dyDescent="0.2">
      <c r="A1680" s="663" t="s">
        <v>3012</v>
      </c>
      <c r="B1680" s="664" t="s">
        <v>2757</v>
      </c>
      <c r="C1680" s="665" t="s">
        <v>11</v>
      </c>
      <c r="D1680" s="666">
        <v>6.16</v>
      </c>
    </row>
    <row r="1681" spans="1:8" hidden="1" outlineLevel="1" x14ac:dyDescent="0.2">
      <c r="A1681" s="659" t="s">
        <v>3013</v>
      </c>
      <c r="B1681" s="660" t="s">
        <v>2759</v>
      </c>
      <c r="C1681" s="661" t="s">
        <v>11</v>
      </c>
      <c r="D1681" s="662">
        <v>4.8</v>
      </c>
    </row>
    <row r="1682" spans="1:8" hidden="1" outlineLevel="1" x14ac:dyDescent="0.2">
      <c r="A1682" s="663" t="s">
        <v>3014</v>
      </c>
      <c r="B1682" s="664" t="s">
        <v>2761</v>
      </c>
      <c r="C1682" s="665" t="s">
        <v>11</v>
      </c>
      <c r="D1682" s="666">
        <v>17.600000000000001</v>
      </c>
    </row>
    <row r="1683" spans="1:8" hidden="1" outlineLevel="1" x14ac:dyDescent="0.2">
      <c r="A1683" s="659" t="s">
        <v>3015</v>
      </c>
      <c r="B1683" s="660" t="s">
        <v>2763</v>
      </c>
      <c r="C1683" s="661" t="s">
        <v>11</v>
      </c>
      <c r="D1683" s="662">
        <v>10.8</v>
      </c>
    </row>
    <row r="1684" spans="1:8" hidden="1" outlineLevel="1" x14ac:dyDescent="0.2">
      <c r="A1684" s="663" t="s">
        <v>3016</v>
      </c>
      <c r="B1684" s="664" t="s">
        <v>2765</v>
      </c>
      <c r="C1684" s="665" t="s">
        <v>11</v>
      </c>
      <c r="D1684" s="666">
        <v>3.96</v>
      </c>
    </row>
    <row r="1685" spans="1:8" hidden="1" outlineLevel="1" x14ac:dyDescent="0.2">
      <c r="A1685" s="659" t="s">
        <v>3017</v>
      </c>
      <c r="B1685" s="660" t="s">
        <v>2767</v>
      </c>
      <c r="C1685" s="661" t="s">
        <v>11</v>
      </c>
      <c r="D1685" s="662">
        <v>10.56</v>
      </c>
    </row>
    <row r="1686" spans="1:8" hidden="1" outlineLevel="1" x14ac:dyDescent="0.2">
      <c r="A1686" s="663" t="s">
        <v>3018</v>
      </c>
      <c r="B1686" s="664" t="s">
        <v>2644</v>
      </c>
      <c r="C1686" s="665" t="s">
        <v>11</v>
      </c>
      <c r="D1686" s="666">
        <v>0.84</v>
      </c>
    </row>
    <row r="1687" spans="1:8" hidden="1" outlineLevel="1" x14ac:dyDescent="0.2">
      <c r="A1687" s="659" t="s">
        <v>3019</v>
      </c>
      <c r="B1687" s="660" t="s">
        <v>2646</v>
      </c>
      <c r="C1687" s="661" t="s">
        <v>11</v>
      </c>
      <c r="D1687" s="662">
        <v>0.69</v>
      </c>
    </row>
    <row r="1688" spans="1:8" hidden="1" outlineLevel="1" x14ac:dyDescent="0.2">
      <c r="A1688" s="667" t="s">
        <v>3020</v>
      </c>
      <c r="B1688" s="668" t="s">
        <v>2648</v>
      </c>
      <c r="C1688" s="669"/>
      <c r="D1688" s="670"/>
    </row>
    <row r="1689" spans="1:8" hidden="1" outlineLevel="1" x14ac:dyDescent="0.2">
      <c r="A1689" s="663" t="s">
        <v>3021</v>
      </c>
      <c r="B1689" s="664" t="s">
        <v>2773</v>
      </c>
      <c r="C1689" s="665" t="s">
        <v>11</v>
      </c>
      <c r="D1689" s="666">
        <v>11.96</v>
      </c>
    </row>
    <row r="1690" spans="1:8" hidden="1" outlineLevel="1" x14ac:dyDescent="0.2">
      <c r="A1690" s="659" t="s">
        <v>3022</v>
      </c>
      <c r="B1690" s="660" t="s">
        <v>3023</v>
      </c>
      <c r="C1690" s="661" t="s">
        <v>11</v>
      </c>
      <c r="D1690" s="662">
        <v>15.6</v>
      </c>
    </row>
    <row r="1691" spans="1:8" hidden="1" outlineLevel="1" x14ac:dyDescent="0.2">
      <c r="A1691" s="655" t="s">
        <v>3024</v>
      </c>
      <c r="B1691" s="656" t="s">
        <v>1368</v>
      </c>
      <c r="C1691" s="657"/>
      <c r="D1691" s="658"/>
      <c r="F1691" s="656" t="s">
        <v>759</v>
      </c>
      <c r="G1691" s="657"/>
      <c r="H1691" s="658"/>
    </row>
    <row r="1692" spans="1:8" hidden="1" outlineLevel="1" x14ac:dyDescent="0.2">
      <c r="A1692" s="667" t="s">
        <v>3025</v>
      </c>
      <c r="B1692" s="668" t="s">
        <v>2630</v>
      </c>
      <c r="C1692" s="669"/>
      <c r="D1692" s="670"/>
      <c r="F1692" s="660" t="s">
        <v>2632</v>
      </c>
      <c r="G1692" s="661" t="str">
        <f>C1693</f>
        <v>m</v>
      </c>
      <c r="H1692" s="662"/>
    </row>
    <row r="1693" spans="1:8" hidden="1" outlineLevel="1" x14ac:dyDescent="0.2">
      <c r="A1693" s="663" t="s">
        <v>3026</v>
      </c>
      <c r="B1693" s="664" t="s">
        <v>2750</v>
      </c>
      <c r="C1693" s="665" t="s">
        <v>3</v>
      </c>
      <c r="D1693" s="666">
        <v>49.86</v>
      </c>
      <c r="F1693" s="660" t="s">
        <v>4221</v>
      </c>
      <c r="G1693" s="661" t="str">
        <f>C1698</f>
        <v>m²</v>
      </c>
      <c r="H1693" s="662">
        <f>SUM(D1695:D1703,D1705:D1706)</f>
        <v>100.96000000000001</v>
      </c>
    </row>
    <row r="1694" spans="1:8" hidden="1" outlineLevel="1" x14ac:dyDescent="0.2">
      <c r="A1694" s="667" t="s">
        <v>3027</v>
      </c>
      <c r="B1694" s="668" t="s">
        <v>2634</v>
      </c>
      <c r="C1694" s="669"/>
      <c r="D1694" s="670"/>
      <c r="F1694" s="660" t="s">
        <v>4225</v>
      </c>
      <c r="G1694" s="661" t="s">
        <v>1</v>
      </c>
      <c r="H1694" s="662">
        <f>D1693*1.05</f>
        <v>52.353000000000002</v>
      </c>
    </row>
    <row r="1695" spans="1:8" hidden="1" outlineLevel="1" x14ac:dyDescent="0.2">
      <c r="A1695" s="659" t="s">
        <v>3028</v>
      </c>
      <c r="B1695" s="660" t="s">
        <v>2753</v>
      </c>
      <c r="C1695" s="661" t="s">
        <v>11</v>
      </c>
      <c r="D1695" s="662">
        <v>0.13</v>
      </c>
    </row>
    <row r="1696" spans="1:8" hidden="1" outlineLevel="1" x14ac:dyDescent="0.2">
      <c r="A1696" s="663" t="s">
        <v>3029</v>
      </c>
      <c r="B1696" s="664" t="s">
        <v>3030</v>
      </c>
      <c r="C1696" s="665" t="s">
        <v>11</v>
      </c>
      <c r="D1696" s="666">
        <v>3.15</v>
      </c>
    </row>
    <row r="1697" spans="1:8" hidden="1" outlineLevel="1" x14ac:dyDescent="0.2">
      <c r="A1697" s="659" t="s">
        <v>3031</v>
      </c>
      <c r="B1697" s="660" t="s">
        <v>2755</v>
      </c>
      <c r="C1697" s="661" t="s">
        <v>11</v>
      </c>
      <c r="D1697" s="662">
        <v>3.67</v>
      </c>
    </row>
    <row r="1698" spans="1:8" hidden="1" outlineLevel="1" x14ac:dyDescent="0.2">
      <c r="A1698" s="663" t="s">
        <v>3032</v>
      </c>
      <c r="B1698" s="664" t="s">
        <v>2759</v>
      </c>
      <c r="C1698" s="665" t="s">
        <v>11</v>
      </c>
      <c r="D1698" s="666">
        <v>4.8</v>
      </c>
    </row>
    <row r="1699" spans="1:8" hidden="1" outlineLevel="1" x14ac:dyDescent="0.2">
      <c r="A1699" s="659" t="s">
        <v>3033</v>
      </c>
      <c r="B1699" s="660" t="s">
        <v>2761</v>
      </c>
      <c r="C1699" s="661" t="s">
        <v>11</v>
      </c>
      <c r="D1699" s="662">
        <v>14.08</v>
      </c>
    </row>
    <row r="1700" spans="1:8" hidden="1" outlineLevel="1" x14ac:dyDescent="0.2">
      <c r="A1700" s="663" t="s">
        <v>3034</v>
      </c>
      <c r="B1700" s="664" t="s">
        <v>2763</v>
      </c>
      <c r="C1700" s="665" t="s">
        <v>11</v>
      </c>
      <c r="D1700" s="666">
        <v>5.4</v>
      </c>
    </row>
    <row r="1701" spans="1:8" hidden="1" outlineLevel="1" x14ac:dyDescent="0.2">
      <c r="A1701" s="659" t="s">
        <v>3035</v>
      </c>
      <c r="B1701" s="660" t="s">
        <v>2767</v>
      </c>
      <c r="C1701" s="661" t="s">
        <v>11</v>
      </c>
      <c r="D1701" s="662">
        <v>10.56</v>
      </c>
    </row>
    <row r="1702" spans="1:8" hidden="1" outlineLevel="1" x14ac:dyDescent="0.2">
      <c r="A1702" s="663" t="s">
        <v>3036</v>
      </c>
      <c r="B1702" s="664" t="s">
        <v>2644</v>
      </c>
      <c r="C1702" s="665" t="s">
        <v>11</v>
      </c>
      <c r="D1702" s="666">
        <v>0.84</v>
      </c>
    </row>
    <row r="1703" spans="1:8" hidden="1" outlineLevel="1" x14ac:dyDescent="0.2">
      <c r="A1703" s="659" t="s">
        <v>3037</v>
      </c>
      <c r="B1703" s="660" t="s">
        <v>2646</v>
      </c>
      <c r="C1703" s="661" t="s">
        <v>11</v>
      </c>
      <c r="D1703" s="662">
        <v>0.69</v>
      </c>
    </row>
    <row r="1704" spans="1:8" hidden="1" outlineLevel="1" x14ac:dyDescent="0.2">
      <c r="A1704" s="667" t="s">
        <v>3038</v>
      </c>
      <c r="B1704" s="668" t="s">
        <v>2648</v>
      </c>
      <c r="C1704" s="669"/>
      <c r="D1704" s="670"/>
    </row>
    <row r="1705" spans="1:8" hidden="1" outlineLevel="1" x14ac:dyDescent="0.2">
      <c r="A1705" s="663" t="s">
        <v>3039</v>
      </c>
      <c r="B1705" s="664" t="s">
        <v>3040</v>
      </c>
      <c r="C1705" s="665" t="s">
        <v>11</v>
      </c>
      <c r="D1705" s="666">
        <v>3.64</v>
      </c>
    </row>
    <row r="1706" spans="1:8" hidden="1" outlineLevel="1" x14ac:dyDescent="0.2">
      <c r="A1706" s="659" t="s">
        <v>3041</v>
      </c>
      <c r="B1706" s="660" t="s">
        <v>3042</v>
      </c>
      <c r="C1706" s="661" t="s">
        <v>11</v>
      </c>
      <c r="D1706" s="662">
        <v>54</v>
      </c>
    </row>
    <row r="1707" spans="1:8" hidden="1" outlineLevel="1" x14ac:dyDescent="0.2">
      <c r="A1707" s="655" t="s">
        <v>3043</v>
      </c>
      <c r="B1707" s="656" t="s">
        <v>1283</v>
      </c>
      <c r="C1707" s="657"/>
      <c r="D1707" s="658"/>
      <c r="F1707" s="656" t="s">
        <v>44</v>
      </c>
      <c r="G1707" s="657"/>
      <c r="H1707" s="658"/>
    </row>
    <row r="1708" spans="1:8" hidden="1" outlineLevel="1" x14ac:dyDescent="0.2">
      <c r="A1708" s="667" t="s">
        <v>3044</v>
      </c>
      <c r="B1708" s="668" t="s">
        <v>2634</v>
      </c>
      <c r="C1708" s="669"/>
      <c r="D1708" s="670"/>
      <c r="F1708" s="660" t="s">
        <v>2632</v>
      </c>
      <c r="G1708" s="661" t="str">
        <f>C1709</f>
        <v>m²</v>
      </c>
      <c r="H1708" s="662"/>
    </row>
    <row r="1709" spans="1:8" hidden="1" outlineLevel="1" x14ac:dyDescent="0.2">
      <c r="A1709" s="663" t="s">
        <v>3045</v>
      </c>
      <c r="B1709" s="664" t="s">
        <v>2646</v>
      </c>
      <c r="C1709" s="665" t="s">
        <v>11</v>
      </c>
      <c r="D1709" s="666">
        <v>0.69</v>
      </c>
      <c r="F1709" s="660" t="s">
        <v>4221</v>
      </c>
      <c r="G1709" s="661" t="str">
        <f>C1709</f>
        <v>m²</v>
      </c>
      <c r="H1709" s="662">
        <f>D1709</f>
        <v>0.69</v>
      </c>
    </row>
    <row r="1710" spans="1:8" collapsed="1" x14ac:dyDescent="0.2">
      <c r="A1710" s="651" t="s">
        <v>3046</v>
      </c>
      <c r="B1710" s="652" t="s">
        <v>145</v>
      </c>
      <c r="C1710" s="653"/>
      <c r="D1710" s="654"/>
      <c r="F1710" s="660" t="s">
        <v>4225</v>
      </c>
      <c r="G1710" s="661" t="s">
        <v>1</v>
      </c>
      <c r="H1710" s="662"/>
    </row>
    <row r="1711" spans="1:8" hidden="1" outlineLevel="1" x14ac:dyDescent="0.2">
      <c r="A1711" s="655" t="s">
        <v>3047</v>
      </c>
      <c r="B1711" s="656" t="s">
        <v>1292</v>
      </c>
      <c r="C1711" s="657"/>
      <c r="D1711" s="658"/>
    </row>
    <row r="1712" spans="1:8" hidden="1" outlineLevel="1" x14ac:dyDescent="0.2">
      <c r="A1712" s="667" t="s">
        <v>3048</v>
      </c>
      <c r="B1712" s="668" t="s">
        <v>2630</v>
      </c>
      <c r="C1712" s="669"/>
      <c r="D1712" s="670"/>
    </row>
    <row r="1713" spans="1:8" hidden="1" outlineLevel="1" x14ac:dyDescent="0.2">
      <c r="A1713" s="659" t="s">
        <v>3049</v>
      </c>
      <c r="B1713" s="660" t="s">
        <v>3050</v>
      </c>
      <c r="C1713" s="661" t="s">
        <v>3</v>
      </c>
      <c r="D1713" s="662">
        <v>12.22</v>
      </c>
    </row>
    <row r="1714" spans="1:8" hidden="1" outlineLevel="1" x14ac:dyDescent="0.2">
      <c r="A1714" s="655" t="s">
        <v>3051</v>
      </c>
      <c r="B1714" s="656" t="s">
        <v>1296</v>
      </c>
      <c r="C1714" s="657"/>
      <c r="D1714" s="658"/>
      <c r="F1714" s="656" t="s">
        <v>1296</v>
      </c>
      <c r="G1714" s="657"/>
      <c r="H1714" s="658"/>
    </row>
    <row r="1715" spans="1:8" hidden="1" outlineLevel="1" x14ac:dyDescent="0.2">
      <c r="A1715" s="667" t="s">
        <v>3052</v>
      </c>
      <c r="B1715" s="668" t="s">
        <v>2630</v>
      </c>
      <c r="C1715" s="669"/>
      <c r="D1715" s="670"/>
      <c r="F1715" s="668" t="s">
        <v>2630</v>
      </c>
      <c r="G1715" s="669"/>
      <c r="H1715" s="670"/>
    </row>
    <row r="1716" spans="1:8" hidden="1" outlineLevel="1" x14ac:dyDescent="0.2">
      <c r="A1716" s="663" t="s">
        <v>3053</v>
      </c>
      <c r="B1716" s="664" t="s">
        <v>3050</v>
      </c>
      <c r="C1716" s="665" t="s">
        <v>3</v>
      </c>
      <c r="D1716" s="666">
        <v>12.05</v>
      </c>
      <c r="F1716" s="664" t="s">
        <v>3050</v>
      </c>
      <c r="G1716" s="665" t="s">
        <v>3</v>
      </c>
      <c r="H1716" s="666">
        <f>D1716+D1719+D1722</f>
        <v>35.44</v>
      </c>
    </row>
    <row r="1717" spans="1:8" hidden="1" outlineLevel="1" x14ac:dyDescent="0.2">
      <c r="A1717" s="655" t="s">
        <v>3054</v>
      </c>
      <c r="B1717" s="656" t="s">
        <v>1299</v>
      </c>
      <c r="C1717" s="657"/>
      <c r="D1717" s="658"/>
    </row>
    <row r="1718" spans="1:8" hidden="1" outlineLevel="1" x14ac:dyDescent="0.2">
      <c r="A1718" s="667" t="s">
        <v>3055</v>
      </c>
      <c r="B1718" s="668" t="s">
        <v>2630</v>
      </c>
      <c r="C1718" s="669"/>
      <c r="D1718" s="670"/>
    </row>
    <row r="1719" spans="1:8" hidden="1" outlineLevel="1" x14ac:dyDescent="0.2">
      <c r="A1719" s="659" t="s">
        <v>3056</v>
      </c>
      <c r="B1719" s="660" t="s">
        <v>3050</v>
      </c>
      <c r="C1719" s="661" t="s">
        <v>3</v>
      </c>
      <c r="D1719" s="662">
        <v>11.77</v>
      </c>
    </row>
    <row r="1720" spans="1:8" hidden="1" outlineLevel="1" x14ac:dyDescent="0.2">
      <c r="A1720" s="655" t="s">
        <v>3057</v>
      </c>
      <c r="B1720" s="656" t="s">
        <v>1302</v>
      </c>
      <c r="C1720" s="657"/>
      <c r="D1720" s="658"/>
    </row>
    <row r="1721" spans="1:8" hidden="1" outlineLevel="1" x14ac:dyDescent="0.2">
      <c r="A1721" s="667" t="s">
        <v>3058</v>
      </c>
      <c r="B1721" s="668" t="s">
        <v>2630</v>
      </c>
      <c r="C1721" s="669"/>
      <c r="D1721" s="670"/>
    </row>
    <row r="1722" spans="1:8" hidden="1" outlineLevel="1" x14ac:dyDescent="0.2">
      <c r="A1722" s="663" t="s">
        <v>3059</v>
      </c>
      <c r="B1722" s="664" t="s">
        <v>3050</v>
      </c>
      <c r="C1722" s="665" t="s">
        <v>3</v>
      </c>
      <c r="D1722" s="666">
        <v>11.62</v>
      </c>
    </row>
    <row r="1723" spans="1:8" hidden="1" outlineLevel="1" x14ac:dyDescent="0.2">
      <c r="A1723" s="655" t="s">
        <v>3060</v>
      </c>
      <c r="B1723" s="656" t="s">
        <v>1305</v>
      </c>
      <c r="C1723" s="657"/>
      <c r="D1723" s="658"/>
    </row>
    <row r="1724" spans="1:8" hidden="1" outlineLevel="1" x14ac:dyDescent="0.2">
      <c r="A1724" s="667" t="s">
        <v>3061</v>
      </c>
      <c r="B1724" s="668" t="s">
        <v>2630</v>
      </c>
      <c r="C1724" s="669"/>
      <c r="D1724" s="670"/>
    </row>
    <row r="1725" spans="1:8" hidden="1" outlineLevel="1" x14ac:dyDescent="0.2">
      <c r="A1725" s="659" t="s">
        <v>3062</v>
      </c>
      <c r="B1725" s="660" t="s">
        <v>3050</v>
      </c>
      <c r="C1725" s="661" t="s">
        <v>3</v>
      </c>
      <c r="D1725" s="662">
        <v>12.26</v>
      </c>
    </row>
    <row r="1726" spans="1:8" hidden="1" outlineLevel="1" x14ac:dyDescent="0.2">
      <c r="A1726" s="655" t="s">
        <v>3063</v>
      </c>
      <c r="B1726" s="656" t="s">
        <v>1308</v>
      </c>
      <c r="C1726" s="657"/>
      <c r="D1726" s="658"/>
    </row>
    <row r="1727" spans="1:8" hidden="1" outlineLevel="1" x14ac:dyDescent="0.2">
      <c r="A1727" s="667" t="s">
        <v>3064</v>
      </c>
      <c r="B1727" s="668" t="s">
        <v>2630</v>
      </c>
      <c r="C1727" s="669"/>
      <c r="D1727" s="670"/>
    </row>
    <row r="1728" spans="1:8" hidden="1" outlineLevel="1" x14ac:dyDescent="0.2">
      <c r="A1728" s="663" t="s">
        <v>3065</v>
      </c>
      <c r="B1728" s="664" t="s">
        <v>3050</v>
      </c>
      <c r="C1728" s="665" t="s">
        <v>3</v>
      </c>
      <c r="D1728" s="666">
        <v>12.3</v>
      </c>
    </row>
    <row r="1729" spans="1:8" hidden="1" outlineLevel="1" x14ac:dyDescent="0.2">
      <c r="A1729" s="667" t="s">
        <v>3066</v>
      </c>
      <c r="B1729" s="668" t="s">
        <v>2648</v>
      </c>
      <c r="C1729" s="669"/>
      <c r="D1729" s="670"/>
    </row>
    <row r="1730" spans="1:8" hidden="1" outlineLevel="1" x14ac:dyDescent="0.2">
      <c r="A1730" s="659" t="s">
        <v>3067</v>
      </c>
      <c r="B1730" s="660" t="s">
        <v>3068</v>
      </c>
      <c r="C1730" s="661" t="s">
        <v>2</v>
      </c>
      <c r="D1730" s="662">
        <v>3</v>
      </c>
    </row>
    <row r="1731" spans="1:8" hidden="1" outlineLevel="1" x14ac:dyDescent="0.2">
      <c r="A1731" s="663" t="s">
        <v>3069</v>
      </c>
      <c r="B1731" s="664" t="s">
        <v>3070</v>
      </c>
      <c r="C1731" s="665" t="s">
        <v>2</v>
      </c>
      <c r="D1731" s="666">
        <v>2</v>
      </c>
      <c r="F1731" s="656" t="s">
        <v>4182</v>
      </c>
      <c r="G1731" s="657"/>
      <c r="H1731" s="658"/>
    </row>
    <row r="1732" spans="1:8" hidden="1" outlineLevel="1" x14ac:dyDescent="0.2">
      <c r="A1732" s="655" t="s">
        <v>3071</v>
      </c>
      <c r="B1732" s="656" t="s">
        <v>1311</v>
      </c>
      <c r="C1732" s="657"/>
      <c r="D1732" s="658"/>
      <c r="F1732" s="668" t="s">
        <v>2630</v>
      </c>
      <c r="G1732" s="669"/>
      <c r="H1732" s="670"/>
    </row>
    <row r="1733" spans="1:8" hidden="1" outlineLevel="1" x14ac:dyDescent="0.2">
      <c r="A1733" s="667" t="s">
        <v>3072</v>
      </c>
      <c r="B1733" s="668" t="s">
        <v>2630</v>
      </c>
      <c r="C1733" s="669"/>
      <c r="D1733" s="670"/>
      <c r="F1733" s="660" t="s">
        <v>3050</v>
      </c>
      <c r="G1733" s="661" t="s">
        <v>3</v>
      </c>
      <c r="H1733" s="662">
        <f>SUMIF($B$1732:$B$1835,F1733,$D$1732:$D$1835)</f>
        <v>156.42999999999995</v>
      </c>
    </row>
    <row r="1734" spans="1:8" hidden="1" outlineLevel="1" x14ac:dyDescent="0.2">
      <c r="A1734" s="659" t="s">
        <v>3073</v>
      </c>
      <c r="B1734" s="660" t="s">
        <v>3050</v>
      </c>
      <c r="C1734" s="661" t="s">
        <v>3</v>
      </c>
      <c r="D1734" s="662">
        <v>11.95</v>
      </c>
      <c r="F1734" s="668" t="s">
        <v>2648</v>
      </c>
      <c r="G1734" s="669"/>
      <c r="H1734" s="670"/>
    </row>
    <row r="1735" spans="1:8" hidden="1" outlineLevel="1" x14ac:dyDescent="0.2">
      <c r="A1735" s="667" t="s">
        <v>3074</v>
      </c>
      <c r="B1735" s="668" t="s">
        <v>2648</v>
      </c>
      <c r="C1735" s="669"/>
      <c r="D1735" s="670"/>
      <c r="F1735" s="664" t="s">
        <v>3068</v>
      </c>
      <c r="G1735" s="665" t="s">
        <v>2</v>
      </c>
      <c r="H1735" s="666">
        <f>SUMIF($B$1732:$B$1835,F1735,$D$1732:$D$1835)</f>
        <v>182</v>
      </c>
    </row>
    <row r="1736" spans="1:8" hidden="1" outlineLevel="1" x14ac:dyDescent="0.2">
      <c r="A1736" s="663" t="s">
        <v>3075</v>
      </c>
      <c r="B1736" s="664" t="s">
        <v>3068</v>
      </c>
      <c r="C1736" s="665" t="s">
        <v>2</v>
      </c>
      <c r="D1736" s="666">
        <v>14</v>
      </c>
      <c r="F1736" s="660" t="s">
        <v>3077</v>
      </c>
      <c r="G1736" s="661" t="s">
        <v>2</v>
      </c>
      <c r="H1736" s="662">
        <f>SUMIF($B$1732:$B$1835,F1736,$D$1732:$D$1835)</f>
        <v>182</v>
      </c>
    </row>
    <row r="1737" spans="1:8" hidden="1" outlineLevel="1" x14ac:dyDescent="0.2">
      <c r="A1737" s="659" t="s">
        <v>3076</v>
      </c>
      <c r="B1737" s="660" t="s">
        <v>3077</v>
      </c>
      <c r="C1737" s="661" t="s">
        <v>2</v>
      </c>
      <c r="D1737" s="662">
        <v>14</v>
      </c>
      <c r="F1737" s="664" t="s">
        <v>3070</v>
      </c>
      <c r="G1737" s="665" t="s">
        <v>2</v>
      </c>
      <c r="H1737" s="666">
        <f>SUMIF($B$1732:$B$1835,F1737,$D$1732:$D$1835)</f>
        <v>78</v>
      </c>
    </row>
    <row r="1738" spans="1:8" hidden="1" outlineLevel="1" x14ac:dyDescent="0.2">
      <c r="A1738" s="663" t="s">
        <v>3078</v>
      </c>
      <c r="B1738" s="664" t="s">
        <v>3070</v>
      </c>
      <c r="C1738" s="665" t="s">
        <v>2</v>
      </c>
      <c r="D1738" s="666">
        <v>6</v>
      </c>
      <c r="F1738" s="660" t="s">
        <v>3080</v>
      </c>
      <c r="G1738" s="661" t="s">
        <v>2</v>
      </c>
      <c r="H1738" s="662">
        <f>SUMIF($B$1732:$B$1835,F1738,$D$1732:$D$1835)</f>
        <v>52</v>
      </c>
    </row>
    <row r="1739" spans="1:8" hidden="1" outlineLevel="1" x14ac:dyDescent="0.2">
      <c r="A1739" s="659" t="s">
        <v>3079</v>
      </c>
      <c r="B1739" s="660" t="s">
        <v>3080</v>
      </c>
      <c r="C1739" s="661" t="s">
        <v>2</v>
      </c>
      <c r="D1739" s="662">
        <v>4</v>
      </c>
    </row>
    <row r="1740" spans="1:8" hidden="1" outlineLevel="1" x14ac:dyDescent="0.2">
      <c r="A1740" s="655" t="s">
        <v>3081</v>
      </c>
      <c r="B1740" s="656" t="s">
        <v>1316</v>
      </c>
      <c r="C1740" s="657"/>
      <c r="D1740" s="658"/>
    </row>
    <row r="1741" spans="1:8" hidden="1" outlineLevel="1" x14ac:dyDescent="0.2">
      <c r="A1741" s="667" t="s">
        <v>3082</v>
      </c>
      <c r="B1741" s="668" t="s">
        <v>2630</v>
      </c>
      <c r="C1741" s="669"/>
      <c r="D1741" s="670"/>
    </row>
    <row r="1742" spans="1:8" hidden="1" outlineLevel="1" x14ac:dyDescent="0.2">
      <c r="A1742" s="663" t="s">
        <v>3083</v>
      </c>
      <c r="B1742" s="664" t="s">
        <v>3050</v>
      </c>
      <c r="C1742" s="665" t="s">
        <v>3</v>
      </c>
      <c r="D1742" s="666">
        <v>12.04</v>
      </c>
    </row>
    <row r="1743" spans="1:8" hidden="1" outlineLevel="1" x14ac:dyDescent="0.2">
      <c r="A1743" s="667" t="s">
        <v>3084</v>
      </c>
      <c r="B1743" s="668" t="s">
        <v>2648</v>
      </c>
      <c r="C1743" s="669"/>
      <c r="D1743" s="670"/>
    </row>
    <row r="1744" spans="1:8" hidden="1" outlineLevel="1" x14ac:dyDescent="0.2">
      <c r="A1744" s="659" t="s">
        <v>3085</v>
      </c>
      <c r="B1744" s="660" t="s">
        <v>3068</v>
      </c>
      <c r="C1744" s="661" t="s">
        <v>2</v>
      </c>
      <c r="D1744" s="662">
        <v>14</v>
      </c>
    </row>
    <row r="1745" spans="1:4" hidden="1" outlineLevel="1" x14ac:dyDescent="0.2">
      <c r="A1745" s="663" t="s">
        <v>3086</v>
      </c>
      <c r="B1745" s="664" t="s">
        <v>3077</v>
      </c>
      <c r="C1745" s="665" t="s">
        <v>2</v>
      </c>
      <c r="D1745" s="666">
        <v>14</v>
      </c>
    </row>
    <row r="1746" spans="1:4" hidden="1" outlineLevel="1" x14ac:dyDescent="0.2">
      <c r="A1746" s="659" t="s">
        <v>3087</v>
      </c>
      <c r="B1746" s="660" t="s">
        <v>3070</v>
      </c>
      <c r="C1746" s="661" t="s">
        <v>2</v>
      </c>
      <c r="D1746" s="662">
        <v>6</v>
      </c>
    </row>
    <row r="1747" spans="1:4" hidden="1" outlineLevel="1" x14ac:dyDescent="0.2">
      <c r="A1747" s="663" t="s">
        <v>3088</v>
      </c>
      <c r="B1747" s="664" t="s">
        <v>3080</v>
      </c>
      <c r="C1747" s="665" t="s">
        <v>2</v>
      </c>
      <c r="D1747" s="666">
        <v>4</v>
      </c>
    </row>
    <row r="1748" spans="1:4" hidden="1" outlineLevel="1" x14ac:dyDescent="0.2">
      <c r="A1748" s="655" t="s">
        <v>3089</v>
      </c>
      <c r="B1748" s="656" t="s">
        <v>1320</v>
      </c>
      <c r="C1748" s="657"/>
      <c r="D1748" s="658"/>
    </row>
    <row r="1749" spans="1:4" hidden="1" outlineLevel="1" x14ac:dyDescent="0.2">
      <c r="A1749" s="667" t="s">
        <v>3090</v>
      </c>
      <c r="B1749" s="668" t="s">
        <v>2630</v>
      </c>
      <c r="C1749" s="669"/>
      <c r="D1749" s="670"/>
    </row>
    <row r="1750" spans="1:4" hidden="1" outlineLevel="1" x14ac:dyDescent="0.2">
      <c r="A1750" s="659" t="s">
        <v>3091</v>
      </c>
      <c r="B1750" s="660" t="s">
        <v>3050</v>
      </c>
      <c r="C1750" s="661" t="s">
        <v>3</v>
      </c>
      <c r="D1750" s="662">
        <v>12.04</v>
      </c>
    </row>
    <row r="1751" spans="1:4" hidden="1" outlineLevel="1" x14ac:dyDescent="0.2">
      <c r="A1751" s="667" t="s">
        <v>3092</v>
      </c>
      <c r="B1751" s="668" t="s">
        <v>2648</v>
      </c>
      <c r="C1751" s="669"/>
      <c r="D1751" s="670"/>
    </row>
    <row r="1752" spans="1:4" hidden="1" outlineLevel="1" x14ac:dyDescent="0.2">
      <c r="A1752" s="663" t="s">
        <v>3093</v>
      </c>
      <c r="B1752" s="664" t="s">
        <v>3068</v>
      </c>
      <c r="C1752" s="665" t="s">
        <v>2</v>
      </c>
      <c r="D1752" s="666">
        <v>14</v>
      </c>
    </row>
    <row r="1753" spans="1:4" hidden="1" outlineLevel="1" x14ac:dyDescent="0.2">
      <c r="A1753" s="659" t="s">
        <v>3094</v>
      </c>
      <c r="B1753" s="660" t="s">
        <v>3077</v>
      </c>
      <c r="C1753" s="661" t="s">
        <v>2</v>
      </c>
      <c r="D1753" s="662">
        <v>14</v>
      </c>
    </row>
    <row r="1754" spans="1:4" hidden="1" outlineLevel="1" x14ac:dyDescent="0.2">
      <c r="A1754" s="663" t="s">
        <v>3095</v>
      </c>
      <c r="B1754" s="664" t="s">
        <v>3070</v>
      </c>
      <c r="C1754" s="665" t="s">
        <v>2</v>
      </c>
      <c r="D1754" s="666">
        <v>6</v>
      </c>
    </row>
    <row r="1755" spans="1:4" hidden="1" outlineLevel="1" x14ac:dyDescent="0.2">
      <c r="A1755" s="659" t="s">
        <v>3096</v>
      </c>
      <c r="B1755" s="660" t="s">
        <v>3080</v>
      </c>
      <c r="C1755" s="661" t="s">
        <v>2</v>
      </c>
      <c r="D1755" s="662">
        <v>4</v>
      </c>
    </row>
    <row r="1756" spans="1:4" hidden="1" outlineLevel="1" x14ac:dyDescent="0.2">
      <c r="A1756" s="655" t="s">
        <v>3097</v>
      </c>
      <c r="B1756" s="656" t="s">
        <v>1324</v>
      </c>
      <c r="C1756" s="657"/>
      <c r="D1756" s="658"/>
    </row>
    <row r="1757" spans="1:4" hidden="1" outlineLevel="1" x14ac:dyDescent="0.2">
      <c r="A1757" s="667" t="s">
        <v>3098</v>
      </c>
      <c r="B1757" s="668" t="s">
        <v>2630</v>
      </c>
      <c r="C1757" s="669"/>
      <c r="D1757" s="670"/>
    </row>
    <row r="1758" spans="1:4" hidden="1" outlineLevel="1" x14ac:dyDescent="0.2">
      <c r="A1758" s="663" t="s">
        <v>3099</v>
      </c>
      <c r="B1758" s="664" t="s">
        <v>3050</v>
      </c>
      <c r="C1758" s="665" t="s">
        <v>3</v>
      </c>
      <c r="D1758" s="666">
        <v>12.04</v>
      </c>
    </row>
    <row r="1759" spans="1:4" hidden="1" outlineLevel="1" x14ac:dyDescent="0.2">
      <c r="A1759" s="667" t="s">
        <v>3100</v>
      </c>
      <c r="B1759" s="668" t="s">
        <v>2648</v>
      </c>
      <c r="C1759" s="669"/>
      <c r="D1759" s="670"/>
    </row>
    <row r="1760" spans="1:4" hidden="1" outlineLevel="1" x14ac:dyDescent="0.2">
      <c r="A1760" s="659" t="s">
        <v>3101</v>
      </c>
      <c r="B1760" s="660" t="s">
        <v>3068</v>
      </c>
      <c r="C1760" s="661" t="s">
        <v>2</v>
      </c>
      <c r="D1760" s="662">
        <v>14</v>
      </c>
    </row>
    <row r="1761" spans="1:4" hidden="1" outlineLevel="1" x14ac:dyDescent="0.2">
      <c r="A1761" s="663" t="s">
        <v>3102</v>
      </c>
      <c r="B1761" s="664" t="s">
        <v>3077</v>
      </c>
      <c r="C1761" s="665" t="s">
        <v>2</v>
      </c>
      <c r="D1761" s="666">
        <v>14</v>
      </c>
    </row>
    <row r="1762" spans="1:4" hidden="1" outlineLevel="1" x14ac:dyDescent="0.2">
      <c r="A1762" s="659" t="s">
        <v>3103</v>
      </c>
      <c r="B1762" s="660" t="s">
        <v>3070</v>
      </c>
      <c r="C1762" s="661" t="s">
        <v>2</v>
      </c>
      <c r="D1762" s="662">
        <v>6</v>
      </c>
    </row>
    <row r="1763" spans="1:4" hidden="1" outlineLevel="1" x14ac:dyDescent="0.2">
      <c r="A1763" s="663" t="s">
        <v>3104</v>
      </c>
      <c r="B1763" s="664" t="s">
        <v>3080</v>
      </c>
      <c r="C1763" s="665" t="s">
        <v>2</v>
      </c>
      <c r="D1763" s="666">
        <v>4</v>
      </c>
    </row>
    <row r="1764" spans="1:4" hidden="1" outlineLevel="1" x14ac:dyDescent="0.2">
      <c r="A1764" s="655" t="s">
        <v>3105</v>
      </c>
      <c r="B1764" s="656" t="s">
        <v>1328</v>
      </c>
      <c r="C1764" s="657"/>
      <c r="D1764" s="658"/>
    </row>
    <row r="1765" spans="1:4" hidden="1" outlineLevel="1" x14ac:dyDescent="0.2">
      <c r="A1765" s="667" t="s">
        <v>3106</v>
      </c>
      <c r="B1765" s="668" t="s">
        <v>2630</v>
      </c>
      <c r="C1765" s="669"/>
      <c r="D1765" s="670"/>
    </row>
    <row r="1766" spans="1:4" hidden="1" outlineLevel="1" x14ac:dyDescent="0.2">
      <c r="A1766" s="659" t="s">
        <v>3107</v>
      </c>
      <c r="B1766" s="660" t="s">
        <v>3050</v>
      </c>
      <c r="C1766" s="661" t="s">
        <v>3</v>
      </c>
      <c r="D1766" s="662">
        <v>12.04</v>
      </c>
    </row>
    <row r="1767" spans="1:4" hidden="1" outlineLevel="1" x14ac:dyDescent="0.2">
      <c r="A1767" s="667" t="s">
        <v>3108</v>
      </c>
      <c r="B1767" s="668" t="s">
        <v>2648</v>
      </c>
      <c r="C1767" s="669"/>
      <c r="D1767" s="670"/>
    </row>
    <row r="1768" spans="1:4" hidden="1" outlineLevel="1" x14ac:dyDescent="0.2">
      <c r="A1768" s="663" t="s">
        <v>3109</v>
      </c>
      <c r="B1768" s="664" t="s">
        <v>3068</v>
      </c>
      <c r="C1768" s="665" t="s">
        <v>2</v>
      </c>
      <c r="D1768" s="666">
        <v>14</v>
      </c>
    </row>
    <row r="1769" spans="1:4" hidden="1" outlineLevel="1" x14ac:dyDescent="0.2">
      <c r="A1769" s="659" t="s">
        <v>3110</v>
      </c>
      <c r="B1769" s="660" t="s">
        <v>3077</v>
      </c>
      <c r="C1769" s="661" t="s">
        <v>2</v>
      </c>
      <c r="D1769" s="662">
        <v>14</v>
      </c>
    </row>
    <row r="1770" spans="1:4" hidden="1" outlineLevel="1" x14ac:dyDescent="0.2">
      <c r="A1770" s="663" t="s">
        <v>3111</v>
      </c>
      <c r="B1770" s="664" t="s">
        <v>3070</v>
      </c>
      <c r="C1770" s="665" t="s">
        <v>2</v>
      </c>
      <c r="D1770" s="666">
        <v>6</v>
      </c>
    </row>
    <row r="1771" spans="1:4" hidden="1" outlineLevel="1" x14ac:dyDescent="0.2">
      <c r="A1771" s="659" t="s">
        <v>3112</v>
      </c>
      <c r="B1771" s="660" t="s">
        <v>3080</v>
      </c>
      <c r="C1771" s="661" t="s">
        <v>2</v>
      </c>
      <c r="D1771" s="662">
        <v>4</v>
      </c>
    </row>
    <row r="1772" spans="1:4" hidden="1" outlineLevel="1" x14ac:dyDescent="0.2">
      <c r="A1772" s="655" t="s">
        <v>3113</v>
      </c>
      <c r="B1772" s="656" t="s">
        <v>1332</v>
      </c>
      <c r="C1772" s="657"/>
      <c r="D1772" s="658"/>
    </row>
    <row r="1773" spans="1:4" hidden="1" outlineLevel="1" x14ac:dyDescent="0.2">
      <c r="A1773" s="667" t="s">
        <v>3114</v>
      </c>
      <c r="B1773" s="668" t="s">
        <v>2630</v>
      </c>
      <c r="C1773" s="669"/>
      <c r="D1773" s="670"/>
    </row>
    <row r="1774" spans="1:4" hidden="1" outlineLevel="1" x14ac:dyDescent="0.2">
      <c r="A1774" s="663" t="s">
        <v>3115</v>
      </c>
      <c r="B1774" s="664" t="s">
        <v>3050</v>
      </c>
      <c r="C1774" s="665" t="s">
        <v>3</v>
      </c>
      <c r="D1774" s="666">
        <v>12.04</v>
      </c>
    </row>
    <row r="1775" spans="1:4" hidden="1" outlineLevel="1" x14ac:dyDescent="0.2">
      <c r="A1775" s="667" t="s">
        <v>3116</v>
      </c>
      <c r="B1775" s="668" t="s">
        <v>2648</v>
      </c>
      <c r="C1775" s="669"/>
      <c r="D1775" s="670"/>
    </row>
    <row r="1776" spans="1:4" hidden="1" outlineLevel="1" x14ac:dyDescent="0.2">
      <c r="A1776" s="659" t="s">
        <v>3117</v>
      </c>
      <c r="B1776" s="660" t="s">
        <v>3068</v>
      </c>
      <c r="C1776" s="661" t="s">
        <v>2</v>
      </c>
      <c r="D1776" s="662">
        <v>14</v>
      </c>
    </row>
    <row r="1777" spans="1:4" hidden="1" outlineLevel="1" x14ac:dyDescent="0.2">
      <c r="A1777" s="663" t="s">
        <v>3118</v>
      </c>
      <c r="B1777" s="664" t="s">
        <v>3077</v>
      </c>
      <c r="C1777" s="665" t="s">
        <v>2</v>
      </c>
      <c r="D1777" s="666">
        <v>14</v>
      </c>
    </row>
    <row r="1778" spans="1:4" hidden="1" outlineLevel="1" x14ac:dyDescent="0.2">
      <c r="A1778" s="659" t="s">
        <v>3119</v>
      </c>
      <c r="B1778" s="660" t="s">
        <v>3070</v>
      </c>
      <c r="C1778" s="661" t="s">
        <v>2</v>
      </c>
      <c r="D1778" s="662">
        <v>6</v>
      </c>
    </row>
    <row r="1779" spans="1:4" hidden="1" outlineLevel="1" x14ac:dyDescent="0.2">
      <c r="A1779" s="663" t="s">
        <v>3120</v>
      </c>
      <c r="B1779" s="664" t="s">
        <v>3080</v>
      </c>
      <c r="C1779" s="665" t="s">
        <v>2</v>
      </c>
      <c r="D1779" s="666">
        <v>4</v>
      </c>
    </row>
    <row r="1780" spans="1:4" hidden="1" outlineLevel="1" x14ac:dyDescent="0.2">
      <c r="A1780" s="655" t="s">
        <v>3121</v>
      </c>
      <c r="B1780" s="656" t="s">
        <v>1336</v>
      </c>
      <c r="C1780" s="657"/>
      <c r="D1780" s="658"/>
    </row>
    <row r="1781" spans="1:4" hidden="1" outlineLevel="1" x14ac:dyDescent="0.2">
      <c r="A1781" s="667" t="s">
        <v>3122</v>
      </c>
      <c r="B1781" s="668" t="s">
        <v>2630</v>
      </c>
      <c r="C1781" s="669"/>
      <c r="D1781" s="670"/>
    </row>
    <row r="1782" spans="1:4" hidden="1" outlineLevel="1" x14ac:dyDescent="0.2">
      <c r="A1782" s="659" t="s">
        <v>3123</v>
      </c>
      <c r="B1782" s="660" t="s">
        <v>3050</v>
      </c>
      <c r="C1782" s="661" t="s">
        <v>3</v>
      </c>
      <c r="D1782" s="662">
        <v>12.04</v>
      </c>
    </row>
    <row r="1783" spans="1:4" hidden="1" outlineLevel="1" x14ac:dyDescent="0.2">
      <c r="A1783" s="667" t="s">
        <v>3124</v>
      </c>
      <c r="B1783" s="668" t="s">
        <v>2648</v>
      </c>
      <c r="C1783" s="669"/>
      <c r="D1783" s="670"/>
    </row>
    <row r="1784" spans="1:4" hidden="1" outlineLevel="1" x14ac:dyDescent="0.2">
      <c r="A1784" s="663" t="s">
        <v>3125</v>
      </c>
      <c r="B1784" s="664" t="s">
        <v>3068</v>
      </c>
      <c r="C1784" s="665" t="s">
        <v>2</v>
      </c>
      <c r="D1784" s="666">
        <v>14</v>
      </c>
    </row>
    <row r="1785" spans="1:4" hidden="1" outlineLevel="1" x14ac:dyDescent="0.2">
      <c r="A1785" s="659" t="s">
        <v>3126</v>
      </c>
      <c r="B1785" s="660" t="s">
        <v>3077</v>
      </c>
      <c r="C1785" s="661" t="s">
        <v>2</v>
      </c>
      <c r="D1785" s="662">
        <v>14</v>
      </c>
    </row>
    <row r="1786" spans="1:4" hidden="1" outlineLevel="1" x14ac:dyDescent="0.2">
      <c r="A1786" s="663" t="s">
        <v>3127</v>
      </c>
      <c r="B1786" s="664" t="s">
        <v>3070</v>
      </c>
      <c r="C1786" s="665" t="s">
        <v>2</v>
      </c>
      <c r="D1786" s="666">
        <v>6</v>
      </c>
    </row>
    <row r="1787" spans="1:4" hidden="1" outlineLevel="1" x14ac:dyDescent="0.2">
      <c r="A1787" s="659" t="s">
        <v>3128</v>
      </c>
      <c r="B1787" s="660" t="s">
        <v>3080</v>
      </c>
      <c r="C1787" s="661" t="s">
        <v>2</v>
      </c>
      <c r="D1787" s="662">
        <v>4</v>
      </c>
    </row>
    <row r="1788" spans="1:4" hidden="1" outlineLevel="1" x14ac:dyDescent="0.2">
      <c r="A1788" s="655" t="s">
        <v>3129</v>
      </c>
      <c r="B1788" s="656" t="s">
        <v>1340</v>
      </c>
      <c r="C1788" s="657"/>
      <c r="D1788" s="658"/>
    </row>
    <row r="1789" spans="1:4" hidden="1" outlineLevel="1" x14ac:dyDescent="0.2">
      <c r="A1789" s="667" t="s">
        <v>3130</v>
      </c>
      <c r="B1789" s="668" t="s">
        <v>2630</v>
      </c>
      <c r="C1789" s="669"/>
      <c r="D1789" s="670"/>
    </row>
    <row r="1790" spans="1:4" hidden="1" outlineLevel="1" x14ac:dyDescent="0.2">
      <c r="A1790" s="663" t="s">
        <v>3131</v>
      </c>
      <c r="B1790" s="664" t="s">
        <v>3050</v>
      </c>
      <c r="C1790" s="665" t="s">
        <v>3</v>
      </c>
      <c r="D1790" s="666">
        <v>12.04</v>
      </c>
    </row>
    <row r="1791" spans="1:4" hidden="1" outlineLevel="1" x14ac:dyDescent="0.2">
      <c r="A1791" s="667" t="s">
        <v>3132</v>
      </c>
      <c r="B1791" s="668" t="s">
        <v>2648</v>
      </c>
      <c r="C1791" s="669"/>
      <c r="D1791" s="670"/>
    </row>
    <row r="1792" spans="1:4" hidden="1" outlineLevel="1" x14ac:dyDescent="0.2">
      <c r="A1792" s="659" t="s">
        <v>3133</v>
      </c>
      <c r="B1792" s="660" t="s">
        <v>3068</v>
      </c>
      <c r="C1792" s="661" t="s">
        <v>2</v>
      </c>
      <c r="D1792" s="662">
        <v>14</v>
      </c>
    </row>
    <row r="1793" spans="1:4" hidden="1" outlineLevel="1" x14ac:dyDescent="0.2">
      <c r="A1793" s="663" t="s">
        <v>3134</v>
      </c>
      <c r="B1793" s="664" t="s">
        <v>3077</v>
      </c>
      <c r="C1793" s="665" t="s">
        <v>2</v>
      </c>
      <c r="D1793" s="666">
        <v>14</v>
      </c>
    </row>
    <row r="1794" spans="1:4" hidden="1" outlineLevel="1" x14ac:dyDescent="0.2">
      <c r="A1794" s="659" t="s">
        <v>3135</v>
      </c>
      <c r="B1794" s="660" t="s">
        <v>3070</v>
      </c>
      <c r="C1794" s="661" t="s">
        <v>2</v>
      </c>
      <c r="D1794" s="662">
        <v>6</v>
      </c>
    </row>
    <row r="1795" spans="1:4" hidden="1" outlineLevel="1" x14ac:dyDescent="0.2">
      <c r="A1795" s="663" t="s">
        <v>3136</v>
      </c>
      <c r="B1795" s="664" t="s">
        <v>3080</v>
      </c>
      <c r="C1795" s="665" t="s">
        <v>2</v>
      </c>
      <c r="D1795" s="666">
        <v>4</v>
      </c>
    </row>
    <row r="1796" spans="1:4" hidden="1" outlineLevel="1" x14ac:dyDescent="0.2">
      <c r="A1796" s="655" t="s">
        <v>3137</v>
      </c>
      <c r="B1796" s="656" t="s">
        <v>1344</v>
      </c>
      <c r="C1796" s="657"/>
      <c r="D1796" s="658"/>
    </row>
    <row r="1797" spans="1:4" hidden="1" outlineLevel="1" x14ac:dyDescent="0.2">
      <c r="A1797" s="667" t="s">
        <v>3138</v>
      </c>
      <c r="B1797" s="668" t="s">
        <v>2630</v>
      </c>
      <c r="C1797" s="669"/>
      <c r="D1797" s="670"/>
    </row>
    <row r="1798" spans="1:4" hidden="1" outlineLevel="1" x14ac:dyDescent="0.2">
      <c r="A1798" s="659" t="s">
        <v>3139</v>
      </c>
      <c r="B1798" s="660" t="s">
        <v>3050</v>
      </c>
      <c r="C1798" s="661" t="s">
        <v>3</v>
      </c>
      <c r="D1798" s="662">
        <v>12.04</v>
      </c>
    </row>
    <row r="1799" spans="1:4" hidden="1" outlineLevel="1" x14ac:dyDescent="0.2">
      <c r="A1799" s="667" t="s">
        <v>3140</v>
      </c>
      <c r="B1799" s="668" t="s">
        <v>2648</v>
      </c>
      <c r="C1799" s="669"/>
      <c r="D1799" s="670"/>
    </row>
    <row r="1800" spans="1:4" hidden="1" outlineLevel="1" x14ac:dyDescent="0.2">
      <c r="A1800" s="663" t="s">
        <v>3141</v>
      </c>
      <c r="B1800" s="664" t="s">
        <v>3068</v>
      </c>
      <c r="C1800" s="665" t="s">
        <v>2</v>
      </c>
      <c r="D1800" s="666">
        <v>14</v>
      </c>
    </row>
    <row r="1801" spans="1:4" hidden="1" outlineLevel="1" x14ac:dyDescent="0.2">
      <c r="A1801" s="659" t="s">
        <v>3142</v>
      </c>
      <c r="B1801" s="660" t="s">
        <v>3077</v>
      </c>
      <c r="C1801" s="661" t="s">
        <v>2</v>
      </c>
      <c r="D1801" s="662">
        <v>14</v>
      </c>
    </row>
    <row r="1802" spans="1:4" hidden="1" outlineLevel="1" x14ac:dyDescent="0.2">
      <c r="A1802" s="663" t="s">
        <v>3143</v>
      </c>
      <c r="B1802" s="664" t="s">
        <v>3070</v>
      </c>
      <c r="C1802" s="665" t="s">
        <v>2</v>
      </c>
      <c r="D1802" s="666">
        <v>6</v>
      </c>
    </row>
    <row r="1803" spans="1:4" hidden="1" outlineLevel="1" x14ac:dyDescent="0.2">
      <c r="A1803" s="659" t="s">
        <v>3144</v>
      </c>
      <c r="B1803" s="660" t="s">
        <v>3080</v>
      </c>
      <c r="C1803" s="661" t="s">
        <v>2</v>
      </c>
      <c r="D1803" s="662">
        <v>4</v>
      </c>
    </row>
    <row r="1804" spans="1:4" hidden="1" outlineLevel="1" x14ac:dyDescent="0.2">
      <c r="A1804" s="655" t="s">
        <v>3145</v>
      </c>
      <c r="B1804" s="656" t="s">
        <v>1348</v>
      </c>
      <c r="C1804" s="657"/>
      <c r="D1804" s="658"/>
    </row>
    <row r="1805" spans="1:4" hidden="1" outlineLevel="1" x14ac:dyDescent="0.2">
      <c r="A1805" s="667" t="s">
        <v>3146</v>
      </c>
      <c r="B1805" s="668" t="s">
        <v>2630</v>
      </c>
      <c r="C1805" s="669"/>
      <c r="D1805" s="670"/>
    </row>
    <row r="1806" spans="1:4" hidden="1" outlineLevel="1" x14ac:dyDescent="0.2">
      <c r="A1806" s="663" t="s">
        <v>3147</v>
      </c>
      <c r="B1806" s="664" t="s">
        <v>3050</v>
      </c>
      <c r="C1806" s="665" t="s">
        <v>3</v>
      </c>
      <c r="D1806" s="666">
        <v>12.04</v>
      </c>
    </row>
    <row r="1807" spans="1:4" hidden="1" outlineLevel="1" x14ac:dyDescent="0.2">
      <c r="A1807" s="667" t="s">
        <v>3148</v>
      </c>
      <c r="B1807" s="668" t="s">
        <v>2648</v>
      </c>
      <c r="C1807" s="669"/>
      <c r="D1807" s="670"/>
    </row>
    <row r="1808" spans="1:4" hidden="1" outlineLevel="1" x14ac:dyDescent="0.2">
      <c r="A1808" s="659" t="s">
        <v>3149</v>
      </c>
      <c r="B1808" s="660" t="s">
        <v>3068</v>
      </c>
      <c r="C1808" s="661" t="s">
        <v>2</v>
      </c>
      <c r="D1808" s="662">
        <v>14</v>
      </c>
    </row>
    <row r="1809" spans="1:4" hidden="1" outlineLevel="1" x14ac:dyDescent="0.2">
      <c r="A1809" s="663" t="s">
        <v>3150</v>
      </c>
      <c r="B1809" s="664" t="s">
        <v>3077</v>
      </c>
      <c r="C1809" s="665" t="s">
        <v>2</v>
      </c>
      <c r="D1809" s="666">
        <v>14</v>
      </c>
    </row>
    <row r="1810" spans="1:4" hidden="1" outlineLevel="1" x14ac:dyDescent="0.2">
      <c r="A1810" s="659" t="s">
        <v>3151</v>
      </c>
      <c r="B1810" s="660" t="s">
        <v>3070</v>
      </c>
      <c r="C1810" s="661" t="s">
        <v>2</v>
      </c>
      <c r="D1810" s="662">
        <v>6</v>
      </c>
    </row>
    <row r="1811" spans="1:4" hidden="1" outlineLevel="1" x14ac:dyDescent="0.2">
      <c r="A1811" s="663" t="s">
        <v>3152</v>
      </c>
      <c r="B1811" s="664" t="s">
        <v>3080</v>
      </c>
      <c r="C1811" s="665" t="s">
        <v>2</v>
      </c>
      <c r="D1811" s="666">
        <v>4</v>
      </c>
    </row>
    <row r="1812" spans="1:4" hidden="1" outlineLevel="1" x14ac:dyDescent="0.2">
      <c r="A1812" s="655" t="s">
        <v>3153</v>
      </c>
      <c r="B1812" s="656" t="s">
        <v>1352</v>
      </c>
      <c r="C1812" s="657"/>
      <c r="D1812" s="658"/>
    </row>
    <row r="1813" spans="1:4" hidden="1" outlineLevel="1" x14ac:dyDescent="0.2">
      <c r="A1813" s="667" t="s">
        <v>3154</v>
      </c>
      <c r="B1813" s="668" t="s">
        <v>2630</v>
      </c>
      <c r="C1813" s="669"/>
      <c r="D1813" s="670"/>
    </row>
    <row r="1814" spans="1:4" hidden="1" outlineLevel="1" x14ac:dyDescent="0.2">
      <c r="A1814" s="659" t="s">
        <v>3155</v>
      </c>
      <c r="B1814" s="660" t="s">
        <v>3050</v>
      </c>
      <c r="C1814" s="661" t="s">
        <v>3</v>
      </c>
      <c r="D1814" s="662">
        <v>12.04</v>
      </c>
    </row>
    <row r="1815" spans="1:4" hidden="1" outlineLevel="1" x14ac:dyDescent="0.2">
      <c r="A1815" s="667" t="s">
        <v>3156</v>
      </c>
      <c r="B1815" s="668" t="s">
        <v>2648</v>
      </c>
      <c r="C1815" s="669"/>
      <c r="D1815" s="670"/>
    </row>
    <row r="1816" spans="1:4" hidden="1" outlineLevel="1" x14ac:dyDescent="0.2">
      <c r="A1816" s="663" t="s">
        <v>3157</v>
      </c>
      <c r="B1816" s="664" t="s">
        <v>3068</v>
      </c>
      <c r="C1816" s="665" t="s">
        <v>2</v>
      </c>
      <c r="D1816" s="666">
        <v>14</v>
      </c>
    </row>
    <row r="1817" spans="1:4" hidden="1" outlineLevel="1" x14ac:dyDescent="0.2">
      <c r="A1817" s="659" t="s">
        <v>3158</v>
      </c>
      <c r="B1817" s="660" t="s">
        <v>3077</v>
      </c>
      <c r="C1817" s="661" t="s">
        <v>2</v>
      </c>
      <c r="D1817" s="662">
        <v>14</v>
      </c>
    </row>
    <row r="1818" spans="1:4" hidden="1" outlineLevel="1" x14ac:dyDescent="0.2">
      <c r="A1818" s="663" t="s">
        <v>3159</v>
      </c>
      <c r="B1818" s="664" t="s">
        <v>3070</v>
      </c>
      <c r="C1818" s="665" t="s">
        <v>2</v>
      </c>
      <c r="D1818" s="666">
        <v>6</v>
      </c>
    </row>
    <row r="1819" spans="1:4" hidden="1" outlineLevel="1" x14ac:dyDescent="0.2">
      <c r="A1819" s="659" t="s">
        <v>3160</v>
      </c>
      <c r="B1819" s="660" t="s">
        <v>3080</v>
      </c>
      <c r="C1819" s="661" t="s">
        <v>2</v>
      </c>
      <c r="D1819" s="662">
        <v>4</v>
      </c>
    </row>
    <row r="1820" spans="1:4" hidden="1" outlineLevel="1" x14ac:dyDescent="0.2">
      <c r="A1820" s="655" t="s">
        <v>3161</v>
      </c>
      <c r="B1820" s="656" t="s">
        <v>1356</v>
      </c>
      <c r="C1820" s="657"/>
      <c r="D1820" s="658"/>
    </row>
    <row r="1821" spans="1:4" hidden="1" outlineLevel="1" x14ac:dyDescent="0.2">
      <c r="A1821" s="667" t="s">
        <v>3162</v>
      </c>
      <c r="B1821" s="668" t="s">
        <v>2630</v>
      </c>
      <c r="C1821" s="669"/>
      <c r="D1821" s="670"/>
    </row>
    <row r="1822" spans="1:4" hidden="1" outlineLevel="1" x14ac:dyDescent="0.2">
      <c r="A1822" s="663" t="s">
        <v>3163</v>
      </c>
      <c r="B1822" s="664" t="s">
        <v>3050</v>
      </c>
      <c r="C1822" s="665" t="s">
        <v>3</v>
      </c>
      <c r="D1822" s="666">
        <v>12.04</v>
      </c>
    </row>
    <row r="1823" spans="1:4" hidden="1" outlineLevel="1" x14ac:dyDescent="0.2">
      <c r="A1823" s="667" t="s">
        <v>3164</v>
      </c>
      <c r="B1823" s="668" t="s">
        <v>2648</v>
      </c>
      <c r="C1823" s="669"/>
      <c r="D1823" s="670"/>
    </row>
    <row r="1824" spans="1:4" hidden="1" outlineLevel="1" x14ac:dyDescent="0.2">
      <c r="A1824" s="659" t="s">
        <v>3165</v>
      </c>
      <c r="B1824" s="660" t="s">
        <v>3068</v>
      </c>
      <c r="C1824" s="661" t="s">
        <v>2</v>
      </c>
      <c r="D1824" s="662">
        <v>14</v>
      </c>
    </row>
    <row r="1825" spans="1:4" hidden="1" outlineLevel="1" x14ac:dyDescent="0.2">
      <c r="A1825" s="663" t="s">
        <v>3166</v>
      </c>
      <c r="B1825" s="664" t="s">
        <v>3077</v>
      </c>
      <c r="C1825" s="665" t="s">
        <v>2</v>
      </c>
      <c r="D1825" s="666">
        <v>14</v>
      </c>
    </row>
    <row r="1826" spans="1:4" hidden="1" outlineLevel="1" x14ac:dyDescent="0.2">
      <c r="A1826" s="659" t="s">
        <v>3167</v>
      </c>
      <c r="B1826" s="660" t="s">
        <v>3070</v>
      </c>
      <c r="C1826" s="661" t="s">
        <v>2</v>
      </c>
      <c r="D1826" s="662">
        <v>6</v>
      </c>
    </row>
    <row r="1827" spans="1:4" hidden="1" outlineLevel="1" x14ac:dyDescent="0.2">
      <c r="A1827" s="663" t="s">
        <v>3168</v>
      </c>
      <c r="B1827" s="664" t="s">
        <v>3080</v>
      </c>
      <c r="C1827" s="665" t="s">
        <v>2</v>
      </c>
      <c r="D1827" s="666">
        <v>4</v>
      </c>
    </row>
    <row r="1828" spans="1:4" hidden="1" outlineLevel="1" x14ac:dyDescent="0.2">
      <c r="A1828" s="655" t="s">
        <v>3169</v>
      </c>
      <c r="B1828" s="656" t="s">
        <v>1360</v>
      </c>
      <c r="C1828" s="657"/>
      <c r="D1828" s="658"/>
    </row>
    <row r="1829" spans="1:4" hidden="1" outlineLevel="1" x14ac:dyDescent="0.2">
      <c r="A1829" s="667" t="s">
        <v>3170</v>
      </c>
      <c r="B1829" s="668" t="s">
        <v>2630</v>
      </c>
      <c r="C1829" s="669"/>
      <c r="D1829" s="670"/>
    </row>
    <row r="1830" spans="1:4" hidden="1" outlineLevel="1" x14ac:dyDescent="0.2">
      <c r="A1830" s="659" t="s">
        <v>3171</v>
      </c>
      <c r="B1830" s="660" t="s">
        <v>3050</v>
      </c>
      <c r="C1830" s="661" t="s">
        <v>3</v>
      </c>
      <c r="D1830" s="662">
        <v>12.04</v>
      </c>
    </row>
    <row r="1831" spans="1:4" hidden="1" outlineLevel="1" x14ac:dyDescent="0.2">
      <c r="A1831" s="667" t="s">
        <v>3172</v>
      </c>
      <c r="B1831" s="668" t="s">
        <v>2648</v>
      </c>
      <c r="C1831" s="669"/>
      <c r="D1831" s="670"/>
    </row>
    <row r="1832" spans="1:4" hidden="1" outlineLevel="1" x14ac:dyDescent="0.2">
      <c r="A1832" s="663" t="s">
        <v>3173</v>
      </c>
      <c r="B1832" s="664" t="s">
        <v>3068</v>
      </c>
      <c r="C1832" s="665" t="s">
        <v>2</v>
      </c>
      <c r="D1832" s="666">
        <v>14</v>
      </c>
    </row>
    <row r="1833" spans="1:4" hidden="1" outlineLevel="1" x14ac:dyDescent="0.2">
      <c r="A1833" s="659" t="s">
        <v>3174</v>
      </c>
      <c r="B1833" s="660" t="s">
        <v>3077</v>
      </c>
      <c r="C1833" s="661" t="s">
        <v>2</v>
      </c>
      <c r="D1833" s="662">
        <v>14</v>
      </c>
    </row>
    <row r="1834" spans="1:4" hidden="1" outlineLevel="1" x14ac:dyDescent="0.2">
      <c r="A1834" s="663" t="s">
        <v>3175</v>
      </c>
      <c r="B1834" s="664" t="s">
        <v>3070</v>
      </c>
      <c r="C1834" s="665" t="s">
        <v>2</v>
      </c>
      <c r="D1834" s="666">
        <v>6</v>
      </c>
    </row>
    <row r="1835" spans="1:4" hidden="1" outlineLevel="1" x14ac:dyDescent="0.2">
      <c r="A1835" s="659" t="s">
        <v>3176</v>
      </c>
      <c r="B1835" s="660" t="s">
        <v>3080</v>
      </c>
      <c r="C1835" s="661" t="s">
        <v>2</v>
      </c>
      <c r="D1835" s="662">
        <v>4</v>
      </c>
    </row>
    <row r="1836" spans="1:4" hidden="1" outlineLevel="1" x14ac:dyDescent="0.2">
      <c r="A1836" s="655" t="s">
        <v>3177</v>
      </c>
      <c r="B1836" s="656" t="s">
        <v>1364</v>
      </c>
      <c r="C1836" s="657"/>
      <c r="D1836" s="658"/>
    </row>
    <row r="1837" spans="1:4" hidden="1" outlineLevel="1" x14ac:dyDescent="0.2">
      <c r="A1837" s="667" t="s">
        <v>3178</v>
      </c>
      <c r="B1837" s="668" t="s">
        <v>2630</v>
      </c>
      <c r="C1837" s="669"/>
      <c r="D1837" s="670"/>
    </row>
    <row r="1838" spans="1:4" hidden="1" outlineLevel="1" x14ac:dyDescent="0.2">
      <c r="A1838" s="663" t="s">
        <v>3179</v>
      </c>
      <c r="B1838" s="664" t="s">
        <v>3050</v>
      </c>
      <c r="C1838" s="665" t="s">
        <v>3</v>
      </c>
      <c r="D1838" s="666">
        <v>11.94</v>
      </c>
    </row>
    <row r="1839" spans="1:4" hidden="1" outlineLevel="1" x14ac:dyDescent="0.2">
      <c r="A1839" s="667" t="s">
        <v>3180</v>
      </c>
      <c r="B1839" s="668" t="s">
        <v>2648</v>
      </c>
      <c r="C1839" s="669"/>
      <c r="D1839" s="670"/>
    </row>
    <row r="1840" spans="1:4" hidden="1" outlineLevel="1" x14ac:dyDescent="0.2">
      <c r="A1840" s="659" t="s">
        <v>3181</v>
      </c>
      <c r="B1840" s="660" t="s">
        <v>3068</v>
      </c>
      <c r="C1840" s="661" t="s">
        <v>2</v>
      </c>
      <c r="D1840" s="662">
        <v>14</v>
      </c>
    </row>
    <row r="1841" spans="1:8" hidden="1" outlineLevel="1" x14ac:dyDescent="0.2">
      <c r="A1841" s="663" t="s">
        <v>3182</v>
      </c>
      <c r="B1841" s="664" t="s">
        <v>3077</v>
      </c>
      <c r="C1841" s="665" t="s">
        <v>2</v>
      </c>
      <c r="D1841" s="666">
        <v>16</v>
      </c>
    </row>
    <row r="1842" spans="1:8" hidden="1" outlineLevel="1" x14ac:dyDescent="0.2">
      <c r="A1842" s="659" t="s">
        <v>3183</v>
      </c>
      <c r="B1842" s="660" t="s">
        <v>3070</v>
      </c>
      <c r="C1842" s="661" t="s">
        <v>2</v>
      </c>
      <c r="D1842" s="662">
        <v>6</v>
      </c>
    </row>
    <row r="1843" spans="1:8" hidden="1" outlineLevel="1" x14ac:dyDescent="0.2">
      <c r="A1843" s="663" t="s">
        <v>3184</v>
      </c>
      <c r="B1843" s="664" t="s">
        <v>3080</v>
      </c>
      <c r="C1843" s="665" t="s">
        <v>2</v>
      </c>
      <c r="D1843" s="666">
        <v>4</v>
      </c>
    </row>
    <row r="1844" spans="1:8" hidden="1" outlineLevel="1" x14ac:dyDescent="0.2">
      <c r="A1844" s="655" t="s">
        <v>3185</v>
      </c>
      <c r="B1844" s="656" t="s">
        <v>1368</v>
      </c>
      <c r="C1844" s="657"/>
      <c r="D1844" s="658"/>
    </row>
    <row r="1845" spans="1:8" hidden="1" outlineLevel="1" x14ac:dyDescent="0.2">
      <c r="A1845" s="667" t="s">
        <v>3186</v>
      </c>
      <c r="B1845" s="668" t="s">
        <v>2648</v>
      </c>
      <c r="C1845" s="669"/>
      <c r="D1845" s="670"/>
    </row>
    <row r="1846" spans="1:8" hidden="1" outlineLevel="1" x14ac:dyDescent="0.2">
      <c r="A1846" s="659" t="s">
        <v>3187</v>
      </c>
      <c r="B1846" s="660" t="s">
        <v>3068</v>
      </c>
      <c r="C1846" s="661" t="s">
        <v>2</v>
      </c>
      <c r="D1846" s="662">
        <v>8</v>
      </c>
    </row>
    <row r="1847" spans="1:8" hidden="1" outlineLevel="1" x14ac:dyDescent="0.2">
      <c r="A1847" s="663" t="s">
        <v>3188</v>
      </c>
      <c r="B1847" s="664" t="s">
        <v>3077</v>
      </c>
      <c r="C1847" s="665" t="s">
        <v>2</v>
      </c>
      <c r="D1847" s="666">
        <v>7</v>
      </c>
    </row>
    <row r="1848" spans="1:8" hidden="1" outlineLevel="1" x14ac:dyDescent="0.2">
      <c r="A1848" s="659" t="s">
        <v>3189</v>
      </c>
      <c r="B1848" s="660" t="s">
        <v>3070</v>
      </c>
      <c r="C1848" s="661" t="s">
        <v>2</v>
      </c>
      <c r="D1848" s="662">
        <v>4</v>
      </c>
    </row>
    <row r="1849" spans="1:8" hidden="1" outlineLevel="1" x14ac:dyDescent="0.2">
      <c r="A1849" s="663" t="s">
        <v>3190</v>
      </c>
      <c r="B1849" s="664" t="s">
        <v>3080</v>
      </c>
      <c r="C1849" s="665" t="s">
        <v>2</v>
      </c>
      <c r="D1849" s="666">
        <v>2</v>
      </c>
    </row>
    <row r="1850" spans="1:8" collapsed="1" x14ac:dyDescent="0.2">
      <c r="A1850" s="651" t="s">
        <v>3191</v>
      </c>
      <c r="B1850" s="652" t="s">
        <v>148</v>
      </c>
      <c r="C1850" s="653"/>
      <c r="D1850" s="654"/>
    </row>
    <row r="1851" spans="1:8" hidden="1" outlineLevel="1" x14ac:dyDescent="0.2">
      <c r="A1851" s="655" t="s">
        <v>3192</v>
      </c>
      <c r="B1851" s="656" t="s">
        <v>1292</v>
      </c>
      <c r="C1851" s="657"/>
      <c r="D1851" s="658"/>
    </row>
    <row r="1852" spans="1:8" hidden="1" outlineLevel="1" x14ac:dyDescent="0.2">
      <c r="A1852" s="667" t="s">
        <v>3193</v>
      </c>
      <c r="B1852" s="668" t="s">
        <v>2648</v>
      </c>
      <c r="C1852" s="669"/>
      <c r="D1852" s="670"/>
    </row>
    <row r="1853" spans="1:8" hidden="1" outlineLevel="1" x14ac:dyDescent="0.2">
      <c r="A1853" s="659" t="s">
        <v>3194</v>
      </c>
      <c r="B1853" s="660" t="s">
        <v>3195</v>
      </c>
      <c r="C1853" s="661" t="s">
        <v>2</v>
      </c>
      <c r="D1853" s="662">
        <v>1</v>
      </c>
    </row>
    <row r="1854" spans="1:8" hidden="1" outlineLevel="1" x14ac:dyDescent="0.2">
      <c r="A1854" s="663" t="s">
        <v>3196</v>
      </c>
      <c r="B1854" s="664" t="s">
        <v>3197</v>
      </c>
      <c r="C1854" s="665" t="s">
        <v>2</v>
      </c>
      <c r="D1854" s="666">
        <v>4</v>
      </c>
    </row>
    <row r="1855" spans="1:8" hidden="1" outlineLevel="1" x14ac:dyDescent="0.2">
      <c r="A1855" s="655" t="s">
        <v>3198</v>
      </c>
      <c r="B1855" s="656" t="s">
        <v>1296</v>
      </c>
      <c r="C1855" s="657"/>
      <c r="D1855" s="658"/>
      <c r="F1855" s="656" t="s">
        <v>4169</v>
      </c>
      <c r="G1855" s="657"/>
      <c r="H1855" s="658"/>
    </row>
    <row r="1856" spans="1:8" hidden="1" outlineLevel="1" x14ac:dyDescent="0.2">
      <c r="A1856" s="667" t="s">
        <v>3199</v>
      </c>
      <c r="B1856" s="668" t="s">
        <v>2648</v>
      </c>
      <c r="C1856" s="669"/>
      <c r="D1856" s="670"/>
      <c r="F1856" s="668" t="s">
        <v>2648</v>
      </c>
      <c r="G1856" s="669"/>
      <c r="H1856" s="670"/>
    </row>
    <row r="1857" spans="1:8" hidden="1" outlineLevel="1" x14ac:dyDescent="0.2">
      <c r="A1857" s="659" t="s">
        <v>3200</v>
      </c>
      <c r="B1857" s="660" t="s">
        <v>3197</v>
      </c>
      <c r="C1857" s="661" t="s">
        <v>2</v>
      </c>
      <c r="D1857" s="662">
        <v>2</v>
      </c>
      <c r="F1857" s="660" t="s">
        <v>3197</v>
      </c>
      <c r="G1857" s="661" t="s">
        <v>2</v>
      </c>
      <c r="H1857" s="662">
        <f>D1857+D1860+D1863</f>
        <v>6</v>
      </c>
    </row>
    <row r="1858" spans="1:8" hidden="1" outlineLevel="1" x14ac:dyDescent="0.2">
      <c r="A1858" s="655" t="s">
        <v>3201</v>
      </c>
      <c r="B1858" s="656" t="s">
        <v>1299</v>
      </c>
      <c r="C1858" s="657"/>
      <c r="D1858" s="658"/>
    </row>
    <row r="1859" spans="1:8" hidden="1" outlineLevel="1" x14ac:dyDescent="0.2">
      <c r="A1859" s="667" t="s">
        <v>3202</v>
      </c>
      <c r="B1859" s="668" t="s">
        <v>2648</v>
      </c>
      <c r="C1859" s="669"/>
      <c r="D1859" s="670"/>
    </row>
    <row r="1860" spans="1:8" hidden="1" outlineLevel="1" x14ac:dyDescent="0.2">
      <c r="A1860" s="663" t="s">
        <v>3203</v>
      </c>
      <c r="B1860" s="664" t="s">
        <v>3197</v>
      </c>
      <c r="C1860" s="665" t="s">
        <v>2</v>
      </c>
      <c r="D1860" s="666">
        <v>2</v>
      </c>
    </row>
    <row r="1861" spans="1:8" hidden="1" outlineLevel="1" x14ac:dyDescent="0.2">
      <c r="A1861" s="655" t="s">
        <v>3204</v>
      </c>
      <c r="B1861" s="656" t="s">
        <v>1302</v>
      </c>
      <c r="C1861" s="657"/>
      <c r="D1861" s="658"/>
    </row>
    <row r="1862" spans="1:8" hidden="1" outlineLevel="1" x14ac:dyDescent="0.2">
      <c r="A1862" s="667" t="s">
        <v>3205</v>
      </c>
      <c r="B1862" s="668" t="s">
        <v>2648</v>
      </c>
      <c r="C1862" s="669"/>
      <c r="D1862" s="670"/>
    </row>
    <row r="1863" spans="1:8" hidden="1" outlineLevel="1" x14ac:dyDescent="0.2">
      <c r="A1863" s="659" t="s">
        <v>3206</v>
      </c>
      <c r="B1863" s="660" t="s">
        <v>3197</v>
      </c>
      <c r="C1863" s="661" t="s">
        <v>2</v>
      </c>
      <c r="D1863" s="662">
        <v>2</v>
      </c>
    </row>
    <row r="1864" spans="1:8" hidden="1" outlineLevel="1" x14ac:dyDescent="0.2">
      <c r="A1864" s="655" t="s">
        <v>3207</v>
      </c>
      <c r="B1864" s="656" t="s">
        <v>1305</v>
      </c>
      <c r="C1864" s="657"/>
      <c r="D1864" s="658"/>
    </row>
    <row r="1865" spans="1:8" hidden="1" outlineLevel="1" x14ac:dyDescent="0.2">
      <c r="A1865" s="667" t="s">
        <v>3208</v>
      </c>
      <c r="B1865" s="668" t="s">
        <v>2648</v>
      </c>
      <c r="C1865" s="669"/>
      <c r="D1865" s="670"/>
    </row>
    <row r="1866" spans="1:8" hidden="1" outlineLevel="1" x14ac:dyDescent="0.2">
      <c r="A1866" s="663" t="s">
        <v>3209</v>
      </c>
      <c r="B1866" s="664" t="s">
        <v>3197</v>
      </c>
      <c r="C1866" s="665" t="s">
        <v>2</v>
      </c>
      <c r="D1866" s="666">
        <v>2</v>
      </c>
    </row>
    <row r="1867" spans="1:8" hidden="1" outlineLevel="1" x14ac:dyDescent="0.2">
      <c r="A1867" s="655" t="s">
        <v>3210</v>
      </c>
      <c r="B1867" s="656" t="s">
        <v>1308</v>
      </c>
      <c r="C1867" s="657"/>
      <c r="D1867" s="658"/>
    </row>
    <row r="1868" spans="1:8" hidden="1" outlineLevel="1" x14ac:dyDescent="0.2">
      <c r="A1868" s="667" t="s">
        <v>3211</v>
      </c>
      <c r="B1868" s="668" t="s">
        <v>2648</v>
      </c>
      <c r="C1868" s="669"/>
      <c r="D1868" s="670"/>
    </row>
    <row r="1869" spans="1:8" hidden="1" outlineLevel="1" x14ac:dyDescent="0.2">
      <c r="A1869" s="659" t="s">
        <v>3212</v>
      </c>
      <c r="B1869" s="660" t="s">
        <v>3197</v>
      </c>
      <c r="C1869" s="661" t="s">
        <v>2</v>
      </c>
      <c r="D1869" s="662">
        <v>2</v>
      </c>
    </row>
    <row r="1870" spans="1:8" hidden="1" outlineLevel="1" x14ac:dyDescent="0.2">
      <c r="A1870" s="655" t="s">
        <v>3213</v>
      </c>
      <c r="B1870" s="656" t="s">
        <v>1311</v>
      </c>
      <c r="C1870" s="657"/>
      <c r="D1870" s="658"/>
      <c r="F1870" s="656" t="s">
        <v>4182</v>
      </c>
      <c r="G1870" s="657"/>
      <c r="H1870" s="658"/>
    </row>
    <row r="1871" spans="1:8" hidden="1" outlineLevel="1" x14ac:dyDescent="0.2">
      <c r="A1871" s="667" t="s">
        <v>3214</v>
      </c>
      <c r="B1871" s="668" t="s">
        <v>2630</v>
      </c>
      <c r="C1871" s="669"/>
      <c r="D1871" s="670"/>
      <c r="F1871" s="668" t="s">
        <v>2630</v>
      </c>
      <c r="G1871" s="669"/>
      <c r="H1871" s="670"/>
    </row>
    <row r="1872" spans="1:8" hidden="1" outlineLevel="1" x14ac:dyDescent="0.2">
      <c r="A1872" s="663" t="s">
        <v>3215</v>
      </c>
      <c r="B1872" s="664" t="s">
        <v>3216</v>
      </c>
      <c r="C1872" s="665" t="s">
        <v>3</v>
      </c>
      <c r="D1872" s="666">
        <v>19.55</v>
      </c>
      <c r="F1872" s="664" t="s">
        <v>3216</v>
      </c>
      <c r="G1872" s="665" t="s">
        <v>3</v>
      </c>
      <c r="H1872" s="666">
        <f>SUMIF(B1870:B1934,F1872,D1870:D1934)</f>
        <v>254.15000000000006</v>
      </c>
    </row>
    <row r="1873" spans="1:8" hidden="1" outlineLevel="1" x14ac:dyDescent="0.2">
      <c r="A1873" s="667" t="s">
        <v>3217</v>
      </c>
      <c r="B1873" s="668" t="s">
        <v>2648</v>
      </c>
      <c r="C1873" s="669"/>
      <c r="D1873" s="670"/>
      <c r="F1873" s="668" t="s">
        <v>2648</v>
      </c>
      <c r="G1873" s="669"/>
      <c r="H1873" s="670"/>
    </row>
    <row r="1874" spans="1:8" hidden="1" outlineLevel="1" x14ac:dyDescent="0.2">
      <c r="A1874" s="659" t="s">
        <v>3218</v>
      </c>
      <c r="B1874" s="660" t="s">
        <v>3197</v>
      </c>
      <c r="C1874" s="661" t="s">
        <v>2</v>
      </c>
      <c r="D1874" s="662">
        <v>2</v>
      </c>
      <c r="F1874" s="660" t="s">
        <v>3197</v>
      </c>
      <c r="G1874" s="661" t="s">
        <v>2</v>
      </c>
      <c r="H1874" s="662">
        <f>SUMIF(B1872:B1936,F1874,D1872:D1936)</f>
        <v>26</v>
      </c>
    </row>
    <row r="1875" spans="1:8" hidden="1" outlineLevel="1" x14ac:dyDescent="0.2">
      <c r="A1875" s="655" t="s">
        <v>3219</v>
      </c>
      <c r="B1875" s="656" t="s">
        <v>1316</v>
      </c>
      <c r="C1875" s="657"/>
      <c r="D1875" s="658"/>
    </row>
    <row r="1876" spans="1:8" hidden="1" outlineLevel="1" x14ac:dyDescent="0.2">
      <c r="A1876" s="667" t="s">
        <v>3220</v>
      </c>
      <c r="B1876" s="668" t="s">
        <v>2630</v>
      </c>
      <c r="C1876" s="669"/>
      <c r="D1876" s="670"/>
    </row>
    <row r="1877" spans="1:8" hidden="1" outlineLevel="1" x14ac:dyDescent="0.2">
      <c r="A1877" s="663" t="s">
        <v>3221</v>
      </c>
      <c r="B1877" s="664" t="s">
        <v>3216</v>
      </c>
      <c r="C1877" s="665" t="s">
        <v>3</v>
      </c>
      <c r="D1877" s="666">
        <v>19.55</v>
      </c>
    </row>
    <row r="1878" spans="1:8" hidden="1" outlineLevel="1" x14ac:dyDescent="0.2">
      <c r="A1878" s="667" t="s">
        <v>3222</v>
      </c>
      <c r="B1878" s="668" t="s">
        <v>2648</v>
      </c>
      <c r="C1878" s="669"/>
      <c r="D1878" s="670"/>
    </row>
    <row r="1879" spans="1:8" hidden="1" outlineLevel="1" x14ac:dyDescent="0.2">
      <c r="A1879" s="659" t="s">
        <v>3223</v>
      </c>
      <c r="B1879" s="660" t="s">
        <v>3197</v>
      </c>
      <c r="C1879" s="661" t="s">
        <v>2</v>
      </c>
      <c r="D1879" s="662">
        <v>2</v>
      </c>
    </row>
    <row r="1880" spans="1:8" hidden="1" outlineLevel="1" x14ac:dyDescent="0.2">
      <c r="A1880" s="655" t="s">
        <v>3224</v>
      </c>
      <c r="B1880" s="656" t="s">
        <v>1320</v>
      </c>
      <c r="C1880" s="657"/>
      <c r="D1880" s="658"/>
    </row>
    <row r="1881" spans="1:8" hidden="1" outlineLevel="1" x14ac:dyDescent="0.2">
      <c r="A1881" s="667" t="s">
        <v>3225</v>
      </c>
      <c r="B1881" s="668" t="s">
        <v>2630</v>
      </c>
      <c r="C1881" s="669"/>
      <c r="D1881" s="670"/>
    </row>
    <row r="1882" spans="1:8" hidden="1" outlineLevel="1" x14ac:dyDescent="0.2">
      <c r="A1882" s="663" t="s">
        <v>3226</v>
      </c>
      <c r="B1882" s="664" t="s">
        <v>3216</v>
      </c>
      <c r="C1882" s="665" t="s">
        <v>3</v>
      </c>
      <c r="D1882" s="666">
        <v>19.55</v>
      </c>
    </row>
    <row r="1883" spans="1:8" hidden="1" outlineLevel="1" x14ac:dyDescent="0.2">
      <c r="A1883" s="667" t="s">
        <v>3227</v>
      </c>
      <c r="B1883" s="668" t="s">
        <v>2648</v>
      </c>
      <c r="C1883" s="669"/>
      <c r="D1883" s="670"/>
    </row>
    <row r="1884" spans="1:8" hidden="1" outlineLevel="1" x14ac:dyDescent="0.2">
      <c r="A1884" s="659" t="s">
        <v>3228</v>
      </c>
      <c r="B1884" s="660" t="s">
        <v>3197</v>
      </c>
      <c r="C1884" s="661" t="s">
        <v>2</v>
      </c>
      <c r="D1884" s="662">
        <v>2</v>
      </c>
    </row>
    <row r="1885" spans="1:8" hidden="1" outlineLevel="1" x14ac:dyDescent="0.2">
      <c r="A1885" s="655" t="s">
        <v>3229</v>
      </c>
      <c r="B1885" s="656" t="s">
        <v>1324</v>
      </c>
      <c r="C1885" s="657"/>
      <c r="D1885" s="658"/>
    </row>
    <row r="1886" spans="1:8" hidden="1" outlineLevel="1" x14ac:dyDescent="0.2">
      <c r="A1886" s="667" t="s">
        <v>3230</v>
      </c>
      <c r="B1886" s="668" t="s">
        <v>2630</v>
      </c>
      <c r="C1886" s="669"/>
      <c r="D1886" s="670"/>
    </row>
    <row r="1887" spans="1:8" hidden="1" outlineLevel="1" x14ac:dyDescent="0.2">
      <c r="A1887" s="663" t="s">
        <v>3231</v>
      </c>
      <c r="B1887" s="664" t="s">
        <v>3216</v>
      </c>
      <c r="C1887" s="665" t="s">
        <v>3</v>
      </c>
      <c r="D1887" s="666">
        <v>19.55</v>
      </c>
    </row>
    <row r="1888" spans="1:8" hidden="1" outlineLevel="1" x14ac:dyDescent="0.2">
      <c r="A1888" s="667" t="s">
        <v>3232</v>
      </c>
      <c r="B1888" s="668" t="s">
        <v>2648</v>
      </c>
      <c r="C1888" s="669"/>
      <c r="D1888" s="670"/>
    </row>
    <row r="1889" spans="1:4" hidden="1" outlineLevel="1" x14ac:dyDescent="0.2">
      <c r="A1889" s="659" t="s">
        <v>3233</v>
      </c>
      <c r="B1889" s="660" t="s">
        <v>3197</v>
      </c>
      <c r="C1889" s="661" t="s">
        <v>2</v>
      </c>
      <c r="D1889" s="662">
        <v>2</v>
      </c>
    </row>
    <row r="1890" spans="1:4" hidden="1" outlineLevel="1" x14ac:dyDescent="0.2">
      <c r="A1890" s="655" t="s">
        <v>3234</v>
      </c>
      <c r="B1890" s="656" t="s">
        <v>1328</v>
      </c>
      <c r="C1890" s="657"/>
      <c r="D1890" s="658"/>
    </row>
    <row r="1891" spans="1:4" hidden="1" outlineLevel="1" x14ac:dyDescent="0.2">
      <c r="A1891" s="667" t="s">
        <v>3235</v>
      </c>
      <c r="B1891" s="668" t="s">
        <v>2630</v>
      </c>
      <c r="C1891" s="669"/>
      <c r="D1891" s="670"/>
    </row>
    <row r="1892" spans="1:4" hidden="1" outlineLevel="1" x14ac:dyDescent="0.2">
      <c r="A1892" s="663" t="s">
        <v>3236</v>
      </c>
      <c r="B1892" s="664" t="s">
        <v>3216</v>
      </c>
      <c r="C1892" s="665" t="s">
        <v>3</v>
      </c>
      <c r="D1892" s="666">
        <v>19.55</v>
      </c>
    </row>
    <row r="1893" spans="1:4" hidden="1" outlineLevel="1" x14ac:dyDescent="0.2">
      <c r="A1893" s="667" t="s">
        <v>3237</v>
      </c>
      <c r="B1893" s="668" t="s">
        <v>2648</v>
      </c>
      <c r="C1893" s="669"/>
      <c r="D1893" s="670"/>
    </row>
    <row r="1894" spans="1:4" hidden="1" outlineLevel="1" x14ac:dyDescent="0.2">
      <c r="A1894" s="659" t="s">
        <v>3238</v>
      </c>
      <c r="B1894" s="660" t="s">
        <v>3197</v>
      </c>
      <c r="C1894" s="661" t="s">
        <v>2</v>
      </c>
      <c r="D1894" s="662">
        <v>2</v>
      </c>
    </row>
    <row r="1895" spans="1:4" hidden="1" outlineLevel="1" x14ac:dyDescent="0.2">
      <c r="A1895" s="655" t="s">
        <v>3239</v>
      </c>
      <c r="B1895" s="656" t="s">
        <v>1332</v>
      </c>
      <c r="C1895" s="657"/>
      <c r="D1895" s="658"/>
    </row>
    <row r="1896" spans="1:4" hidden="1" outlineLevel="1" x14ac:dyDescent="0.2">
      <c r="A1896" s="667" t="s">
        <v>3240</v>
      </c>
      <c r="B1896" s="668" t="s">
        <v>2630</v>
      </c>
      <c r="C1896" s="669"/>
      <c r="D1896" s="670"/>
    </row>
    <row r="1897" spans="1:4" hidden="1" outlineLevel="1" x14ac:dyDescent="0.2">
      <c r="A1897" s="663" t="s">
        <v>3241</v>
      </c>
      <c r="B1897" s="664" t="s">
        <v>3216</v>
      </c>
      <c r="C1897" s="665" t="s">
        <v>3</v>
      </c>
      <c r="D1897" s="666">
        <v>19.55</v>
      </c>
    </row>
    <row r="1898" spans="1:4" hidden="1" outlineLevel="1" x14ac:dyDescent="0.2">
      <c r="A1898" s="667" t="s">
        <v>3242</v>
      </c>
      <c r="B1898" s="668" t="s">
        <v>2648</v>
      </c>
      <c r="C1898" s="669"/>
      <c r="D1898" s="670"/>
    </row>
    <row r="1899" spans="1:4" hidden="1" outlineLevel="1" x14ac:dyDescent="0.2">
      <c r="A1899" s="659" t="s">
        <v>3243</v>
      </c>
      <c r="B1899" s="660" t="s">
        <v>3197</v>
      </c>
      <c r="C1899" s="661" t="s">
        <v>2</v>
      </c>
      <c r="D1899" s="662">
        <v>2</v>
      </c>
    </row>
    <row r="1900" spans="1:4" hidden="1" outlineLevel="1" x14ac:dyDescent="0.2">
      <c r="A1900" s="655" t="s">
        <v>3244</v>
      </c>
      <c r="B1900" s="656" t="s">
        <v>1336</v>
      </c>
      <c r="C1900" s="657"/>
      <c r="D1900" s="658"/>
    </row>
    <row r="1901" spans="1:4" hidden="1" outlineLevel="1" x14ac:dyDescent="0.2">
      <c r="A1901" s="667" t="s">
        <v>3245</v>
      </c>
      <c r="B1901" s="668" t="s">
        <v>2630</v>
      </c>
      <c r="C1901" s="669"/>
      <c r="D1901" s="670"/>
    </row>
    <row r="1902" spans="1:4" hidden="1" outlineLevel="1" x14ac:dyDescent="0.2">
      <c r="A1902" s="663" t="s">
        <v>3246</v>
      </c>
      <c r="B1902" s="664" t="s">
        <v>3216</v>
      </c>
      <c r="C1902" s="665" t="s">
        <v>3</v>
      </c>
      <c r="D1902" s="666">
        <v>19.55</v>
      </c>
    </row>
    <row r="1903" spans="1:4" hidden="1" outlineLevel="1" x14ac:dyDescent="0.2">
      <c r="A1903" s="667" t="s">
        <v>3247</v>
      </c>
      <c r="B1903" s="668" t="s">
        <v>2648</v>
      </c>
      <c r="C1903" s="669"/>
      <c r="D1903" s="670"/>
    </row>
    <row r="1904" spans="1:4" hidden="1" outlineLevel="1" x14ac:dyDescent="0.2">
      <c r="A1904" s="659" t="s">
        <v>3248</v>
      </c>
      <c r="B1904" s="660" t="s">
        <v>3197</v>
      </c>
      <c r="C1904" s="661" t="s">
        <v>2</v>
      </c>
      <c r="D1904" s="662">
        <v>2</v>
      </c>
    </row>
    <row r="1905" spans="1:4" hidden="1" outlineLevel="1" x14ac:dyDescent="0.2">
      <c r="A1905" s="655" t="s">
        <v>3249</v>
      </c>
      <c r="B1905" s="656" t="s">
        <v>1340</v>
      </c>
      <c r="C1905" s="657"/>
      <c r="D1905" s="658"/>
    </row>
    <row r="1906" spans="1:4" hidden="1" outlineLevel="1" x14ac:dyDescent="0.2">
      <c r="A1906" s="667" t="s">
        <v>3250</v>
      </c>
      <c r="B1906" s="668" t="s">
        <v>2630</v>
      </c>
      <c r="C1906" s="669"/>
      <c r="D1906" s="670"/>
    </row>
    <row r="1907" spans="1:4" hidden="1" outlineLevel="1" x14ac:dyDescent="0.2">
      <c r="A1907" s="663" t="s">
        <v>3251</v>
      </c>
      <c r="B1907" s="664" t="s">
        <v>3216</v>
      </c>
      <c r="C1907" s="665" t="s">
        <v>3</v>
      </c>
      <c r="D1907" s="666">
        <v>19.55</v>
      </c>
    </row>
    <row r="1908" spans="1:4" hidden="1" outlineLevel="1" x14ac:dyDescent="0.2">
      <c r="A1908" s="667" t="s">
        <v>3252</v>
      </c>
      <c r="B1908" s="668" t="s">
        <v>2648</v>
      </c>
      <c r="C1908" s="669"/>
      <c r="D1908" s="670"/>
    </row>
    <row r="1909" spans="1:4" hidden="1" outlineLevel="1" x14ac:dyDescent="0.2">
      <c r="A1909" s="659" t="s">
        <v>3253</v>
      </c>
      <c r="B1909" s="660" t="s">
        <v>3197</v>
      </c>
      <c r="C1909" s="661" t="s">
        <v>2</v>
      </c>
      <c r="D1909" s="662">
        <v>2</v>
      </c>
    </row>
    <row r="1910" spans="1:4" hidden="1" outlineLevel="1" x14ac:dyDescent="0.2">
      <c r="A1910" s="655" t="s">
        <v>3254</v>
      </c>
      <c r="B1910" s="656" t="s">
        <v>1344</v>
      </c>
      <c r="C1910" s="657"/>
      <c r="D1910" s="658"/>
    </row>
    <row r="1911" spans="1:4" hidden="1" outlineLevel="1" x14ac:dyDescent="0.2">
      <c r="A1911" s="667" t="s">
        <v>3255</v>
      </c>
      <c r="B1911" s="668" t="s">
        <v>2630</v>
      </c>
      <c r="C1911" s="669"/>
      <c r="D1911" s="670"/>
    </row>
    <row r="1912" spans="1:4" hidden="1" outlineLevel="1" x14ac:dyDescent="0.2">
      <c r="A1912" s="663" t="s">
        <v>3256</v>
      </c>
      <c r="B1912" s="664" t="s">
        <v>3216</v>
      </c>
      <c r="C1912" s="665" t="s">
        <v>3</v>
      </c>
      <c r="D1912" s="666">
        <v>19.55</v>
      </c>
    </row>
    <row r="1913" spans="1:4" hidden="1" outlineLevel="1" x14ac:dyDescent="0.2">
      <c r="A1913" s="667" t="s">
        <v>3257</v>
      </c>
      <c r="B1913" s="668" t="s">
        <v>2648</v>
      </c>
      <c r="C1913" s="669"/>
      <c r="D1913" s="670"/>
    </row>
    <row r="1914" spans="1:4" hidden="1" outlineLevel="1" x14ac:dyDescent="0.2">
      <c r="A1914" s="659" t="s">
        <v>3258</v>
      </c>
      <c r="B1914" s="660" t="s">
        <v>3197</v>
      </c>
      <c r="C1914" s="661" t="s">
        <v>2</v>
      </c>
      <c r="D1914" s="662">
        <v>2</v>
      </c>
    </row>
    <row r="1915" spans="1:4" hidden="1" outlineLevel="1" x14ac:dyDescent="0.2">
      <c r="A1915" s="655" t="s">
        <v>3259</v>
      </c>
      <c r="B1915" s="656" t="s">
        <v>1348</v>
      </c>
      <c r="C1915" s="657"/>
      <c r="D1915" s="658"/>
    </row>
    <row r="1916" spans="1:4" hidden="1" outlineLevel="1" x14ac:dyDescent="0.2">
      <c r="A1916" s="667" t="s">
        <v>3260</v>
      </c>
      <c r="B1916" s="668" t="s">
        <v>2630</v>
      </c>
      <c r="C1916" s="669"/>
      <c r="D1916" s="670"/>
    </row>
    <row r="1917" spans="1:4" hidden="1" outlineLevel="1" x14ac:dyDescent="0.2">
      <c r="A1917" s="663" t="s">
        <v>3261</v>
      </c>
      <c r="B1917" s="664" t="s">
        <v>3216</v>
      </c>
      <c r="C1917" s="665" t="s">
        <v>3</v>
      </c>
      <c r="D1917" s="666">
        <v>19.55</v>
      </c>
    </row>
    <row r="1918" spans="1:4" hidden="1" outlineLevel="1" x14ac:dyDescent="0.2">
      <c r="A1918" s="667" t="s">
        <v>3262</v>
      </c>
      <c r="B1918" s="668" t="s">
        <v>2648</v>
      </c>
      <c r="C1918" s="669"/>
      <c r="D1918" s="670"/>
    </row>
    <row r="1919" spans="1:4" hidden="1" outlineLevel="1" x14ac:dyDescent="0.2">
      <c r="A1919" s="659" t="s">
        <v>3263</v>
      </c>
      <c r="B1919" s="660" t="s">
        <v>3197</v>
      </c>
      <c r="C1919" s="661" t="s">
        <v>2</v>
      </c>
      <c r="D1919" s="662">
        <v>2</v>
      </c>
    </row>
    <row r="1920" spans="1:4" hidden="1" outlineLevel="1" x14ac:dyDescent="0.2">
      <c r="A1920" s="655" t="s">
        <v>3264</v>
      </c>
      <c r="B1920" s="656" t="s">
        <v>1352</v>
      </c>
      <c r="C1920" s="657"/>
      <c r="D1920" s="658"/>
    </row>
    <row r="1921" spans="1:4" hidden="1" outlineLevel="1" x14ac:dyDescent="0.2">
      <c r="A1921" s="667" t="s">
        <v>3265</v>
      </c>
      <c r="B1921" s="668" t="s">
        <v>2630</v>
      </c>
      <c r="C1921" s="669"/>
      <c r="D1921" s="670"/>
    </row>
    <row r="1922" spans="1:4" hidden="1" outlineLevel="1" x14ac:dyDescent="0.2">
      <c r="A1922" s="663" t="s">
        <v>3266</v>
      </c>
      <c r="B1922" s="664" t="s">
        <v>3216</v>
      </c>
      <c r="C1922" s="665" t="s">
        <v>3</v>
      </c>
      <c r="D1922" s="666">
        <v>19.55</v>
      </c>
    </row>
    <row r="1923" spans="1:4" hidden="1" outlineLevel="1" x14ac:dyDescent="0.2">
      <c r="A1923" s="667" t="s">
        <v>3267</v>
      </c>
      <c r="B1923" s="668" t="s">
        <v>2648</v>
      </c>
      <c r="C1923" s="669"/>
      <c r="D1923" s="670"/>
    </row>
    <row r="1924" spans="1:4" hidden="1" outlineLevel="1" x14ac:dyDescent="0.2">
      <c r="A1924" s="659" t="s">
        <v>3268</v>
      </c>
      <c r="B1924" s="660" t="s">
        <v>3197</v>
      </c>
      <c r="C1924" s="661" t="s">
        <v>2</v>
      </c>
      <c r="D1924" s="662">
        <v>2</v>
      </c>
    </row>
    <row r="1925" spans="1:4" hidden="1" outlineLevel="1" x14ac:dyDescent="0.2">
      <c r="A1925" s="655" t="s">
        <v>3269</v>
      </c>
      <c r="B1925" s="656" t="s">
        <v>1356</v>
      </c>
      <c r="C1925" s="657"/>
      <c r="D1925" s="658"/>
    </row>
    <row r="1926" spans="1:4" hidden="1" outlineLevel="1" x14ac:dyDescent="0.2">
      <c r="A1926" s="667" t="s">
        <v>3270</v>
      </c>
      <c r="B1926" s="668" t="s">
        <v>2630</v>
      </c>
      <c r="C1926" s="669"/>
      <c r="D1926" s="670"/>
    </row>
    <row r="1927" spans="1:4" hidden="1" outlineLevel="1" x14ac:dyDescent="0.2">
      <c r="A1927" s="663" t="s">
        <v>3271</v>
      </c>
      <c r="B1927" s="664" t="s">
        <v>3216</v>
      </c>
      <c r="C1927" s="665" t="s">
        <v>3</v>
      </c>
      <c r="D1927" s="666">
        <v>19.55</v>
      </c>
    </row>
    <row r="1928" spans="1:4" hidden="1" outlineLevel="1" x14ac:dyDescent="0.2">
      <c r="A1928" s="667" t="s">
        <v>3272</v>
      </c>
      <c r="B1928" s="668" t="s">
        <v>2648</v>
      </c>
      <c r="C1928" s="669"/>
      <c r="D1928" s="670"/>
    </row>
    <row r="1929" spans="1:4" hidden="1" outlineLevel="1" x14ac:dyDescent="0.2">
      <c r="A1929" s="659" t="s">
        <v>3273</v>
      </c>
      <c r="B1929" s="660" t="s">
        <v>3197</v>
      </c>
      <c r="C1929" s="661" t="s">
        <v>2</v>
      </c>
      <c r="D1929" s="662">
        <v>2</v>
      </c>
    </row>
    <row r="1930" spans="1:4" hidden="1" outlineLevel="1" x14ac:dyDescent="0.2">
      <c r="A1930" s="655" t="s">
        <v>3274</v>
      </c>
      <c r="B1930" s="656" t="s">
        <v>1360</v>
      </c>
      <c r="C1930" s="657"/>
      <c r="D1930" s="658"/>
    </row>
    <row r="1931" spans="1:4" hidden="1" outlineLevel="1" x14ac:dyDescent="0.2">
      <c r="A1931" s="667" t="s">
        <v>3275</v>
      </c>
      <c r="B1931" s="668" t="s">
        <v>2630</v>
      </c>
      <c r="C1931" s="669"/>
      <c r="D1931" s="670"/>
    </row>
    <row r="1932" spans="1:4" hidden="1" outlineLevel="1" x14ac:dyDescent="0.2">
      <c r="A1932" s="663" t="s">
        <v>3276</v>
      </c>
      <c r="B1932" s="664" t="s">
        <v>3216</v>
      </c>
      <c r="C1932" s="665" t="s">
        <v>3</v>
      </c>
      <c r="D1932" s="666">
        <v>19.55</v>
      </c>
    </row>
    <row r="1933" spans="1:4" hidden="1" outlineLevel="1" x14ac:dyDescent="0.2">
      <c r="A1933" s="667" t="s">
        <v>3277</v>
      </c>
      <c r="B1933" s="668" t="s">
        <v>2648</v>
      </c>
      <c r="C1933" s="669"/>
      <c r="D1933" s="670"/>
    </row>
    <row r="1934" spans="1:4" hidden="1" outlineLevel="1" x14ac:dyDescent="0.2">
      <c r="A1934" s="659" t="s">
        <v>3278</v>
      </c>
      <c r="B1934" s="660" t="s">
        <v>3197</v>
      </c>
      <c r="C1934" s="661" t="s">
        <v>2</v>
      </c>
      <c r="D1934" s="662">
        <v>2</v>
      </c>
    </row>
    <row r="1935" spans="1:4" hidden="1" outlineLevel="1" x14ac:dyDescent="0.2">
      <c r="A1935" s="655" t="s">
        <v>3279</v>
      </c>
      <c r="B1935" s="656" t="s">
        <v>1364</v>
      </c>
      <c r="C1935" s="657"/>
      <c r="D1935" s="658"/>
    </row>
    <row r="1936" spans="1:4" hidden="1" outlineLevel="1" x14ac:dyDescent="0.2">
      <c r="A1936" s="667" t="s">
        <v>3280</v>
      </c>
      <c r="B1936" s="668" t="s">
        <v>2630</v>
      </c>
      <c r="C1936" s="669"/>
      <c r="D1936" s="670"/>
    </row>
    <row r="1937" spans="1:4" hidden="1" outlineLevel="1" x14ac:dyDescent="0.2">
      <c r="A1937" s="663" t="s">
        <v>3281</v>
      </c>
      <c r="B1937" s="664" t="s">
        <v>3216</v>
      </c>
      <c r="C1937" s="665" t="s">
        <v>3</v>
      </c>
      <c r="D1937" s="666">
        <v>19.13</v>
      </c>
    </row>
    <row r="1938" spans="1:4" hidden="1" outlineLevel="1" x14ac:dyDescent="0.2">
      <c r="A1938" s="667" t="s">
        <v>3282</v>
      </c>
      <c r="B1938" s="668" t="s">
        <v>2648</v>
      </c>
      <c r="C1938" s="669"/>
      <c r="D1938" s="670"/>
    </row>
    <row r="1939" spans="1:4" hidden="1" outlineLevel="1" x14ac:dyDescent="0.2">
      <c r="A1939" s="659" t="s">
        <v>3283</v>
      </c>
      <c r="B1939" s="660" t="s">
        <v>3197</v>
      </c>
      <c r="C1939" s="661" t="s">
        <v>2</v>
      </c>
      <c r="D1939" s="662">
        <v>2</v>
      </c>
    </row>
    <row r="1940" spans="1:4" hidden="1" outlineLevel="1" x14ac:dyDescent="0.2">
      <c r="A1940" s="655" t="s">
        <v>3284</v>
      </c>
      <c r="B1940" s="656" t="s">
        <v>1368</v>
      </c>
      <c r="C1940" s="657"/>
      <c r="D1940" s="658"/>
    </row>
    <row r="1941" spans="1:4" hidden="1" outlineLevel="1" x14ac:dyDescent="0.2">
      <c r="A1941" s="667" t="s">
        <v>3285</v>
      </c>
      <c r="B1941" s="668" t="s">
        <v>2630</v>
      </c>
      <c r="C1941" s="669"/>
      <c r="D1941" s="670"/>
    </row>
    <row r="1942" spans="1:4" hidden="1" outlineLevel="1" x14ac:dyDescent="0.2">
      <c r="A1942" s="663" t="s">
        <v>3286</v>
      </c>
      <c r="B1942" s="664" t="s">
        <v>3216</v>
      </c>
      <c r="C1942" s="665" t="s">
        <v>3</v>
      </c>
      <c r="D1942" s="666">
        <v>5.16</v>
      </c>
    </row>
    <row r="1943" spans="1:4" hidden="1" outlineLevel="1" x14ac:dyDescent="0.2">
      <c r="A1943" s="667" t="s">
        <v>3287</v>
      </c>
      <c r="B1943" s="668" t="s">
        <v>2648</v>
      </c>
      <c r="C1943" s="669"/>
      <c r="D1943" s="670"/>
    </row>
    <row r="1944" spans="1:4" hidden="1" outlineLevel="1" x14ac:dyDescent="0.2">
      <c r="A1944" s="659" t="s">
        <v>3288</v>
      </c>
      <c r="B1944" s="660" t="s">
        <v>3197</v>
      </c>
      <c r="C1944" s="661" t="s">
        <v>2</v>
      </c>
      <c r="D1944" s="662">
        <v>2</v>
      </c>
    </row>
    <row r="1945" spans="1:4" hidden="1" outlineLevel="1" x14ac:dyDescent="0.2">
      <c r="A1945" s="655" t="s">
        <v>3289</v>
      </c>
      <c r="B1945" s="656" t="s">
        <v>1283</v>
      </c>
      <c r="C1945" s="657"/>
      <c r="D1945" s="658"/>
    </row>
    <row r="1946" spans="1:4" hidden="1" outlineLevel="1" x14ac:dyDescent="0.2">
      <c r="A1946" s="667" t="s">
        <v>3290</v>
      </c>
      <c r="B1946" s="668" t="s">
        <v>2648</v>
      </c>
      <c r="C1946" s="669"/>
      <c r="D1946" s="670"/>
    </row>
    <row r="1947" spans="1:4" hidden="1" outlineLevel="1" x14ac:dyDescent="0.2">
      <c r="A1947" s="663" t="s">
        <v>3291</v>
      </c>
      <c r="B1947" s="664" t="s">
        <v>3197</v>
      </c>
      <c r="C1947" s="665" t="s">
        <v>2</v>
      </c>
      <c r="D1947" s="666">
        <v>2</v>
      </c>
    </row>
    <row r="1948" spans="1:4" collapsed="1" x14ac:dyDescent="0.2">
      <c r="A1948" s="651" t="s">
        <v>3292</v>
      </c>
      <c r="B1948" s="652" t="s">
        <v>3293</v>
      </c>
      <c r="C1948" s="653"/>
      <c r="D1948" s="654"/>
    </row>
    <row r="1949" spans="1:4" x14ac:dyDescent="0.2">
      <c r="A1949" s="655" t="s">
        <v>3294</v>
      </c>
      <c r="B1949" s="656" t="s">
        <v>1292</v>
      </c>
      <c r="C1949" s="657"/>
      <c r="D1949" s="658"/>
    </row>
    <row r="1950" spans="1:4" x14ac:dyDescent="0.2">
      <c r="A1950" s="659" t="s">
        <v>3295</v>
      </c>
      <c r="B1950" s="660" t="s">
        <v>3296</v>
      </c>
      <c r="C1950" s="661" t="s">
        <v>11</v>
      </c>
      <c r="D1950" s="662">
        <v>295.89</v>
      </c>
    </row>
    <row r="1951" spans="1:4" x14ac:dyDescent="0.2">
      <c r="A1951" s="663" t="s">
        <v>3297</v>
      </c>
      <c r="B1951" s="664" t="s">
        <v>3298</v>
      </c>
      <c r="C1951" s="665" t="s">
        <v>11</v>
      </c>
      <c r="D1951" s="666">
        <v>101.5</v>
      </c>
    </row>
    <row r="1952" spans="1:4" x14ac:dyDescent="0.2">
      <c r="A1952" s="655" t="s">
        <v>3299</v>
      </c>
      <c r="B1952" s="656" t="s">
        <v>1296</v>
      </c>
      <c r="C1952" s="657"/>
      <c r="D1952" s="658"/>
    </row>
    <row r="1953" spans="1:4" x14ac:dyDescent="0.2">
      <c r="A1953" s="659" t="s">
        <v>3300</v>
      </c>
      <c r="B1953" s="660" t="s">
        <v>3296</v>
      </c>
      <c r="C1953" s="661" t="s">
        <v>11</v>
      </c>
      <c r="D1953" s="662">
        <v>225.38</v>
      </c>
    </row>
    <row r="1954" spans="1:4" x14ac:dyDescent="0.2">
      <c r="A1954" s="663" t="s">
        <v>3301</v>
      </c>
      <c r="B1954" s="664" t="s">
        <v>3298</v>
      </c>
      <c r="C1954" s="665" t="s">
        <v>11</v>
      </c>
      <c r="D1954" s="666">
        <v>86.49</v>
      </c>
    </row>
    <row r="1955" spans="1:4" x14ac:dyDescent="0.2">
      <c r="A1955" s="655" t="s">
        <v>3302</v>
      </c>
      <c r="B1955" s="656" t="s">
        <v>1299</v>
      </c>
      <c r="C1955" s="657"/>
      <c r="D1955" s="658"/>
    </row>
    <row r="1956" spans="1:4" x14ac:dyDescent="0.2">
      <c r="A1956" s="659" t="s">
        <v>3303</v>
      </c>
      <c r="B1956" s="660" t="s">
        <v>3296</v>
      </c>
      <c r="C1956" s="661" t="s">
        <v>11</v>
      </c>
      <c r="D1956" s="662">
        <v>225.32</v>
      </c>
    </row>
    <row r="1957" spans="1:4" x14ac:dyDescent="0.2">
      <c r="A1957" s="663" t="s">
        <v>3304</v>
      </c>
      <c r="B1957" s="664" t="s">
        <v>3298</v>
      </c>
      <c r="C1957" s="665" t="s">
        <v>11</v>
      </c>
      <c r="D1957" s="666">
        <v>86.46</v>
      </c>
    </row>
    <row r="1958" spans="1:4" x14ac:dyDescent="0.2">
      <c r="A1958" s="655" t="s">
        <v>3305</v>
      </c>
      <c r="B1958" s="656" t="s">
        <v>1302</v>
      </c>
      <c r="C1958" s="657"/>
      <c r="D1958" s="658"/>
    </row>
    <row r="1959" spans="1:4" x14ac:dyDescent="0.2">
      <c r="A1959" s="659" t="s">
        <v>3306</v>
      </c>
      <c r="B1959" s="660" t="s">
        <v>3296</v>
      </c>
      <c r="C1959" s="661" t="s">
        <v>11</v>
      </c>
      <c r="D1959" s="662">
        <v>231.75</v>
      </c>
    </row>
    <row r="1960" spans="1:4" x14ac:dyDescent="0.2">
      <c r="A1960" s="663" t="s">
        <v>3307</v>
      </c>
      <c r="B1960" s="664" t="s">
        <v>3298</v>
      </c>
      <c r="C1960" s="665" t="s">
        <v>11</v>
      </c>
      <c r="D1960" s="666">
        <v>97.94</v>
      </c>
    </row>
    <row r="1961" spans="1:4" x14ac:dyDescent="0.2">
      <c r="A1961" s="655" t="s">
        <v>3308</v>
      </c>
      <c r="B1961" s="656" t="s">
        <v>1305</v>
      </c>
      <c r="C1961" s="657"/>
      <c r="D1961" s="658"/>
    </row>
    <row r="1962" spans="1:4" x14ac:dyDescent="0.2">
      <c r="A1962" s="659" t="s">
        <v>3309</v>
      </c>
      <c r="B1962" s="660" t="s">
        <v>3296</v>
      </c>
      <c r="C1962" s="661" t="s">
        <v>11</v>
      </c>
      <c r="D1962" s="662">
        <v>250.26</v>
      </c>
    </row>
    <row r="1963" spans="1:4" x14ac:dyDescent="0.2">
      <c r="A1963" s="663" t="s">
        <v>3310</v>
      </c>
      <c r="B1963" s="664" t="s">
        <v>3298</v>
      </c>
      <c r="C1963" s="665" t="s">
        <v>11</v>
      </c>
      <c r="D1963" s="666">
        <v>111.93</v>
      </c>
    </row>
    <row r="1964" spans="1:4" x14ac:dyDescent="0.2">
      <c r="A1964" s="655" t="s">
        <v>3311</v>
      </c>
      <c r="B1964" s="656" t="s">
        <v>1308</v>
      </c>
      <c r="C1964" s="657"/>
      <c r="D1964" s="658"/>
    </row>
    <row r="1965" spans="1:4" x14ac:dyDescent="0.2">
      <c r="A1965" s="659" t="s">
        <v>3312</v>
      </c>
      <c r="B1965" s="660" t="s">
        <v>3296</v>
      </c>
      <c r="C1965" s="661" t="s">
        <v>11</v>
      </c>
      <c r="D1965" s="662">
        <v>568.89</v>
      </c>
    </row>
    <row r="1966" spans="1:4" x14ac:dyDescent="0.2">
      <c r="A1966" s="663" t="s">
        <v>3313</v>
      </c>
      <c r="B1966" s="664" t="s">
        <v>3298</v>
      </c>
      <c r="C1966" s="665" t="s">
        <v>11</v>
      </c>
      <c r="D1966" s="666">
        <v>243.84</v>
      </c>
    </row>
    <row r="1967" spans="1:4" x14ac:dyDescent="0.2">
      <c r="A1967" s="655" t="s">
        <v>3314</v>
      </c>
      <c r="B1967" s="656" t="s">
        <v>1311</v>
      </c>
      <c r="C1967" s="657"/>
      <c r="D1967" s="658"/>
    </row>
    <row r="1968" spans="1:4" x14ac:dyDescent="0.2">
      <c r="A1968" s="659" t="s">
        <v>3315</v>
      </c>
      <c r="B1968" s="660" t="s">
        <v>3296</v>
      </c>
      <c r="C1968" s="661" t="s">
        <v>11</v>
      </c>
      <c r="D1968" s="662">
        <v>252.97</v>
      </c>
    </row>
    <row r="1969" spans="1:4" x14ac:dyDescent="0.2">
      <c r="A1969" s="663" t="s">
        <v>3316</v>
      </c>
      <c r="B1969" s="664" t="s">
        <v>3298</v>
      </c>
      <c r="C1969" s="665" t="s">
        <v>11</v>
      </c>
      <c r="D1969" s="666">
        <v>29.28</v>
      </c>
    </row>
    <row r="1970" spans="1:4" x14ac:dyDescent="0.2">
      <c r="A1970" s="655" t="s">
        <v>3317</v>
      </c>
      <c r="B1970" s="656" t="s">
        <v>1316</v>
      </c>
      <c r="C1970" s="657"/>
      <c r="D1970" s="658"/>
    </row>
    <row r="1971" spans="1:4" x14ac:dyDescent="0.2">
      <c r="A1971" s="659" t="s">
        <v>3318</v>
      </c>
      <c r="B1971" s="660" t="s">
        <v>3296</v>
      </c>
      <c r="C1971" s="661" t="s">
        <v>11</v>
      </c>
      <c r="D1971" s="662">
        <v>262.02</v>
      </c>
    </row>
    <row r="1972" spans="1:4" x14ac:dyDescent="0.2">
      <c r="A1972" s="663" t="s">
        <v>3319</v>
      </c>
      <c r="B1972" s="664" t="s">
        <v>3298</v>
      </c>
      <c r="C1972" s="665" t="s">
        <v>11</v>
      </c>
      <c r="D1972" s="666">
        <v>10.11</v>
      </c>
    </row>
    <row r="1973" spans="1:4" x14ac:dyDescent="0.2">
      <c r="A1973" s="655" t="s">
        <v>3320</v>
      </c>
      <c r="B1973" s="656" t="s">
        <v>1320</v>
      </c>
      <c r="C1973" s="657"/>
      <c r="D1973" s="658"/>
    </row>
    <row r="1974" spans="1:4" x14ac:dyDescent="0.2">
      <c r="A1974" s="659" t="s">
        <v>3321</v>
      </c>
      <c r="B1974" s="660" t="s">
        <v>3296</v>
      </c>
      <c r="C1974" s="661" t="s">
        <v>11</v>
      </c>
      <c r="D1974" s="662">
        <v>262.04000000000002</v>
      </c>
    </row>
    <row r="1975" spans="1:4" x14ac:dyDescent="0.2">
      <c r="A1975" s="663" t="s">
        <v>3322</v>
      </c>
      <c r="B1975" s="664" t="s">
        <v>3298</v>
      </c>
      <c r="C1975" s="665" t="s">
        <v>11</v>
      </c>
      <c r="D1975" s="666">
        <v>10.11</v>
      </c>
    </row>
    <row r="1976" spans="1:4" x14ac:dyDescent="0.2">
      <c r="A1976" s="655" t="s">
        <v>3323</v>
      </c>
      <c r="B1976" s="656" t="s">
        <v>1324</v>
      </c>
      <c r="C1976" s="657"/>
      <c r="D1976" s="658"/>
    </row>
    <row r="1977" spans="1:4" x14ac:dyDescent="0.2">
      <c r="A1977" s="659" t="s">
        <v>3324</v>
      </c>
      <c r="B1977" s="660" t="s">
        <v>3296</v>
      </c>
      <c r="C1977" s="661" t="s">
        <v>11</v>
      </c>
      <c r="D1977" s="662">
        <v>262.04000000000002</v>
      </c>
    </row>
    <row r="1978" spans="1:4" x14ac:dyDescent="0.2">
      <c r="A1978" s="663" t="s">
        <v>3325</v>
      </c>
      <c r="B1978" s="664" t="s">
        <v>3298</v>
      </c>
      <c r="C1978" s="665" t="s">
        <v>11</v>
      </c>
      <c r="D1978" s="666">
        <v>10.11</v>
      </c>
    </row>
    <row r="1979" spans="1:4" x14ac:dyDescent="0.2">
      <c r="A1979" s="655" t="s">
        <v>3326</v>
      </c>
      <c r="B1979" s="656" t="s">
        <v>1328</v>
      </c>
      <c r="C1979" s="657"/>
      <c r="D1979" s="658"/>
    </row>
    <row r="1980" spans="1:4" x14ac:dyDescent="0.2">
      <c r="A1980" s="659" t="s">
        <v>3327</v>
      </c>
      <c r="B1980" s="660" t="s">
        <v>3296</v>
      </c>
      <c r="C1980" s="661" t="s">
        <v>11</v>
      </c>
      <c r="D1980" s="662">
        <v>262.04000000000002</v>
      </c>
    </row>
    <row r="1981" spans="1:4" x14ac:dyDescent="0.2">
      <c r="A1981" s="663" t="s">
        <v>3328</v>
      </c>
      <c r="B1981" s="664" t="s">
        <v>3298</v>
      </c>
      <c r="C1981" s="665" t="s">
        <v>11</v>
      </c>
      <c r="D1981" s="666">
        <v>10.11</v>
      </c>
    </row>
    <row r="1982" spans="1:4" x14ac:dyDescent="0.2">
      <c r="A1982" s="655" t="s">
        <v>3329</v>
      </c>
      <c r="B1982" s="656" t="s">
        <v>1332</v>
      </c>
      <c r="C1982" s="657"/>
      <c r="D1982" s="658"/>
    </row>
    <row r="1983" spans="1:4" x14ac:dyDescent="0.2">
      <c r="A1983" s="659" t="s">
        <v>3330</v>
      </c>
      <c r="B1983" s="660" t="s">
        <v>3296</v>
      </c>
      <c r="C1983" s="661" t="s">
        <v>11</v>
      </c>
      <c r="D1983" s="662">
        <v>262.04000000000002</v>
      </c>
    </row>
    <row r="1984" spans="1:4" x14ac:dyDescent="0.2">
      <c r="A1984" s="663" t="s">
        <v>3331</v>
      </c>
      <c r="B1984" s="664" t="s">
        <v>3298</v>
      </c>
      <c r="C1984" s="665" t="s">
        <v>11</v>
      </c>
      <c r="D1984" s="666">
        <v>10.11</v>
      </c>
    </row>
    <row r="1985" spans="1:4" x14ac:dyDescent="0.2">
      <c r="A1985" s="655" t="s">
        <v>3332</v>
      </c>
      <c r="B1985" s="656" t="s">
        <v>1336</v>
      </c>
      <c r="C1985" s="657"/>
      <c r="D1985" s="658"/>
    </row>
    <row r="1986" spans="1:4" x14ac:dyDescent="0.2">
      <c r="A1986" s="659" t="s">
        <v>3333</v>
      </c>
      <c r="B1986" s="660" t="s">
        <v>3296</v>
      </c>
      <c r="C1986" s="661" t="s">
        <v>11</v>
      </c>
      <c r="D1986" s="662">
        <v>262.04000000000002</v>
      </c>
    </row>
    <row r="1987" spans="1:4" x14ac:dyDescent="0.2">
      <c r="A1987" s="663" t="s">
        <v>3334</v>
      </c>
      <c r="B1987" s="664" t="s">
        <v>3298</v>
      </c>
      <c r="C1987" s="665" t="s">
        <v>11</v>
      </c>
      <c r="D1987" s="666">
        <v>10.11</v>
      </c>
    </row>
    <row r="1988" spans="1:4" x14ac:dyDescent="0.2">
      <c r="A1988" s="655" t="s">
        <v>3335</v>
      </c>
      <c r="B1988" s="656" t="s">
        <v>1340</v>
      </c>
      <c r="C1988" s="657"/>
      <c r="D1988" s="658"/>
    </row>
    <row r="1989" spans="1:4" x14ac:dyDescent="0.2">
      <c r="A1989" s="659" t="s">
        <v>3336</v>
      </c>
      <c r="B1989" s="660" t="s">
        <v>3296</v>
      </c>
      <c r="C1989" s="661" t="s">
        <v>11</v>
      </c>
      <c r="D1989" s="662">
        <v>262.04000000000002</v>
      </c>
    </row>
    <row r="1990" spans="1:4" x14ac:dyDescent="0.2">
      <c r="A1990" s="663" t="s">
        <v>3337</v>
      </c>
      <c r="B1990" s="664" t="s">
        <v>3298</v>
      </c>
      <c r="C1990" s="665" t="s">
        <v>11</v>
      </c>
      <c r="D1990" s="666">
        <v>10.11</v>
      </c>
    </row>
    <row r="1991" spans="1:4" x14ac:dyDescent="0.2">
      <c r="A1991" s="655" t="s">
        <v>3338</v>
      </c>
      <c r="B1991" s="656" t="s">
        <v>1344</v>
      </c>
      <c r="C1991" s="657"/>
      <c r="D1991" s="658"/>
    </row>
    <row r="1992" spans="1:4" x14ac:dyDescent="0.2">
      <c r="A1992" s="659" t="s">
        <v>3339</v>
      </c>
      <c r="B1992" s="660" t="s">
        <v>3296</v>
      </c>
      <c r="C1992" s="661" t="s">
        <v>11</v>
      </c>
      <c r="D1992" s="662">
        <v>262.04000000000002</v>
      </c>
    </row>
    <row r="1993" spans="1:4" x14ac:dyDescent="0.2">
      <c r="A1993" s="663" t="s">
        <v>3340</v>
      </c>
      <c r="B1993" s="664" t="s">
        <v>3298</v>
      </c>
      <c r="C1993" s="665" t="s">
        <v>11</v>
      </c>
      <c r="D1993" s="666">
        <v>10.11</v>
      </c>
    </row>
    <row r="1994" spans="1:4" x14ac:dyDescent="0.2">
      <c r="A1994" s="655" t="s">
        <v>3341</v>
      </c>
      <c r="B1994" s="656" t="s">
        <v>1348</v>
      </c>
      <c r="C1994" s="657"/>
      <c r="D1994" s="658"/>
    </row>
    <row r="1995" spans="1:4" x14ac:dyDescent="0.2">
      <c r="A1995" s="659" t="s">
        <v>3342</v>
      </c>
      <c r="B1995" s="660" t="s">
        <v>3296</v>
      </c>
      <c r="C1995" s="661" t="s">
        <v>11</v>
      </c>
      <c r="D1995" s="662">
        <v>262.04000000000002</v>
      </c>
    </row>
    <row r="1996" spans="1:4" x14ac:dyDescent="0.2">
      <c r="A1996" s="663" t="s">
        <v>3343</v>
      </c>
      <c r="B1996" s="664" t="s">
        <v>3298</v>
      </c>
      <c r="C1996" s="665" t="s">
        <v>11</v>
      </c>
      <c r="D1996" s="666">
        <v>10.11</v>
      </c>
    </row>
    <row r="1997" spans="1:4" x14ac:dyDescent="0.2">
      <c r="A1997" s="655" t="s">
        <v>3344</v>
      </c>
      <c r="B1997" s="656" t="s">
        <v>1352</v>
      </c>
      <c r="C1997" s="657"/>
      <c r="D1997" s="658"/>
    </row>
    <row r="1998" spans="1:4" x14ac:dyDescent="0.2">
      <c r="A1998" s="659" t="s">
        <v>3345</v>
      </c>
      <c r="B1998" s="660" t="s">
        <v>3296</v>
      </c>
      <c r="C1998" s="661" t="s">
        <v>11</v>
      </c>
      <c r="D1998" s="662">
        <v>262.04000000000002</v>
      </c>
    </row>
    <row r="1999" spans="1:4" x14ac:dyDescent="0.2">
      <c r="A1999" s="663" t="s">
        <v>3346</v>
      </c>
      <c r="B1999" s="664" t="s">
        <v>3298</v>
      </c>
      <c r="C1999" s="665" t="s">
        <v>11</v>
      </c>
      <c r="D1999" s="666">
        <v>10.11</v>
      </c>
    </row>
    <row r="2000" spans="1:4" x14ac:dyDescent="0.2">
      <c r="A2000" s="655" t="s">
        <v>3347</v>
      </c>
      <c r="B2000" s="656" t="s">
        <v>1356</v>
      </c>
      <c r="C2000" s="657"/>
      <c r="D2000" s="658"/>
    </row>
    <row r="2001" spans="1:4" x14ac:dyDescent="0.2">
      <c r="A2001" s="659" t="s">
        <v>3348</v>
      </c>
      <c r="B2001" s="660" t="s">
        <v>3296</v>
      </c>
      <c r="C2001" s="661" t="s">
        <v>11</v>
      </c>
      <c r="D2001" s="662">
        <v>262.04000000000002</v>
      </c>
    </row>
    <row r="2002" spans="1:4" x14ac:dyDescent="0.2">
      <c r="A2002" s="663" t="s">
        <v>3349</v>
      </c>
      <c r="B2002" s="664" t="s">
        <v>3298</v>
      </c>
      <c r="C2002" s="665" t="s">
        <v>11</v>
      </c>
      <c r="D2002" s="666">
        <v>10.11</v>
      </c>
    </row>
    <row r="2003" spans="1:4" x14ac:dyDescent="0.2">
      <c r="A2003" s="655" t="s">
        <v>3350</v>
      </c>
      <c r="B2003" s="656" t="s">
        <v>1360</v>
      </c>
      <c r="C2003" s="657"/>
      <c r="D2003" s="658"/>
    </row>
    <row r="2004" spans="1:4" x14ac:dyDescent="0.2">
      <c r="A2004" s="659" t="s">
        <v>3351</v>
      </c>
      <c r="B2004" s="660" t="s">
        <v>3296</v>
      </c>
      <c r="C2004" s="661" t="s">
        <v>11</v>
      </c>
      <c r="D2004" s="662">
        <v>260.39999999999998</v>
      </c>
    </row>
    <row r="2005" spans="1:4" x14ac:dyDescent="0.2">
      <c r="A2005" s="663" t="s">
        <v>3352</v>
      </c>
      <c r="B2005" s="664" t="s">
        <v>3298</v>
      </c>
      <c r="C2005" s="665" t="s">
        <v>11</v>
      </c>
      <c r="D2005" s="666">
        <v>10.11</v>
      </c>
    </row>
    <row r="2006" spans="1:4" x14ac:dyDescent="0.2">
      <c r="A2006" s="655" t="s">
        <v>3353</v>
      </c>
      <c r="B2006" s="656" t="s">
        <v>1364</v>
      </c>
      <c r="C2006" s="657"/>
      <c r="D2006" s="658"/>
    </row>
    <row r="2007" spans="1:4" x14ac:dyDescent="0.2">
      <c r="A2007" s="659" t="s">
        <v>3354</v>
      </c>
      <c r="B2007" s="660" t="s">
        <v>3296</v>
      </c>
      <c r="C2007" s="661" t="s">
        <v>11</v>
      </c>
      <c r="D2007" s="662">
        <v>258.95999999999998</v>
      </c>
    </row>
    <row r="2008" spans="1:4" x14ac:dyDescent="0.2">
      <c r="A2008" s="663" t="s">
        <v>3355</v>
      </c>
      <c r="B2008" s="664" t="s">
        <v>3298</v>
      </c>
      <c r="C2008" s="665" t="s">
        <v>11</v>
      </c>
      <c r="D2008" s="666">
        <v>23.93</v>
      </c>
    </row>
    <row r="2009" spans="1:4" x14ac:dyDescent="0.2">
      <c r="A2009" s="655" t="s">
        <v>3356</v>
      </c>
      <c r="B2009" s="656" t="s">
        <v>1368</v>
      </c>
      <c r="C2009" s="657"/>
      <c r="D2009" s="658"/>
    </row>
    <row r="2010" spans="1:4" x14ac:dyDescent="0.2">
      <c r="A2010" s="659" t="s">
        <v>3357</v>
      </c>
      <c r="B2010" s="660" t="s">
        <v>3296</v>
      </c>
      <c r="C2010" s="661" t="s">
        <v>11</v>
      </c>
      <c r="D2010" s="662">
        <v>211.7</v>
      </c>
    </row>
    <row r="2011" spans="1:4" x14ac:dyDescent="0.2">
      <c r="A2011" s="655" t="s">
        <v>3358</v>
      </c>
      <c r="B2011" s="656" t="s">
        <v>1283</v>
      </c>
      <c r="C2011" s="657"/>
      <c r="D2011" s="658"/>
    </row>
    <row r="2012" spans="1:4" x14ac:dyDescent="0.2">
      <c r="A2012" s="663" t="s">
        <v>3359</v>
      </c>
      <c r="B2012" s="664" t="s">
        <v>3296</v>
      </c>
      <c r="C2012" s="665" t="s">
        <v>11</v>
      </c>
      <c r="D2012" s="666">
        <v>426.8</v>
      </c>
    </row>
    <row r="2013" spans="1:4" x14ac:dyDescent="0.2">
      <c r="A2013" s="655" t="s">
        <v>3360</v>
      </c>
      <c r="B2013" s="656" t="s">
        <v>1287</v>
      </c>
      <c r="C2013" s="657"/>
      <c r="D2013" s="658"/>
    </row>
    <row r="2014" spans="1:4" x14ac:dyDescent="0.2">
      <c r="A2014" s="659" t="s">
        <v>3361</v>
      </c>
      <c r="B2014" s="660" t="s">
        <v>3296</v>
      </c>
      <c r="C2014" s="661" t="s">
        <v>11</v>
      </c>
      <c r="D2014" s="662">
        <v>5.19</v>
      </c>
    </row>
    <row r="2015" spans="1:4" x14ac:dyDescent="0.2">
      <c r="A2015" s="651" t="s">
        <v>3362</v>
      </c>
      <c r="B2015" s="652" t="s">
        <v>3363</v>
      </c>
      <c r="C2015" s="653"/>
      <c r="D2015" s="654"/>
    </row>
    <row r="2016" spans="1:4" x14ac:dyDescent="0.2">
      <c r="A2016" s="655" t="s">
        <v>3364</v>
      </c>
      <c r="B2016" s="656" t="s">
        <v>1292</v>
      </c>
      <c r="C2016" s="657"/>
      <c r="D2016" s="658"/>
    </row>
    <row r="2017" spans="1:4" x14ac:dyDescent="0.2">
      <c r="A2017" s="663" t="s">
        <v>3365</v>
      </c>
      <c r="B2017" s="664" t="s">
        <v>3366</v>
      </c>
      <c r="C2017" s="665" t="s">
        <v>11</v>
      </c>
      <c r="D2017" s="666">
        <v>397.4</v>
      </c>
    </row>
    <row r="2018" spans="1:4" x14ac:dyDescent="0.2">
      <c r="A2018" s="655" t="s">
        <v>3367</v>
      </c>
      <c r="B2018" s="656" t="s">
        <v>1296</v>
      </c>
      <c r="C2018" s="657"/>
      <c r="D2018" s="658"/>
    </row>
    <row r="2019" spans="1:4" x14ac:dyDescent="0.2">
      <c r="A2019" s="659" t="s">
        <v>3368</v>
      </c>
      <c r="B2019" s="660" t="s">
        <v>3366</v>
      </c>
      <c r="C2019" s="661" t="s">
        <v>11</v>
      </c>
      <c r="D2019" s="662">
        <v>311.86</v>
      </c>
    </row>
    <row r="2020" spans="1:4" x14ac:dyDescent="0.2">
      <c r="A2020" s="655" t="s">
        <v>3369</v>
      </c>
      <c r="B2020" s="656" t="s">
        <v>1299</v>
      </c>
      <c r="C2020" s="657"/>
      <c r="D2020" s="658"/>
    </row>
    <row r="2021" spans="1:4" x14ac:dyDescent="0.2">
      <c r="A2021" s="663" t="s">
        <v>3370</v>
      </c>
      <c r="B2021" s="664" t="s">
        <v>3366</v>
      </c>
      <c r="C2021" s="665" t="s">
        <v>11</v>
      </c>
      <c r="D2021" s="666">
        <v>311.77999999999997</v>
      </c>
    </row>
    <row r="2022" spans="1:4" x14ac:dyDescent="0.2">
      <c r="A2022" s="655" t="s">
        <v>3371</v>
      </c>
      <c r="B2022" s="656" t="s">
        <v>1302</v>
      </c>
      <c r="C2022" s="657"/>
      <c r="D2022" s="658"/>
    </row>
    <row r="2023" spans="1:4" x14ac:dyDescent="0.2">
      <c r="A2023" s="659" t="s">
        <v>3372</v>
      </c>
      <c r="B2023" s="660" t="s">
        <v>3366</v>
      </c>
      <c r="C2023" s="661" t="s">
        <v>11</v>
      </c>
      <c r="D2023" s="662">
        <v>329.69</v>
      </c>
    </row>
    <row r="2024" spans="1:4" x14ac:dyDescent="0.2">
      <c r="A2024" s="655" t="s">
        <v>3373</v>
      </c>
      <c r="B2024" s="656" t="s">
        <v>1305</v>
      </c>
      <c r="C2024" s="657"/>
      <c r="D2024" s="658"/>
    </row>
    <row r="2025" spans="1:4" x14ac:dyDescent="0.2">
      <c r="A2025" s="663" t="s">
        <v>3374</v>
      </c>
      <c r="B2025" s="664" t="s">
        <v>3366</v>
      </c>
      <c r="C2025" s="665" t="s">
        <v>11</v>
      </c>
      <c r="D2025" s="666">
        <v>362.19</v>
      </c>
    </row>
    <row r="2026" spans="1:4" x14ac:dyDescent="0.2">
      <c r="A2026" s="655" t="s">
        <v>3375</v>
      </c>
      <c r="B2026" s="656" t="s">
        <v>1308</v>
      </c>
      <c r="C2026" s="657"/>
      <c r="D2026" s="658"/>
    </row>
    <row r="2027" spans="1:4" x14ac:dyDescent="0.2">
      <c r="A2027" s="659" t="s">
        <v>3376</v>
      </c>
      <c r="B2027" s="660" t="s">
        <v>3366</v>
      </c>
      <c r="C2027" s="661" t="s">
        <v>11</v>
      </c>
      <c r="D2027" s="662">
        <v>812.73</v>
      </c>
    </row>
    <row r="2028" spans="1:4" x14ac:dyDescent="0.2">
      <c r="A2028" s="655" t="s">
        <v>3377</v>
      </c>
      <c r="B2028" s="656" t="s">
        <v>1311</v>
      </c>
      <c r="C2028" s="657"/>
      <c r="D2028" s="658"/>
    </row>
    <row r="2029" spans="1:4" x14ac:dyDescent="0.2">
      <c r="A2029" s="663" t="s">
        <v>3378</v>
      </c>
      <c r="B2029" s="664" t="s">
        <v>3366</v>
      </c>
      <c r="C2029" s="665" t="s">
        <v>11</v>
      </c>
      <c r="D2029" s="666">
        <v>282.25</v>
      </c>
    </row>
    <row r="2030" spans="1:4" x14ac:dyDescent="0.2">
      <c r="A2030" s="655" t="s">
        <v>3379</v>
      </c>
      <c r="B2030" s="656" t="s">
        <v>1316</v>
      </c>
      <c r="C2030" s="657"/>
      <c r="D2030" s="658"/>
    </row>
    <row r="2031" spans="1:4" x14ac:dyDescent="0.2">
      <c r="A2031" s="659" t="s">
        <v>3380</v>
      </c>
      <c r="B2031" s="660" t="s">
        <v>3366</v>
      </c>
      <c r="C2031" s="661" t="s">
        <v>11</v>
      </c>
      <c r="D2031" s="662">
        <v>272.13</v>
      </c>
    </row>
    <row r="2032" spans="1:4" x14ac:dyDescent="0.2">
      <c r="A2032" s="655" t="s">
        <v>3381</v>
      </c>
      <c r="B2032" s="656" t="s">
        <v>1320</v>
      </c>
      <c r="C2032" s="657"/>
      <c r="D2032" s="658"/>
    </row>
    <row r="2033" spans="1:4" x14ac:dyDescent="0.2">
      <c r="A2033" s="663" t="s">
        <v>3382</v>
      </c>
      <c r="B2033" s="664" t="s">
        <v>3366</v>
      </c>
      <c r="C2033" s="665" t="s">
        <v>11</v>
      </c>
      <c r="D2033" s="666">
        <v>272.14999999999998</v>
      </c>
    </row>
    <row r="2034" spans="1:4" x14ac:dyDescent="0.2">
      <c r="A2034" s="655" t="s">
        <v>3383</v>
      </c>
      <c r="B2034" s="656" t="s">
        <v>1324</v>
      </c>
      <c r="C2034" s="657"/>
      <c r="D2034" s="658"/>
    </row>
    <row r="2035" spans="1:4" x14ac:dyDescent="0.2">
      <c r="A2035" s="659" t="s">
        <v>3384</v>
      </c>
      <c r="B2035" s="660" t="s">
        <v>3366</v>
      </c>
      <c r="C2035" s="661" t="s">
        <v>11</v>
      </c>
      <c r="D2035" s="662">
        <v>272.14999999999998</v>
      </c>
    </row>
    <row r="2036" spans="1:4" x14ac:dyDescent="0.2">
      <c r="A2036" s="655" t="s">
        <v>3385</v>
      </c>
      <c r="B2036" s="656" t="s">
        <v>1328</v>
      </c>
      <c r="C2036" s="657"/>
      <c r="D2036" s="658"/>
    </row>
    <row r="2037" spans="1:4" x14ac:dyDescent="0.2">
      <c r="A2037" s="663" t="s">
        <v>3386</v>
      </c>
      <c r="B2037" s="664" t="s">
        <v>3366</v>
      </c>
      <c r="C2037" s="665" t="s">
        <v>11</v>
      </c>
      <c r="D2037" s="666">
        <v>272.14999999999998</v>
      </c>
    </row>
    <row r="2038" spans="1:4" x14ac:dyDescent="0.2">
      <c r="A2038" s="655" t="s">
        <v>3387</v>
      </c>
      <c r="B2038" s="656" t="s">
        <v>1332</v>
      </c>
      <c r="C2038" s="657"/>
      <c r="D2038" s="658"/>
    </row>
    <row r="2039" spans="1:4" x14ac:dyDescent="0.2">
      <c r="A2039" s="659" t="s">
        <v>3388</v>
      </c>
      <c r="B2039" s="660" t="s">
        <v>3366</v>
      </c>
      <c r="C2039" s="661" t="s">
        <v>11</v>
      </c>
      <c r="D2039" s="662">
        <v>272.14999999999998</v>
      </c>
    </row>
    <row r="2040" spans="1:4" x14ac:dyDescent="0.2">
      <c r="A2040" s="655" t="s">
        <v>3389</v>
      </c>
      <c r="B2040" s="656" t="s">
        <v>1336</v>
      </c>
      <c r="C2040" s="657"/>
      <c r="D2040" s="658"/>
    </row>
    <row r="2041" spans="1:4" x14ac:dyDescent="0.2">
      <c r="A2041" s="663" t="s">
        <v>3390</v>
      </c>
      <c r="B2041" s="664" t="s">
        <v>3366</v>
      </c>
      <c r="C2041" s="665" t="s">
        <v>11</v>
      </c>
      <c r="D2041" s="666">
        <v>272.14999999999998</v>
      </c>
    </row>
    <row r="2042" spans="1:4" x14ac:dyDescent="0.2">
      <c r="A2042" s="655" t="s">
        <v>3391</v>
      </c>
      <c r="B2042" s="656" t="s">
        <v>1340</v>
      </c>
      <c r="C2042" s="657"/>
      <c r="D2042" s="658"/>
    </row>
    <row r="2043" spans="1:4" x14ac:dyDescent="0.2">
      <c r="A2043" s="659" t="s">
        <v>3392</v>
      </c>
      <c r="B2043" s="660" t="s">
        <v>3366</v>
      </c>
      <c r="C2043" s="661" t="s">
        <v>11</v>
      </c>
      <c r="D2043" s="662">
        <v>272.14999999999998</v>
      </c>
    </row>
    <row r="2044" spans="1:4" x14ac:dyDescent="0.2">
      <c r="A2044" s="655" t="s">
        <v>3393</v>
      </c>
      <c r="B2044" s="656" t="s">
        <v>1344</v>
      </c>
      <c r="C2044" s="657"/>
      <c r="D2044" s="658"/>
    </row>
    <row r="2045" spans="1:4" x14ac:dyDescent="0.2">
      <c r="A2045" s="663" t="s">
        <v>3394</v>
      </c>
      <c r="B2045" s="664" t="s">
        <v>3366</v>
      </c>
      <c r="C2045" s="665" t="s">
        <v>11</v>
      </c>
      <c r="D2045" s="666">
        <v>272.14999999999998</v>
      </c>
    </row>
    <row r="2046" spans="1:4" x14ac:dyDescent="0.2">
      <c r="A2046" s="655" t="s">
        <v>3395</v>
      </c>
      <c r="B2046" s="656" t="s">
        <v>1348</v>
      </c>
      <c r="C2046" s="657"/>
      <c r="D2046" s="658"/>
    </row>
    <row r="2047" spans="1:4" x14ac:dyDescent="0.2">
      <c r="A2047" s="659" t="s">
        <v>3396</v>
      </c>
      <c r="B2047" s="660" t="s">
        <v>3366</v>
      </c>
      <c r="C2047" s="661" t="s">
        <v>11</v>
      </c>
      <c r="D2047" s="662">
        <v>272.14999999999998</v>
      </c>
    </row>
    <row r="2048" spans="1:4" x14ac:dyDescent="0.2">
      <c r="A2048" s="655" t="s">
        <v>3397</v>
      </c>
      <c r="B2048" s="656" t="s">
        <v>1352</v>
      </c>
      <c r="C2048" s="657"/>
      <c r="D2048" s="658"/>
    </row>
    <row r="2049" spans="1:4" x14ac:dyDescent="0.2">
      <c r="A2049" s="663" t="s">
        <v>3398</v>
      </c>
      <c r="B2049" s="664" t="s">
        <v>3366</v>
      </c>
      <c r="C2049" s="665" t="s">
        <v>11</v>
      </c>
      <c r="D2049" s="666">
        <v>272.14999999999998</v>
      </c>
    </row>
    <row r="2050" spans="1:4" x14ac:dyDescent="0.2">
      <c r="A2050" s="655" t="s">
        <v>3399</v>
      </c>
      <c r="B2050" s="656" t="s">
        <v>1356</v>
      </c>
      <c r="C2050" s="657"/>
      <c r="D2050" s="658"/>
    </row>
    <row r="2051" spans="1:4" x14ac:dyDescent="0.2">
      <c r="A2051" s="659" t="s">
        <v>3400</v>
      </c>
      <c r="B2051" s="660" t="s">
        <v>3366</v>
      </c>
      <c r="C2051" s="661" t="s">
        <v>11</v>
      </c>
      <c r="D2051" s="662">
        <v>272.14999999999998</v>
      </c>
    </row>
    <row r="2052" spans="1:4" x14ac:dyDescent="0.2">
      <c r="A2052" s="655" t="s">
        <v>3401</v>
      </c>
      <c r="B2052" s="656" t="s">
        <v>1360</v>
      </c>
      <c r="C2052" s="657"/>
      <c r="D2052" s="658"/>
    </row>
    <row r="2053" spans="1:4" x14ac:dyDescent="0.2">
      <c r="A2053" s="663" t="s">
        <v>3402</v>
      </c>
      <c r="B2053" s="664" t="s">
        <v>3366</v>
      </c>
      <c r="C2053" s="665" t="s">
        <v>11</v>
      </c>
      <c r="D2053" s="666">
        <v>270.51</v>
      </c>
    </row>
    <row r="2054" spans="1:4" x14ac:dyDescent="0.2">
      <c r="A2054" s="655" t="s">
        <v>3403</v>
      </c>
      <c r="B2054" s="656" t="s">
        <v>1364</v>
      </c>
      <c r="C2054" s="657"/>
      <c r="D2054" s="658"/>
    </row>
    <row r="2055" spans="1:4" x14ac:dyDescent="0.2">
      <c r="A2055" s="659" t="s">
        <v>3404</v>
      </c>
      <c r="B2055" s="660" t="s">
        <v>3366</v>
      </c>
      <c r="C2055" s="661" t="s">
        <v>11</v>
      </c>
      <c r="D2055" s="662">
        <v>282.89</v>
      </c>
    </row>
    <row r="2056" spans="1:4" x14ac:dyDescent="0.2">
      <c r="A2056" s="655" t="s">
        <v>3405</v>
      </c>
      <c r="B2056" s="656" t="s">
        <v>1368</v>
      </c>
      <c r="C2056" s="657"/>
      <c r="D2056" s="658"/>
    </row>
    <row r="2057" spans="1:4" x14ac:dyDescent="0.2">
      <c r="A2057" s="663" t="s">
        <v>3406</v>
      </c>
      <c r="B2057" s="664" t="s">
        <v>3366</v>
      </c>
      <c r="C2057" s="665" t="s">
        <v>11</v>
      </c>
      <c r="D2057" s="666">
        <v>211.7</v>
      </c>
    </row>
    <row r="2058" spans="1:4" x14ac:dyDescent="0.2">
      <c r="A2058" s="655" t="s">
        <v>3407</v>
      </c>
      <c r="B2058" s="656" t="s">
        <v>1283</v>
      </c>
      <c r="C2058" s="657"/>
      <c r="D2058" s="658"/>
    </row>
    <row r="2059" spans="1:4" x14ac:dyDescent="0.2">
      <c r="A2059" s="659" t="s">
        <v>3408</v>
      </c>
      <c r="B2059" s="660" t="s">
        <v>3366</v>
      </c>
      <c r="C2059" s="661" t="s">
        <v>11</v>
      </c>
      <c r="D2059" s="662">
        <v>426.8</v>
      </c>
    </row>
    <row r="2060" spans="1:4" x14ac:dyDescent="0.2">
      <c r="A2060" s="655" t="s">
        <v>3409</v>
      </c>
      <c r="B2060" s="656" t="s">
        <v>1287</v>
      </c>
      <c r="C2060" s="657"/>
      <c r="D2060" s="658"/>
    </row>
    <row r="2061" spans="1:4" x14ac:dyDescent="0.2">
      <c r="A2061" s="663" t="s">
        <v>3410</v>
      </c>
      <c r="B2061" s="664" t="s">
        <v>3366</v>
      </c>
      <c r="C2061" s="665" t="s">
        <v>11</v>
      </c>
      <c r="D2061" s="666">
        <v>5.19</v>
      </c>
    </row>
    <row r="2062" spans="1:4" x14ac:dyDescent="0.2">
      <c r="A2062" s="651" t="s">
        <v>3411</v>
      </c>
      <c r="B2062" s="652" t="s">
        <v>160</v>
      </c>
      <c r="C2062" s="653"/>
      <c r="D2062" s="654"/>
    </row>
    <row r="2063" spans="1:4" x14ac:dyDescent="0.2">
      <c r="A2063" s="655" t="s">
        <v>3412</v>
      </c>
      <c r="B2063" s="656" t="s">
        <v>1292</v>
      </c>
      <c r="C2063" s="657"/>
      <c r="D2063" s="658"/>
    </row>
    <row r="2064" spans="1:4" x14ac:dyDescent="0.2">
      <c r="A2064" s="659" t="s">
        <v>3413</v>
      </c>
      <c r="B2064" s="660" t="s">
        <v>3414</v>
      </c>
      <c r="C2064" s="661" t="s">
        <v>11</v>
      </c>
      <c r="D2064" s="662">
        <v>86.45</v>
      </c>
    </row>
    <row r="2065" spans="1:4" x14ac:dyDescent="0.2">
      <c r="A2065" s="663" t="s">
        <v>3415</v>
      </c>
      <c r="B2065" s="664" t="s">
        <v>3416</v>
      </c>
      <c r="C2065" s="665" t="s">
        <v>11</v>
      </c>
      <c r="D2065" s="666">
        <v>305.12</v>
      </c>
    </row>
    <row r="2066" spans="1:4" x14ac:dyDescent="0.2">
      <c r="A2066" s="659" t="s">
        <v>3417</v>
      </c>
      <c r="B2066" s="660" t="s">
        <v>3418</v>
      </c>
      <c r="C2066" s="661" t="s">
        <v>11</v>
      </c>
      <c r="D2066" s="662">
        <v>1.1000000000000001</v>
      </c>
    </row>
    <row r="2067" spans="1:4" x14ac:dyDescent="0.2">
      <c r="A2067" s="663" t="s">
        <v>3419</v>
      </c>
      <c r="B2067" s="664" t="s">
        <v>3420</v>
      </c>
      <c r="C2067" s="665" t="s">
        <v>11</v>
      </c>
      <c r="D2067" s="666">
        <v>4.72</v>
      </c>
    </row>
    <row r="2068" spans="1:4" x14ac:dyDescent="0.2">
      <c r="A2068" s="655" t="s">
        <v>3421</v>
      </c>
      <c r="B2068" s="656" t="s">
        <v>1296</v>
      </c>
      <c r="C2068" s="657"/>
      <c r="D2068" s="658"/>
    </row>
    <row r="2069" spans="1:4" x14ac:dyDescent="0.2">
      <c r="A2069" s="659" t="s">
        <v>3422</v>
      </c>
      <c r="B2069" s="660" t="s">
        <v>3423</v>
      </c>
      <c r="C2069" s="661" t="s">
        <v>11</v>
      </c>
      <c r="D2069" s="662">
        <v>10.69</v>
      </c>
    </row>
    <row r="2070" spans="1:4" x14ac:dyDescent="0.2">
      <c r="A2070" s="663" t="s">
        <v>3424</v>
      </c>
      <c r="B2070" s="664" t="s">
        <v>3414</v>
      </c>
      <c r="C2070" s="665" t="s">
        <v>11</v>
      </c>
      <c r="D2070" s="666">
        <v>13.13</v>
      </c>
    </row>
    <row r="2071" spans="1:4" x14ac:dyDescent="0.2">
      <c r="A2071" s="659" t="s">
        <v>3425</v>
      </c>
      <c r="B2071" s="660" t="s">
        <v>3416</v>
      </c>
      <c r="C2071" s="661" t="s">
        <v>11</v>
      </c>
      <c r="D2071" s="662">
        <v>267.98</v>
      </c>
    </row>
    <row r="2072" spans="1:4" x14ac:dyDescent="0.2">
      <c r="A2072" s="663" t="s">
        <v>3426</v>
      </c>
      <c r="B2072" s="664" t="s">
        <v>3418</v>
      </c>
      <c r="C2072" s="665" t="s">
        <v>11</v>
      </c>
      <c r="D2072" s="666">
        <v>9.3000000000000007</v>
      </c>
    </row>
    <row r="2073" spans="1:4" x14ac:dyDescent="0.2">
      <c r="A2073" s="659" t="s">
        <v>3427</v>
      </c>
      <c r="B2073" s="660" t="s">
        <v>3428</v>
      </c>
      <c r="C2073" s="661" t="s">
        <v>11</v>
      </c>
      <c r="D2073" s="662">
        <v>5.37</v>
      </c>
    </row>
    <row r="2074" spans="1:4" x14ac:dyDescent="0.2">
      <c r="A2074" s="663" t="s">
        <v>3429</v>
      </c>
      <c r="B2074" s="664" t="s">
        <v>3420</v>
      </c>
      <c r="C2074" s="665" t="s">
        <v>11</v>
      </c>
      <c r="D2074" s="666">
        <v>5.38</v>
      </c>
    </row>
    <row r="2075" spans="1:4" x14ac:dyDescent="0.2">
      <c r="A2075" s="655" t="s">
        <v>3430</v>
      </c>
      <c r="B2075" s="656" t="s">
        <v>1299</v>
      </c>
      <c r="C2075" s="657"/>
      <c r="D2075" s="658"/>
    </row>
    <row r="2076" spans="1:4" x14ac:dyDescent="0.2">
      <c r="A2076" s="659" t="s">
        <v>3431</v>
      </c>
      <c r="B2076" s="660" t="s">
        <v>3423</v>
      </c>
      <c r="C2076" s="661" t="s">
        <v>11</v>
      </c>
      <c r="D2076" s="662">
        <v>10.69</v>
      </c>
    </row>
    <row r="2077" spans="1:4" x14ac:dyDescent="0.2">
      <c r="A2077" s="663" t="s">
        <v>3432</v>
      </c>
      <c r="B2077" s="664" t="s">
        <v>3414</v>
      </c>
      <c r="C2077" s="665" t="s">
        <v>11</v>
      </c>
      <c r="D2077" s="666">
        <v>13.1</v>
      </c>
    </row>
    <row r="2078" spans="1:4" x14ac:dyDescent="0.2">
      <c r="A2078" s="659" t="s">
        <v>3433</v>
      </c>
      <c r="B2078" s="660" t="s">
        <v>3416</v>
      </c>
      <c r="C2078" s="661" t="s">
        <v>11</v>
      </c>
      <c r="D2078" s="662">
        <v>267.98</v>
      </c>
    </row>
    <row r="2079" spans="1:4" x14ac:dyDescent="0.2">
      <c r="A2079" s="663" t="s">
        <v>3434</v>
      </c>
      <c r="B2079" s="664" t="s">
        <v>3418</v>
      </c>
      <c r="C2079" s="665" t="s">
        <v>11</v>
      </c>
      <c r="D2079" s="666">
        <v>9.25</v>
      </c>
    </row>
    <row r="2080" spans="1:4" x14ac:dyDescent="0.2">
      <c r="A2080" s="659" t="s">
        <v>3435</v>
      </c>
      <c r="B2080" s="660" t="s">
        <v>3428</v>
      </c>
      <c r="C2080" s="661" t="s">
        <v>11</v>
      </c>
      <c r="D2080" s="662">
        <v>5.38</v>
      </c>
    </row>
    <row r="2081" spans="1:4" x14ac:dyDescent="0.2">
      <c r="A2081" s="663" t="s">
        <v>3436</v>
      </c>
      <c r="B2081" s="664" t="s">
        <v>3420</v>
      </c>
      <c r="C2081" s="665" t="s">
        <v>11</v>
      </c>
      <c r="D2081" s="666">
        <v>5.37</v>
      </c>
    </row>
    <row r="2082" spans="1:4" x14ac:dyDescent="0.2">
      <c r="A2082" s="655" t="s">
        <v>3437</v>
      </c>
      <c r="B2082" s="656" t="s">
        <v>1302</v>
      </c>
      <c r="C2082" s="657"/>
      <c r="D2082" s="658"/>
    </row>
    <row r="2083" spans="1:4" x14ac:dyDescent="0.2">
      <c r="A2083" s="659" t="s">
        <v>3438</v>
      </c>
      <c r="B2083" s="660" t="s">
        <v>3423</v>
      </c>
      <c r="C2083" s="661" t="s">
        <v>11</v>
      </c>
      <c r="D2083" s="662">
        <v>12.26</v>
      </c>
    </row>
    <row r="2084" spans="1:4" x14ac:dyDescent="0.2">
      <c r="A2084" s="663" t="s">
        <v>3439</v>
      </c>
      <c r="B2084" s="664" t="s">
        <v>3414</v>
      </c>
      <c r="C2084" s="665" t="s">
        <v>11</v>
      </c>
      <c r="D2084" s="666">
        <v>15.46</v>
      </c>
    </row>
    <row r="2085" spans="1:4" x14ac:dyDescent="0.2">
      <c r="A2085" s="659" t="s">
        <v>3440</v>
      </c>
      <c r="B2085" s="660" t="s">
        <v>3416</v>
      </c>
      <c r="C2085" s="661" t="s">
        <v>11</v>
      </c>
      <c r="D2085" s="662">
        <v>281.27</v>
      </c>
    </row>
    <row r="2086" spans="1:4" x14ac:dyDescent="0.2">
      <c r="A2086" s="663" t="s">
        <v>3441</v>
      </c>
      <c r="B2086" s="664" t="s">
        <v>3418</v>
      </c>
      <c r="C2086" s="665" t="s">
        <v>11</v>
      </c>
      <c r="D2086" s="666">
        <v>10.41</v>
      </c>
    </row>
    <row r="2087" spans="1:4" x14ac:dyDescent="0.2">
      <c r="A2087" s="659" t="s">
        <v>3442</v>
      </c>
      <c r="B2087" s="660" t="s">
        <v>3428</v>
      </c>
      <c r="C2087" s="661" t="s">
        <v>11</v>
      </c>
      <c r="D2087" s="662">
        <v>6.15</v>
      </c>
    </row>
    <row r="2088" spans="1:4" x14ac:dyDescent="0.2">
      <c r="A2088" s="663" t="s">
        <v>3443</v>
      </c>
      <c r="B2088" s="664" t="s">
        <v>3420</v>
      </c>
      <c r="C2088" s="665" t="s">
        <v>11</v>
      </c>
      <c r="D2088" s="666">
        <v>4.1399999999999997</v>
      </c>
    </row>
    <row r="2089" spans="1:4" x14ac:dyDescent="0.2">
      <c r="A2089" s="655" t="s">
        <v>3444</v>
      </c>
      <c r="B2089" s="656" t="s">
        <v>1305</v>
      </c>
      <c r="C2089" s="657"/>
      <c r="D2089" s="658"/>
    </row>
    <row r="2090" spans="1:4" x14ac:dyDescent="0.2">
      <c r="A2090" s="659" t="s">
        <v>3445</v>
      </c>
      <c r="B2090" s="660" t="s">
        <v>3423</v>
      </c>
      <c r="C2090" s="661" t="s">
        <v>11</v>
      </c>
      <c r="D2090" s="662">
        <v>11.45</v>
      </c>
    </row>
    <row r="2091" spans="1:4" x14ac:dyDescent="0.2">
      <c r="A2091" s="663" t="s">
        <v>3446</v>
      </c>
      <c r="B2091" s="664" t="s">
        <v>3414</v>
      </c>
      <c r="C2091" s="665" t="s">
        <v>11</v>
      </c>
      <c r="D2091" s="666">
        <v>13.79</v>
      </c>
    </row>
    <row r="2092" spans="1:4" x14ac:dyDescent="0.2">
      <c r="A2092" s="659" t="s">
        <v>3447</v>
      </c>
      <c r="B2092" s="660" t="s">
        <v>3416</v>
      </c>
      <c r="C2092" s="661" t="s">
        <v>11</v>
      </c>
      <c r="D2092" s="662">
        <v>313.02999999999997</v>
      </c>
    </row>
    <row r="2093" spans="1:4" x14ac:dyDescent="0.2">
      <c r="A2093" s="663" t="s">
        <v>3448</v>
      </c>
      <c r="B2093" s="664" t="s">
        <v>3418</v>
      </c>
      <c r="C2093" s="665" t="s">
        <v>11</v>
      </c>
      <c r="D2093" s="666">
        <v>9.86</v>
      </c>
    </row>
    <row r="2094" spans="1:4" x14ac:dyDescent="0.2">
      <c r="A2094" s="659" t="s">
        <v>3449</v>
      </c>
      <c r="B2094" s="660" t="s">
        <v>3428</v>
      </c>
      <c r="C2094" s="661" t="s">
        <v>11</v>
      </c>
      <c r="D2094" s="662">
        <v>8.66</v>
      </c>
    </row>
    <row r="2095" spans="1:4" x14ac:dyDescent="0.2">
      <c r="A2095" s="663" t="s">
        <v>3450</v>
      </c>
      <c r="B2095" s="664" t="s">
        <v>3420</v>
      </c>
      <c r="C2095" s="665" t="s">
        <v>11</v>
      </c>
      <c r="D2095" s="666">
        <v>5.4</v>
      </c>
    </row>
    <row r="2096" spans="1:4" x14ac:dyDescent="0.2">
      <c r="A2096" s="655" t="s">
        <v>3451</v>
      </c>
      <c r="B2096" s="656" t="s">
        <v>1308</v>
      </c>
      <c r="C2096" s="657"/>
      <c r="D2096" s="658"/>
    </row>
    <row r="2097" spans="1:4" x14ac:dyDescent="0.2">
      <c r="A2097" s="659" t="s">
        <v>3452</v>
      </c>
      <c r="B2097" s="660" t="s">
        <v>3453</v>
      </c>
      <c r="C2097" s="661" t="s">
        <v>11</v>
      </c>
      <c r="D2097" s="662">
        <v>6.34</v>
      </c>
    </row>
    <row r="2098" spans="1:4" x14ac:dyDescent="0.2">
      <c r="A2098" s="663" t="s">
        <v>3454</v>
      </c>
      <c r="B2098" s="664" t="s">
        <v>3423</v>
      </c>
      <c r="C2098" s="665" t="s">
        <v>11</v>
      </c>
      <c r="D2098" s="666">
        <v>3.11</v>
      </c>
    </row>
    <row r="2099" spans="1:4" x14ac:dyDescent="0.2">
      <c r="A2099" s="659" t="s">
        <v>3455</v>
      </c>
      <c r="B2099" s="660" t="s">
        <v>3414</v>
      </c>
      <c r="C2099" s="661" t="s">
        <v>11</v>
      </c>
      <c r="D2099" s="662">
        <v>496.13</v>
      </c>
    </row>
    <row r="2100" spans="1:4" x14ac:dyDescent="0.2">
      <c r="A2100" s="663" t="s">
        <v>3456</v>
      </c>
      <c r="B2100" s="664" t="s">
        <v>3416</v>
      </c>
      <c r="C2100" s="665" t="s">
        <v>11</v>
      </c>
      <c r="D2100" s="666">
        <v>163.77000000000001</v>
      </c>
    </row>
    <row r="2101" spans="1:4" x14ac:dyDescent="0.2">
      <c r="A2101" s="659" t="s">
        <v>3457</v>
      </c>
      <c r="B2101" s="660" t="s">
        <v>3418</v>
      </c>
      <c r="C2101" s="661" t="s">
        <v>11</v>
      </c>
      <c r="D2101" s="662">
        <v>2.42</v>
      </c>
    </row>
    <row r="2102" spans="1:4" x14ac:dyDescent="0.2">
      <c r="A2102" s="663" t="s">
        <v>3458</v>
      </c>
      <c r="B2102" s="664" t="s">
        <v>3428</v>
      </c>
      <c r="C2102" s="665" t="s">
        <v>11</v>
      </c>
      <c r="D2102" s="666">
        <v>5.23</v>
      </c>
    </row>
    <row r="2103" spans="1:4" x14ac:dyDescent="0.2">
      <c r="A2103" s="659" t="s">
        <v>3459</v>
      </c>
      <c r="B2103" s="660" t="s">
        <v>3420</v>
      </c>
      <c r="C2103" s="661" t="s">
        <v>11</v>
      </c>
      <c r="D2103" s="662">
        <v>135.72999999999999</v>
      </c>
    </row>
    <row r="2104" spans="1:4" x14ac:dyDescent="0.2">
      <c r="A2104" s="655" t="s">
        <v>3460</v>
      </c>
      <c r="B2104" s="656" t="s">
        <v>1311</v>
      </c>
      <c r="C2104" s="657"/>
      <c r="D2104" s="658"/>
    </row>
    <row r="2105" spans="1:4" x14ac:dyDescent="0.2">
      <c r="A2105" s="663" t="s">
        <v>3461</v>
      </c>
      <c r="B2105" s="664" t="s">
        <v>3453</v>
      </c>
      <c r="C2105" s="665" t="s">
        <v>11</v>
      </c>
      <c r="D2105" s="666">
        <v>59.05</v>
      </c>
    </row>
    <row r="2106" spans="1:4" x14ac:dyDescent="0.2">
      <c r="A2106" s="659" t="s">
        <v>3462</v>
      </c>
      <c r="B2106" s="660" t="s">
        <v>3423</v>
      </c>
      <c r="C2106" s="661" t="s">
        <v>11</v>
      </c>
      <c r="D2106" s="662">
        <v>106.72</v>
      </c>
    </row>
    <row r="2107" spans="1:4" x14ac:dyDescent="0.2">
      <c r="A2107" s="663" t="s">
        <v>3463</v>
      </c>
      <c r="B2107" s="664" t="s">
        <v>3414</v>
      </c>
      <c r="C2107" s="665" t="s">
        <v>11</v>
      </c>
      <c r="D2107" s="666">
        <v>43.12</v>
      </c>
    </row>
    <row r="2108" spans="1:4" x14ac:dyDescent="0.2">
      <c r="A2108" s="659" t="s">
        <v>3464</v>
      </c>
      <c r="B2108" s="660" t="s">
        <v>3418</v>
      </c>
      <c r="C2108" s="661" t="s">
        <v>11</v>
      </c>
      <c r="D2108" s="662">
        <v>24.62</v>
      </c>
    </row>
    <row r="2109" spans="1:4" x14ac:dyDescent="0.2">
      <c r="A2109" s="663" t="s">
        <v>3465</v>
      </c>
      <c r="B2109" s="664" t="s">
        <v>3428</v>
      </c>
      <c r="C2109" s="665" t="s">
        <v>11</v>
      </c>
      <c r="D2109" s="666">
        <v>10.23</v>
      </c>
    </row>
    <row r="2110" spans="1:4" x14ac:dyDescent="0.2">
      <c r="A2110" s="659" t="s">
        <v>3466</v>
      </c>
      <c r="B2110" s="660" t="s">
        <v>3420</v>
      </c>
      <c r="C2110" s="661" t="s">
        <v>11</v>
      </c>
      <c r="D2110" s="662">
        <v>38.520000000000003</v>
      </c>
    </row>
    <row r="2111" spans="1:4" x14ac:dyDescent="0.2">
      <c r="A2111" s="655" t="s">
        <v>3467</v>
      </c>
      <c r="B2111" s="656" t="s">
        <v>1316</v>
      </c>
      <c r="C2111" s="657"/>
      <c r="D2111" s="658"/>
    </row>
    <row r="2112" spans="1:4" x14ac:dyDescent="0.2">
      <c r="A2112" s="663" t="s">
        <v>3468</v>
      </c>
      <c r="B2112" s="664" t="s">
        <v>3453</v>
      </c>
      <c r="C2112" s="665" t="s">
        <v>11</v>
      </c>
      <c r="D2112" s="666">
        <v>62.09</v>
      </c>
    </row>
    <row r="2113" spans="1:4" x14ac:dyDescent="0.2">
      <c r="A2113" s="659" t="s">
        <v>3469</v>
      </c>
      <c r="B2113" s="660" t="s">
        <v>3423</v>
      </c>
      <c r="C2113" s="661" t="s">
        <v>11</v>
      </c>
      <c r="D2113" s="662">
        <v>108.02</v>
      </c>
    </row>
    <row r="2114" spans="1:4" x14ac:dyDescent="0.2">
      <c r="A2114" s="663" t="s">
        <v>3470</v>
      </c>
      <c r="B2114" s="664" t="s">
        <v>3414</v>
      </c>
      <c r="C2114" s="665" t="s">
        <v>11</v>
      </c>
      <c r="D2114" s="666">
        <v>38.479999999999997</v>
      </c>
    </row>
    <row r="2115" spans="1:4" x14ac:dyDescent="0.2">
      <c r="A2115" s="659" t="s">
        <v>3471</v>
      </c>
      <c r="B2115" s="660" t="s">
        <v>3418</v>
      </c>
      <c r="C2115" s="661" t="s">
        <v>11</v>
      </c>
      <c r="D2115" s="662">
        <v>22.29</v>
      </c>
    </row>
    <row r="2116" spans="1:4" x14ac:dyDescent="0.2">
      <c r="A2116" s="663" t="s">
        <v>3472</v>
      </c>
      <c r="B2116" s="664" t="s">
        <v>3428</v>
      </c>
      <c r="C2116" s="665" t="s">
        <v>11</v>
      </c>
      <c r="D2116" s="666">
        <v>6.09</v>
      </c>
    </row>
    <row r="2117" spans="1:4" x14ac:dyDescent="0.2">
      <c r="A2117" s="659" t="s">
        <v>3473</v>
      </c>
      <c r="B2117" s="660" t="s">
        <v>3420</v>
      </c>
      <c r="C2117" s="661" t="s">
        <v>11</v>
      </c>
      <c r="D2117" s="662">
        <v>35.17</v>
      </c>
    </row>
    <row r="2118" spans="1:4" x14ac:dyDescent="0.2">
      <c r="A2118" s="655" t="s">
        <v>3474</v>
      </c>
      <c r="B2118" s="656" t="s">
        <v>1320</v>
      </c>
      <c r="C2118" s="657"/>
      <c r="D2118" s="658"/>
    </row>
    <row r="2119" spans="1:4" x14ac:dyDescent="0.2">
      <c r="A2119" s="663" t="s">
        <v>3475</v>
      </c>
      <c r="B2119" s="664" t="s">
        <v>3453</v>
      </c>
      <c r="C2119" s="665" t="s">
        <v>11</v>
      </c>
      <c r="D2119" s="666">
        <v>62.09</v>
      </c>
    </row>
    <row r="2120" spans="1:4" x14ac:dyDescent="0.2">
      <c r="A2120" s="659" t="s">
        <v>3476</v>
      </c>
      <c r="B2120" s="660" t="s">
        <v>3423</v>
      </c>
      <c r="C2120" s="661" t="s">
        <v>11</v>
      </c>
      <c r="D2120" s="662">
        <v>108.02</v>
      </c>
    </row>
    <row r="2121" spans="1:4" x14ac:dyDescent="0.2">
      <c r="A2121" s="663" t="s">
        <v>3477</v>
      </c>
      <c r="B2121" s="664" t="s">
        <v>3414</v>
      </c>
      <c r="C2121" s="665" t="s">
        <v>11</v>
      </c>
      <c r="D2121" s="666">
        <v>38.479999999999997</v>
      </c>
    </row>
    <row r="2122" spans="1:4" x14ac:dyDescent="0.2">
      <c r="A2122" s="659" t="s">
        <v>3478</v>
      </c>
      <c r="B2122" s="660" t="s">
        <v>3418</v>
      </c>
      <c r="C2122" s="661" t="s">
        <v>11</v>
      </c>
      <c r="D2122" s="662">
        <v>22.29</v>
      </c>
    </row>
    <row r="2123" spans="1:4" x14ac:dyDescent="0.2">
      <c r="A2123" s="663" t="s">
        <v>3479</v>
      </c>
      <c r="B2123" s="664" t="s">
        <v>3428</v>
      </c>
      <c r="C2123" s="665" t="s">
        <v>11</v>
      </c>
      <c r="D2123" s="666">
        <v>6.09</v>
      </c>
    </row>
    <row r="2124" spans="1:4" x14ac:dyDescent="0.2">
      <c r="A2124" s="659" t="s">
        <v>3480</v>
      </c>
      <c r="B2124" s="660" t="s">
        <v>3420</v>
      </c>
      <c r="C2124" s="661" t="s">
        <v>11</v>
      </c>
      <c r="D2124" s="662">
        <v>35.19</v>
      </c>
    </row>
    <row r="2125" spans="1:4" x14ac:dyDescent="0.2">
      <c r="A2125" s="655" t="s">
        <v>3481</v>
      </c>
      <c r="B2125" s="656" t="s">
        <v>1324</v>
      </c>
      <c r="C2125" s="657"/>
      <c r="D2125" s="658"/>
    </row>
    <row r="2126" spans="1:4" x14ac:dyDescent="0.2">
      <c r="A2126" s="663" t="s">
        <v>3482</v>
      </c>
      <c r="B2126" s="664" t="s">
        <v>3453</v>
      </c>
      <c r="C2126" s="665" t="s">
        <v>11</v>
      </c>
      <c r="D2126" s="666">
        <v>62.09</v>
      </c>
    </row>
    <row r="2127" spans="1:4" x14ac:dyDescent="0.2">
      <c r="A2127" s="659" t="s">
        <v>3483</v>
      </c>
      <c r="B2127" s="660" t="s">
        <v>3423</v>
      </c>
      <c r="C2127" s="661" t="s">
        <v>11</v>
      </c>
      <c r="D2127" s="662">
        <v>108.02</v>
      </c>
    </row>
    <row r="2128" spans="1:4" x14ac:dyDescent="0.2">
      <c r="A2128" s="663" t="s">
        <v>3484</v>
      </c>
      <c r="B2128" s="664" t="s">
        <v>3414</v>
      </c>
      <c r="C2128" s="665" t="s">
        <v>11</v>
      </c>
      <c r="D2128" s="666">
        <v>38.479999999999997</v>
      </c>
    </row>
    <row r="2129" spans="1:4" x14ac:dyDescent="0.2">
      <c r="A2129" s="659" t="s">
        <v>3485</v>
      </c>
      <c r="B2129" s="660" t="s">
        <v>3418</v>
      </c>
      <c r="C2129" s="661" t="s">
        <v>11</v>
      </c>
      <c r="D2129" s="662">
        <v>22.29</v>
      </c>
    </row>
    <row r="2130" spans="1:4" x14ac:dyDescent="0.2">
      <c r="A2130" s="663" t="s">
        <v>3486</v>
      </c>
      <c r="B2130" s="664" t="s">
        <v>3428</v>
      </c>
      <c r="C2130" s="665" t="s">
        <v>11</v>
      </c>
      <c r="D2130" s="666">
        <v>6.09</v>
      </c>
    </row>
    <row r="2131" spans="1:4" x14ac:dyDescent="0.2">
      <c r="A2131" s="659" t="s">
        <v>3487</v>
      </c>
      <c r="B2131" s="660" t="s">
        <v>3420</v>
      </c>
      <c r="C2131" s="661" t="s">
        <v>11</v>
      </c>
      <c r="D2131" s="662">
        <v>35.19</v>
      </c>
    </row>
    <row r="2132" spans="1:4" x14ac:dyDescent="0.2">
      <c r="A2132" s="655" t="s">
        <v>3488</v>
      </c>
      <c r="B2132" s="656" t="s">
        <v>1328</v>
      </c>
      <c r="C2132" s="657"/>
      <c r="D2132" s="658"/>
    </row>
    <row r="2133" spans="1:4" x14ac:dyDescent="0.2">
      <c r="A2133" s="663" t="s">
        <v>3489</v>
      </c>
      <c r="B2133" s="664" t="s">
        <v>3453</v>
      </c>
      <c r="C2133" s="665" t="s">
        <v>11</v>
      </c>
      <c r="D2133" s="666">
        <v>62.09</v>
      </c>
    </row>
    <row r="2134" spans="1:4" x14ac:dyDescent="0.2">
      <c r="A2134" s="659" t="s">
        <v>3490</v>
      </c>
      <c r="B2134" s="660" t="s">
        <v>3423</v>
      </c>
      <c r="C2134" s="661" t="s">
        <v>11</v>
      </c>
      <c r="D2134" s="662">
        <v>108.02</v>
      </c>
    </row>
    <row r="2135" spans="1:4" x14ac:dyDescent="0.2">
      <c r="A2135" s="663" t="s">
        <v>3491</v>
      </c>
      <c r="B2135" s="664" t="s">
        <v>3414</v>
      </c>
      <c r="C2135" s="665" t="s">
        <v>11</v>
      </c>
      <c r="D2135" s="666">
        <v>38.479999999999997</v>
      </c>
    </row>
    <row r="2136" spans="1:4" x14ac:dyDescent="0.2">
      <c r="A2136" s="659" t="s">
        <v>3492</v>
      </c>
      <c r="B2136" s="660" t="s">
        <v>3418</v>
      </c>
      <c r="C2136" s="661" t="s">
        <v>11</v>
      </c>
      <c r="D2136" s="662">
        <v>22.29</v>
      </c>
    </row>
    <row r="2137" spans="1:4" x14ac:dyDescent="0.2">
      <c r="A2137" s="663" t="s">
        <v>3493</v>
      </c>
      <c r="B2137" s="664" t="s">
        <v>3428</v>
      </c>
      <c r="C2137" s="665" t="s">
        <v>11</v>
      </c>
      <c r="D2137" s="666">
        <v>6.09</v>
      </c>
    </row>
    <row r="2138" spans="1:4" x14ac:dyDescent="0.2">
      <c r="A2138" s="659" t="s">
        <v>3494</v>
      </c>
      <c r="B2138" s="660" t="s">
        <v>3420</v>
      </c>
      <c r="C2138" s="661" t="s">
        <v>11</v>
      </c>
      <c r="D2138" s="662">
        <v>35.19</v>
      </c>
    </row>
    <row r="2139" spans="1:4" x14ac:dyDescent="0.2">
      <c r="A2139" s="655" t="s">
        <v>3495</v>
      </c>
      <c r="B2139" s="656" t="s">
        <v>1332</v>
      </c>
      <c r="C2139" s="657"/>
      <c r="D2139" s="658"/>
    </row>
    <row r="2140" spans="1:4" x14ac:dyDescent="0.2">
      <c r="A2140" s="663" t="s">
        <v>3496</v>
      </c>
      <c r="B2140" s="664" t="s">
        <v>3453</v>
      </c>
      <c r="C2140" s="665" t="s">
        <v>11</v>
      </c>
      <c r="D2140" s="666">
        <v>62.09</v>
      </c>
    </row>
    <row r="2141" spans="1:4" x14ac:dyDescent="0.2">
      <c r="A2141" s="659" t="s">
        <v>3497</v>
      </c>
      <c r="B2141" s="660" t="s">
        <v>3423</v>
      </c>
      <c r="C2141" s="661" t="s">
        <v>11</v>
      </c>
      <c r="D2141" s="662">
        <v>108.02</v>
      </c>
    </row>
    <row r="2142" spans="1:4" x14ac:dyDescent="0.2">
      <c r="A2142" s="663" t="s">
        <v>3498</v>
      </c>
      <c r="B2142" s="664" t="s">
        <v>3414</v>
      </c>
      <c r="C2142" s="665" t="s">
        <v>11</v>
      </c>
      <c r="D2142" s="666">
        <v>38.479999999999997</v>
      </c>
    </row>
    <row r="2143" spans="1:4" x14ac:dyDescent="0.2">
      <c r="A2143" s="659" t="s">
        <v>3499</v>
      </c>
      <c r="B2143" s="660" t="s">
        <v>3418</v>
      </c>
      <c r="C2143" s="661" t="s">
        <v>11</v>
      </c>
      <c r="D2143" s="662">
        <v>22.29</v>
      </c>
    </row>
    <row r="2144" spans="1:4" x14ac:dyDescent="0.2">
      <c r="A2144" s="663" t="s">
        <v>3500</v>
      </c>
      <c r="B2144" s="664" t="s">
        <v>3428</v>
      </c>
      <c r="C2144" s="665" t="s">
        <v>11</v>
      </c>
      <c r="D2144" s="666">
        <v>6.09</v>
      </c>
    </row>
    <row r="2145" spans="1:4" x14ac:dyDescent="0.2">
      <c r="A2145" s="659" t="s">
        <v>3501</v>
      </c>
      <c r="B2145" s="660" t="s">
        <v>3420</v>
      </c>
      <c r="C2145" s="661" t="s">
        <v>11</v>
      </c>
      <c r="D2145" s="662">
        <v>35.19</v>
      </c>
    </row>
    <row r="2146" spans="1:4" x14ac:dyDescent="0.2">
      <c r="A2146" s="655" t="s">
        <v>3502</v>
      </c>
      <c r="B2146" s="656" t="s">
        <v>1336</v>
      </c>
      <c r="C2146" s="657"/>
      <c r="D2146" s="658"/>
    </row>
    <row r="2147" spans="1:4" x14ac:dyDescent="0.2">
      <c r="A2147" s="663" t="s">
        <v>3503</v>
      </c>
      <c r="B2147" s="664" t="s">
        <v>3453</v>
      </c>
      <c r="C2147" s="665" t="s">
        <v>11</v>
      </c>
      <c r="D2147" s="666">
        <v>62.09</v>
      </c>
    </row>
    <row r="2148" spans="1:4" x14ac:dyDescent="0.2">
      <c r="A2148" s="659" t="s">
        <v>3504</v>
      </c>
      <c r="B2148" s="660" t="s">
        <v>3423</v>
      </c>
      <c r="C2148" s="661" t="s">
        <v>11</v>
      </c>
      <c r="D2148" s="662">
        <v>108.02</v>
      </c>
    </row>
    <row r="2149" spans="1:4" x14ac:dyDescent="0.2">
      <c r="A2149" s="663" t="s">
        <v>3505</v>
      </c>
      <c r="B2149" s="664" t="s">
        <v>3414</v>
      </c>
      <c r="C2149" s="665" t="s">
        <v>11</v>
      </c>
      <c r="D2149" s="666">
        <v>38.479999999999997</v>
      </c>
    </row>
    <row r="2150" spans="1:4" x14ac:dyDescent="0.2">
      <c r="A2150" s="659" t="s">
        <v>3506</v>
      </c>
      <c r="B2150" s="660" t="s">
        <v>3418</v>
      </c>
      <c r="C2150" s="661" t="s">
        <v>11</v>
      </c>
      <c r="D2150" s="662">
        <v>22.29</v>
      </c>
    </row>
    <row r="2151" spans="1:4" x14ac:dyDescent="0.2">
      <c r="A2151" s="663" t="s">
        <v>3507</v>
      </c>
      <c r="B2151" s="664" t="s">
        <v>3428</v>
      </c>
      <c r="C2151" s="665" t="s">
        <v>11</v>
      </c>
      <c r="D2151" s="666">
        <v>6.09</v>
      </c>
    </row>
    <row r="2152" spans="1:4" x14ac:dyDescent="0.2">
      <c r="A2152" s="659" t="s">
        <v>3508</v>
      </c>
      <c r="B2152" s="660" t="s">
        <v>3420</v>
      </c>
      <c r="C2152" s="661" t="s">
        <v>11</v>
      </c>
      <c r="D2152" s="662">
        <v>35.19</v>
      </c>
    </row>
    <row r="2153" spans="1:4" x14ac:dyDescent="0.2">
      <c r="A2153" s="655" t="s">
        <v>3509</v>
      </c>
      <c r="B2153" s="656" t="s">
        <v>1340</v>
      </c>
      <c r="C2153" s="657"/>
      <c r="D2153" s="658"/>
    </row>
    <row r="2154" spans="1:4" x14ac:dyDescent="0.2">
      <c r="A2154" s="663" t="s">
        <v>3510</v>
      </c>
      <c r="B2154" s="664" t="s">
        <v>3453</v>
      </c>
      <c r="C2154" s="665" t="s">
        <v>11</v>
      </c>
      <c r="D2154" s="666">
        <v>62.09</v>
      </c>
    </row>
    <row r="2155" spans="1:4" x14ac:dyDescent="0.2">
      <c r="A2155" s="659" t="s">
        <v>3511</v>
      </c>
      <c r="B2155" s="660" t="s">
        <v>3423</v>
      </c>
      <c r="C2155" s="661" t="s">
        <v>11</v>
      </c>
      <c r="D2155" s="662">
        <v>108.02</v>
      </c>
    </row>
    <row r="2156" spans="1:4" x14ac:dyDescent="0.2">
      <c r="A2156" s="663" t="s">
        <v>3512</v>
      </c>
      <c r="B2156" s="664" t="s">
        <v>3414</v>
      </c>
      <c r="C2156" s="665" t="s">
        <v>11</v>
      </c>
      <c r="D2156" s="666">
        <v>38.479999999999997</v>
      </c>
    </row>
    <row r="2157" spans="1:4" x14ac:dyDescent="0.2">
      <c r="A2157" s="659" t="s">
        <v>3513</v>
      </c>
      <c r="B2157" s="660" t="s">
        <v>3418</v>
      </c>
      <c r="C2157" s="661" t="s">
        <v>11</v>
      </c>
      <c r="D2157" s="662">
        <v>22.29</v>
      </c>
    </row>
    <row r="2158" spans="1:4" x14ac:dyDescent="0.2">
      <c r="A2158" s="663" t="s">
        <v>3514</v>
      </c>
      <c r="B2158" s="664" t="s">
        <v>3428</v>
      </c>
      <c r="C2158" s="665" t="s">
        <v>11</v>
      </c>
      <c r="D2158" s="666">
        <v>6.09</v>
      </c>
    </row>
    <row r="2159" spans="1:4" x14ac:dyDescent="0.2">
      <c r="A2159" s="659" t="s">
        <v>3515</v>
      </c>
      <c r="B2159" s="660" t="s">
        <v>3420</v>
      </c>
      <c r="C2159" s="661" t="s">
        <v>11</v>
      </c>
      <c r="D2159" s="662">
        <v>35.19</v>
      </c>
    </row>
    <row r="2160" spans="1:4" x14ac:dyDescent="0.2">
      <c r="A2160" s="655" t="s">
        <v>3516</v>
      </c>
      <c r="B2160" s="656" t="s">
        <v>1344</v>
      </c>
      <c r="C2160" s="657"/>
      <c r="D2160" s="658"/>
    </row>
    <row r="2161" spans="1:4" x14ac:dyDescent="0.2">
      <c r="A2161" s="663" t="s">
        <v>3517</v>
      </c>
      <c r="B2161" s="664" t="s">
        <v>3453</v>
      </c>
      <c r="C2161" s="665" t="s">
        <v>11</v>
      </c>
      <c r="D2161" s="666">
        <v>62.09</v>
      </c>
    </row>
    <row r="2162" spans="1:4" x14ac:dyDescent="0.2">
      <c r="A2162" s="659" t="s">
        <v>3518</v>
      </c>
      <c r="B2162" s="660" t="s">
        <v>3423</v>
      </c>
      <c r="C2162" s="661" t="s">
        <v>11</v>
      </c>
      <c r="D2162" s="662">
        <v>108.02</v>
      </c>
    </row>
    <row r="2163" spans="1:4" x14ac:dyDescent="0.2">
      <c r="A2163" s="663" t="s">
        <v>3519</v>
      </c>
      <c r="B2163" s="664" t="s">
        <v>3414</v>
      </c>
      <c r="C2163" s="665" t="s">
        <v>11</v>
      </c>
      <c r="D2163" s="666">
        <v>38.479999999999997</v>
      </c>
    </row>
    <row r="2164" spans="1:4" x14ac:dyDescent="0.2">
      <c r="A2164" s="659" t="s">
        <v>3520</v>
      </c>
      <c r="B2164" s="660" t="s">
        <v>3418</v>
      </c>
      <c r="C2164" s="661" t="s">
        <v>11</v>
      </c>
      <c r="D2164" s="662">
        <v>22.29</v>
      </c>
    </row>
    <row r="2165" spans="1:4" x14ac:dyDescent="0.2">
      <c r="A2165" s="663" t="s">
        <v>3521</v>
      </c>
      <c r="B2165" s="664" t="s">
        <v>3428</v>
      </c>
      <c r="C2165" s="665" t="s">
        <v>11</v>
      </c>
      <c r="D2165" s="666">
        <v>6.09</v>
      </c>
    </row>
    <row r="2166" spans="1:4" x14ac:dyDescent="0.2">
      <c r="A2166" s="659" t="s">
        <v>3522</v>
      </c>
      <c r="B2166" s="660" t="s">
        <v>3420</v>
      </c>
      <c r="C2166" s="661" t="s">
        <v>11</v>
      </c>
      <c r="D2166" s="662">
        <v>35.19</v>
      </c>
    </row>
    <row r="2167" spans="1:4" x14ac:dyDescent="0.2">
      <c r="A2167" s="655" t="s">
        <v>3523</v>
      </c>
      <c r="B2167" s="656" t="s">
        <v>1348</v>
      </c>
      <c r="C2167" s="657"/>
      <c r="D2167" s="658"/>
    </row>
    <row r="2168" spans="1:4" x14ac:dyDescent="0.2">
      <c r="A2168" s="663" t="s">
        <v>3524</v>
      </c>
      <c r="B2168" s="664" t="s">
        <v>3453</v>
      </c>
      <c r="C2168" s="665" t="s">
        <v>11</v>
      </c>
      <c r="D2168" s="666">
        <v>62.09</v>
      </c>
    </row>
    <row r="2169" spans="1:4" x14ac:dyDescent="0.2">
      <c r="A2169" s="659" t="s">
        <v>3525</v>
      </c>
      <c r="B2169" s="660" t="s">
        <v>3423</v>
      </c>
      <c r="C2169" s="661" t="s">
        <v>11</v>
      </c>
      <c r="D2169" s="662">
        <v>108.02</v>
      </c>
    </row>
    <row r="2170" spans="1:4" x14ac:dyDescent="0.2">
      <c r="A2170" s="663" t="s">
        <v>3526</v>
      </c>
      <c r="B2170" s="664" t="s">
        <v>3414</v>
      </c>
      <c r="C2170" s="665" t="s">
        <v>11</v>
      </c>
      <c r="D2170" s="666">
        <v>38.479999999999997</v>
      </c>
    </row>
    <row r="2171" spans="1:4" x14ac:dyDescent="0.2">
      <c r="A2171" s="659" t="s">
        <v>3527</v>
      </c>
      <c r="B2171" s="660" t="s">
        <v>3418</v>
      </c>
      <c r="C2171" s="661" t="s">
        <v>11</v>
      </c>
      <c r="D2171" s="662">
        <v>22.29</v>
      </c>
    </row>
    <row r="2172" spans="1:4" x14ac:dyDescent="0.2">
      <c r="A2172" s="663" t="s">
        <v>3528</v>
      </c>
      <c r="B2172" s="664" t="s">
        <v>3428</v>
      </c>
      <c r="C2172" s="665" t="s">
        <v>11</v>
      </c>
      <c r="D2172" s="666">
        <v>6.09</v>
      </c>
    </row>
    <row r="2173" spans="1:4" x14ac:dyDescent="0.2">
      <c r="A2173" s="659" t="s">
        <v>3529</v>
      </c>
      <c r="B2173" s="660" t="s">
        <v>3420</v>
      </c>
      <c r="C2173" s="661" t="s">
        <v>11</v>
      </c>
      <c r="D2173" s="662">
        <v>35.19</v>
      </c>
    </row>
    <row r="2174" spans="1:4" x14ac:dyDescent="0.2">
      <c r="A2174" s="655" t="s">
        <v>3530</v>
      </c>
      <c r="B2174" s="656" t="s">
        <v>1352</v>
      </c>
      <c r="C2174" s="657"/>
      <c r="D2174" s="658"/>
    </row>
    <row r="2175" spans="1:4" x14ac:dyDescent="0.2">
      <c r="A2175" s="663" t="s">
        <v>3531</v>
      </c>
      <c r="B2175" s="664" t="s">
        <v>3453</v>
      </c>
      <c r="C2175" s="665" t="s">
        <v>11</v>
      </c>
      <c r="D2175" s="666">
        <v>62.09</v>
      </c>
    </row>
    <row r="2176" spans="1:4" x14ac:dyDescent="0.2">
      <c r="A2176" s="659" t="s">
        <v>3532</v>
      </c>
      <c r="B2176" s="660" t="s">
        <v>3423</v>
      </c>
      <c r="C2176" s="661" t="s">
        <v>11</v>
      </c>
      <c r="D2176" s="662">
        <v>108.02</v>
      </c>
    </row>
    <row r="2177" spans="1:4" x14ac:dyDescent="0.2">
      <c r="A2177" s="663" t="s">
        <v>3533</v>
      </c>
      <c r="B2177" s="664" t="s">
        <v>3414</v>
      </c>
      <c r="C2177" s="665" t="s">
        <v>11</v>
      </c>
      <c r="D2177" s="666">
        <v>38.479999999999997</v>
      </c>
    </row>
    <row r="2178" spans="1:4" x14ac:dyDescent="0.2">
      <c r="A2178" s="659" t="s">
        <v>3534</v>
      </c>
      <c r="B2178" s="660" t="s">
        <v>3418</v>
      </c>
      <c r="C2178" s="661" t="s">
        <v>11</v>
      </c>
      <c r="D2178" s="662">
        <v>22.29</v>
      </c>
    </row>
    <row r="2179" spans="1:4" x14ac:dyDescent="0.2">
      <c r="A2179" s="663" t="s">
        <v>3535</v>
      </c>
      <c r="B2179" s="664" t="s">
        <v>3428</v>
      </c>
      <c r="C2179" s="665" t="s">
        <v>11</v>
      </c>
      <c r="D2179" s="666">
        <v>6.09</v>
      </c>
    </row>
    <row r="2180" spans="1:4" x14ac:dyDescent="0.2">
      <c r="A2180" s="659" t="s">
        <v>3536</v>
      </c>
      <c r="B2180" s="660" t="s">
        <v>3420</v>
      </c>
      <c r="C2180" s="661" t="s">
        <v>11</v>
      </c>
      <c r="D2180" s="662">
        <v>35.19</v>
      </c>
    </row>
    <row r="2181" spans="1:4" x14ac:dyDescent="0.2">
      <c r="A2181" s="655" t="s">
        <v>3537</v>
      </c>
      <c r="B2181" s="656" t="s">
        <v>1356</v>
      </c>
      <c r="C2181" s="657"/>
      <c r="D2181" s="658"/>
    </row>
    <row r="2182" spans="1:4" x14ac:dyDescent="0.2">
      <c r="A2182" s="663" t="s">
        <v>3538</v>
      </c>
      <c r="B2182" s="664" t="s">
        <v>3453</v>
      </c>
      <c r="C2182" s="665" t="s">
        <v>11</v>
      </c>
      <c r="D2182" s="666">
        <v>62.09</v>
      </c>
    </row>
    <row r="2183" spans="1:4" x14ac:dyDescent="0.2">
      <c r="A2183" s="659" t="s">
        <v>3539</v>
      </c>
      <c r="B2183" s="660" t="s">
        <v>3423</v>
      </c>
      <c r="C2183" s="661" t="s">
        <v>11</v>
      </c>
      <c r="D2183" s="662">
        <v>108.02</v>
      </c>
    </row>
    <row r="2184" spans="1:4" x14ac:dyDescent="0.2">
      <c r="A2184" s="663" t="s">
        <v>3540</v>
      </c>
      <c r="B2184" s="664" t="s">
        <v>3414</v>
      </c>
      <c r="C2184" s="665" t="s">
        <v>11</v>
      </c>
      <c r="D2184" s="666">
        <v>38.479999999999997</v>
      </c>
    </row>
    <row r="2185" spans="1:4" x14ac:dyDescent="0.2">
      <c r="A2185" s="659" t="s">
        <v>3541</v>
      </c>
      <c r="B2185" s="660" t="s">
        <v>3418</v>
      </c>
      <c r="C2185" s="661" t="s">
        <v>11</v>
      </c>
      <c r="D2185" s="662">
        <v>22.29</v>
      </c>
    </row>
    <row r="2186" spans="1:4" x14ac:dyDescent="0.2">
      <c r="A2186" s="663" t="s">
        <v>3542</v>
      </c>
      <c r="B2186" s="664" t="s">
        <v>3428</v>
      </c>
      <c r="C2186" s="665" t="s">
        <v>11</v>
      </c>
      <c r="D2186" s="666">
        <v>6.09</v>
      </c>
    </row>
    <row r="2187" spans="1:4" x14ac:dyDescent="0.2">
      <c r="A2187" s="659" t="s">
        <v>3543</v>
      </c>
      <c r="B2187" s="660" t="s">
        <v>3420</v>
      </c>
      <c r="C2187" s="661" t="s">
        <v>11</v>
      </c>
      <c r="D2187" s="662">
        <v>35.19</v>
      </c>
    </row>
    <row r="2188" spans="1:4" x14ac:dyDescent="0.2">
      <c r="A2188" s="655" t="s">
        <v>3544</v>
      </c>
      <c r="B2188" s="656" t="s">
        <v>1360</v>
      </c>
      <c r="C2188" s="657"/>
      <c r="D2188" s="658"/>
    </row>
    <row r="2189" spans="1:4" x14ac:dyDescent="0.2">
      <c r="A2189" s="663" t="s">
        <v>3545</v>
      </c>
      <c r="B2189" s="664" t="s">
        <v>3453</v>
      </c>
      <c r="C2189" s="665" t="s">
        <v>11</v>
      </c>
      <c r="D2189" s="666">
        <v>62.09</v>
      </c>
    </row>
    <row r="2190" spans="1:4" x14ac:dyDescent="0.2">
      <c r="A2190" s="659" t="s">
        <v>3546</v>
      </c>
      <c r="B2190" s="660" t="s">
        <v>3423</v>
      </c>
      <c r="C2190" s="661" t="s">
        <v>11</v>
      </c>
      <c r="D2190" s="662">
        <v>108.02</v>
      </c>
    </row>
    <row r="2191" spans="1:4" x14ac:dyDescent="0.2">
      <c r="A2191" s="663" t="s">
        <v>3547</v>
      </c>
      <c r="B2191" s="664" t="s">
        <v>3414</v>
      </c>
      <c r="C2191" s="665" t="s">
        <v>11</v>
      </c>
      <c r="D2191" s="666">
        <v>38.090000000000003</v>
      </c>
    </row>
    <row r="2192" spans="1:4" x14ac:dyDescent="0.2">
      <c r="A2192" s="659" t="s">
        <v>3548</v>
      </c>
      <c r="B2192" s="660" t="s">
        <v>3418</v>
      </c>
      <c r="C2192" s="661" t="s">
        <v>11</v>
      </c>
      <c r="D2192" s="662">
        <v>22.28</v>
      </c>
    </row>
    <row r="2193" spans="1:4" x14ac:dyDescent="0.2">
      <c r="A2193" s="663" t="s">
        <v>3549</v>
      </c>
      <c r="B2193" s="664" t="s">
        <v>3428</v>
      </c>
      <c r="C2193" s="665" t="s">
        <v>11</v>
      </c>
      <c r="D2193" s="666">
        <v>6.09</v>
      </c>
    </row>
    <row r="2194" spans="1:4" x14ac:dyDescent="0.2">
      <c r="A2194" s="659" t="s">
        <v>3550</v>
      </c>
      <c r="B2194" s="660" t="s">
        <v>3420</v>
      </c>
      <c r="C2194" s="661" t="s">
        <v>11</v>
      </c>
      <c r="D2194" s="662">
        <v>33.94</v>
      </c>
    </row>
    <row r="2195" spans="1:4" x14ac:dyDescent="0.2">
      <c r="A2195" s="655" t="s">
        <v>3551</v>
      </c>
      <c r="B2195" s="656" t="s">
        <v>1364</v>
      </c>
      <c r="C2195" s="657"/>
      <c r="D2195" s="658"/>
    </row>
    <row r="2196" spans="1:4" x14ac:dyDescent="0.2">
      <c r="A2196" s="663" t="s">
        <v>3552</v>
      </c>
      <c r="B2196" s="664" t="s">
        <v>3453</v>
      </c>
      <c r="C2196" s="665" t="s">
        <v>11</v>
      </c>
      <c r="D2196" s="666">
        <v>72.040000000000006</v>
      </c>
    </row>
    <row r="2197" spans="1:4" x14ac:dyDescent="0.2">
      <c r="A2197" s="659" t="s">
        <v>3553</v>
      </c>
      <c r="B2197" s="660" t="s">
        <v>3423</v>
      </c>
      <c r="C2197" s="661" t="s">
        <v>11</v>
      </c>
      <c r="D2197" s="662">
        <v>103.58</v>
      </c>
    </row>
    <row r="2198" spans="1:4" x14ac:dyDescent="0.2">
      <c r="A2198" s="663" t="s">
        <v>3554</v>
      </c>
      <c r="B2198" s="664" t="s">
        <v>3414</v>
      </c>
      <c r="C2198" s="665" t="s">
        <v>11</v>
      </c>
      <c r="D2198" s="666">
        <v>46.28</v>
      </c>
    </row>
    <row r="2199" spans="1:4" x14ac:dyDescent="0.2">
      <c r="A2199" s="659" t="s">
        <v>3555</v>
      </c>
      <c r="B2199" s="660" t="s">
        <v>3418</v>
      </c>
      <c r="C2199" s="661" t="s">
        <v>11</v>
      </c>
      <c r="D2199" s="662">
        <v>23.95</v>
      </c>
    </row>
    <row r="2200" spans="1:4" x14ac:dyDescent="0.2">
      <c r="A2200" s="663" t="s">
        <v>3556</v>
      </c>
      <c r="B2200" s="664" t="s">
        <v>3428</v>
      </c>
      <c r="C2200" s="665" t="s">
        <v>11</v>
      </c>
      <c r="D2200" s="666">
        <v>5.5</v>
      </c>
    </row>
    <row r="2201" spans="1:4" x14ac:dyDescent="0.2">
      <c r="A2201" s="659" t="s">
        <v>3557</v>
      </c>
      <c r="B2201" s="660" t="s">
        <v>3420</v>
      </c>
      <c r="C2201" s="661" t="s">
        <v>11</v>
      </c>
      <c r="D2201" s="662">
        <v>31.54</v>
      </c>
    </row>
    <row r="2202" spans="1:4" x14ac:dyDescent="0.2">
      <c r="A2202" s="655" t="s">
        <v>3558</v>
      </c>
      <c r="B2202" s="656" t="s">
        <v>1368</v>
      </c>
      <c r="C2202" s="657"/>
      <c r="D2202" s="658"/>
    </row>
    <row r="2203" spans="1:4" x14ac:dyDescent="0.2">
      <c r="A2203" s="663" t="s">
        <v>3559</v>
      </c>
      <c r="B2203" s="664" t="s">
        <v>3453</v>
      </c>
      <c r="C2203" s="665" t="s">
        <v>11</v>
      </c>
      <c r="D2203" s="666">
        <v>112.85</v>
      </c>
    </row>
    <row r="2204" spans="1:4" x14ac:dyDescent="0.2">
      <c r="A2204" s="659" t="s">
        <v>3560</v>
      </c>
      <c r="B2204" s="660" t="s">
        <v>3423</v>
      </c>
      <c r="C2204" s="661" t="s">
        <v>11</v>
      </c>
      <c r="D2204" s="662">
        <v>68.260000000000005</v>
      </c>
    </row>
    <row r="2205" spans="1:4" x14ac:dyDescent="0.2">
      <c r="A2205" s="663" t="s">
        <v>3561</v>
      </c>
      <c r="B2205" s="664" t="s">
        <v>3414</v>
      </c>
      <c r="C2205" s="665" t="s">
        <v>11</v>
      </c>
      <c r="D2205" s="666">
        <v>15.76</v>
      </c>
    </row>
    <row r="2206" spans="1:4" x14ac:dyDescent="0.2">
      <c r="A2206" s="659" t="s">
        <v>3562</v>
      </c>
      <c r="B2206" s="660" t="s">
        <v>3418</v>
      </c>
      <c r="C2206" s="661" t="s">
        <v>11</v>
      </c>
      <c r="D2206" s="662">
        <v>5.96</v>
      </c>
    </row>
    <row r="2207" spans="1:4" x14ac:dyDescent="0.2">
      <c r="A2207" s="663" t="s">
        <v>3563</v>
      </c>
      <c r="B2207" s="664" t="s">
        <v>3420</v>
      </c>
      <c r="C2207" s="665" t="s">
        <v>11</v>
      </c>
      <c r="D2207" s="666">
        <v>8.8699999999999992</v>
      </c>
    </row>
    <row r="2208" spans="1:4" x14ac:dyDescent="0.2">
      <c r="A2208" s="655" t="s">
        <v>3564</v>
      </c>
      <c r="B2208" s="656" t="s">
        <v>1283</v>
      </c>
      <c r="C2208" s="657"/>
      <c r="D2208" s="658"/>
    </row>
    <row r="2209" spans="1:4" x14ac:dyDescent="0.2">
      <c r="A2209" s="659" t="s">
        <v>3565</v>
      </c>
      <c r="B2209" s="660" t="s">
        <v>3414</v>
      </c>
      <c r="C2209" s="661" t="s">
        <v>11</v>
      </c>
      <c r="D2209" s="662">
        <v>155.99</v>
      </c>
    </row>
    <row r="2210" spans="1:4" x14ac:dyDescent="0.2">
      <c r="A2210" s="663" t="s">
        <v>3566</v>
      </c>
      <c r="B2210" s="664" t="s">
        <v>3420</v>
      </c>
      <c r="C2210" s="665" t="s">
        <v>11</v>
      </c>
      <c r="D2210" s="666">
        <v>270.81</v>
      </c>
    </row>
    <row r="2211" spans="1:4" x14ac:dyDescent="0.2">
      <c r="A2211" s="655" t="s">
        <v>3567</v>
      </c>
      <c r="B2211" s="656" t="s">
        <v>1287</v>
      </c>
      <c r="C2211" s="657"/>
      <c r="D2211" s="658"/>
    </row>
    <row r="2212" spans="1:4" x14ac:dyDescent="0.2">
      <c r="A2212" s="659" t="s">
        <v>3568</v>
      </c>
      <c r="B2212" s="660" t="s">
        <v>3420</v>
      </c>
      <c r="C2212" s="661" t="s">
        <v>11</v>
      </c>
      <c r="D2212" s="662">
        <v>5.19</v>
      </c>
    </row>
    <row r="2213" spans="1:4" x14ac:dyDescent="0.2">
      <c r="A2213" s="651" t="s">
        <v>3569</v>
      </c>
      <c r="B2213" s="652" t="s">
        <v>3570</v>
      </c>
      <c r="C2213" s="653"/>
      <c r="D2213" s="654"/>
    </row>
    <row r="2214" spans="1:4" x14ac:dyDescent="0.2">
      <c r="A2214" s="655" t="s">
        <v>3571</v>
      </c>
      <c r="B2214" s="656" t="s">
        <v>1292</v>
      </c>
      <c r="C2214" s="657"/>
      <c r="D2214" s="658"/>
    </row>
    <row r="2215" spans="1:4" x14ac:dyDescent="0.2">
      <c r="A2215" s="663" t="s">
        <v>3572</v>
      </c>
      <c r="B2215" s="664" t="s">
        <v>3573</v>
      </c>
      <c r="C2215" s="665" t="s">
        <v>11</v>
      </c>
      <c r="D2215" s="666">
        <v>295.89</v>
      </c>
    </row>
    <row r="2216" spans="1:4" x14ac:dyDescent="0.2">
      <c r="A2216" s="659" t="s">
        <v>3574</v>
      </c>
      <c r="B2216" s="660" t="s">
        <v>3575</v>
      </c>
      <c r="C2216" s="661" t="s">
        <v>11</v>
      </c>
      <c r="D2216" s="662">
        <v>101.5</v>
      </c>
    </row>
    <row r="2217" spans="1:4" x14ac:dyDescent="0.2">
      <c r="A2217" s="663" t="s">
        <v>3576</v>
      </c>
      <c r="B2217" s="664" t="s">
        <v>3577</v>
      </c>
      <c r="C2217" s="665" t="s">
        <v>11</v>
      </c>
      <c r="D2217" s="666">
        <v>397.4</v>
      </c>
    </row>
    <row r="2218" spans="1:4" x14ac:dyDescent="0.2">
      <c r="A2218" s="659" t="s">
        <v>3578</v>
      </c>
      <c r="B2218" s="660" t="s">
        <v>3579</v>
      </c>
      <c r="C2218" s="661" t="s">
        <v>11</v>
      </c>
      <c r="D2218" s="662">
        <v>397.4</v>
      </c>
    </row>
    <row r="2219" spans="1:4" x14ac:dyDescent="0.2">
      <c r="A2219" s="655" t="s">
        <v>3580</v>
      </c>
      <c r="B2219" s="656" t="s">
        <v>1296</v>
      </c>
      <c r="C2219" s="657"/>
      <c r="D2219" s="658"/>
    </row>
    <row r="2220" spans="1:4" x14ac:dyDescent="0.2">
      <c r="A2220" s="663" t="s">
        <v>3581</v>
      </c>
      <c r="B2220" s="664" t="s">
        <v>3573</v>
      </c>
      <c r="C2220" s="665" t="s">
        <v>11</v>
      </c>
      <c r="D2220" s="666">
        <v>225.38</v>
      </c>
    </row>
    <row r="2221" spans="1:4" x14ac:dyDescent="0.2">
      <c r="A2221" s="659" t="s">
        <v>3582</v>
      </c>
      <c r="B2221" s="660" t="s">
        <v>3575</v>
      </c>
      <c r="C2221" s="661" t="s">
        <v>11</v>
      </c>
      <c r="D2221" s="662">
        <v>86.49</v>
      </c>
    </row>
    <row r="2222" spans="1:4" x14ac:dyDescent="0.2">
      <c r="A2222" s="663" t="s">
        <v>3583</v>
      </c>
      <c r="B2222" s="664" t="s">
        <v>3577</v>
      </c>
      <c r="C2222" s="665" t="s">
        <v>11</v>
      </c>
      <c r="D2222" s="666">
        <v>311.86</v>
      </c>
    </row>
    <row r="2223" spans="1:4" x14ac:dyDescent="0.2">
      <c r="A2223" s="659" t="s">
        <v>3584</v>
      </c>
      <c r="B2223" s="660" t="s">
        <v>3579</v>
      </c>
      <c r="C2223" s="661" t="s">
        <v>11</v>
      </c>
      <c r="D2223" s="662">
        <v>311.86</v>
      </c>
    </row>
    <row r="2224" spans="1:4" x14ac:dyDescent="0.2">
      <c r="A2224" s="655" t="s">
        <v>3585</v>
      </c>
      <c r="B2224" s="656" t="s">
        <v>1299</v>
      </c>
      <c r="C2224" s="657"/>
      <c r="D2224" s="658"/>
    </row>
    <row r="2225" spans="1:4" x14ac:dyDescent="0.2">
      <c r="A2225" s="663" t="s">
        <v>3586</v>
      </c>
      <c r="B2225" s="664" t="s">
        <v>3573</v>
      </c>
      <c r="C2225" s="665" t="s">
        <v>11</v>
      </c>
      <c r="D2225" s="666">
        <v>225.32</v>
      </c>
    </row>
    <row r="2226" spans="1:4" x14ac:dyDescent="0.2">
      <c r="A2226" s="659" t="s">
        <v>3587</v>
      </c>
      <c r="B2226" s="660" t="s">
        <v>3575</v>
      </c>
      <c r="C2226" s="661" t="s">
        <v>11</v>
      </c>
      <c r="D2226" s="662">
        <v>86.46</v>
      </c>
    </row>
    <row r="2227" spans="1:4" x14ac:dyDescent="0.2">
      <c r="A2227" s="663" t="s">
        <v>3588</v>
      </c>
      <c r="B2227" s="664" t="s">
        <v>3577</v>
      </c>
      <c r="C2227" s="665" t="s">
        <v>11</v>
      </c>
      <c r="D2227" s="666">
        <v>311.77999999999997</v>
      </c>
    </row>
    <row r="2228" spans="1:4" x14ac:dyDescent="0.2">
      <c r="A2228" s="659" t="s">
        <v>3589</v>
      </c>
      <c r="B2228" s="660" t="s">
        <v>3579</v>
      </c>
      <c r="C2228" s="661" t="s">
        <v>11</v>
      </c>
      <c r="D2228" s="662">
        <v>311.77999999999997</v>
      </c>
    </row>
    <row r="2229" spans="1:4" x14ac:dyDescent="0.2">
      <c r="A2229" s="655" t="s">
        <v>3590</v>
      </c>
      <c r="B2229" s="656" t="s">
        <v>1302</v>
      </c>
      <c r="C2229" s="657"/>
      <c r="D2229" s="658"/>
    </row>
    <row r="2230" spans="1:4" x14ac:dyDescent="0.2">
      <c r="A2230" s="663" t="s">
        <v>3591</v>
      </c>
      <c r="B2230" s="664" t="s">
        <v>3573</v>
      </c>
      <c r="C2230" s="665" t="s">
        <v>11</v>
      </c>
      <c r="D2230" s="666">
        <v>231.75</v>
      </c>
    </row>
    <row r="2231" spans="1:4" x14ac:dyDescent="0.2">
      <c r="A2231" s="659" t="s">
        <v>3592</v>
      </c>
      <c r="B2231" s="660" t="s">
        <v>3575</v>
      </c>
      <c r="C2231" s="661" t="s">
        <v>11</v>
      </c>
      <c r="D2231" s="662">
        <v>97.94</v>
      </c>
    </row>
    <row r="2232" spans="1:4" x14ac:dyDescent="0.2">
      <c r="A2232" s="663" t="s">
        <v>3593</v>
      </c>
      <c r="B2232" s="664" t="s">
        <v>3577</v>
      </c>
      <c r="C2232" s="665" t="s">
        <v>11</v>
      </c>
      <c r="D2232" s="666">
        <v>329.69</v>
      </c>
    </row>
    <row r="2233" spans="1:4" x14ac:dyDescent="0.2">
      <c r="A2233" s="659" t="s">
        <v>3594</v>
      </c>
      <c r="B2233" s="660" t="s">
        <v>3579</v>
      </c>
      <c r="C2233" s="661" t="s">
        <v>11</v>
      </c>
      <c r="D2233" s="662">
        <v>329.69</v>
      </c>
    </row>
    <row r="2234" spans="1:4" x14ac:dyDescent="0.2">
      <c r="A2234" s="655" t="s">
        <v>3595</v>
      </c>
      <c r="B2234" s="656" t="s">
        <v>1305</v>
      </c>
      <c r="C2234" s="657"/>
      <c r="D2234" s="658"/>
    </row>
    <row r="2235" spans="1:4" x14ac:dyDescent="0.2">
      <c r="A2235" s="663" t="s">
        <v>3596</v>
      </c>
      <c r="B2235" s="664" t="s">
        <v>3573</v>
      </c>
      <c r="C2235" s="665" t="s">
        <v>11</v>
      </c>
      <c r="D2235" s="666">
        <v>250.26</v>
      </c>
    </row>
    <row r="2236" spans="1:4" x14ac:dyDescent="0.2">
      <c r="A2236" s="659" t="s">
        <v>3597</v>
      </c>
      <c r="B2236" s="660" t="s">
        <v>3575</v>
      </c>
      <c r="C2236" s="661" t="s">
        <v>11</v>
      </c>
      <c r="D2236" s="662">
        <v>111.93</v>
      </c>
    </row>
    <row r="2237" spans="1:4" x14ac:dyDescent="0.2">
      <c r="A2237" s="663" t="s">
        <v>3598</v>
      </c>
      <c r="B2237" s="664" t="s">
        <v>3577</v>
      </c>
      <c r="C2237" s="665" t="s">
        <v>11</v>
      </c>
      <c r="D2237" s="666">
        <v>362.19</v>
      </c>
    </row>
    <row r="2238" spans="1:4" x14ac:dyDescent="0.2">
      <c r="A2238" s="659" t="s">
        <v>3599</v>
      </c>
      <c r="B2238" s="660" t="s">
        <v>3579</v>
      </c>
      <c r="C2238" s="661" t="s">
        <v>11</v>
      </c>
      <c r="D2238" s="662">
        <v>362.19</v>
      </c>
    </row>
    <row r="2239" spans="1:4" x14ac:dyDescent="0.2">
      <c r="A2239" s="655" t="s">
        <v>3600</v>
      </c>
      <c r="B2239" s="656" t="s">
        <v>1308</v>
      </c>
      <c r="C2239" s="657"/>
      <c r="D2239" s="658"/>
    </row>
    <row r="2240" spans="1:4" x14ac:dyDescent="0.2">
      <c r="A2240" s="663" t="s">
        <v>3601</v>
      </c>
      <c r="B2240" s="664" t="s">
        <v>3573</v>
      </c>
      <c r="C2240" s="665" t="s">
        <v>11</v>
      </c>
      <c r="D2240" s="666">
        <v>568.89</v>
      </c>
    </row>
    <row r="2241" spans="1:4" x14ac:dyDescent="0.2">
      <c r="A2241" s="659" t="s">
        <v>3602</v>
      </c>
      <c r="B2241" s="660" t="s">
        <v>3575</v>
      </c>
      <c r="C2241" s="661" t="s">
        <v>11</v>
      </c>
      <c r="D2241" s="662">
        <v>243.84</v>
      </c>
    </row>
    <row r="2242" spans="1:4" x14ac:dyDescent="0.2">
      <c r="A2242" s="663" t="s">
        <v>3603</v>
      </c>
      <c r="B2242" s="664" t="s">
        <v>3577</v>
      </c>
      <c r="C2242" s="665" t="s">
        <v>11</v>
      </c>
      <c r="D2242" s="666">
        <v>812.73</v>
      </c>
    </row>
    <row r="2243" spans="1:4" x14ac:dyDescent="0.2">
      <c r="A2243" s="659" t="s">
        <v>3604</v>
      </c>
      <c r="B2243" s="660" t="s">
        <v>3579</v>
      </c>
      <c r="C2243" s="661" t="s">
        <v>11</v>
      </c>
      <c r="D2243" s="662">
        <v>812.73</v>
      </c>
    </row>
    <row r="2244" spans="1:4" x14ac:dyDescent="0.2">
      <c r="A2244" s="655" t="s">
        <v>3605</v>
      </c>
      <c r="B2244" s="656" t="s">
        <v>1311</v>
      </c>
      <c r="C2244" s="657"/>
      <c r="D2244" s="658"/>
    </row>
    <row r="2245" spans="1:4" x14ac:dyDescent="0.2">
      <c r="A2245" s="663" t="s">
        <v>3606</v>
      </c>
      <c r="B2245" s="664" t="s">
        <v>3573</v>
      </c>
      <c r="C2245" s="665" t="s">
        <v>11</v>
      </c>
      <c r="D2245" s="666">
        <v>252.97</v>
      </c>
    </row>
    <row r="2246" spans="1:4" x14ac:dyDescent="0.2">
      <c r="A2246" s="659" t="s">
        <v>3607</v>
      </c>
      <c r="B2246" s="660" t="s">
        <v>3575</v>
      </c>
      <c r="C2246" s="661" t="s">
        <v>11</v>
      </c>
      <c r="D2246" s="662">
        <v>29.28</v>
      </c>
    </row>
    <row r="2247" spans="1:4" x14ac:dyDescent="0.2">
      <c r="A2247" s="663" t="s">
        <v>3608</v>
      </c>
      <c r="B2247" s="664" t="s">
        <v>3577</v>
      </c>
      <c r="C2247" s="665" t="s">
        <v>11</v>
      </c>
      <c r="D2247" s="666">
        <v>282.25</v>
      </c>
    </row>
    <row r="2248" spans="1:4" x14ac:dyDescent="0.2">
      <c r="A2248" s="659" t="s">
        <v>3609</v>
      </c>
      <c r="B2248" s="660" t="s">
        <v>3579</v>
      </c>
      <c r="C2248" s="661" t="s">
        <v>11</v>
      </c>
      <c r="D2248" s="662">
        <v>282.25</v>
      </c>
    </row>
    <row r="2249" spans="1:4" x14ac:dyDescent="0.2">
      <c r="A2249" s="655" t="s">
        <v>3610</v>
      </c>
      <c r="B2249" s="656" t="s">
        <v>1316</v>
      </c>
      <c r="C2249" s="657"/>
      <c r="D2249" s="658"/>
    </row>
    <row r="2250" spans="1:4" x14ac:dyDescent="0.2">
      <c r="A2250" s="663" t="s">
        <v>3611</v>
      </c>
      <c r="B2250" s="664" t="s">
        <v>3573</v>
      </c>
      <c r="C2250" s="665" t="s">
        <v>11</v>
      </c>
      <c r="D2250" s="666">
        <v>262.02</v>
      </c>
    </row>
    <row r="2251" spans="1:4" x14ac:dyDescent="0.2">
      <c r="A2251" s="659" t="s">
        <v>3612</v>
      </c>
      <c r="B2251" s="660" t="s">
        <v>3575</v>
      </c>
      <c r="C2251" s="661" t="s">
        <v>11</v>
      </c>
      <c r="D2251" s="662">
        <v>10.11</v>
      </c>
    </row>
    <row r="2252" spans="1:4" x14ac:dyDescent="0.2">
      <c r="A2252" s="663" t="s">
        <v>3613</v>
      </c>
      <c r="B2252" s="664" t="s">
        <v>3577</v>
      </c>
      <c r="C2252" s="665" t="s">
        <v>11</v>
      </c>
      <c r="D2252" s="666">
        <v>272.13</v>
      </c>
    </row>
    <row r="2253" spans="1:4" x14ac:dyDescent="0.2">
      <c r="A2253" s="659" t="s">
        <v>3614</v>
      </c>
      <c r="B2253" s="660" t="s">
        <v>3579</v>
      </c>
      <c r="C2253" s="661" t="s">
        <v>11</v>
      </c>
      <c r="D2253" s="662">
        <v>272.13</v>
      </c>
    </row>
    <row r="2254" spans="1:4" x14ac:dyDescent="0.2">
      <c r="A2254" s="655" t="s">
        <v>3615</v>
      </c>
      <c r="B2254" s="656" t="s">
        <v>1320</v>
      </c>
      <c r="C2254" s="657"/>
      <c r="D2254" s="658"/>
    </row>
    <row r="2255" spans="1:4" x14ac:dyDescent="0.2">
      <c r="A2255" s="663" t="s">
        <v>3616</v>
      </c>
      <c r="B2255" s="664" t="s">
        <v>3573</v>
      </c>
      <c r="C2255" s="665" t="s">
        <v>11</v>
      </c>
      <c r="D2255" s="666">
        <v>262.04000000000002</v>
      </c>
    </row>
    <row r="2256" spans="1:4" x14ac:dyDescent="0.2">
      <c r="A2256" s="659" t="s">
        <v>3617</v>
      </c>
      <c r="B2256" s="660" t="s">
        <v>3575</v>
      </c>
      <c r="C2256" s="661" t="s">
        <v>11</v>
      </c>
      <c r="D2256" s="662">
        <v>10.11</v>
      </c>
    </row>
    <row r="2257" spans="1:4" x14ac:dyDescent="0.2">
      <c r="A2257" s="663" t="s">
        <v>3618</v>
      </c>
      <c r="B2257" s="664" t="s">
        <v>3577</v>
      </c>
      <c r="C2257" s="665" t="s">
        <v>11</v>
      </c>
      <c r="D2257" s="666">
        <v>272.14999999999998</v>
      </c>
    </row>
    <row r="2258" spans="1:4" x14ac:dyDescent="0.2">
      <c r="A2258" s="659" t="s">
        <v>3619</v>
      </c>
      <c r="B2258" s="660" t="s">
        <v>3579</v>
      </c>
      <c r="C2258" s="661" t="s">
        <v>11</v>
      </c>
      <c r="D2258" s="662">
        <v>272.14999999999998</v>
      </c>
    </row>
    <row r="2259" spans="1:4" x14ac:dyDescent="0.2">
      <c r="A2259" s="655" t="s">
        <v>3620</v>
      </c>
      <c r="B2259" s="656" t="s">
        <v>1324</v>
      </c>
      <c r="C2259" s="657"/>
      <c r="D2259" s="658"/>
    </row>
    <row r="2260" spans="1:4" x14ac:dyDescent="0.2">
      <c r="A2260" s="663" t="s">
        <v>3621</v>
      </c>
      <c r="B2260" s="664" t="s">
        <v>3573</v>
      </c>
      <c r="C2260" s="665" t="s">
        <v>11</v>
      </c>
      <c r="D2260" s="666">
        <v>262.04000000000002</v>
      </c>
    </row>
    <row r="2261" spans="1:4" x14ac:dyDescent="0.2">
      <c r="A2261" s="659" t="s">
        <v>3622</v>
      </c>
      <c r="B2261" s="660" t="s">
        <v>3575</v>
      </c>
      <c r="C2261" s="661" t="s">
        <v>11</v>
      </c>
      <c r="D2261" s="662">
        <v>10.11</v>
      </c>
    </row>
    <row r="2262" spans="1:4" x14ac:dyDescent="0.2">
      <c r="A2262" s="663" t="s">
        <v>3623</v>
      </c>
      <c r="B2262" s="664" t="s">
        <v>3577</v>
      </c>
      <c r="C2262" s="665" t="s">
        <v>11</v>
      </c>
      <c r="D2262" s="666">
        <v>272.14999999999998</v>
      </c>
    </row>
    <row r="2263" spans="1:4" x14ac:dyDescent="0.2">
      <c r="A2263" s="659" t="s">
        <v>3624</v>
      </c>
      <c r="B2263" s="660" t="s">
        <v>3579</v>
      </c>
      <c r="C2263" s="661" t="s">
        <v>11</v>
      </c>
      <c r="D2263" s="662">
        <v>272.14999999999998</v>
      </c>
    </row>
    <row r="2264" spans="1:4" x14ac:dyDescent="0.2">
      <c r="A2264" s="655" t="s">
        <v>3625</v>
      </c>
      <c r="B2264" s="656" t="s">
        <v>1328</v>
      </c>
      <c r="C2264" s="657"/>
      <c r="D2264" s="658"/>
    </row>
    <row r="2265" spans="1:4" x14ac:dyDescent="0.2">
      <c r="A2265" s="663" t="s">
        <v>3626</v>
      </c>
      <c r="B2265" s="664" t="s">
        <v>3573</v>
      </c>
      <c r="C2265" s="665" t="s">
        <v>11</v>
      </c>
      <c r="D2265" s="666">
        <v>262.04000000000002</v>
      </c>
    </row>
    <row r="2266" spans="1:4" x14ac:dyDescent="0.2">
      <c r="A2266" s="659" t="s">
        <v>3627</v>
      </c>
      <c r="B2266" s="660" t="s">
        <v>3575</v>
      </c>
      <c r="C2266" s="661" t="s">
        <v>11</v>
      </c>
      <c r="D2266" s="662">
        <v>10.11</v>
      </c>
    </row>
    <row r="2267" spans="1:4" x14ac:dyDescent="0.2">
      <c r="A2267" s="663" t="s">
        <v>3628</v>
      </c>
      <c r="B2267" s="664" t="s">
        <v>3577</v>
      </c>
      <c r="C2267" s="665" t="s">
        <v>11</v>
      </c>
      <c r="D2267" s="666">
        <v>272.14999999999998</v>
      </c>
    </row>
    <row r="2268" spans="1:4" x14ac:dyDescent="0.2">
      <c r="A2268" s="659" t="s">
        <v>3629</v>
      </c>
      <c r="B2268" s="660" t="s">
        <v>3579</v>
      </c>
      <c r="C2268" s="661" t="s">
        <v>11</v>
      </c>
      <c r="D2268" s="662">
        <v>272.14999999999998</v>
      </c>
    </row>
    <row r="2269" spans="1:4" x14ac:dyDescent="0.2">
      <c r="A2269" s="655" t="s">
        <v>3630</v>
      </c>
      <c r="B2269" s="656" t="s">
        <v>1332</v>
      </c>
      <c r="C2269" s="657"/>
      <c r="D2269" s="658"/>
    </row>
    <row r="2270" spans="1:4" x14ac:dyDescent="0.2">
      <c r="A2270" s="663" t="s">
        <v>3631</v>
      </c>
      <c r="B2270" s="664" t="s">
        <v>3573</v>
      </c>
      <c r="C2270" s="665" t="s">
        <v>11</v>
      </c>
      <c r="D2270" s="666">
        <v>262.04000000000002</v>
      </c>
    </row>
    <row r="2271" spans="1:4" x14ac:dyDescent="0.2">
      <c r="A2271" s="659" t="s">
        <v>3632</v>
      </c>
      <c r="B2271" s="660" t="s">
        <v>3575</v>
      </c>
      <c r="C2271" s="661" t="s">
        <v>11</v>
      </c>
      <c r="D2271" s="662">
        <v>10.11</v>
      </c>
    </row>
    <row r="2272" spans="1:4" x14ac:dyDescent="0.2">
      <c r="A2272" s="663" t="s">
        <v>3633</v>
      </c>
      <c r="B2272" s="664" t="s">
        <v>3577</v>
      </c>
      <c r="C2272" s="665" t="s">
        <v>11</v>
      </c>
      <c r="D2272" s="666">
        <v>272.14999999999998</v>
      </c>
    </row>
    <row r="2273" spans="1:4" x14ac:dyDescent="0.2">
      <c r="A2273" s="659" t="s">
        <v>3634</v>
      </c>
      <c r="B2273" s="660" t="s">
        <v>3579</v>
      </c>
      <c r="C2273" s="661" t="s">
        <v>11</v>
      </c>
      <c r="D2273" s="662">
        <v>272.14999999999998</v>
      </c>
    </row>
    <row r="2274" spans="1:4" x14ac:dyDescent="0.2">
      <c r="A2274" s="655" t="s">
        <v>3635</v>
      </c>
      <c r="B2274" s="656" t="s">
        <v>1336</v>
      </c>
      <c r="C2274" s="657"/>
      <c r="D2274" s="658"/>
    </row>
    <row r="2275" spans="1:4" x14ac:dyDescent="0.2">
      <c r="A2275" s="663" t="s">
        <v>3636</v>
      </c>
      <c r="B2275" s="664" t="s">
        <v>3573</v>
      </c>
      <c r="C2275" s="665" t="s">
        <v>11</v>
      </c>
      <c r="D2275" s="666">
        <v>262.04000000000002</v>
      </c>
    </row>
    <row r="2276" spans="1:4" x14ac:dyDescent="0.2">
      <c r="A2276" s="659" t="s">
        <v>3637</v>
      </c>
      <c r="B2276" s="660" t="s">
        <v>3575</v>
      </c>
      <c r="C2276" s="661" t="s">
        <v>11</v>
      </c>
      <c r="D2276" s="662">
        <v>10.11</v>
      </c>
    </row>
    <row r="2277" spans="1:4" x14ac:dyDescent="0.2">
      <c r="A2277" s="663" t="s">
        <v>3638</v>
      </c>
      <c r="B2277" s="664" t="s">
        <v>3577</v>
      </c>
      <c r="C2277" s="665" t="s">
        <v>11</v>
      </c>
      <c r="D2277" s="666">
        <v>272.14999999999998</v>
      </c>
    </row>
    <row r="2278" spans="1:4" x14ac:dyDescent="0.2">
      <c r="A2278" s="659" t="s">
        <v>3639</v>
      </c>
      <c r="B2278" s="660" t="s">
        <v>3579</v>
      </c>
      <c r="C2278" s="661" t="s">
        <v>11</v>
      </c>
      <c r="D2278" s="662">
        <v>272.14999999999998</v>
      </c>
    </row>
    <row r="2279" spans="1:4" x14ac:dyDescent="0.2">
      <c r="A2279" s="655" t="s">
        <v>3640</v>
      </c>
      <c r="B2279" s="656" t="s">
        <v>1340</v>
      </c>
      <c r="C2279" s="657"/>
      <c r="D2279" s="658"/>
    </row>
    <row r="2280" spans="1:4" x14ac:dyDescent="0.2">
      <c r="A2280" s="663" t="s">
        <v>3641</v>
      </c>
      <c r="B2280" s="664" t="s">
        <v>3573</v>
      </c>
      <c r="C2280" s="665" t="s">
        <v>11</v>
      </c>
      <c r="D2280" s="666">
        <v>262.04000000000002</v>
      </c>
    </row>
    <row r="2281" spans="1:4" x14ac:dyDescent="0.2">
      <c r="A2281" s="659" t="s">
        <v>3642</v>
      </c>
      <c r="B2281" s="660" t="s">
        <v>3575</v>
      </c>
      <c r="C2281" s="661" t="s">
        <v>11</v>
      </c>
      <c r="D2281" s="662">
        <v>10.11</v>
      </c>
    </row>
    <row r="2282" spans="1:4" x14ac:dyDescent="0.2">
      <c r="A2282" s="663" t="s">
        <v>3643</v>
      </c>
      <c r="B2282" s="664" t="s">
        <v>3577</v>
      </c>
      <c r="C2282" s="665" t="s">
        <v>11</v>
      </c>
      <c r="D2282" s="666">
        <v>272.14999999999998</v>
      </c>
    </row>
    <row r="2283" spans="1:4" x14ac:dyDescent="0.2">
      <c r="A2283" s="659" t="s">
        <v>3644</v>
      </c>
      <c r="B2283" s="660" t="s">
        <v>3579</v>
      </c>
      <c r="C2283" s="661" t="s">
        <v>11</v>
      </c>
      <c r="D2283" s="662">
        <v>272.14999999999998</v>
      </c>
    </row>
    <row r="2284" spans="1:4" x14ac:dyDescent="0.2">
      <c r="A2284" s="655" t="s">
        <v>3645</v>
      </c>
      <c r="B2284" s="656" t="s">
        <v>1344</v>
      </c>
      <c r="C2284" s="657"/>
      <c r="D2284" s="658"/>
    </row>
    <row r="2285" spans="1:4" x14ac:dyDescent="0.2">
      <c r="A2285" s="663" t="s">
        <v>3646</v>
      </c>
      <c r="B2285" s="664" t="s">
        <v>3573</v>
      </c>
      <c r="C2285" s="665" t="s">
        <v>11</v>
      </c>
      <c r="D2285" s="666">
        <v>262.04000000000002</v>
      </c>
    </row>
    <row r="2286" spans="1:4" x14ac:dyDescent="0.2">
      <c r="A2286" s="659" t="s">
        <v>3647</v>
      </c>
      <c r="B2286" s="660" t="s">
        <v>3575</v>
      </c>
      <c r="C2286" s="661" t="s">
        <v>11</v>
      </c>
      <c r="D2286" s="662">
        <v>10.11</v>
      </c>
    </row>
    <row r="2287" spans="1:4" x14ac:dyDescent="0.2">
      <c r="A2287" s="663" t="s">
        <v>3648</v>
      </c>
      <c r="B2287" s="664" t="s">
        <v>3577</v>
      </c>
      <c r="C2287" s="665" t="s">
        <v>11</v>
      </c>
      <c r="D2287" s="666">
        <v>272.14999999999998</v>
      </c>
    </row>
    <row r="2288" spans="1:4" x14ac:dyDescent="0.2">
      <c r="A2288" s="659" t="s">
        <v>3649</v>
      </c>
      <c r="B2288" s="660" t="s">
        <v>3579</v>
      </c>
      <c r="C2288" s="661" t="s">
        <v>11</v>
      </c>
      <c r="D2288" s="662">
        <v>272.14999999999998</v>
      </c>
    </row>
    <row r="2289" spans="1:4" x14ac:dyDescent="0.2">
      <c r="A2289" s="655" t="s">
        <v>3650</v>
      </c>
      <c r="B2289" s="656" t="s">
        <v>1348</v>
      </c>
      <c r="C2289" s="657"/>
      <c r="D2289" s="658"/>
    </row>
    <row r="2290" spans="1:4" x14ac:dyDescent="0.2">
      <c r="A2290" s="663" t="s">
        <v>3651</v>
      </c>
      <c r="B2290" s="664" t="s">
        <v>3573</v>
      </c>
      <c r="C2290" s="665" t="s">
        <v>11</v>
      </c>
      <c r="D2290" s="666">
        <v>262.04000000000002</v>
      </c>
    </row>
    <row r="2291" spans="1:4" x14ac:dyDescent="0.2">
      <c r="A2291" s="659" t="s">
        <v>3652</v>
      </c>
      <c r="B2291" s="660" t="s">
        <v>3575</v>
      </c>
      <c r="C2291" s="661" t="s">
        <v>11</v>
      </c>
      <c r="D2291" s="662">
        <v>10.11</v>
      </c>
    </row>
    <row r="2292" spans="1:4" x14ac:dyDescent="0.2">
      <c r="A2292" s="663" t="s">
        <v>3653</v>
      </c>
      <c r="B2292" s="664" t="s">
        <v>3577</v>
      </c>
      <c r="C2292" s="665" t="s">
        <v>11</v>
      </c>
      <c r="D2292" s="666">
        <v>272.14999999999998</v>
      </c>
    </row>
    <row r="2293" spans="1:4" x14ac:dyDescent="0.2">
      <c r="A2293" s="659" t="s">
        <v>3654</v>
      </c>
      <c r="B2293" s="660" t="s">
        <v>3579</v>
      </c>
      <c r="C2293" s="661" t="s">
        <v>11</v>
      </c>
      <c r="D2293" s="662">
        <v>272.14999999999998</v>
      </c>
    </row>
    <row r="2294" spans="1:4" x14ac:dyDescent="0.2">
      <c r="A2294" s="655" t="s">
        <v>3655</v>
      </c>
      <c r="B2294" s="656" t="s">
        <v>1352</v>
      </c>
      <c r="C2294" s="657"/>
      <c r="D2294" s="658"/>
    </row>
    <row r="2295" spans="1:4" x14ac:dyDescent="0.2">
      <c r="A2295" s="663" t="s">
        <v>3656</v>
      </c>
      <c r="B2295" s="664" t="s">
        <v>3573</v>
      </c>
      <c r="C2295" s="665" t="s">
        <v>11</v>
      </c>
      <c r="D2295" s="666">
        <v>262.04000000000002</v>
      </c>
    </row>
    <row r="2296" spans="1:4" x14ac:dyDescent="0.2">
      <c r="A2296" s="659" t="s">
        <v>3657</v>
      </c>
      <c r="B2296" s="660" t="s">
        <v>3575</v>
      </c>
      <c r="C2296" s="661" t="s">
        <v>11</v>
      </c>
      <c r="D2296" s="662">
        <v>10.11</v>
      </c>
    </row>
    <row r="2297" spans="1:4" x14ac:dyDescent="0.2">
      <c r="A2297" s="663" t="s">
        <v>3658</v>
      </c>
      <c r="B2297" s="664" t="s">
        <v>3577</v>
      </c>
      <c r="C2297" s="665" t="s">
        <v>11</v>
      </c>
      <c r="D2297" s="666">
        <v>272.14999999999998</v>
      </c>
    </row>
    <row r="2298" spans="1:4" x14ac:dyDescent="0.2">
      <c r="A2298" s="659" t="s">
        <v>3659</v>
      </c>
      <c r="B2298" s="660" t="s">
        <v>3579</v>
      </c>
      <c r="C2298" s="661" t="s">
        <v>11</v>
      </c>
      <c r="D2298" s="662">
        <v>272.14999999999998</v>
      </c>
    </row>
    <row r="2299" spans="1:4" x14ac:dyDescent="0.2">
      <c r="A2299" s="655" t="s">
        <v>3660</v>
      </c>
      <c r="B2299" s="656" t="s">
        <v>1356</v>
      </c>
      <c r="C2299" s="657"/>
      <c r="D2299" s="658"/>
    </row>
    <row r="2300" spans="1:4" x14ac:dyDescent="0.2">
      <c r="A2300" s="663" t="s">
        <v>3661</v>
      </c>
      <c r="B2300" s="664" t="s">
        <v>3573</v>
      </c>
      <c r="C2300" s="665" t="s">
        <v>11</v>
      </c>
      <c r="D2300" s="666">
        <v>262.04000000000002</v>
      </c>
    </row>
    <row r="2301" spans="1:4" x14ac:dyDescent="0.2">
      <c r="A2301" s="659" t="s">
        <v>3662</v>
      </c>
      <c r="B2301" s="660" t="s">
        <v>3575</v>
      </c>
      <c r="C2301" s="661" t="s">
        <v>11</v>
      </c>
      <c r="D2301" s="662">
        <v>10.11</v>
      </c>
    </row>
    <row r="2302" spans="1:4" x14ac:dyDescent="0.2">
      <c r="A2302" s="663" t="s">
        <v>3663</v>
      </c>
      <c r="B2302" s="664" t="s">
        <v>3577</v>
      </c>
      <c r="C2302" s="665" t="s">
        <v>11</v>
      </c>
      <c r="D2302" s="666">
        <v>272.14999999999998</v>
      </c>
    </row>
    <row r="2303" spans="1:4" x14ac:dyDescent="0.2">
      <c r="A2303" s="659" t="s">
        <v>3664</v>
      </c>
      <c r="B2303" s="660" t="s">
        <v>3579</v>
      </c>
      <c r="C2303" s="661" t="s">
        <v>11</v>
      </c>
      <c r="D2303" s="662">
        <v>272.14999999999998</v>
      </c>
    </row>
    <row r="2304" spans="1:4" x14ac:dyDescent="0.2">
      <c r="A2304" s="655" t="s">
        <v>3665</v>
      </c>
      <c r="B2304" s="656" t="s">
        <v>1360</v>
      </c>
      <c r="C2304" s="657"/>
      <c r="D2304" s="658"/>
    </row>
    <row r="2305" spans="1:4" x14ac:dyDescent="0.2">
      <c r="A2305" s="663" t="s">
        <v>3666</v>
      </c>
      <c r="B2305" s="664" t="s">
        <v>3573</v>
      </c>
      <c r="C2305" s="665" t="s">
        <v>11</v>
      </c>
      <c r="D2305" s="666">
        <v>260.39999999999998</v>
      </c>
    </row>
    <row r="2306" spans="1:4" x14ac:dyDescent="0.2">
      <c r="A2306" s="659" t="s">
        <v>3667</v>
      </c>
      <c r="B2306" s="660" t="s">
        <v>3575</v>
      </c>
      <c r="C2306" s="661" t="s">
        <v>11</v>
      </c>
      <c r="D2306" s="662">
        <v>10.11</v>
      </c>
    </row>
    <row r="2307" spans="1:4" x14ac:dyDescent="0.2">
      <c r="A2307" s="663" t="s">
        <v>3668</v>
      </c>
      <c r="B2307" s="664" t="s">
        <v>3577</v>
      </c>
      <c r="C2307" s="665" t="s">
        <v>11</v>
      </c>
      <c r="D2307" s="666">
        <v>270.51</v>
      </c>
    </row>
    <row r="2308" spans="1:4" x14ac:dyDescent="0.2">
      <c r="A2308" s="659" t="s">
        <v>3669</v>
      </c>
      <c r="B2308" s="660" t="s">
        <v>3579</v>
      </c>
      <c r="C2308" s="661" t="s">
        <v>11</v>
      </c>
      <c r="D2308" s="662">
        <v>270.51</v>
      </c>
    </row>
    <row r="2309" spans="1:4" x14ac:dyDescent="0.2">
      <c r="A2309" s="655" t="s">
        <v>3670</v>
      </c>
      <c r="B2309" s="656" t="s">
        <v>1364</v>
      </c>
      <c r="C2309" s="657"/>
      <c r="D2309" s="658"/>
    </row>
    <row r="2310" spans="1:4" x14ac:dyDescent="0.2">
      <c r="A2310" s="663" t="s">
        <v>3671</v>
      </c>
      <c r="B2310" s="664" t="s">
        <v>3573</v>
      </c>
      <c r="C2310" s="665" t="s">
        <v>11</v>
      </c>
      <c r="D2310" s="666">
        <v>258.95999999999998</v>
      </c>
    </row>
    <row r="2311" spans="1:4" x14ac:dyDescent="0.2">
      <c r="A2311" s="659" t="s">
        <v>3672</v>
      </c>
      <c r="B2311" s="660" t="s">
        <v>3575</v>
      </c>
      <c r="C2311" s="661" t="s">
        <v>11</v>
      </c>
      <c r="D2311" s="662">
        <v>23.93</v>
      </c>
    </row>
    <row r="2312" spans="1:4" x14ac:dyDescent="0.2">
      <c r="A2312" s="663" t="s">
        <v>3673</v>
      </c>
      <c r="B2312" s="664" t="s">
        <v>3577</v>
      </c>
      <c r="C2312" s="665" t="s">
        <v>11</v>
      </c>
      <c r="D2312" s="666">
        <v>282.89</v>
      </c>
    </row>
    <row r="2313" spans="1:4" x14ac:dyDescent="0.2">
      <c r="A2313" s="659" t="s">
        <v>3674</v>
      </c>
      <c r="B2313" s="660" t="s">
        <v>3579</v>
      </c>
      <c r="C2313" s="661" t="s">
        <v>11</v>
      </c>
      <c r="D2313" s="662">
        <v>282.89</v>
      </c>
    </row>
    <row r="2314" spans="1:4" x14ac:dyDescent="0.2">
      <c r="A2314" s="655" t="s">
        <v>3675</v>
      </c>
      <c r="B2314" s="656" t="s">
        <v>1368</v>
      </c>
      <c r="C2314" s="657"/>
      <c r="D2314" s="658"/>
    </row>
    <row r="2315" spans="1:4" x14ac:dyDescent="0.2">
      <c r="A2315" s="663" t="s">
        <v>3676</v>
      </c>
      <c r="B2315" s="664" t="s">
        <v>3573</v>
      </c>
      <c r="C2315" s="665" t="s">
        <v>11</v>
      </c>
      <c r="D2315" s="666">
        <v>211.7</v>
      </c>
    </row>
    <row r="2316" spans="1:4" x14ac:dyDescent="0.2">
      <c r="A2316" s="659" t="s">
        <v>3677</v>
      </c>
      <c r="B2316" s="660" t="s">
        <v>3577</v>
      </c>
      <c r="C2316" s="661" t="s">
        <v>11</v>
      </c>
      <c r="D2316" s="662">
        <v>211.7</v>
      </c>
    </row>
    <row r="2317" spans="1:4" x14ac:dyDescent="0.2">
      <c r="A2317" s="663" t="s">
        <v>3678</v>
      </c>
      <c r="B2317" s="664" t="s">
        <v>3579</v>
      </c>
      <c r="C2317" s="665" t="s">
        <v>11</v>
      </c>
      <c r="D2317" s="666">
        <v>211.7</v>
      </c>
    </row>
    <row r="2318" spans="1:4" x14ac:dyDescent="0.2">
      <c r="A2318" s="655" t="s">
        <v>3679</v>
      </c>
      <c r="B2318" s="656" t="s">
        <v>1283</v>
      </c>
      <c r="C2318" s="657"/>
      <c r="D2318" s="658"/>
    </row>
    <row r="2319" spans="1:4" x14ac:dyDescent="0.2">
      <c r="A2319" s="659" t="s">
        <v>3680</v>
      </c>
      <c r="B2319" s="660" t="s">
        <v>3573</v>
      </c>
      <c r="C2319" s="661" t="s">
        <v>11</v>
      </c>
      <c r="D2319" s="662">
        <v>426.8</v>
      </c>
    </row>
    <row r="2320" spans="1:4" x14ac:dyDescent="0.2">
      <c r="A2320" s="663" t="s">
        <v>3681</v>
      </c>
      <c r="B2320" s="664" t="s">
        <v>3577</v>
      </c>
      <c r="C2320" s="665" t="s">
        <v>11</v>
      </c>
      <c r="D2320" s="666">
        <v>426.8</v>
      </c>
    </row>
    <row r="2321" spans="1:8" x14ac:dyDescent="0.2">
      <c r="A2321" s="659" t="s">
        <v>3682</v>
      </c>
      <c r="B2321" s="660" t="s">
        <v>3579</v>
      </c>
      <c r="C2321" s="661" t="s">
        <v>11</v>
      </c>
      <c r="D2321" s="662">
        <v>426.8</v>
      </c>
    </row>
    <row r="2322" spans="1:8" x14ac:dyDescent="0.2">
      <c r="A2322" s="655" t="s">
        <v>3683</v>
      </c>
      <c r="B2322" s="656" t="s">
        <v>1287</v>
      </c>
      <c r="C2322" s="657"/>
      <c r="D2322" s="658"/>
    </row>
    <row r="2323" spans="1:8" x14ac:dyDescent="0.2">
      <c r="A2323" s="663" t="s">
        <v>3684</v>
      </c>
      <c r="B2323" s="664" t="s">
        <v>3573</v>
      </c>
      <c r="C2323" s="665" t="s">
        <v>11</v>
      </c>
      <c r="D2323" s="666">
        <v>5.19</v>
      </c>
    </row>
    <row r="2324" spans="1:8" x14ac:dyDescent="0.2">
      <c r="A2324" s="659" t="s">
        <v>3685</v>
      </c>
      <c r="B2324" s="660" t="s">
        <v>3577</v>
      </c>
      <c r="C2324" s="661" t="s">
        <v>11</v>
      </c>
      <c r="D2324" s="662">
        <v>5.19</v>
      </c>
    </row>
    <row r="2325" spans="1:8" x14ac:dyDescent="0.2">
      <c r="A2325" s="663" t="s">
        <v>3686</v>
      </c>
      <c r="B2325" s="664" t="s">
        <v>3579</v>
      </c>
      <c r="C2325" s="665" t="s">
        <v>11</v>
      </c>
      <c r="D2325" s="666">
        <v>5.19</v>
      </c>
    </row>
    <row r="2326" spans="1:8" x14ac:dyDescent="0.2">
      <c r="A2326" s="651" t="s">
        <v>3687</v>
      </c>
      <c r="B2326" s="652" t="s">
        <v>168</v>
      </c>
      <c r="C2326" s="653"/>
      <c r="D2326" s="654"/>
    </row>
    <row r="2327" spans="1:8" x14ac:dyDescent="0.2">
      <c r="A2327" s="655" t="s">
        <v>3688</v>
      </c>
      <c r="B2327" s="656" t="s">
        <v>1308</v>
      </c>
      <c r="C2327" s="657"/>
      <c r="D2327" s="658"/>
    </row>
    <row r="2328" spans="1:8" x14ac:dyDescent="0.2">
      <c r="A2328" s="659" t="s">
        <v>3689</v>
      </c>
      <c r="B2328" s="660" t="s">
        <v>3690</v>
      </c>
      <c r="C2328" s="661" t="s">
        <v>11</v>
      </c>
      <c r="D2328" s="662">
        <v>13.78</v>
      </c>
    </row>
    <row r="2329" spans="1:8" x14ac:dyDescent="0.2">
      <c r="A2329" s="663" t="s">
        <v>3691</v>
      </c>
      <c r="B2329" s="664" t="s">
        <v>3692</v>
      </c>
      <c r="C2329" s="665" t="s">
        <v>11</v>
      </c>
      <c r="D2329" s="666">
        <v>35.19</v>
      </c>
    </row>
    <row r="2330" spans="1:8" collapsed="1" x14ac:dyDescent="0.2">
      <c r="A2330" s="698" t="s">
        <v>3710</v>
      </c>
      <c r="B2330" s="699" t="s">
        <v>3711</v>
      </c>
      <c r="C2330" s="700"/>
      <c r="D2330" s="701"/>
    </row>
    <row r="2331" spans="1:8" hidden="1" outlineLevel="1" x14ac:dyDescent="0.2">
      <c r="A2331" s="712" t="s">
        <v>3712</v>
      </c>
      <c r="B2331" s="713" t="s">
        <v>1292</v>
      </c>
      <c r="C2331" s="714"/>
      <c r="D2331" s="715"/>
    </row>
    <row r="2332" spans="1:8" hidden="1" outlineLevel="1" x14ac:dyDescent="0.2">
      <c r="A2332" s="716" t="s">
        <v>3713</v>
      </c>
      <c r="B2332" s="705" t="s">
        <v>2648</v>
      </c>
      <c r="C2332" s="706"/>
      <c r="D2332" s="717"/>
      <c r="F2332" s="702" t="s">
        <v>1292</v>
      </c>
      <c r="G2332" s="703"/>
      <c r="H2332" s="704"/>
    </row>
    <row r="2333" spans="1:8" hidden="1" outlineLevel="1" x14ac:dyDescent="0.2">
      <c r="A2333" s="718" t="s">
        <v>3714</v>
      </c>
      <c r="B2333" s="707" t="s">
        <v>3715</v>
      </c>
      <c r="C2333" s="708" t="s">
        <v>3</v>
      </c>
      <c r="D2333" s="719">
        <v>4.58</v>
      </c>
      <c r="F2333" s="707" t="s">
        <v>4153</v>
      </c>
      <c r="G2333" s="708" t="s">
        <v>3</v>
      </c>
      <c r="H2333" s="709">
        <f>SUM(D2333:D2349)</f>
        <v>93.21999999999997</v>
      </c>
    </row>
    <row r="2334" spans="1:8" hidden="1" outlineLevel="1" x14ac:dyDescent="0.2">
      <c r="A2334" s="720" t="s">
        <v>3716</v>
      </c>
      <c r="B2334" s="710" t="s">
        <v>2650</v>
      </c>
      <c r="C2334" s="711" t="s">
        <v>3</v>
      </c>
      <c r="D2334" s="721">
        <v>1.4</v>
      </c>
    </row>
    <row r="2335" spans="1:8" hidden="1" outlineLevel="1" x14ac:dyDescent="0.2">
      <c r="A2335" s="718" t="s">
        <v>3717</v>
      </c>
      <c r="B2335" s="707" t="s">
        <v>2652</v>
      </c>
      <c r="C2335" s="708" t="s">
        <v>3</v>
      </c>
      <c r="D2335" s="719">
        <v>39.6</v>
      </c>
    </row>
    <row r="2336" spans="1:8" hidden="1" outlineLevel="1" x14ac:dyDescent="0.2">
      <c r="A2336" s="720" t="s">
        <v>3718</v>
      </c>
      <c r="B2336" s="710" t="s">
        <v>3195</v>
      </c>
      <c r="C2336" s="711" t="s">
        <v>3</v>
      </c>
      <c r="D2336" s="721">
        <v>1.62</v>
      </c>
    </row>
    <row r="2337" spans="1:8" hidden="1" outlineLevel="1" x14ac:dyDescent="0.2">
      <c r="A2337" s="718" t="s">
        <v>3719</v>
      </c>
      <c r="B2337" s="707" t="s">
        <v>3197</v>
      </c>
      <c r="C2337" s="708" t="s">
        <v>3</v>
      </c>
      <c r="D2337" s="719">
        <v>6.48</v>
      </c>
    </row>
    <row r="2338" spans="1:8" hidden="1" outlineLevel="1" x14ac:dyDescent="0.2">
      <c r="A2338" s="720" t="s">
        <v>3720</v>
      </c>
      <c r="B2338" s="710" t="s">
        <v>2654</v>
      </c>
      <c r="C2338" s="711" t="s">
        <v>3</v>
      </c>
      <c r="D2338" s="721">
        <v>1.94</v>
      </c>
    </row>
    <row r="2339" spans="1:8" ht="25.5" hidden="1" outlineLevel="1" x14ac:dyDescent="0.2">
      <c r="A2339" s="718" t="s">
        <v>3721</v>
      </c>
      <c r="B2339" s="707" t="s">
        <v>2656</v>
      </c>
      <c r="C2339" s="708" t="s">
        <v>3</v>
      </c>
      <c r="D2339" s="719">
        <v>4.3600000000000003</v>
      </c>
    </row>
    <row r="2340" spans="1:8" ht="25.5" hidden="1" outlineLevel="1" x14ac:dyDescent="0.2">
      <c r="A2340" s="720" t="s">
        <v>3722</v>
      </c>
      <c r="B2340" s="710" t="s">
        <v>2658</v>
      </c>
      <c r="C2340" s="711" t="s">
        <v>3</v>
      </c>
      <c r="D2340" s="721">
        <v>4.3600000000000003</v>
      </c>
    </row>
    <row r="2341" spans="1:8" hidden="1" outlineLevel="1" x14ac:dyDescent="0.2">
      <c r="A2341" s="718" t="s">
        <v>3723</v>
      </c>
      <c r="B2341" s="707" t="s">
        <v>2660</v>
      </c>
      <c r="C2341" s="708" t="s">
        <v>3</v>
      </c>
      <c r="D2341" s="719">
        <v>3.6</v>
      </c>
    </row>
    <row r="2342" spans="1:8" hidden="1" outlineLevel="1" x14ac:dyDescent="0.2">
      <c r="A2342" s="722" t="s">
        <v>3928</v>
      </c>
      <c r="B2342" s="702" t="s">
        <v>1292</v>
      </c>
      <c r="C2342" s="703"/>
      <c r="D2342" s="723"/>
    </row>
    <row r="2343" spans="1:8" hidden="1" outlineLevel="1" x14ac:dyDescent="0.2">
      <c r="A2343" s="716" t="s">
        <v>3929</v>
      </c>
      <c r="B2343" s="705" t="s">
        <v>2634</v>
      </c>
      <c r="C2343" s="706"/>
      <c r="D2343" s="717"/>
    </row>
    <row r="2344" spans="1:8" hidden="1" outlineLevel="1" x14ac:dyDescent="0.2">
      <c r="A2344" s="720" t="s">
        <v>3930</v>
      </c>
      <c r="B2344" s="710" t="s">
        <v>2636</v>
      </c>
      <c r="C2344" s="711" t="s">
        <v>3</v>
      </c>
      <c r="D2344" s="721">
        <v>3.96</v>
      </c>
    </row>
    <row r="2345" spans="1:8" hidden="1" outlineLevel="1" x14ac:dyDescent="0.2">
      <c r="A2345" s="718" t="s">
        <v>3931</v>
      </c>
      <c r="B2345" s="707" t="s">
        <v>2638</v>
      </c>
      <c r="C2345" s="708" t="s">
        <v>3</v>
      </c>
      <c r="D2345" s="719">
        <v>6.3</v>
      </c>
    </row>
    <row r="2346" spans="1:8" hidden="1" outlineLevel="1" x14ac:dyDescent="0.2">
      <c r="A2346" s="720" t="s">
        <v>3932</v>
      </c>
      <c r="B2346" s="710" t="s">
        <v>2640</v>
      </c>
      <c r="C2346" s="711" t="s">
        <v>3</v>
      </c>
      <c r="D2346" s="721">
        <v>6.66</v>
      </c>
    </row>
    <row r="2347" spans="1:8" hidden="1" outlineLevel="1" x14ac:dyDescent="0.2">
      <c r="A2347" s="718" t="s">
        <v>3933</v>
      </c>
      <c r="B2347" s="707" t="s">
        <v>2642</v>
      </c>
      <c r="C2347" s="708" t="s">
        <v>3</v>
      </c>
      <c r="D2347" s="719">
        <v>2.1</v>
      </c>
    </row>
    <row r="2348" spans="1:8" hidden="1" outlineLevel="1" x14ac:dyDescent="0.2">
      <c r="A2348" s="720" t="s">
        <v>3934</v>
      </c>
      <c r="B2348" s="710" t="s">
        <v>2644</v>
      </c>
      <c r="C2348" s="711" t="s">
        <v>3</v>
      </c>
      <c r="D2348" s="721">
        <v>3.54</v>
      </c>
    </row>
    <row r="2349" spans="1:8" ht="13.5" hidden="1" outlineLevel="1" thickBot="1" x14ac:dyDescent="0.25">
      <c r="A2349" s="724" t="s">
        <v>3935</v>
      </c>
      <c r="B2349" s="725" t="s">
        <v>2646</v>
      </c>
      <c r="C2349" s="726" t="s">
        <v>3</v>
      </c>
      <c r="D2349" s="727">
        <v>2.72</v>
      </c>
    </row>
    <row r="2350" spans="1:8" hidden="1" outlineLevel="1" x14ac:dyDescent="0.2">
      <c r="A2350" s="712" t="s">
        <v>3724</v>
      </c>
      <c r="B2350" s="713" t="s">
        <v>1296</v>
      </c>
      <c r="C2350" s="714"/>
      <c r="D2350" s="715"/>
      <c r="F2350" s="702" t="s">
        <v>831</v>
      </c>
      <c r="G2350" s="703"/>
      <c r="H2350" s="704"/>
    </row>
    <row r="2351" spans="1:8" hidden="1" outlineLevel="1" x14ac:dyDescent="0.2">
      <c r="A2351" s="716" t="s">
        <v>3725</v>
      </c>
      <c r="B2351" s="705" t="s">
        <v>2648</v>
      </c>
      <c r="C2351" s="706"/>
      <c r="D2351" s="717"/>
      <c r="F2351" s="707" t="s">
        <v>4153</v>
      </c>
      <c r="G2351" s="708" t="s">
        <v>3</v>
      </c>
      <c r="H2351" s="709">
        <f>SUM(D2352:D2382)</f>
        <v>152.64000000000001</v>
      </c>
    </row>
    <row r="2352" spans="1:8" hidden="1" outlineLevel="1" x14ac:dyDescent="0.2">
      <c r="A2352" s="720" t="s">
        <v>3726</v>
      </c>
      <c r="B2352" s="710" t="s">
        <v>3715</v>
      </c>
      <c r="C2352" s="711" t="s">
        <v>3</v>
      </c>
      <c r="D2352" s="721">
        <v>4.58</v>
      </c>
    </row>
    <row r="2353" spans="1:4" hidden="1" outlineLevel="1" x14ac:dyDescent="0.2">
      <c r="A2353" s="718" t="s">
        <v>3727</v>
      </c>
      <c r="B2353" s="707" t="s">
        <v>2652</v>
      </c>
      <c r="C2353" s="708" t="s">
        <v>3</v>
      </c>
      <c r="D2353" s="719">
        <v>15.4</v>
      </c>
    </row>
    <row r="2354" spans="1:4" hidden="1" outlineLevel="1" x14ac:dyDescent="0.2">
      <c r="A2354" s="720" t="s">
        <v>3728</v>
      </c>
      <c r="B2354" s="710" t="s">
        <v>3197</v>
      </c>
      <c r="C2354" s="711" t="s">
        <v>3</v>
      </c>
      <c r="D2354" s="721">
        <v>3.24</v>
      </c>
    </row>
    <row r="2355" spans="1:4" hidden="1" outlineLevel="1" x14ac:dyDescent="0.2">
      <c r="A2355" s="718" t="s">
        <v>3729</v>
      </c>
      <c r="B2355" s="707" t="s">
        <v>2672</v>
      </c>
      <c r="C2355" s="708" t="s">
        <v>3</v>
      </c>
      <c r="D2355" s="719">
        <v>5.3</v>
      </c>
    </row>
    <row r="2356" spans="1:4" hidden="1" outlineLevel="1" x14ac:dyDescent="0.2">
      <c r="A2356" s="722" t="s">
        <v>3730</v>
      </c>
      <c r="B2356" s="702" t="s">
        <v>1299</v>
      </c>
      <c r="C2356" s="703"/>
      <c r="D2356" s="723"/>
    </row>
    <row r="2357" spans="1:4" hidden="1" outlineLevel="1" x14ac:dyDescent="0.2">
      <c r="A2357" s="716" t="s">
        <v>3731</v>
      </c>
      <c r="B2357" s="705" t="s">
        <v>2648</v>
      </c>
      <c r="C2357" s="706"/>
      <c r="D2357" s="717"/>
    </row>
    <row r="2358" spans="1:4" hidden="1" outlineLevel="1" x14ac:dyDescent="0.2">
      <c r="A2358" s="720" t="s">
        <v>3732</v>
      </c>
      <c r="B2358" s="710" t="s">
        <v>3715</v>
      </c>
      <c r="C2358" s="711" t="s">
        <v>3</v>
      </c>
      <c r="D2358" s="721">
        <v>4.58</v>
      </c>
    </row>
    <row r="2359" spans="1:4" hidden="1" outlineLevel="1" x14ac:dyDescent="0.2">
      <c r="A2359" s="718" t="s">
        <v>3733</v>
      </c>
      <c r="B2359" s="707" t="s">
        <v>2652</v>
      </c>
      <c r="C2359" s="708" t="s">
        <v>3</v>
      </c>
      <c r="D2359" s="719">
        <v>15.4</v>
      </c>
    </row>
    <row r="2360" spans="1:4" hidden="1" outlineLevel="1" x14ac:dyDescent="0.2">
      <c r="A2360" s="720" t="s">
        <v>3734</v>
      </c>
      <c r="B2360" s="710" t="s">
        <v>3197</v>
      </c>
      <c r="C2360" s="711" t="s">
        <v>3</v>
      </c>
      <c r="D2360" s="721">
        <v>3.24</v>
      </c>
    </row>
    <row r="2361" spans="1:4" hidden="1" outlineLevel="1" x14ac:dyDescent="0.2">
      <c r="A2361" s="718" t="s">
        <v>3735</v>
      </c>
      <c r="B2361" s="707" t="s">
        <v>2672</v>
      </c>
      <c r="C2361" s="708" t="s">
        <v>3</v>
      </c>
      <c r="D2361" s="719">
        <v>5.3</v>
      </c>
    </row>
    <row r="2362" spans="1:4" hidden="1" outlineLevel="1" x14ac:dyDescent="0.2">
      <c r="A2362" s="722" t="s">
        <v>3736</v>
      </c>
      <c r="B2362" s="702" t="s">
        <v>1302</v>
      </c>
      <c r="C2362" s="703"/>
      <c r="D2362" s="723"/>
    </row>
    <row r="2363" spans="1:4" hidden="1" outlineLevel="1" x14ac:dyDescent="0.2">
      <c r="A2363" s="716" t="s">
        <v>3737</v>
      </c>
      <c r="B2363" s="705" t="s">
        <v>2648</v>
      </c>
      <c r="C2363" s="706"/>
      <c r="D2363" s="717"/>
    </row>
    <row r="2364" spans="1:4" hidden="1" outlineLevel="1" x14ac:dyDescent="0.2">
      <c r="A2364" s="720" t="s">
        <v>3738</v>
      </c>
      <c r="B2364" s="710" t="s">
        <v>3715</v>
      </c>
      <c r="C2364" s="711" t="s">
        <v>3</v>
      </c>
      <c r="D2364" s="721">
        <v>4.58</v>
      </c>
    </row>
    <row r="2365" spans="1:4" hidden="1" outlineLevel="1" x14ac:dyDescent="0.2">
      <c r="A2365" s="718" t="s">
        <v>3739</v>
      </c>
      <c r="B2365" s="707" t="s">
        <v>2652</v>
      </c>
      <c r="C2365" s="708" t="s">
        <v>3</v>
      </c>
      <c r="D2365" s="719">
        <v>15.4</v>
      </c>
    </row>
    <row r="2366" spans="1:4" hidden="1" outlineLevel="1" x14ac:dyDescent="0.2">
      <c r="A2366" s="720" t="s">
        <v>3740</v>
      </c>
      <c r="B2366" s="710" t="s">
        <v>3197</v>
      </c>
      <c r="C2366" s="711" t="s">
        <v>3</v>
      </c>
      <c r="D2366" s="721">
        <v>3.24</v>
      </c>
    </row>
    <row r="2367" spans="1:4" hidden="1" outlineLevel="1" x14ac:dyDescent="0.2">
      <c r="A2367" s="718" t="s">
        <v>3741</v>
      </c>
      <c r="B2367" s="707" t="s">
        <v>2672</v>
      </c>
      <c r="C2367" s="708" t="s">
        <v>3</v>
      </c>
      <c r="D2367" s="719">
        <v>5.3</v>
      </c>
    </row>
    <row r="2368" spans="1:4" hidden="1" outlineLevel="1" x14ac:dyDescent="0.2">
      <c r="A2368" s="722" t="s">
        <v>3936</v>
      </c>
      <c r="B2368" s="702" t="s">
        <v>1296</v>
      </c>
      <c r="C2368" s="703"/>
      <c r="D2368" s="723"/>
    </row>
    <row r="2369" spans="1:8" hidden="1" outlineLevel="1" x14ac:dyDescent="0.2">
      <c r="A2369" s="716" t="s">
        <v>3937</v>
      </c>
      <c r="B2369" s="705" t="s">
        <v>2634</v>
      </c>
      <c r="C2369" s="706"/>
      <c r="D2369" s="717"/>
    </row>
    <row r="2370" spans="1:8" hidden="1" outlineLevel="1" x14ac:dyDescent="0.2">
      <c r="A2370" s="720" t="s">
        <v>3938</v>
      </c>
      <c r="B2370" s="710" t="s">
        <v>2666</v>
      </c>
      <c r="C2370" s="711" t="s">
        <v>3</v>
      </c>
      <c r="D2370" s="721">
        <v>16.100000000000001</v>
      </c>
    </row>
    <row r="2371" spans="1:8" hidden="1" outlineLevel="1" x14ac:dyDescent="0.2">
      <c r="A2371" s="718" t="s">
        <v>3939</v>
      </c>
      <c r="B2371" s="707" t="s">
        <v>2644</v>
      </c>
      <c r="C2371" s="708" t="s">
        <v>3</v>
      </c>
      <c r="D2371" s="719">
        <v>3.54</v>
      </c>
    </row>
    <row r="2372" spans="1:8" hidden="1" outlineLevel="1" x14ac:dyDescent="0.2">
      <c r="A2372" s="720" t="s">
        <v>3940</v>
      </c>
      <c r="B2372" s="710" t="s">
        <v>2646</v>
      </c>
      <c r="C2372" s="711" t="s">
        <v>3</v>
      </c>
      <c r="D2372" s="721">
        <v>2.72</v>
      </c>
    </row>
    <row r="2373" spans="1:8" hidden="1" outlineLevel="1" x14ac:dyDescent="0.2">
      <c r="A2373" s="722" t="s">
        <v>3941</v>
      </c>
      <c r="B2373" s="702" t="s">
        <v>1299</v>
      </c>
      <c r="C2373" s="703"/>
      <c r="D2373" s="723"/>
    </row>
    <row r="2374" spans="1:8" hidden="1" outlineLevel="1" x14ac:dyDescent="0.2">
      <c r="A2374" s="716" t="s">
        <v>3942</v>
      </c>
      <c r="B2374" s="705" t="s">
        <v>2634</v>
      </c>
      <c r="C2374" s="706"/>
      <c r="D2374" s="717"/>
    </row>
    <row r="2375" spans="1:8" hidden="1" outlineLevel="1" x14ac:dyDescent="0.2">
      <c r="A2375" s="718" t="s">
        <v>3943</v>
      </c>
      <c r="B2375" s="707" t="s">
        <v>2666</v>
      </c>
      <c r="C2375" s="708" t="s">
        <v>3</v>
      </c>
      <c r="D2375" s="719">
        <v>16.100000000000001</v>
      </c>
    </row>
    <row r="2376" spans="1:8" hidden="1" outlineLevel="1" x14ac:dyDescent="0.2">
      <c r="A2376" s="720" t="s">
        <v>3944</v>
      </c>
      <c r="B2376" s="710" t="s">
        <v>2644</v>
      </c>
      <c r="C2376" s="711" t="s">
        <v>3</v>
      </c>
      <c r="D2376" s="721">
        <v>3.54</v>
      </c>
    </row>
    <row r="2377" spans="1:8" hidden="1" outlineLevel="1" x14ac:dyDescent="0.2">
      <c r="A2377" s="718" t="s">
        <v>3945</v>
      </c>
      <c r="B2377" s="707" t="s">
        <v>2646</v>
      </c>
      <c r="C2377" s="708" t="s">
        <v>3</v>
      </c>
      <c r="D2377" s="719">
        <v>2.72</v>
      </c>
    </row>
    <row r="2378" spans="1:8" hidden="1" outlineLevel="1" x14ac:dyDescent="0.2">
      <c r="A2378" s="722" t="s">
        <v>3946</v>
      </c>
      <c r="B2378" s="702" t="s">
        <v>1302</v>
      </c>
      <c r="C2378" s="703"/>
      <c r="D2378" s="723"/>
    </row>
    <row r="2379" spans="1:8" hidden="1" outlineLevel="1" x14ac:dyDescent="0.2">
      <c r="A2379" s="716" t="s">
        <v>3947</v>
      </c>
      <c r="B2379" s="705" t="s">
        <v>2634</v>
      </c>
      <c r="C2379" s="706"/>
      <c r="D2379" s="717"/>
    </row>
    <row r="2380" spans="1:8" hidden="1" outlineLevel="1" x14ac:dyDescent="0.2">
      <c r="A2380" s="720" t="s">
        <v>3948</v>
      </c>
      <c r="B2380" s="710" t="s">
        <v>2688</v>
      </c>
      <c r="C2380" s="711" t="s">
        <v>3</v>
      </c>
      <c r="D2380" s="721">
        <v>16.100000000000001</v>
      </c>
    </row>
    <row r="2381" spans="1:8" hidden="1" outlineLevel="1" x14ac:dyDescent="0.2">
      <c r="A2381" s="718" t="s">
        <v>3949</v>
      </c>
      <c r="B2381" s="707" t="s">
        <v>2644</v>
      </c>
      <c r="C2381" s="708" t="s">
        <v>3</v>
      </c>
      <c r="D2381" s="719">
        <v>3.54</v>
      </c>
    </row>
    <row r="2382" spans="1:8" ht="13.5" hidden="1" outlineLevel="1" thickBot="1" x14ac:dyDescent="0.25">
      <c r="A2382" s="728" t="s">
        <v>3950</v>
      </c>
      <c r="B2382" s="729" t="s">
        <v>2646</v>
      </c>
      <c r="C2382" s="730" t="s">
        <v>3</v>
      </c>
      <c r="D2382" s="731">
        <v>2.72</v>
      </c>
    </row>
    <row r="2383" spans="1:8" hidden="1" outlineLevel="1" x14ac:dyDescent="0.2">
      <c r="A2383" s="712" t="s">
        <v>3742</v>
      </c>
      <c r="B2383" s="713" t="s">
        <v>1305</v>
      </c>
      <c r="C2383" s="714"/>
      <c r="D2383" s="715"/>
      <c r="F2383" s="702" t="s">
        <v>1107</v>
      </c>
      <c r="G2383" s="703"/>
      <c r="H2383" s="704"/>
    </row>
    <row r="2384" spans="1:8" hidden="1" outlineLevel="1" x14ac:dyDescent="0.2">
      <c r="A2384" s="716" t="s">
        <v>3743</v>
      </c>
      <c r="B2384" s="705" t="s">
        <v>2648</v>
      </c>
      <c r="C2384" s="706"/>
      <c r="D2384" s="717"/>
      <c r="F2384" s="707" t="s">
        <v>4153</v>
      </c>
      <c r="G2384" s="708" t="s">
        <v>3</v>
      </c>
      <c r="H2384" s="709">
        <f>SUM(D2385:D2393)</f>
        <v>50.88</v>
      </c>
    </row>
    <row r="2385" spans="1:8" hidden="1" outlineLevel="1" x14ac:dyDescent="0.2">
      <c r="A2385" s="720" t="s">
        <v>3744</v>
      </c>
      <c r="B2385" s="710" t="s">
        <v>3715</v>
      </c>
      <c r="C2385" s="711" t="s">
        <v>3</v>
      </c>
      <c r="D2385" s="721">
        <v>4.58</v>
      </c>
    </row>
    <row r="2386" spans="1:8" hidden="1" outlineLevel="1" x14ac:dyDescent="0.2">
      <c r="A2386" s="718" t="s">
        <v>3745</v>
      </c>
      <c r="B2386" s="707" t="s">
        <v>2652</v>
      </c>
      <c r="C2386" s="708" t="s">
        <v>3</v>
      </c>
      <c r="D2386" s="719">
        <v>15.4</v>
      </c>
    </row>
    <row r="2387" spans="1:8" hidden="1" outlineLevel="1" x14ac:dyDescent="0.2">
      <c r="A2387" s="720" t="s">
        <v>3746</v>
      </c>
      <c r="B2387" s="710" t="s">
        <v>3197</v>
      </c>
      <c r="C2387" s="711" t="s">
        <v>3</v>
      </c>
      <c r="D2387" s="721">
        <v>3.24</v>
      </c>
    </row>
    <row r="2388" spans="1:8" hidden="1" outlineLevel="1" x14ac:dyDescent="0.2">
      <c r="A2388" s="718" t="s">
        <v>3747</v>
      </c>
      <c r="B2388" s="707" t="s">
        <v>2672</v>
      </c>
      <c r="C2388" s="708" t="s">
        <v>3</v>
      </c>
      <c r="D2388" s="719">
        <v>5.3</v>
      </c>
    </row>
    <row r="2389" spans="1:8" hidden="1" outlineLevel="1" x14ac:dyDescent="0.2">
      <c r="A2389" s="722" t="s">
        <v>3951</v>
      </c>
      <c r="B2389" s="702" t="s">
        <v>1305</v>
      </c>
      <c r="C2389" s="703"/>
      <c r="D2389" s="723"/>
    </row>
    <row r="2390" spans="1:8" hidden="1" outlineLevel="1" x14ac:dyDescent="0.2">
      <c r="A2390" s="716" t="s">
        <v>3952</v>
      </c>
      <c r="B2390" s="705" t="s">
        <v>2634</v>
      </c>
      <c r="C2390" s="706"/>
      <c r="D2390" s="717"/>
    </row>
    <row r="2391" spans="1:8" hidden="1" outlineLevel="1" x14ac:dyDescent="0.2">
      <c r="A2391" s="718" t="s">
        <v>3953</v>
      </c>
      <c r="B2391" s="707" t="s">
        <v>2688</v>
      </c>
      <c r="C2391" s="708" t="s">
        <v>3</v>
      </c>
      <c r="D2391" s="719">
        <v>16.100000000000001</v>
      </c>
    </row>
    <row r="2392" spans="1:8" hidden="1" outlineLevel="1" x14ac:dyDescent="0.2">
      <c r="A2392" s="720" t="s">
        <v>3954</v>
      </c>
      <c r="B2392" s="710" t="s">
        <v>2644</v>
      </c>
      <c r="C2392" s="711" t="s">
        <v>3</v>
      </c>
      <c r="D2392" s="721">
        <v>3.54</v>
      </c>
    </row>
    <row r="2393" spans="1:8" ht="13.5" hidden="1" outlineLevel="1" thickBot="1" x14ac:dyDescent="0.25">
      <c r="A2393" s="724" t="s">
        <v>3955</v>
      </c>
      <c r="B2393" s="725" t="s">
        <v>2646</v>
      </c>
      <c r="C2393" s="726" t="s">
        <v>3</v>
      </c>
      <c r="D2393" s="727">
        <v>2.72</v>
      </c>
    </row>
    <row r="2394" spans="1:8" hidden="1" outlineLevel="1" x14ac:dyDescent="0.2">
      <c r="A2394" s="712" t="s">
        <v>3748</v>
      </c>
      <c r="B2394" s="713" t="s">
        <v>1308</v>
      </c>
      <c r="C2394" s="714"/>
      <c r="D2394" s="715"/>
      <c r="F2394" s="702" t="s">
        <v>754</v>
      </c>
      <c r="G2394" s="703"/>
      <c r="H2394" s="704"/>
    </row>
    <row r="2395" spans="1:8" hidden="1" outlineLevel="1" x14ac:dyDescent="0.2">
      <c r="A2395" s="716" t="s">
        <v>3749</v>
      </c>
      <c r="B2395" s="705" t="s">
        <v>2648</v>
      </c>
      <c r="C2395" s="706"/>
      <c r="D2395" s="717"/>
      <c r="F2395" s="707" t="s">
        <v>4153</v>
      </c>
      <c r="G2395" s="708" t="s">
        <v>3</v>
      </c>
      <c r="H2395" s="709">
        <f>SUM(D2396:D2419)</f>
        <v>146.91000000000003</v>
      </c>
    </row>
    <row r="2396" spans="1:8" hidden="1" outlineLevel="1" x14ac:dyDescent="0.2">
      <c r="A2396" s="720" t="s">
        <v>3750</v>
      </c>
      <c r="B2396" s="710" t="s">
        <v>3715</v>
      </c>
      <c r="C2396" s="711" t="s">
        <v>3</v>
      </c>
      <c r="D2396" s="721">
        <v>4.58</v>
      </c>
    </row>
    <row r="2397" spans="1:8" hidden="1" outlineLevel="1" x14ac:dyDescent="0.2">
      <c r="A2397" s="718" t="s">
        <v>3751</v>
      </c>
      <c r="B2397" s="707" t="s">
        <v>2735</v>
      </c>
      <c r="C2397" s="708" t="s">
        <v>3</v>
      </c>
      <c r="D2397" s="719">
        <v>7.7</v>
      </c>
    </row>
    <row r="2398" spans="1:8" hidden="1" outlineLevel="1" x14ac:dyDescent="0.2">
      <c r="A2398" s="720" t="s">
        <v>3752</v>
      </c>
      <c r="B2398" s="710" t="s">
        <v>2737</v>
      </c>
      <c r="C2398" s="711" t="s">
        <v>3</v>
      </c>
      <c r="D2398" s="721">
        <v>1.2</v>
      </c>
    </row>
    <row r="2399" spans="1:8" hidden="1" outlineLevel="1" x14ac:dyDescent="0.2">
      <c r="A2399" s="718" t="s">
        <v>3753</v>
      </c>
      <c r="B2399" s="707" t="s">
        <v>3197</v>
      </c>
      <c r="C2399" s="708" t="s">
        <v>3</v>
      </c>
      <c r="D2399" s="719">
        <v>3.24</v>
      </c>
    </row>
    <row r="2400" spans="1:8" hidden="1" outlineLevel="1" x14ac:dyDescent="0.2">
      <c r="A2400" s="720" t="s">
        <v>3754</v>
      </c>
      <c r="B2400" s="710" t="s">
        <v>3068</v>
      </c>
      <c r="C2400" s="711" t="s">
        <v>3</v>
      </c>
      <c r="D2400" s="721">
        <v>3.45</v>
      </c>
    </row>
    <row r="2401" spans="1:4" hidden="1" outlineLevel="1" x14ac:dyDescent="0.2">
      <c r="A2401" s="718" t="s">
        <v>3755</v>
      </c>
      <c r="B2401" s="707" t="s">
        <v>3070</v>
      </c>
      <c r="C2401" s="708" t="s">
        <v>3</v>
      </c>
      <c r="D2401" s="719">
        <v>2.7</v>
      </c>
    </row>
    <row r="2402" spans="1:4" hidden="1" outlineLevel="1" x14ac:dyDescent="0.2">
      <c r="A2402" s="720" t="s">
        <v>3756</v>
      </c>
      <c r="B2402" s="710" t="s">
        <v>2739</v>
      </c>
      <c r="C2402" s="711" t="s">
        <v>3</v>
      </c>
      <c r="D2402" s="721">
        <v>4.4800000000000004</v>
      </c>
    </row>
    <row r="2403" spans="1:4" hidden="1" outlineLevel="1" x14ac:dyDescent="0.2">
      <c r="A2403" s="718" t="s">
        <v>3757</v>
      </c>
      <c r="B2403" s="707" t="s">
        <v>2741</v>
      </c>
      <c r="C2403" s="708" t="s">
        <v>3</v>
      </c>
      <c r="D2403" s="719">
        <v>2.4</v>
      </c>
    </row>
    <row r="2404" spans="1:4" hidden="1" outlineLevel="1" x14ac:dyDescent="0.2">
      <c r="A2404" s="720" t="s">
        <v>3758</v>
      </c>
      <c r="B2404" s="710" t="s">
        <v>2743</v>
      </c>
      <c r="C2404" s="711" t="s">
        <v>3</v>
      </c>
      <c r="D2404" s="721">
        <v>3.5</v>
      </c>
    </row>
    <row r="2405" spans="1:4" hidden="1" outlineLevel="1" x14ac:dyDescent="0.2">
      <c r="A2405" s="718" t="s">
        <v>3759</v>
      </c>
      <c r="B2405" s="707" t="s">
        <v>2745</v>
      </c>
      <c r="C2405" s="708" t="s">
        <v>3</v>
      </c>
      <c r="D2405" s="719">
        <v>16.2</v>
      </c>
    </row>
    <row r="2406" spans="1:4" hidden="1" outlineLevel="1" x14ac:dyDescent="0.2">
      <c r="A2406" s="722" t="s">
        <v>3956</v>
      </c>
      <c r="B2406" s="702" t="s">
        <v>1308</v>
      </c>
      <c r="C2406" s="703"/>
      <c r="D2406" s="723"/>
    </row>
    <row r="2407" spans="1:4" hidden="1" outlineLevel="1" x14ac:dyDescent="0.2">
      <c r="A2407" s="716" t="s">
        <v>3957</v>
      </c>
      <c r="B2407" s="705" t="s">
        <v>2634</v>
      </c>
      <c r="C2407" s="706"/>
      <c r="D2407" s="717"/>
    </row>
    <row r="2408" spans="1:4" hidden="1" outlineLevel="1" x14ac:dyDescent="0.2">
      <c r="A2408" s="720" t="s">
        <v>3958</v>
      </c>
      <c r="B2408" s="710" t="s">
        <v>2711</v>
      </c>
      <c r="C2408" s="711" t="s">
        <v>3</v>
      </c>
      <c r="D2408" s="721">
        <v>2.4</v>
      </c>
    </row>
    <row r="2409" spans="1:4" hidden="1" outlineLevel="1" x14ac:dyDescent="0.2">
      <c r="A2409" s="718" t="s">
        <v>3959</v>
      </c>
      <c r="B2409" s="707" t="s">
        <v>2713</v>
      </c>
      <c r="C2409" s="708" t="s">
        <v>3</v>
      </c>
      <c r="D2409" s="719">
        <v>26.16</v>
      </c>
    </row>
    <row r="2410" spans="1:4" hidden="1" outlineLevel="1" x14ac:dyDescent="0.2">
      <c r="A2410" s="720" t="s">
        <v>3960</v>
      </c>
      <c r="B2410" s="710" t="s">
        <v>2715</v>
      </c>
      <c r="C2410" s="711" t="s">
        <v>3</v>
      </c>
      <c r="D2410" s="721">
        <v>6.08</v>
      </c>
    </row>
    <row r="2411" spans="1:4" hidden="1" outlineLevel="1" x14ac:dyDescent="0.2">
      <c r="A2411" s="718" t="s">
        <v>3961</v>
      </c>
      <c r="B2411" s="707" t="s">
        <v>2717</v>
      </c>
      <c r="C2411" s="708" t="s">
        <v>3</v>
      </c>
      <c r="D2411" s="719">
        <v>6.26</v>
      </c>
    </row>
    <row r="2412" spans="1:4" hidden="1" outlineLevel="1" x14ac:dyDescent="0.2">
      <c r="A2412" s="720" t="s">
        <v>3962</v>
      </c>
      <c r="B2412" s="710" t="s">
        <v>2719</v>
      </c>
      <c r="C2412" s="711" t="s">
        <v>3</v>
      </c>
      <c r="D2412" s="721">
        <v>6.9</v>
      </c>
    </row>
    <row r="2413" spans="1:4" hidden="1" outlineLevel="1" x14ac:dyDescent="0.2">
      <c r="A2413" s="718" t="s">
        <v>3963</v>
      </c>
      <c r="B2413" s="707" t="s">
        <v>2721</v>
      </c>
      <c r="C2413" s="708" t="s">
        <v>3</v>
      </c>
      <c r="D2413" s="719">
        <v>7.26</v>
      </c>
    </row>
    <row r="2414" spans="1:4" hidden="1" outlineLevel="1" x14ac:dyDescent="0.2">
      <c r="A2414" s="720" t="s">
        <v>3964</v>
      </c>
      <c r="B2414" s="710" t="s">
        <v>2723</v>
      </c>
      <c r="C2414" s="711" t="s">
        <v>3</v>
      </c>
      <c r="D2414" s="721">
        <v>8.4600000000000009</v>
      </c>
    </row>
    <row r="2415" spans="1:4" hidden="1" outlineLevel="1" x14ac:dyDescent="0.2">
      <c r="A2415" s="718" t="s">
        <v>3965</v>
      </c>
      <c r="B2415" s="707" t="s">
        <v>2725</v>
      </c>
      <c r="C2415" s="708" t="s">
        <v>3</v>
      </c>
      <c r="D2415" s="719">
        <v>7.16</v>
      </c>
    </row>
    <row r="2416" spans="1:4" hidden="1" outlineLevel="1" x14ac:dyDescent="0.2">
      <c r="A2416" s="720" t="s">
        <v>3966</v>
      </c>
      <c r="B2416" s="710" t="s">
        <v>2727</v>
      </c>
      <c r="C2416" s="711" t="s">
        <v>3</v>
      </c>
      <c r="D2416" s="721">
        <v>10.18</v>
      </c>
    </row>
    <row r="2417" spans="1:6" hidden="1" outlineLevel="1" x14ac:dyDescent="0.2">
      <c r="A2417" s="718" t="s">
        <v>3967</v>
      </c>
      <c r="B2417" s="707" t="s">
        <v>2729</v>
      </c>
      <c r="C2417" s="708" t="s">
        <v>3</v>
      </c>
      <c r="D2417" s="719">
        <v>11.7</v>
      </c>
    </row>
    <row r="2418" spans="1:6" hidden="1" outlineLevel="1" x14ac:dyDescent="0.2">
      <c r="A2418" s="720" t="s">
        <v>3968</v>
      </c>
      <c r="B2418" s="710" t="s">
        <v>2731</v>
      </c>
      <c r="C2418" s="711" t="s">
        <v>3</v>
      </c>
      <c r="D2418" s="721">
        <v>2.1800000000000002</v>
      </c>
    </row>
    <row r="2419" spans="1:6" ht="13.5" hidden="1" outlineLevel="1" thickBot="1" x14ac:dyDescent="0.25">
      <c r="A2419" s="724" t="s">
        <v>3969</v>
      </c>
      <c r="B2419" s="725" t="s">
        <v>2646</v>
      </c>
      <c r="C2419" s="726" t="s">
        <v>3</v>
      </c>
      <c r="D2419" s="727">
        <v>2.72</v>
      </c>
    </row>
    <row r="2420" spans="1:6" hidden="1" outlineLevel="1" x14ac:dyDescent="0.2">
      <c r="A2420" s="712" t="s">
        <v>3760</v>
      </c>
      <c r="B2420" s="713" t="s">
        <v>1311</v>
      </c>
      <c r="C2420" s="714"/>
      <c r="D2420" s="715"/>
    </row>
    <row r="2421" spans="1:6" hidden="1" outlineLevel="1" x14ac:dyDescent="0.2">
      <c r="A2421" s="716" t="s">
        <v>3761</v>
      </c>
      <c r="B2421" s="705" t="s">
        <v>2648</v>
      </c>
      <c r="C2421" s="706"/>
      <c r="D2421" s="717"/>
    </row>
    <row r="2422" spans="1:6" hidden="1" outlineLevel="1" x14ac:dyDescent="0.2">
      <c r="A2422" s="720" t="s">
        <v>3762</v>
      </c>
      <c r="B2422" s="710" t="s">
        <v>3715</v>
      </c>
      <c r="C2422" s="711" t="s">
        <v>3</v>
      </c>
      <c r="D2422" s="721">
        <v>4.58</v>
      </c>
    </row>
    <row r="2423" spans="1:6" hidden="1" outlineLevel="1" x14ac:dyDescent="0.2">
      <c r="A2423" s="718" t="s">
        <v>3763</v>
      </c>
      <c r="B2423" s="707" t="s">
        <v>3197</v>
      </c>
      <c r="C2423" s="708" t="s">
        <v>3</v>
      </c>
      <c r="D2423" s="719">
        <v>3.24</v>
      </c>
      <c r="F2423" s="732">
        <f>SUM(D2422:D2441,D2565:D2586)</f>
        <v>408.32000000000011</v>
      </c>
    </row>
    <row r="2424" spans="1:6" hidden="1" outlineLevel="1" x14ac:dyDescent="0.2">
      <c r="A2424" s="720" t="s">
        <v>3764</v>
      </c>
      <c r="B2424" s="710" t="s">
        <v>3068</v>
      </c>
      <c r="C2424" s="711" t="s">
        <v>3</v>
      </c>
      <c r="D2424" s="721">
        <v>16.100000000000001</v>
      </c>
    </row>
    <row r="2425" spans="1:6" hidden="1" outlineLevel="1" x14ac:dyDescent="0.2">
      <c r="A2425" s="718" t="s">
        <v>3765</v>
      </c>
      <c r="B2425" s="707" t="s">
        <v>3077</v>
      </c>
      <c r="C2425" s="708" t="s">
        <v>3</v>
      </c>
      <c r="D2425" s="719">
        <v>17.5</v>
      </c>
    </row>
    <row r="2426" spans="1:6" hidden="1" outlineLevel="1" x14ac:dyDescent="0.2">
      <c r="A2426" s="720" t="s">
        <v>3766</v>
      </c>
      <c r="B2426" s="710" t="s">
        <v>3070</v>
      </c>
      <c r="C2426" s="711" t="s">
        <v>3</v>
      </c>
      <c r="D2426" s="721">
        <v>8.1</v>
      </c>
    </row>
    <row r="2427" spans="1:6" hidden="1" outlineLevel="1" x14ac:dyDescent="0.2">
      <c r="A2427" s="718" t="s">
        <v>3767</v>
      </c>
      <c r="B2427" s="707" t="s">
        <v>2739</v>
      </c>
      <c r="C2427" s="708" t="s">
        <v>3</v>
      </c>
      <c r="D2427" s="719">
        <v>4.4800000000000004</v>
      </c>
    </row>
    <row r="2428" spans="1:6" hidden="1" outlineLevel="1" x14ac:dyDescent="0.2">
      <c r="A2428" s="720" t="s">
        <v>3768</v>
      </c>
      <c r="B2428" s="710" t="s">
        <v>3080</v>
      </c>
      <c r="C2428" s="711" t="s">
        <v>3</v>
      </c>
      <c r="D2428" s="721">
        <v>9.1999999999999993</v>
      </c>
    </row>
    <row r="2429" spans="1:6" hidden="1" outlineLevel="1" x14ac:dyDescent="0.2">
      <c r="A2429" s="718" t="s">
        <v>3769</v>
      </c>
      <c r="B2429" s="707" t="s">
        <v>2773</v>
      </c>
      <c r="C2429" s="708" t="s">
        <v>3</v>
      </c>
      <c r="D2429" s="719">
        <v>6.2</v>
      </c>
    </row>
    <row r="2430" spans="1:6" hidden="1" outlineLevel="1" x14ac:dyDescent="0.2">
      <c r="A2430" s="720" t="s">
        <v>3770</v>
      </c>
      <c r="B2430" s="710" t="s">
        <v>2775</v>
      </c>
      <c r="C2430" s="711" t="s">
        <v>3</v>
      </c>
      <c r="D2430" s="721">
        <v>4.0999999999999996</v>
      </c>
    </row>
    <row r="2431" spans="1:6" hidden="1" outlineLevel="1" x14ac:dyDescent="0.2">
      <c r="A2431" s="722" t="s">
        <v>3771</v>
      </c>
      <c r="B2431" s="702" t="s">
        <v>1316</v>
      </c>
      <c r="C2431" s="703"/>
      <c r="D2431" s="723"/>
    </row>
    <row r="2432" spans="1:6" hidden="1" outlineLevel="1" x14ac:dyDescent="0.2">
      <c r="A2432" s="716" t="s">
        <v>3772</v>
      </c>
      <c r="B2432" s="705" t="s">
        <v>2648</v>
      </c>
      <c r="C2432" s="706"/>
      <c r="D2432" s="717"/>
    </row>
    <row r="2433" spans="1:4" hidden="1" outlineLevel="1" x14ac:dyDescent="0.2">
      <c r="A2433" s="718" t="s">
        <v>3773</v>
      </c>
      <c r="B2433" s="707" t="s">
        <v>3715</v>
      </c>
      <c r="C2433" s="708" t="s">
        <v>3</v>
      </c>
      <c r="D2433" s="719">
        <v>4.58</v>
      </c>
    </row>
    <row r="2434" spans="1:4" hidden="1" outlineLevel="1" x14ac:dyDescent="0.2">
      <c r="A2434" s="720" t="s">
        <v>3774</v>
      </c>
      <c r="B2434" s="710" t="s">
        <v>3197</v>
      </c>
      <c r="C2434" s="711" t="s">
        <v>3</v>
      </c>
      <c r="D2434" s="721">
        <v>3.24</v>
      </c>
    </row>
    <row r="2435" spans="1:4" hidden="1" outlineLevel="1" x14ac:dyDescent="0.2">
      <c r="A2435" s="718" t="s">
        <v>3775</v>
      </c>
      <c r="B2435" s="707" t="s">
        <v>3068</v>
      </c>
      <c r="C2435" s="708" t="s">
        <v>3</v>
      </c>
      <c r="D2435" s="719">
        <v>16.100000000000001</v>
      </c>
    </row>
    <row r="2436" spans="1:4" hidden="1" outlineLevel="1" x14ac:dyDescent="0.2">
      <c r="A2436" s="720" t="s">
        <v>3776</v>
      </c>
      <c r="B2436" s="710" t="s">
        <v>3077</v>
      </c>
      <c r="C2436" s="711" t="s">
        <v>3</v>
      </c>
      <c r="D2436" s="721">
        <v>17.5</v>
      </c>
    </row>
    <row r="2437" spans="1:4" hidden="1" outlineLevel="1" x14ac:dyDescent="0.2">
      <c r="A2437" s="718" t="s">
        <v>3777</v>
      </c>
      <c r="B2437" s="707" t="s">
        <v>3070</v>
      </c>
      <c r="C2437" s="708" t="s">
        <v>3</v>
      </c>
      <c r="D2437" s="719">
        <v>8.1</v>
      </c>
    </row>
    <row r="2438" spans="1:4" hidden="1" outlineLevel="1" x14ac:dyDescent="0.2">
      <c r="A2438" s="720" t="s">
        <v>3778</v>
      </c>
      <c r="B2438" s="710" t="s">
        <v>2739</v>
      </c>
      <c r="C2438" s="711" t="s">
        <v>3</v>
      </c>
      <c r="D2438" s="721">
        <v>4.4800000000000004</v>
      </c>
    </row>
    <row r="2439" spans="1:4" hidden="1" outlineLevel="1" x14ac:dyDescent="0.2">
      <c r="A2439" s="718" t="s">
        <v>3779</v>
      </c>
      <c r="B2439" s="707" t="s">
        <v>3080</v>
      </c>
      <c r="C2439" s="708" t="s">
        <v>3</v>
      </c>
      <c r="D2439" s="719">
        <v>9.1999999999999993</v>
      </c>
    </row>
    <row r="2440" spans="1:4" hidden="1" outlineLevel="1" x14ac:dyDescent="0.2">
      <c r="A2440" s="720" t="s">
        <v>3780</v>
      </c>
      <c r="B2440" s="710" t="s">
        <v>2773</v>
      </c>
      <c r="C2440" s="711" t="s">
        <v>3</v>
      </c>
      <c r="D2440" s="721">
        <v>6.2</v>
      </c>
    </row>
    <row r="2441" spans="1:4" hidden="1" outlineLevel="1" x14ac:dyDescent="0.2">
      <c r="A2441" s="718" t="s">
        <v>3781</v>
      </c>
      <c r="B2441" s="707" t="s">
        <v>2775</v>
      </c>
      <c r="C2441" s="708" t="s">
        <v>3</v>
      </c>
      <c r="D2441" s="719">
        <v>4.0999999999999996</v>
      </c>
    </row>
    <row r="2442" spans="1:4" hidden="1" outlineLevel="1" x14ac:dyDescent="0.2">
      <c r="A2442" s="722" t="s">
        <v>3782</v>
      </c>
      <c r="B2442" s="702" t="s">
        <v>1320</v>
      </c>
      <c r="C2442" s="703"/>
      <c r="D2442" s="723"/>
    </row>
    <row r="2443" spans="1:4" hidden="1" outlineLevel="1" x14ac:dyDescent="0.2">
      <c r="A2443" s="716" t="s">
        <v>3783</v>
      </c>
      <c r="B2443" s="705" t="s">
        <v>2648</v>
      </c>
      <c r="C2443" s="706"/>
      <c r="D2443" s="717"/>
    </row>
    <row r="2444" spans="1:4" hidden="1" outlineLevel="1" x14ac:dyDescent="0.2">
      <c r="A2444" s="720" t="s">
        <v>3784</v>
      </c>
      <c r="B2444" s="710" t="s">
        <v>3715</v>
      </c>
      <c r="C2444" s="711" t="s">
        <v>3</v>
      </c>
      <c r="D2444" s="721">
        <v>4.58</v>
      </c>
    </row>
    <row r="2445" spans="1:4" hidden="1" outlineLevel="1" x14ac:dyDescent="0.2">
      <c r="A2445" s="718" t="s">
        <v>3785</v>
      </c>
      <c r="B2445" s="707" t="s">
        <v>3197</v>
      </c>
      <c r="C2445" s="708" t="s">
        <v>3</v>
      </c>
      <c r="D2445" s="719">
        <v>3.24</v>
      </c>
    </row>
    <row r="2446" spans="1:4" hidden="1" outlineLevel="1" x14ac:dyDescent="0.2">
      <c r="A2446" s="720" t="s">
        <v>3786</v>
      </c>
      <c r="B2446" s="710" t="s">
        <v>3068</v>
      </c>
      <c r="C2446" s="711" t="s">
        <v>3</v>
      </c>
      <c r="D2446" s="721">
        <v>16.100000000000001</v>
      </c>
    </row>
    <row r="2447" spans="1:4" hidden="1" outlineLevel="1" x14ac:dyDescent="0.2">
      <c r="A2447" s="718" t="s">
        <v>3787</v>
      </c>
      <c r="B2447" s="707" t="s">
        <v>3077</v>
      </c>
      <c r="C2447" s="708" t="s">
        <v>3</v>
      </c>
      <c r="D2447" s="719">
        <v>17.5</v>
      </c>
    </row>
    <row r="2448" spans="1:4" hidden="1" outlineLevel="1" x14ac:dyDescent="0.2">
      <c r="A2448" s="720" t="s">
        <v>3788</v>
      </c>
      <c r="B2448" s="710" t="s">
        <v>3070</v>
      </c>
      <c r="C2448" s="711" t="s">
        <v>3</v>
      </c>
      <c r="D2448" s="721">
        <v>8.1</v>
      </c>
    </row>
    <row r="2449" spans="1:4" hidden="1" outlineLevel="1" x14ac:dyDescent="0.2">
      <c r="A2449" s="718" t="s">
        <v>3789</v>
      </c>
      <c r="B2449" s="707" t="s">
        <v>2739</v>
      </c>
      <c r="C2449" s="708" t="s">
        <v>3</v>
      </c>
      <c r="D2449" s="719">
        <v>4.4800000000000004</v>
      </c>
    </row>
    <row r="2450" spans="1:4" hidden="1" outlineLevel="1" x14ac:dyDescent="0.2">
      <c r="A2450" s="720" t="s">
        <v>3790</v>
      </c>
      <c r="B2450" s="710" t="s">
        <v>3080</v>
      </c>
      <c r="C2450" s="711" t="s">
        <v>3</v>
      </c>
      <c r="D2450" s="721">
        <v>9.1999999999999993</v>
      </c>
    </row>
    <row r="2451" spans="1:4" hidden="1" outlineLevel="1" x14ac:dyDescent="0.2">
      <c r="A2451" s="718" t="s">
        <v>3791</v>
      </c>
      <c r="B2451" s="707" t="s">
        <v>2773</v>
      </c>
      <c r="C2451" s="708" t="s">
        <v>3</v>
      </c>
      <c r="D2451" s="719">
        <v>6.2</v>
      </c>
    </row>
    <row r="2452" spans="1:4" hidden="1" outlineLevel="1" x14ac:dyDescent="0.2">
      <c r="A2452" s="720" t="s">
        <v>3792</v>
      </c>
      <c r="B2452" s="710" t="s">
        <v>2775</v>
      </c>
      <c r="C2452" s="711" t="s">
        <v>3</v>
      </c>
      <c r="D2452" s="721">
        <v>4.0999999999999996</v>
      </c>
    </row>
    <row r="2453" spans="1:4" hidden="1" outlineLevel="1" x14ac:dyDescent="0.2">
      <c r="A2453" s="722" t="s">
        <v>3793</v>
      </c>
      <c r="B2453" s="702" t="s">
        <v>1324</v>
      </c>
      <c r="C2453" s="703"/>
      <c r="D2453" s="723"/>
    </row>
    <row r="2454" spans="1:4" hidden="1" outlineLevel="1" x14ac:dyDescent="0.2">
      <c r="A2454" s="716" t="s">
        <v>3794</v>
      </c>
      <c r="B2454" s="705" t="s">
        <v>2648</v>
      </c>
      <c r="C2454" s="706"/>
      <c r="D2454" s="717"/>
    </row>
    <row r="2455" spans="1:4" hidden="1" outlineLevel="1" x14ac:dyDescent="0.2">
      <c r="A2455" s="718" t="s">
        <v>3795</v>
      </c>
      <c r="B2455" s="707" t="s">
        <v>3715</v>
      </c>
      <c r="C2455" s="708" t="s">
        <v>3</v>
      </c>
      <c r="D2455" s="719">
        <v>4.58</v>
      </c>
    </row>
    <row r="2456" spans="1:4" hidden="1" outlineLevel="1" x14ac:dyDescent="0.2">
      <c r="A2456" s="720" t="s">
        <v>3796</v>
      </c>
      <c r="B2456" s="710" t="s">
        <v>3197</v>
      </c>
      <c r="C2456" s="711" t="s">
        <v>3</v>
      </c>
      <c r="D2456" s="721">
        <v>3.24</v>
      </c>
    </row>
    <row r="2457" spans="1:4" hidden="1" outlineLevel="1" x14ac:dyDescent="0.2">
      <c r="A2457" s="718" t="s">
        <v>3797</v>
      </c>
      <c r="B2457" s="707" t="s">
        <v>3068</v>
      </c>
      <c r="C2457" s="708" t="s">
        <v>3</v>
      </c>
      <c r="D2457" s="719">
        <v>16.100000000000001</v>
      </c>
    </row>
    <row r="2458" spans="1:4" hidden="1" outlineLevel="1" x14ac:dyDescent="0.2">
      <c r="A2458" s="720" t="s">
        <v>3798</v>
      </c>
      <c r="B2458" s="710" t="s">
        <v>3077</v>
      </c>
      <c r="C2458" s="711" t="s">
        <v>3</v>
      </c>
      <c r="D2458" s="721">
        <v>17.5</v>
      </c>
    </row>
    <row r="2459" spans="1:4" hidden="1" outlineLevel="1" x14ac:dyDescent="0.2">
      <c r="A2459" s="718" t="s">
        <v>3799</v>
      </c>
      <c r="B2459" s="707" t="s">
        <v>3070</v>
      </c>
      <c r="C2459" s="708" t="s">
        <v>3</v>
      </c>
      <c r="D2459" s="719">
        <v>8.1</v>
      </c>
    </row>
    <row r="2460" spans="1:4" hidden="1" outlineLevel="1" x14ac:dyDescent="0.2">
      <c r="A2460" s="720" t="s">
        <v>3800</v>
      </c>
      <c r="B2460" s="710" t="s">
        <v>2739</v>
      </c>
      <c r="C2460" s="711" t="s">
        <v>3</v>
      </c>
      <c r="D2460" s="721">
        <v>4.4800000000000004</v>
      </c>
    </row>
    <row r="2461" spans="1:4" hidden="1" outlineLevel="1" x14ac:dyDescent="0.2">
      <c r="A2461" s="718" t="s">
        <v>3801</v>
      </c>
      <c r="B2461" s="707" t="s">
        <v>3080</v>
      </c>
      <c r="C2461" s="708" t="s">
        <v>3</v>
      </c>
      <c r="D2461" s="719">
        <v>9.1999999999999993</v>
      </c>
    </row>
    <row r="2462" spans="1:4" hidden="1" outlineLevel="1" x14ac:dyDescent="0.2">
      <c r="A2462" s="720" t="s">
        <v>3802</v>
      </c>
      <c r="B2462" s="710" t="s">
        <v>2773</v>
      </c>
      <c r="C2462" s="711" t="s">
        <v>3</v>
      </c>
      <c r="D2462" s="721">
        <v>6.2</v>
      </c>
    </row>
    <row r="2463" spans="1:4" hidden="1" outlineLevel="1" x14ac:dyDescent="0.2">
      <c r="A2463" s="718" t="s">
        <v>3803</v>
      </c>
      <c r="B2463" s="707" t="s">
        <v>2775</v>
      </c>
      <c r="C2463" s="708" t="s">
        <v>3</v>
      </c>
      <c r="D2463" s="719">
        <v>4.0999999999999996</v>
      </c>
    </row>
    <row r="2464" spans="1:4" hidden="1" outlineLevel="1" x14ac:dyDescent="0.2">
      <c r="A2464" s="722" t="s">
        <v>3804</v>
      </c>
      <c r="B2464" s="702" t="s">
        <v>1328</v>
      </c>
      <c r="C2464" s="703"/>
      <c r="D2464" s="723"/>
    </row>
    <row r="2465" spans="1:4" hidden="1" outlineLevel="1" x14ac:dyDescent="0.2">
      <c r="A2465" s="716" t="s">
        <v>3805</v>
      </c>
      <c r="B2465" s="705" t="s">
        <v>2648</v>
      </c>
      <c r="C2465" s="706"/>
      <c r="D2465" s="717"/>
    </row>
    <row r="2466" spans="1:4" hidden="1" outlineLevel="1" x14ac:dyDescent="0.2">
      <c r="A2466" s="720" t="s">
        <v>3806</v>
      </c>
      <c r="B2466" s="710" t="s">
        <v>3715</v>
      </c>
      <c r="C2466" s="711" t="s">
        <v>3</v>
      </c>
      <c r="D2466" s="721">
        <v>4.58</v>
      </c>
    </row>
    <row r="2467" spans="1:4" hidden="1" outlineLevel="1" x14ac:dyDescent="0.2">
      <c r="A2467" s="718" t="s">
        <v>3807</v>
      </c>
      <c r="B2467" s="707" t="s">
        <v>3197</v>
      </c>
      <c r="C2467" s="708" t="s">
        <v>3</v>
      </c>
      <c r="D2467" s="719">
        <v>3.24</v>
      </c>
    </row>
    <row r="2468" spans="1:4" hidden="1" outlineLevel="1" x14ac:dyDescent="0.2">
      <c r="A2468" s="720" t="s">
        <v>3808</v>
      </c>
      <c r="B2468" s="710" t="s">
        <v>3068</v>
      </c>
      <c r="C2468" s="711" t="s">
        <v>3</v>
      </c>
      <c r="D2468" s="721">
        <v>16.100000000000001</v>
      </c>
    </row>
    <row r="2469" spans="1:4" hidden="1" outlineLevel="1" x14ac:dyDescent="0.2">
      <c r="A2469" s="718" t="s">
        <v>3809</v>
      </c>
      <c r="B2469" s="707" t="s">
        <v>3077</v>
      </c>
      <c r="C2469" s="708" t="s">
        <v>3</v>
      </c>
      <c r="D2469" s="719">
        <v>17.5</v>
      </c>
    </row>
    <row r="2470" spans="1:4" hidden="1" outlineLevel="1" x14ac:dyDescent="0.2">
      <c r="A2470" s="720" t="s">
        <v>3810</v>
      </c>
      <c r="B2470" s="710" t="s">
        <v>3070</v>
      </c>
      <c r="C2470" s="711" t="s">
        <v>3</v>
      </c>
      <c r="D2470" s="721">
        <v>8.1</v>
      </c>
    </row>
    <row r="2471" spans="1:4" hidden="1" outlineLevel="1" x14ac:dyDescent="0.2">
      <c r="A2471" s="718" t="s">
        <v>3811</v>
      </c>
      <c r="B2471" s="707" t="s">
        <v>2739</v>
      </c>
      <c r="C2471" s="708" t="s">
        <v>3</v>
      </c>
      <c r="D2471" s="719">
        <v>4.4800000000000004</v>
      </c>
    </row>
    <row r="2472" spans="1:4" hidden="1" outlineLevel="1" x14ac:dyDescent="0.2">
      <c r="A2472" s="720" t="s">
        <v>3812</v>
      </c>
      <c r="B2472" s="710" t="s">
        <v>3080</v>
      </c>
      <c r="C2472" s="711" t="s">
        <v>3</v>
      </c>
      <c r="D2472" s="721">
        <v>9.1999999999999993</v>
      </c>
    </row>
    <row r="2473" spans="1:4" hidden="1" outlineLevel="1" x14ac:dyDescent="0.2">
      <c r="A2473" s="718" t="s">
        <v>3813</v>
      </c>
      <c r="B2473" s="707" t="s">
        <v>2773</v>
      </c>
      <c r="C2473" s="708" t="s">
        <v>3</v>
      </c>
      <c r="D2473" s="719">
        <v>6.2</v>
      </c>
    </row>
    <row r="2474" spans="1:4" hidden="1" outlineLevel="1" x14ac:dyDescent="0.2">
      <c r="A2474" s="720" t="s">
        <v>3814</v>
      </c>
      <c r="B2474" s="710" t="s">
        <v>2775</v>
      </c>
      <c r="C2474" s="711" t="s">
        <v>3</v>
      </c>
      <c r="D2474" s="721">
        <v>4.0999999999999996</v>
      </c>
    </row>
    <row r="2475" spans="1:4" hidden="1" outlineLevel="1" x14ac:dyDescent="0.2">
      <c r="A2475" s="722" t="s">
        <v>3815</v>
      </c>
      <c r="B2475" s="702" t="s">
        <v>1332</v>
      </c>
      <c r="C2475" s="703"/>
      <c r="D2475" s="723"/>
    </row>
    <row r="2476" spans="1:4" hidden="1" outlineLevel="1" x14ac:dyDescent="0.2">
      <c r="A2476" s="716" t="s">
        <v>3816</v>
      </c>
      <c r="B2476" s="705" t="s">
        <v>2648</v>
      </c>
      <c r="C2476" s="706"/>
      <c r="D2476" s="717"/>
    </row>
    <row r="2477" spans="1:4" hidden="1" outlineLevel="1" x14ac:dyDescent="0.2">
      <c r="A2477" s="718" t="s">
        <v>3817</v>
      </c>
      <c r="B2477" s="707" t="s">
        <v>3715</v>
      </c>
      <c r="C2477" s="708" t="s">
        <v>3</v>
      </c>
      <c r="D2477" s="719">
        <v>4.58</v>
      </c>
    </row>
    <row r="2478" spans="1:4" hidden="1" outlineLevel="1" x14ac:dyDescent="0.2">
      <c r="A2478" s="720" t="s">
        <v>3818</v>
      </c>
      <c r="B2478" s="710" t="s">
        <v>3197</v>
      </c>
      <c r="C2478" s="711" t="s">
        <v>3</v>
      </c>
      <c r="D2478" s="721">
        <v>3.24</v>
      </c>
    </row>
    <row r="2479" spans="1:4" hidden="1" outlineLevel="1" x14ac:dyDescent="0.2">
      <c r="A2479" s="718" t="s">
        <v>3819</v>
      </c>
      <c r="B2479" s="707" t="s">
        <v>3068</v>
      </c>
      <c r="C2479" s="708" t="s">
        <v>3</v>
      </c>
      <c r="D2479" s="719">
        <v>16.100000000000001</v>
      </c>
    </row>
    <row r="2480" spans="1:4" hidden="1" outlineLevel="1" x14ac:dyDescent="0.2">
      <c r="A2480" s="720" t="s">
        <v>3820</v>
      </c>
      <c r="B2480" s="710" t="s">
        <v>3077</v>
      </c>
      <c r="C2480" s="711" t="s">
        <v>3</v>
      </c>
      <c r="D2480" s="721">
        <v>17.5</v>
      </c>
    </row>
    <row r="2481" spans="1:4" hidden="1" outlineLevel="1" x14ac:dyDescent="0.2">
      <c r="A2481" s="718" t="s">
        <v>3821</v>
      </c>
      <c r="B2481" s="707" t="s">
        <v>3070</v>
      </c>
      <c r="C2481" s="708" t="s">
        <v>3</v>
      </c>
      <c r="D2481" s="719">
        <v>8.1</v>
      </c>
    </row>
    <row r="2482" spans="1:4" hidden="1" outlineLevel="1" x14ac:dyDescent="0.2">
      <c r="A2482" s="720" t="s">
        <v>3822</v>
      </c>
      <c r="B2482" s="710" t="s">
        <v>2739</v>
      </c>
      <c r="C2482" s="711" t="s">
        <v>3</v>
      </c>
      <c r="D2482" s="721">
        <v>4.4800000000000004</v>
      </c>
    </row>
    <row r="2483" spans="1:4" hidden="1" outlineLevel="1" x14ac:dyDescent="0.2">
      <c r="A2483" s="718" t="s">
        <v>3823</v>
      </c>
      <c r="B2483" s="707" t="s">
        <v>3080</v>
      </c>
      <c r="C2483" s="708" t="s">
        <v>3</v>
      </c>
      <c r="D2483" s="719">
        <v>9.1999999999999993</v>
      </c>
    </row>
    <row r="2484" spans="1:4" hidden="1" outlineLevel="1" x14ac:dyDescent="0.2">
      <c r="A2484" s="720" t="s">
        <v>3824</v>
      </c>
      <c r="B2484" s="710" t="s">
        <v>2773</v>
      </c>
      <c r="C2484" s="711" t="s">
        <v>3</v>
      </c>
      <c r="D2484" s="721">
        <v>6.2</v>
      </c>
    </row>
    <row r="2485" spans="1:4" hidden="1" outlineLevel="1" x14ac:dyDescent="0.2">
      <c r="A2485" s="718" t="s">
        <v>3825</v>
      </c>
      <c r="B2485" s="707" t="s">
        <v>2775</v>
      </c>
      <c r="C2485" s="708" t="s">
        <v>3</v>
      </c>
      <c r="D2485" s="719">
        <v>4.0999999999999996</v>
      </c>
    </row>
    <row r="2486" spans="1:4" hidden="1" outlineLevel="1" x14ac:dyDescent="0.2">
      <c r="A2486" s="722" t="s">
        <v>3826</v>
      </c>
      <c r="B2486" s="702" t="s">
        <v>1336</v>
      </c>
      <c r="C2486" s="703"/>
      <c r="D2486" s="723"/>
    </row>
    <row r="2487" spans="1:4" hidden="1" outlineLevel="1" x14ac:dyDescent="0.2">
      <c r="A2487" s="716" t="s">
        <v>3827</v>
      </c>
      <c r="B2487" s="705" t="s">
        <v>2648</v>
      </c>
      <c r="C2487" s="706"/>
      <c r="D2487" s="717"/>
    </row>
    <row r="2488" spans="1:4" hidden="1" outlineLevel="1" x14ac:dyDescent="0.2">
      <c r="A2488" s="720" t="s">
        <v>3828</v>
      </c>
      <c r="B2488" s="710" t="s">
        <v>3715</v>
      </c>
      <c r="C2488" s="711" t="s">
        <v>3</v>
      </c>
      <c r="D2488" s="721">
        <v>4.58</v>
      </c>
    </row>
    <row r="2489" spans="1:4" hidden="1" outlineLevel="1" x14ac:dyDescent="0.2">
      <c r="A2489" s="718" t="s">
        <v>3829</v>
      </c>
      <c r="B2489" s="707" t="s">
        <v>3197</v>
      </c>
      <c r="C2489" s="708" t="s">
        <v>3</v>
      </c>
      <c r="D2489" s="719">
        <v>3.24</v>
      </c>
    </row>
    <row r="2490" spans="1:4" hidden="1" outlineLevel="1" x14ac:dyDescent="0.2">
      <c r="A2490" s="720" t="s">
        <v>3830</v>
      </c>
      <c r="B2490" s="710" t="s">
        <v>3068</v>
      </c>
      <c r="C2490" s="711" t="s">
        <v>3</v>
      </c>
      <c r="D2490" s="721">
        <v>16.100000000000001</v>
      </c>
    </row>
    <row r="2491" spans="1:4" hidden="1" outlineLevel="1" x14ac:dyDescent="0.2">
      <c r="A2491" s="718" t="s">
        <v>3831</v>
      </c>
      <c r="B2491" s="707" t="s">
        <v>3077</v>
      </c>
      <c r="C2491" s="708" t="s">
        <v>3</v>
      </c>
      <c r="D2491" s="719">
        <v>17.5</v>
      </c>
    </row>
    <row r="2492" spans="1:4" hidden="1" outlineLevel="1" x14ac:dyDescent="0.2">
      <c r="A2492" s="720" t="s">
        <v>3832</v>
      </c>
      <c r="B2492" s="710" t="s">
        <v>3070</v>
      </c>
      <c r="C2492" s="711" t="s">
        <v>3</v>
      </c>
      <c r="D2492" s="721">
        <v>8.1</v>
      </c>
    </row>
    <row r="2493" spans="1:4" hidden="1" outlineLevel="1" x14ac:dyDescent="0.2">
      <c r="A2493" s="718" t="s">
        <v>3833</v>
      </c>
      <c r="B2493" s="707" t="s">
        <v>2739</v>
      </c>
      <c r="C2493" s="708" t="s">
        <v>3</v>
      </c>
      <c r="D2493" s="719">
        <v>4.4800000000000004</v>
      </c>
    </row>
    <row r="2494" spans="1:4" hidden="1" outlineLevel="1" x14ac:dyDescent="0.2">
      <c r="A2494" s="720" t="s">
        <v>3834</v>
      </c>
      <c r="B2494" s="710" t="s">
        <v>3080</v>
      </c>
      <c r="C2494" s="711" t="s">
        <v>3</v>
      </c>
      <c r="D2494" s="721">
        <v>9.1999999999999993</v>
      </c>
    </row>
    <row r="2495" spans="1:4" hidden="1" outlineLevel="1" x14ac:dyDescent="0.2">
      <c r="A2495" s="718" t="s">
        <v>3835</v>
      </c>
      <c r="B2495" s="707" t="s">
        <v>2773</v>
      </c>
      <c r="C2495" s="708" t="s">
        <v>3</v>
      </c>
      <c r="D2495" s="719">
        <v>6.2</v>
      </c>
    </row>
    <row r="2496" spans="1:4" hidden="1" outlineLevel="1" x14ac:dyDescent="0.2">
      <c r="A2496" s="720" t="s">
        <v>3836</v>
      </c>
      <c r="B2496" s="710" t="s">
        <v>2775</v>
      </c>
      <c r="C2496" s="711" t="s">
        <v>3</v>
      </c>
      <c r="D2496" s="721">
        <v>4.0999999999999996</v>
      </c>
    </row>
    <row r="2497" spans="1:4" hidden="1" outlineLevel="1" x14ac:dyDescent="0.2">
      <c r="A2497" s="722" t="s">
        <v>3837</v>
      </c>
      <c r="B2497" s="702" t="s">
        <v>1340</v>
      </c>
      <c r="C2497" s="703"/>
      <c r="D2497" s="723"/>
    </row>
    <row r="2498" spans="1:4" hidden="1" outlineLevel="1" x14ac:dyDescent="0.2">
      <c r="A2498" s="716" t="s">
        <v>3838</v>
      </c>
      <c r="B2498" s="705" t="s">
        <v>2648</v>
      </c>
      <c r="C2498" s="706"/>
      <c r="D2498" s="717"/>
    </row>
    <row r="2499" spans="1:4" hidden="1" outlineLevel="1" x14ac:dyDescent="0.2">
      <c r="A2499" s="718" t="s">
        <v>3839</v>
      </c>
      <c r="B2499" s="707" t="s">
        <v>3715</v>
      </c>
      <c r="C2499" s="708" t="s">
        <v>3</v>
      </c>
      <c r="D2499" s="719">
        <v>4.58</v>
      </c>
    </row>
    <row r="2500" spans="1:4" hidden="1" outlineLevel="1" x14ac:dyDescent="0.2">
      <c r="A2500" s="720" t="s">
        <v>3840</v>
      </c>
      <c r="B2500" s="710" t="s">
        <v>3197</v>
      </c>
      <c r="C2500" s="711" t="s">
        <v>3</v>
      </c>
      <c r="D2500" s="721">
        <v>3.24</v>
      </c>
    </row>
    <row r="2501" spans="1:4" hidden="1" outlineLevel="1" x14ac:dyDescent="0.2">
      <c r="A2501" s="718" t="s">
        <v>3841</v>
      </c>
      <c r="B2501" s="707" t="s">
        <v>3068</v>
      </c>
      <c r="C2501" s="708" t="s">
        <v>3</v>
      </c>
      <c r="D2501" s="719">
        <v>16.100000000000001</v>
      </c>
    </row>
    <row r="2502" spans="1:4" hidden="1" outlineLevel="1" x14ac:dyDescent="0.2">
      <c r="A2502" s="720" t="s">
        <v>3842</v>
      </c>
      <c r="B2502" s="710" t="s">
        <v>3077</v>
      </c>
      <c r="C2502" s="711" t="s">
        <v>3</v>
      </c>
      <c r="D2502" s="721">
        <v>17.5</v>
      </c>
    </row>
    <row r="2503" spans="1:4" hidden="1" outlineLevel="1" x14ac:dyDescent="0.2">
      <c r="A2503" s="718" t="s">
        <v>3843</v>
      </c>
      <c r="B2503" s="707" t="s">
        <v>3070</v>
      </c>
      <c r="C2503" s="708" t="s">
        <v>3</v>
      </c>
      <c r="D2503" s="719">
        <v>8.1</v>
      </c>
    </row>
    <row r="2504" spans="1:4" hidden="1" outlineLevel="1" x14ac:dyDescent="0.2">
      <c r="A2504" s="720" t="s">
        <v>3844</v>
      </c>
      <c r="B2504" s="710" t="s">
        <v>2739</v>
      </c>
      <c r="C2504" s="711" t="s">
        <v>3</v>
      </c>
      <c r="D2504" s="721">
        <v>4.4800000000000004</v>
      </c>
    </row>
    <row r="2505" spans="1:4" hidden="1" outlineLevel="1" x14ac:dyDescent="0.2">
      <c r="A2505" s="718" t="s">
        <v>3845</v>
      </c>
      <c r="B2505" s="707" t="s">
        <v>3080</v>
      </c>
      <c r="C2505" s="708" t="s">
        <v>3</v>
      </c>
      <c r="D2505" s="719">
        <v>9.1999999999999993</v>
      </c>
    </row>
    <row r="2506" spans="1:4" hidden="1" outlineLevel="1" x14ac:dyDescent="0.2">
      <c r="A2506" s="720" t="s">
        <v>3846</v>
      </c>
      <c r="B2506" s="710" t="s">
        <v>2773</v>
      </c>
      <c r="C2506" s="711" t="s">
        <v>3</v>
      </c>
      <c r="D2506" s="721">
        <v>6.2</v>
      </c>
    </row>
    <row r="2507" spans="1:4" hidden="1" outlineLevel="1" x14ac:dyDescent="0.2">
      <c r="A2507" s="718" t="s">
        <v>3847</v>
      </c>
      <c r="B2507" s="707" t="s">
        <v>2775</v>
      </c>
      <c r="C2507" s="708" t="s">
        <v>3</v>
      </c>
      <c r="D2507" s="719">
        <v>4.0999999999999996</v>
      </c>
    </row>
    <row r="2508" spans="1:4" hidden="1" outlineLevel="1" x14ac:dyDescent="0.2">
      <c r="A2508" s="722" t="s">
        <v>3848</v>
      </c>
      <c r="B2508" s="702" t="s">
        <v>1344</v>
      </c>
      <c r="C2508" s="703"/>
      <c r="D2508" s="723"/>
    </row>
    <row r="2509" spans="1:4" hidden="1" outlineLevel="1" x14ac:dyDescent="0.2">
      <c r="A2509" s="716" t="s">
        <v>3849</v>
      </c>
      <c r="B2509" s="705" t="s">
        <v>2648</v>
      </c>
      <c r="C2509" s="706"/>
      <c r="D2509" s="717"/>
    </row>
    <row r="2510" spans="1:4" hidden="1" outlineLevel="1" x14ac:dyDescent="0.2">
      <c r="A2510" s="720" t="s">
        <v>3850</v>
      </c>
      <c r="B2510" s="710" t="s">
        <v>3715</v>
      </c>
      <c r="C2510" s="711" t="s">
        <v>3</v>
      </c>
      <c r="D2510" s="721">
        <v>4.58</v>
      </c>
    </row>
    <row r="2511" spans="1:4" hidden="1" outlineLevel="1" x14ac:dyDescent="0.2">
      <c r="A2511" s="718" t="s">
        <v>3851</v>
      </c>
      <c r="B2511" s="707" t="s">
        <v>3197</v>
      </c>
      <c r="C2511" s="708" t="s">
        <v>3</v>
      </c>
      <c r="D2511" s="719">
        <v>3.24</v>
      </c>
    </row>
    <row r="2512" spans="1:4" hidden="1" outlineLevel="1" x14ac:dyDescent="0.2">
      <c r="A2512" s="720" t="s">
        <v>3852</v>
      </c>
      <c r="B2512" s="710" t="s">
        <v>3068</v>
      </c>
      <c r="C2512" s="711" t="s">
        <v>3</v>
      </c>
      <c r="D2512" s="721">
        <v>16.100000000000001</v>
      </c>
    </row>
    <row r="2513" spans="1:4" hidden="1" outlineLevel="1" x14ac:dyDescent="0.2">
      <c r="A2513" s="718" t="s">
        <v>3853</v>
      </c>
      <c r="B2513" s="707" t="s">
        <v>3077</v>
      </c>
      <c r="C2513" s="708" t="s">
        <v>3</v>
      </c>
      <c r="D2513" s="719">
        <v>17.5</v>
      </c>
    </row>
    <row r="2514" spans="1:4" hidden="1" outlineLevel="1" x14ac:dyDescent="0.2">
      <c r="A2514" s="720" t="s">
        <v>3854</v>
      </c>
      <c r="B2514" s="710" t="s">
        <v>3070</v>
      </c>
      <c r="C2514" s="711" t="s">
        <v>3</v>
      </c>
      <c r="D2514" s="721">
        <v>8.1</v>
      </c>
    </row>
    <row r="2515" spans="1:4" hidden="1" outlineLevel="1" x14ac:dyDescent="0.2">
      <c r="A2515" s="718" t="s">
        <v>3855</v>
      </c>
      <c r="B2515" s="707" t="s">
        <v>2739</v>
      </c>
      <c r="C2515" s="708" t="s">
        <v>3</v>
      </c>
      <c r="D2515" s="719">
        <v>4.4800000000000004</v>
      </c>
    </row>
    <row r="2516" spans="1:4" hidden="1" outlineLevel="1" x14ac:dyDescent="0.2">
      <c r="A2516" s="720" t="s">
        <v>3856</v>
      </c>
      <c r="B2516" s="710" t="s">
        <v>3080</v>
      </c>
      <c r="C2516" s="711" t="s">
        <v>3</v>
      </c>
      <c r="D2516" s="721">
        <v>9.1999999999999993</v>
      </c>
    </row>
    <row r="2517" spans="1:4" hidden="1" outlineLevel="1" x14ac:dyDescent="0.2">
      <c r="A2517" s="718" t="s">
        <v>3857</v>
      </c>
      <c r="B2517" s="707" t="s">
        <v>2773</v>
      </c>
      <c r="C2517" s="708" t="s">
        <v>3</v>
      </c>
      <c r="D2517" s="719">
        <v>6.2</v>
      </c>
    </row>
    <row r="2518" spans="1:4" hidden="1" outlineLevel="1" x14ac:dyDescent="0.2">
      <c r="A2518" s="720" t="s">
        <v>3858</v>
      </c>
      <c r="B2518" s="710" t="s">
        <v>2775</v>
      </c>
      <c r="C2518" s="711" t="s">
        <v>3</v>
      </c>
      <c r="D2518" s="721">
        <v>4.0999999999999996</v>
      </c>
    </row>
    <row r="2519" spans="1:4" hidden="1" outlineLevel="1" x14ac:dyDescent="0.2">
      <c r="A2519" s="722" t="s">
        <v>3859</v>
      </c>
      <c r="B2519" s="702" t="s">
        <v>1348</v>
      </c>
      <c r="C2519" s="703"/>
      <c r="D2519" s="723"/>
    </row>
    <row r="2520" spans="1:4" hidden="1" outlineLevel="1" x14ac:dyDescent="0.2">
      <c r="A2520" s="716" t="s">
        <v>3860</v>
      </c>
      <c r="B2520" s="705" t="s">
        <v>2648</v>
      </c>
      <c r="C2520" s="706"/>
      <c r="D2520" s="717"/>
    </row>
    <row r="2521" spans="1:4" hidden="1" outlineLevel="1" x14ac:dyDescent="0.2">
      <c r="A2521" s="718" t="s">
        <v>3861</v>
      </c>
      <c r="B2521" s="707" t="s">
        <v>3715</v>
      </c>
      <c r="C2521" s="708" t="s">
        <v>3</v>
      </c>
      <c r="D2521" s="719">
        <v>4.58</v>
      </c>
    </row>
    <row r="2522" spans="1:4" hidden="1" outlineLevel="1" x14ac:dyDescent="0.2">
      <c r="A2522" s="720" t="s">
        <v>3862</v>
      </c>
      <c r="B2522" s="710" t="s">
        <v>3197</v>
      </c>
      <c r="C2522" s="711" t="s">
        <v>3</v>
      </c>
      <c r="D2522" s="721">
        <v>3.24</v>
      </c>
    </row>
    <row r="2523" spans="1:4" hidden="1" outlineLevel="1" x14ac:dyDescent="0.2">
      <c r="A2523" s="718" t="s">
        <v>3863</v>
      </c>
      <c r="B2523" s="707" t="s">
        <v>3068</v>
      </c>
      <c r="C2523" s="708" t="s">
        <v>3</v>
      </c>
      <c r="D2523" s="719">
        <v>16.100000000000001</v>
      </c>
    </row>
    <row r="2524" spans="1:4" hidden="1" outlineLevel="1" x14ac:dyDescent="0.2">
      <c r="A2524" s="720" t="s">
        <v>3864</v>
      </c>
      <c r="B2524" s="710" t="s">
        <v>3077</v>
      </c>
      <c r="C2524" s="711" t="s">
        <v>3</v>
      </c>
      <c r="D2524" s="721">
        <v>17.5</v>
      </c>
    </row>
    <row r="2525" spans="1:4" hidden="1" outlineLevel="1" x14ac:dyDescent="0.2">
      <c r="A2525" s="718" t="s">
        <v>3865</v>
      </c>
      <c r="B2525" s="707" t="s">
        <v>3070</v>
      </c>
      <c r="C2525" s="708" t="s">
        <v>3</v>
      </c>
      <c r="D2525" s="719">
        <v>8.1</v>
      </c>
    </row>
    <row r="2526" spans="1:4" hidden="1" outlineLevel="1" x14ac:dyDescent="0.2">
      <c r="A2526" s="720" t="s">
        <v>3866</v>
      </c>
      <c r="B2526" s="710" t="s">
        <v>2739</v>
      </c>
      <c r="C2526" s="711" t="s">
        <v>3</v>
      </c>
      <c r="D2526" s="721">
        <v>4.4800000000000004</v>
      </c>
    </row>
    <row r="2527" spans="1:4" hidden="1" outlineLevel="1" x14ac:dyDescent="0.2">
      <c r="A2527" s="718" t="s">
        <v>3867</v>
      </c>
      <c r="B2527" s="707" t="s">
        <v>3080</v>
      </c>
      <c r="C2527" s="708" t="s">
        <v>3</v>
      </c>
      <c r="D2527" s="719">
        <v>9.1999999999999993</v>
      </c>
    </row>
    <row r="2528" spans="1:4" hidden="1" outlineLevel="1" x14ac:dyDescent="0.2">
      <c r="A2528" s="720" t="s">
        <v>3868</v>
      </c>
      <c r="B2528" s="710" t="s">
        <v>2773</v>
      </c>
      <c r="C2528" s="711" t="s">
        <v>3</v>
      </c>
      <c r="D2528" s="721">
        <v>6.2</v>
      </c>
    </row>
    <row r="2529" spans="1:4" hidden="1" outlineLevel="1" x14ac:dyDescent="0.2">
      <c r="A2529" s="718" t="s">
        <v>3869</v>
      </c>
      <c r="B2529" s="707" t="s">
        <v>2775</v>
      </c>
      <c r="C2529" s="708" t="s">
        <v>3</v>
      </c>
      <c r="D2529" s="719">
        <v>4.0999999999999996</v>
      </c>
    </row>
    <row r="2530" spans="1:4" hidden="1" outlineLevel="1" x14ac:dyDescent="0.2">
      <c r="A2530" s="722" t="s">
        <v>3870</v>
      </c>
      <c r="B2530" s="702" t="s">
        <v>1352</v>
      </c>
      <c r="C2530" s="703"/>
      <c r="D2530" s="723"/>
    </row>
    <row r="2531" spans="1:4" hidden="1" outlineLevel="1" x14ac:dyDescent="0.2">
      <c r="A2531" s="716" t="s">
        <v>3871</v>
      </c>
      <c r="B2531" s="705" t="s">
        <v>2648</v>
      </c>
      <c r="C2531" s="706"/>
      <c r="D2531" s="717"/>
    </row>
    <row r="2532" spans="1:4" hidden="1" outlineLevel="1" x14ac:dyDescent="0.2">
      <c r="A2532" s="720" t="s">
        <v>3872</v>
      </c>
      <c r="B2532" s="710" t="s">
        <v>3715</v>
      </c>
      <c r="C2532" s="711" t="s">
        <v>3</v>
      </c>
      <c r="D2532" s="721">
        <v>4.58</v>
      </c>
    </row>
    <row r="2533" spans="1:4" hidden="1" outlineLevel="1" x14ac:dyDescent="0.2">
      <c r="A2533" s="718" t="s">
        <v>3873</v>
      </c>
      <c r="B2533" s="707" t="s">
        <v>3197</v>
      </c>
      <c r="C2533" s="708" t="s">
        <v>3</v>
      </c>
      <c r="D2533" s="719">
        <v>3.24</v>
      </c>
    </row>
    <row r="2534" spans="1:4" hidden="1" outlineLevel="1" x14ac:dyDescent="0.2">
      <c r="A2534" s="720" t="s">
        <v>3874</v>
      </c>
      <c r="B2534" s="710" t="s">
        <v>3068</v>
      </c>
      <c r="C2534" s="711" t="s">
        <v>3</v>
      </c>
      <c r="D2534" s="721">
        <v>16.100000000000001</v>
      </c>
    </row>
    <row r="2535" spans="1:4" hidden="1" outlineLevel="1" x14ac:dyDescent="0.2">
      <c r="A2535" s="718" t="s">
        <v>3875</v>
      </c>
      <c r="B2535" s="707" t="s">
        <v>3077</v>
      </c>
      <c r="C2535" s="708" t="s">
        <v>3</v>
      </c>
      <c r="D2535" s="719">
        <v>17.5</v>
      </c>
    </row>
    <row r="2536" spans="1:4" hidden="1" outlineLevel="1" x14ac:dyDescent="0.2">
      <c r="A2536" s="720" t="s">
        <v>3876</v>
      </c>
      <c r="B2536" s="710" t="s">
        <v>3070</v>
      </c>
      <c r="C2536" s="711" t="s">
        <v>3</v>
      </c>
      <c r="D2536" s="721">
        <v>8.1</v>
      </c>
    </row>
    <row r="2537" spans="1:4" hidden="1" outlineLevel="1" x14ac:dyDescent="0.2">
      <c r="A2537" s="718" t="s">
        <v>3877</v>
      </c>
      <c r="B2537" s="707" t="s">
        <v>2739</v>
      </c>
      <c r="C2537" s="708" t="s">
        <v>3</v>
      </c>
      <c r="D2537" s="719">
        <v>4.4800000000000004</v>
      </c>
    </row>
    <row r="2538" spans="1:4" hidden="1" outlineLevel="1" x14ac:dyDescent="0.2">
      <c r="A2538" s="720" t="s">
        <v>3878</v>
      </c>
      <c r="B2538" s="710" t="s">
        <v>3080</v>
      </c>
      <c r="C2538" s="711" t="s">
        <v>3</v>
      </c>
      <c r="D2538" s="721">
        <v>9.1999999999999993</v>
      </c>
    </row>
    <row r="2539" spans="1:4" hidden="1" outlineLevel="1" x14ac:dyDescent="0.2">
      <c r="A2539" s="718" t="s">
        <v>3879</v>
      </c>
      <c r="B2539" s="707" t="s">
        <v>2773</v>
      </c>
      <c r="C2539" s="708" t="s">
        <v>3</v>
      </c>
      <c r="D2539" s="719">
        <v>6.2</v>
      </c>
    </row>
    <row r="2540" spans="1:4" hidden="1" outlineLevel="1" x14ac:dyDescent="0.2">
      <c r="A2540" s="720" t="s">
        <v>3880</v>
      </c>
      <c r="B2540" s="710" t="s">
        <v>2775</v>
      </c>
      <c r="C2540" s="711" t="s">
        <v>3</v>
      </c>
      <c r="D2540" s="721">
        <v>4.0999999999999996</v>
      </c>
    </row>
    <row r="2541" spans="1:4" hidden="1" outlineLevel="1" x14ac:dyDescent="0.2">
      <c r="A2541" s="722" t="s">
        <v>3881</v>
      </c>
      <c r="B2541" s="702" t="s">
        <v>1356</v>
      </c>
      <c r="C2541" s="703"/>
      <c r="D2541" s="723"/>
    </row>
    <row r="2542" spans="1:4" hidden="1" outlineLevel="1" x14ac:dyDescent="0.2">
      <c r="A2542" s="716" t="s">
        <v>3882</v>
      </c>
      <c r="B2542" s="705" t="s">
        <v>2648</v>
      </c>
      <c r="C2542" s="706"/>
      <c r="D2542" s="717"/>
    </row>
    <row r="2543" spans="1:4" hidden="1" outlineLevel="1" x14ac:dyDescent="0.2">
      <c r="A2543" s="718" t="s">
        <v>3883</v>
      </c>
      <c r="B2543" s="707" t="s">
        <v>3715</v>
      </c>
      <c r="C2543" s="708" t="s">
        <v>3</v>
      </c>
      <c r="D2543" s="719">
        <v>4.58</v>
      </c>
    </row>
    <row r="2544" spans="1:4" hidden="1" outlineLevel="1" x14ac:dyDescent="0.2">
      <c r="A2544" s="720" t="s">
        <v>3884</v>
      </c>
      <c r="B2544" s="710" t="s">
        <v>3197</v>
      </c>
      <c r="C2544" s="711" t="s">
        <v>3</v>
      </c>
      <c r="D2544" s="721">
        <v>3.24</v>
      </c>
    </row>
    <row r="2545" spans="1:4" hidden="1" outlineLevel="1" x14ac:dyDescent="0.2">
      <c r="A2545" s="718" t="s">
        <v>3885</v>
      </c>
      <c r="B2545" s="707" t="s">
        <v>3068</v>
      </c>
      <c r="C2545" s="708" t="s">
        <v>3</v>
      </c>
      <c r="D2545" s="719">
        <v>16.100000000000001</v>
      </c>
    </row>
    <row r="2546" spans="1:4" hidden="1" outlineLevel="1" x14ac:dyDescent="0.2">
      <c r="A2546" s="720" t="s">
        <v>3886</v>
      </c>
      <c r="B2546" s="710" t="s">
        <v>3077</v>
      </c>
      <c r="C2546" s="711" t="s">
        <v>3</v>
      </c>
      <c r="D2546" s="721">
        <v>17.5</v>
      </c>
    </row>
    <row r="2547" spans="1:4" hidden="1" outlineLevel="1" x14ac:dyDescent="0.2">
      <c r="A2547" s="718" t="s">
        <v>3887</v>
      </c>
      <c r="B2547" s="707" t="s">
        <v>3070</v>
      </c>
      <c r="C2547" s="708" t="s">
        <v>3</v>
      </c>
      <c r="D2547" s="719">
        <v>8.1</v>
      </c>
    </row>
    <row r="2548" spans="1:4" hidden="1" outlineLevel="1" x14ac:dyDescent="0.2">
      <c r="A2548" s="720" t="s">
        <v>3888</v>
      </c>
      <c r="B2548" s="710" t="s">
        <v>2739</v>
      </c>
      <c r="C2548" s="711" t="s">
        <v>3</v>
      </c>
      <c r="D2548" s="721">
        <v>4.4800000000000004</v>
      </c>
    </row>
    <row r="2549" spans="1:4" hidden="1" outlineLevel="1" x14ac:dyDescent="0.2">
      <c r="A2549" s="718" t="s">
        <v>3889</v>
      </c>
      <c r="B2549" s="707" t="s">
        <v>3080</v>
      </c>
      <c r="C2549" s="708" t="s">
        <v>3</v>
      </c>
      <c r="D2549" s="719">
        <v>9.1999999999999993</v>
      </c>
    </row>
    <row r="2550" spans="1:4" hidden="1" outlineLevel="1" x14ac:dyDescent="0.2">
      <c r="A2550" s="720" t="s">
        <v>3890</v>
      </c>
      <c r="B2550" s="710" t="s">
        <v>2773</v>
      </c>
      <c r="C2550" s="711" t="s">
        <v>3</v>
      </c>
      <c r="D2550" s="721">
        <v>6.2</v>
      </c>
    </row>
    <row r="2551" spans="1:4" hidden="1" outlineLevel="1" x14ac:dyDescent="0.2">
      <c r="A2551" s="718" t="s">
        <v>3891</v>
      </c>
      <c r="B2551" s="707" t="s">
        <v>2775</v>
      </c>
      <c r="C2551" s="708" t="s">
        <v>3</v>
      </c>
      <c r="D2551" s="719">
        <v>4.0999999999999996</v>
      </c>
    </row>
    <row r="2552" spans="1:4" hidden="1" outlineLevel="1" x14ac:dyDescent="0.2">
      <c r="A2552" s="722" t="s">
        <v>3892</v>
      </c>
      <c r="B2552" s="702" t="s">
        <v>1360</v>
      </c>
      <c r="C2552" s="703"/>
      <c r="D2552" s="723"/>
    </row>
    <row r="2553" spans="1:4" hidden="1" outlineLevel="1" x14ac:dyDescent="0.2">
      <c r="A2553" s="716" t="s">
        <v>3893</v>
      </c>
      <c r="B2553" s="705" t="s">
        <v>2648</v>
      </c>
      <c r="C2553" s="706"/>
      <c r="D2553" s="717"/>
    </row>
    <row r="2554" spans="1:4" hidden="1" outlineLevel="1" x14ac:dyDescent="0.2">
      <c r="A2554" s="720" t="s">
        <v>3894</v>
      </c>
      <c r="B2554" s="710" t="s">
        <v>3715</v>
      </c>
      <c r="C2554" s="711" t="s">
        <v>3</v>
      </c>
      <c r="D2554" s="721">
        <v>4.58</v>
      </c>
    </row>
    <row r="2555" spans="1:4" hidden="1" outlineLevel="1" x14ac:dyDescent="0.2">
      <c r="A2555" s="718" t="s">
        <v>3895</v>
      </c>
      <c r="B2555" s="707" t="s">
        <v>3197</v>
      </c>
      <c r="C2555" s="708" t="s">
        <v>3</v>
      </c>
      <c r="D2555" s="719">
        <v>3.24</v>
      </c>
    </row>
    <row r="2556" spans="1:4" hidden="1" outlineLevel="1" x14ac:dyDescent="0.2">
      <c r="A2556" s="720" t="s">
        <v>3896</v>
      </c>
      <c r="B2556" s="710" t="s">
        <v>3068</v>
      </c>
      <c r="C2556" s="711" t="s">
        <v>3</v>
      </c>
      <c r="D2556" s="721">
        <v>16.100000000000001</v>
      </c>
    </row>
    <row r="2557" spans="1:4" hidden="1" outlineLevel="1" x14ac:dyDescent="0.2">
      <c r="A2557" s="718" t="s">
        <v>3897</v>
      </c>
      <c r="B2557" s="707" t="s">
        <v>3077</v>
      </c>
      <c r="C2557" s="708" t="s">
        <v>3</v>
      </c>
      <c r="D2557" s="719">
        <v>17.5</v>
      </c>
    </row>
    <row r="2558" spans="1:4" hidden="1" outlineLevel="1" x14ac:dyDescent="0.2">
      <c r="A2558" s="720" t="s">
        <v>3898</v>
      </c>
      <c r="B2558" s="710" t="s">
        <v>3070</v>
      </c>
      <c r="C2558" s="711" t="s">
        <v>3</v>
      </c>
      <c r="D2558" s="721">
        <v>8.1</v>
      </c>
    </row>
    <row r="2559" spans="1:4" hidden="1" outlineLevel="1" x14ac:dyDescent="0.2">
      <c r="A2559" s="718" t="s">
        <v>3899</v>
      </c>
      <c r="B2559" s="707" t="s">
        <v>2739</v>
      </c>
      <c r="C2559" s="708" t="s">
        <v>3</v>
      </c>
      <c r="D2559" s="719">
        <v>4.4800000000000004</v>
      </c>
    </row>
    <row r="2560" spans="1:4" hidden="1" outlineLevel="1" x14ac:dyDescent="0.2">
      <c r="A2560" s="720" t="s">
        <v>3900</v>
      </c>
      <c r="B2560" s="710" t="s">
        <v>3080</v>
      </c>
      <c r="C2560" s="711" t="s">
        <v>3</v>
      </c>
      <c r="D2560" s="721">
        <v>9.1999999999999993</v>
      </c>
    </row>
    <row r="2561" spans="1:4" hidden="1" outlineLevel="1" x14ac:dyDescent="0.2">
      <c r="A2561" s="718" t="s">
        <v>3901</v>
      </c>
      <c r="B2561" s="707" t="s">
        <v>2773</v>
      </c>
      <c r="C2561" s="708" t="s">
        <v>3</v>
      </c>
      <c r="D2561" s="719">
        <v>6.2</v>
      </c>
    </row>
    <row r="2562" spans="1:4" hidden="1" outlineLevel="1" x14ac:dyDescent="0.2">
      <c r="A2562" s="720" t="s">
        <v>3902</v>
      </c>
      <c r="B2562" s="710" t="s">
        <v>2775</v>
      </c>
      <c r="C2562" s="711" t="s">
        <v>3</v>
      </c>
      <c r="D2562" s="721">
        <v>4.0999999999999996</v>
      </c>
    </row>
    <row r="2563" spans="1:4" hidden="1" outlineLevel="1" x14ac:dyDescent="0.2">
      <c r="A2563" s="722" t="s">
        <v>3970</v>
      </c>
      <c r="B2563" s="702" t="s">
        <v>1311</v>
      </c>
      <c r="C2563" s="703"/>
      <c r="D2563" s="723"/>
    </row>
    <row r="2564" spans="1:4" hidden="1" outlineLevel="1" x14ac:dyDescent="0.2">
      <c r="A2564" s="716" t="s">
        <v>3971</v>
      </c>
      <c r="B2564" s="705" t="s">
        <v>2634</v>
      </c>
      <c r="C2564" s="706"/>
      <c r="D2564" s="717"/>
    </row>
    <row r="2565" spans="1:4" hidden="1" outlineLevel="1" x14ac:dyDescent="0.2">
      <c r="A2565" s="720" t="s">
        <v>3972</v>
      </c>
      <c r="B2565" s="710" t="s">
        <v>2753</v>
      </c>
      <c r="C2565" s="711" t="s">
        <v>3</v>
      </c>
      <c r="D2565" s="721">
        <v>13.2</v>
      </c>
    </row>
    <row r="2566" spans="1:4" hidden="1" outlineLevel="1" x14ac:dyDescent="0.2">
      <c r="A2566" s="718" t="s">
        <v>3973</v>
      </c>
      <c r="B2566" s="707" t="s">
        <v>2755</v>
      </c>
      <c r="C2566" s="708" t="s">
        <v>3</v>
      </c>
      <c r="D2566" s="719">
        <v>30.6</v>
      </c>
    </row>
    <row r="2567" spans="1:4" hidden="1" outlineLevel="1" x14ac:dyDescent="0.2">
      <c r="A2567" s="720" t="s">
        <v>3974</v>
      </c>
      <c r="B2567" s="710" t="s">
        <v>2757</v>
      </c>
      <c r="C2567" s="711" t="s">
        <v>3</v>
      </c>
      <c r="D2567" s="721">
        <v>8.6</v>
      </c>
    </row>
    <row r="2568" spans="1:4" hidden="1" outlineLevel="1" x14ac:dyDescent="0.2">
      <c r="A2568" s="718" t="s">
        <v>3975</v>
      </c>
      <c r="B2568" s="707" t="s">
        <v>2759</v>
      </c>
      <c r="C2568" s="708" t="s">
        <v>3</v>
      </c>
      <c r="D2568" s="719">
        <v>9.4</v>
      </c>
    </row>
    <row r="2569" spans="1:4" hidden="1" outlineLevel="1" x14ac:dyDescent="0.2">
      <c r="A2569" s="720" t="s">
        <v>3976</v>
      </c>
      <c r="B2569" s="710" t="s">
        <v>2761</v>
      </c>
      <c r="C2569" s="711" t="s">
        <v>3</v>
      </c>
      <c r="D2569" s="721">
        <v>23.5</v>
      </c>
    </row>
    <row r="2570" spans="1:4" hidden="1" outlineLevel="1" x14ac:dyDescent="0.2">
      <c r="A2570" s="718" t="s">
        <v>3977</v>
      </c>
      <c r="B2570" s="707" t="s">
        <v>2763</v>
      </c>
      <c r="C2570" s="708" t="s">
        <v>3</v>
      </c>
      <c r="D2570" s="719">
        <v>20.399999999999999</v>
      </c>
    </row>
    <row r="2571" spans="1:4" hidden="1" outlineLevel="1" x14ac:dyDescent="0.2">
      <c r="A2571" s="720" t="s">
        <v>3978</v>
      </c>
      <c r="B2571" s="710" t="s">
        <v>2765</v>
      </c>
      <c r="C2571" s="711" t="s">
        <v>3</v>
      </c>
      <c r="D2571" s="721">
        <v>5.0999999999999996</v>
      </c>
    </row>
    <row r="2572" spans="1:4" hidden="1" outlineLevel="1" x14ac:dyDescent="0.2">
      <c r="A2572" s="718" t="s">
        <v>3979</v>
      </c>
      <c r="B2572" s="707" t="s">
        <v>2767</v>
      </c>
      <c r="C2572" s="708" t="s">
        <v>3</v>
      </c>
      <c r="D2572" s="719">
        <v>13.6</v>
      </c>
    </row>
    <row r="2573" spans="1:4" hidden="1" outlineLevel="1" x14ac:dyDescent="0.2">
      <c r="A2573" s="720" t="s">
        <v>3980</v>
      </c>
      <c r="B2573" s="710" t="s">
        <v>2644</v>
      </c>
      <c r="C2573" s="711" t="s">
        <v>3</v>
      </c>
      <c r="D2573" s="721">
        <v>3.54</v>
      </c>
    </row>
    <row r="2574" spans="1:4" hidden="1" outlineLevel="1" x14ac:dyDescent="0.2">
      <c r="A2574" s="718" t="s">
        <v>3981</v>
      </c>
      <c r="B2574" s="707" t="s">
        <v>2646</v>
      </c>
      <c r="C2574" s="708" t="s">
        <v>3</v>
      </c>
      <c r="D2574" s="719">
        <v>2.72</v>
      </c>
    </row>
    <row r="2575" spans="1:4" hidden="1" outlineLevel="1" x14ac:dyDescent="0.2">
      <c r="A2575" s="722" t="s">
        <v>3982</v>
      </c>
      <c r="B2575" s="702" t="s">
        <v>1316</v>
      </c>
      <c r="C2575" s="703"/>
      <c r="D2575" s="723"/>
    </row>
    <row r="2576" spans="1:4" hidden="1" outlineLevel="1" x14ac:dyDescent="0.2">
      <c r="A2576" s="716" t="s">
        <v>3983</v>
      </c>
      <c r="B2576" s="705" t="s">
        <v>2634</v>
      </c>
      <c r="C2576" s="706"/>
      <c r="D2576" s="717"/>
    </row>
    <row r="2577" spans="1:4" hidden="1" outlineLevel="1" x14ac:dyDescent="0.2">
      <c r="A2577" s="720" t="s">
        <v>3984</v>
      </c>
      <c r="B2577" s="710" t="s">
        <v>2753</v>
      </c>
      <c r="C2577" s="711" t="s">
        <v>3</v>
      </c>
      <c r="D2577" s="721">
        <v>13.2</v>
      </c>
    </row>
    <row r="2578" spans="1:4" hidden="1" outlineLevel="1" x14ac:dyDescent="0.2">
      <c r="A2578" s="718" t="s">
        <v>3985</v>
      </c>
      <c r="B2578" s="707" t="s">
        <v>2755</v>
      </c>
      <c r="C2578" s="708" t="s">
        <v>3</v>
      </c>
      <c r="D2578" s="719">
        <v>30.6</v>
      </c>
    </row>
    <row r="2579" spans="1:4" hidden="1" outlineLevel="1" x14ac:dyDescent="0.2">
      <c r="A2579" s="720" t="s">
        <v>3986</v>
      </c>
      <c r="B2579" s="710" t="s">
        <v>2757</v>
      </c>
      <c r="C2579" s="711" t="s">
        <v>3</v>
      </c>
      <c r="D2579" s="721">
        <v>8.6</v>
      </c>
    </row>
    <row r="2580" spans="1:4" hidden="1" outlineLevel="1" x14ac:dyDescent="0.2">
      <c r="A2580" s="718" t="s">
        <v>3987</v>
      </c>
      <c r="B2580" s="707" t="s">
        <v>2759</v>
      </c>
      <c r="C2580" s="708" t="s">
        <v>3</v>
      </c>
      <c r="D2580" s="719">
        <v>9.4</v>
      </c>
    </row>
    <row r="2581" spans="1:4" hidden="1" outlineLevel="1" x14ac:dyDescent="0.2">
      <c r="A2581" s="720" t="s">
        <v>3988</v>
      </c>
      <c r="B2581" s="710" t="s">
        <v>2761</v>
      </c>
      <c r="C2581" s="711" t="s">
        <v>3</v>
      </c>
      <c r="D2581" s="721">
        <v>23.5</v>
      </c>
    </row>
    <row r="2582" spans="1:4" hidden="1" outlineLevel="1" x14ac:dyDescent="0.2">
      <c r="A2582" s="718" t="s">
        <v>3989</v>
      </c>
      <c r="B2582" s="707" t="s">
        <v>2763</v>
      </c>
      <c r="C2582" s="708" t="s">
        <v>3</v>
      </c>
      <c r="D2582" s="719">
        <v>20.399999999999999</v>
      </c>
    </row>
    <row r="2583" spans="1:4" hidden="1" outlineLevel="1" x14ac:dyDescent="0.2">
      <c r="A2583" s="720" t="s">
        <v>3990</v>
      </c>
      <c r="B2583" s="710" t="s">
        <v>2765</v>
      </c>
      <c r="C2583" s="711" t="s">
        <v>3</v>
      </c>
      <c r="D2583" s="721">
        <v>5.0999999999999996</v>
      </c>
    </row>
    <row r="2584" spans="1:4" hidden="1" outlineLevel="1" x14ac:dyDescent="0.2">
      <c r="A2584" s="718" t="s">
        <v>3991</v>
      </c>
      <c r="B2584" s="707" t="s">
        <v>2767</v>
      </c>
      <c r="C2584" s="708" t="s">
        <v>3</v>
      </c>
      <c r="D2584" s="719">
        <v>13.6</v>
      </c>
    </row>
    <row r="2585" spans="1:4" hidden="1" outlineLevel="1" x14ac:dyDescent="0.2">
      <c r="A2585" s="720" t="s">
        <v>3992</v>
      </c>
      <c r="B2585" s="710" t="s">
        <v>2644</v>
      </c>
      <c r="C2585" s="711" t="s">
        <v>3</v>
      </c>
      <c r="D2585" s="721">
        <v>3.54</v>
      </c>
    </row>
    <row r="2586" spans="1:4" hidden="1" outlineLevel="1" x14ac:dyDescent="0.2">
      <c r="A2586" s="718" t="s">
        <v>3993</v>
      </c>
      <c r="B2586" s="707" t="s">
        <v>2646</v>
      </c>
      <c r="C2586" s="708" t="s">
        <v>3</v>
      </c>
      <c r="D2586" s="719">
        <v>2.72</v>
      </c>
    </row>
    <row r="2587" spans="1:4" hidden="1" outlineLevel="1" x14ac:dyDescent="0.2">
      <c r="A2587" s="722" t="s">
        <v>3994</v>
      </c>
      <c r="B2587" s="702" t="s">
        <v>1320</v>
      </c>
      <c r="C2587" s="703"/>
      <c r="D2587" s="723"/>
    </row>
    <row r="2588" spans="1:4" hidden="1" outlineLevel="1" x14ac:dyDescent="0.2">
      <c r="A2588" s="716" t="s">
        <v>3995</v>
      </c>
      <c r="B2588" s="705" t="s">
        <v>2634</v>
      </c>
      <c r="C2588" s="706"/>
      <c r="D2588" s="717"/>
    </row>
    <row r="2589" spans="1:4" hidden="1" outlineLevel="1" x14ac:dyDescent="0.2">
      <c r="A2589" s="720" t="s">
        <v>3996</v>
      </c>
      <c r="B2589" s="710" t="s">
        <v>2753</v>
      </c>
      <c r="C2589" s="711" t="s">
        <v>3</v>
      </c>
      <c r="D2589" s="721">
        <v>13.2</v>
      </c>
    </row>
    <row r="2590" spans="1:4" hidden="1" outlineLevel="1" x14ac:dyDescent="0.2">
      <c r="A2590" s="718" t="s">
        <v>3997</v>
      </c>
      <c r="B2590" s="707" t="s">
        <v>2755</v>
      </c>
      <c r="C2590" s="708" t="s">
        <v>3</v>
      </c>
      <c r="D2590" s="719">
        <v>30.6</v>
      </c>
    </row>
    <row r="2591" spans="1:4" hidden="1" outlineLevel="1" x14ac:dyDescent="0.2">
      <c r="A2591" s="720" t="s">
        <v>3998</v>
      </c>
      <c r="B2591" s="710" t="s">
        <v>2757</v>
      </c>
      <c r="C2591" s="711" t="s">
        <v>3</v>
      </c>
      <c r="D2591" s="721">
        <v>8.6</v>
      </c>
    </row>
    <row r="2592" spans="1:4" hidden="1" outlineLevel="1" x14ac:dyDescent="0.2">
      <c r="A2592" s="718" t="s">
        <v>3999</v>
      </c>
      <c r="B2592" s="707" t="s">
        <v>2759</v>
      </c>
      <c r="C2592" s="708" t="s">
        <v>3</v>
      </c>
      <c r="D2592" s="719">
        <v>9.4</v>
      </c>
    </row>
    <row r="2593" spans="1:4" hidden="1" outlineLevel="1" x14ac:dyDescent="0.2">
      <c r="A2593" s="720" t="s">
        <v>4000</v>
      </c>
      <c r="B2593" s="710" t="s">
        <v>2761</v>
      </c>
      <c r="C2593" s="711" t="s">
        <v>3</v>
      </c>
      <c r="D2593" s="721">
        <v>23.5</v>
      </c>
    </row>
    <row r="2594" spans="1:4" hidden="1" outlineLevel="1" x14ac:dyDescent="0.2">
      <c r="A2594" s="718" t="s">
        <v>4001</v>
      </c>
      <c r="B2594" s="707" t="s">
        <v>2763</v>
      </c>
      <c r="C2594" s="708" t="s">
        <v>3</v>
      </c>
      <c r="D2594" s="719">
        <v>20.399999999999999</v>
      </c>
    </row>
    <row r="2595" spans="1:4" hidden="1" outlineLevel="1" x14ac:dyDescent="0.2">
      <c r="A2595" s="720" t="s">
        <v>4002</v>
      </c>
      <c r="B2595" s="710" t="s">
        <v>2765</v>
      </c>
      <c r="C2595" s="711" t="s">
        <v>3</v>
      </c>
      <c r="D2595" s="721">
        <v>5.0999999999999996</v>
      </c>
    </row>
    <row r="2596" spans="1:4" hidden="1" outlineLevel="1" x14ac:dyDescent="0.2">
      <c r="A2596" s="718" t="s">
        <v>4003</v>
      </c>
      <c r="B2596" s="707" t="s">
        <v>2767</v>
      </c>
      <c r="C2596" s="708" t="s">
        <v>3</v>
      </c>
      <c r="D2596" s="719">
        <v>13.6</v>
      </c>
    </row>
    <row r="2597" spans="1:4" hidden="1" outlineLevel="1" x14ac:dyDescent="0.2">
      <c r="A2597" s="720" t="s">
        <v>4004</v>
      </c>
      <c r="B2597" s="710" t="s">
        <v>2644</v>
      </c>
      <c r="C2597" s="711" t="s">
        <v>3</v>
      </c>
      <c r="D2597" s="721">
        <v>3.54</v>
      </c>
    </row>
    <row r="2598" spans="1:4" hidden="1" outlineLevel="1" x14ac:dyDescent="0.2">
      <c r="A2598" s="718" t="s">
        <v>4005</v>
      </c>
      <c r="B2598" s="707" t="s">
        <v>2646</v>
      </c>
      <c r="C2598" s="708" t="s">
        <v>3</v>
      </c>
      <c r="D2598" s="719">
        <v>2.72</v>
      </c>
    </row>
    <row r="2599" spans="1:4" hidden="1" outlineLevel="1" x14ac:dyDescent="0.2">
      <c r="A2599" s="722" t="s">
        <v>4006</v>
      </c>
      <c r="B2599" s="702" t="s">
        <v>1324</v>
      </c>
      <c r="C2599" s="703"/>
      <c r="D2599" s="723"/>
    </row>
    <row r="2600" spans="1:4" hidden="1" outlineLevel="1" x14ac:dyDescent="0.2">
      <c r="A2600" s="716" t="s">
        <v>4007</v>
      </c>
      <c r="B2600" s="705" t="s">
        <v>2634</v>
      </c>
      <c r="C2600" s="706"/>
      <c r="D2600" s="717"/>
    </row>
    <row r="2601" spans="1:4" hidden="1" outlineLevel="1" x14ac:dyDescent="0.2">
      <c r="A2601" s="720" t="s">
        <v>4008</v>
      </c>
      <c r="B2601" s="710" t="s">
        <v>2753</v>
      </c>
      <c r="C2601" s="711" t="s">
        <v>3</v>
      </c>
      <c r="D2601" s="721">
        <v>13.2</v>
      </c>
    </row>
    <row r="2602" spans="1:4" hidden="1" outlineLevel="1" x14ac:dyDescent="0.2">
      <c r="A2602" s="718" t="s">
        <v>4009</v>
      </c>
      <c r="B2602" s="707" t="s">
        <v>2755</v>
      </c>
      <c r="C2602" s="708" t="s">
        <v>3</v>
      </c>
      <c r="D2602" s="719">
        <v>30.6</v>
      </c>
    </row>
    <row r="2603" spans="1:4" hidden="1" outlineLevel="1" x14ac:dyDescent="0.2">
      <c r="A2603" s="720" t="s">
        <v>4010</v>
      </c>
      <c r="B2603" s="710" t="s">
        <v>2757</v>
      </c>
      <c r="C2603" s="711" t="s">
        <v>3</v>
      </c>
      <c r="D2603" s="721">
        <v>8.6</v>
      </c>
    </row>
    <row r="2604" spans="1:4" hidden="1" outlineLevel="1" x14ac:dyDescent="0.2">
      <c r="A2604" s="718" t="s">
        <v>4011</v>
      </c>
      <c r="B2604" s="707" t="s">
        <v>2759</v>
      </c>
      <c r="C2604" s="708" t="s">
        <v>3</v>
      </c>
      <c r="D2604" s="719">
        <v>9.4</v>
      </c>
    </row>
    <row r="2605" spans="1:4" hidden="1" outlineLevel="1" x14ac:dyDescent="0.2">
      <c r="A2605" s="720" t="s">
        <v>4012</v>
      </c>
      <c r="B2605" s="710" t="s">
        <v>2761</v>
      </c>
      <c r="C2605" s="711" t="s">
        <v>3</v>
      </c>
      <c r="D2605" s="721">
        <v>23.5</v>
      </c>
    </row>
    <row r="2606" spans="1:4" hidden="1" outlineLevel="1" x14ac:dyDescent="0.2">
      <c r="A2606" s="718" t="s">
        <v>4013</v>
      </c>
      <c r="B2606" s="707" t="s">
        <v>2763</v>
      </c>
      <c r="C2606" s="708" t="s">
        <v>3</v>
      </c>
      <c r="D2606" s="719">
        <v>20.399999999999999</v>
      </c>
    </row>
    <row r="2607" spans="1:4" hidden="1" outlineLevel="1" x14ac:dyDescent="0.2">
      <c r="A2607" s="720" t="s">
        <v>4014</v>
      </c>
      <c r="B2607" s="710" t="s">
        <v>2765</v>
      </c>
      <c r="C2607" s="711" t="s">
        <v>3</v>
      </c>
      <c r="D2607" s="721">
        <v>5.0999999999999996</v>
      </c>
    </row>
    <row r="2608" spans="1:4" hidden="1" outlineLevel="1" x14ac:dyDescent="0.2">
      <c r="A2608" s="718" t="s">
        <v>4015</v>
      </c>
      <c r="B2608" s="707" t="s">
        <v>2767</v>
      </c>
      <c r="C2608" s="708" t="s">
        <v>3</v>
      </c>
      <c r="D2608" s="719">
        <v>13.6</v>
      </c>
    </row>
    <row r="2609" spans="1:4" hidden="1" outlineLevel="1" x14ac:dyDescent="0.2">
      <c r="A2609" s="720" t="s">
        <v>4016</v>
      </c>
      <c r="B2609" s="710" t="s">
        <v>2644</v>
      </c>
      <c r="C2609" s="711" t="s">
        <v>3</v>
      </c>
      <c r="D2609" s="721">
        <v>3.54</v>
      </c>
    </row>
    <row r="2610" spans="1:4" hidden="1" outlineLevel="1" x14ac:dyDescent="0.2">
      <c r="A2610" s="718" t="s">
        <v>4017</v>
      </c>
      <c r="B2610" s="707" t="s">
        <v>2646</v>
      </c>
      <c r="C2610" s="708" t="s">
        <v>3</v>
      </c>
      <c r="D2610" s="719">
        <v>2.72</v>
      </c>
    </row>
    <row r="2611" spans="1:4" hidden="1" outlineLevel="1" x14ac:dyDescent="0.2">
      <c r="A2611" s="722" t="s">
        <v>4018</v>
      </c>
      <c r="B2611" s="702" t="s">
        <v>1328</v>
      </c>
      <c r="C2611" s="703"/>
      <c r="D2611" s="723"/>
    </row>
    <row r="2612" spans="1:4" hidden="1" outlineLevel="1" x14ac:dyDescent="0.2">
      <c r="A2612" s="716" t="s">
        <v>4019</v>
      </c>
      <c r="B2612" s="705" t="s">
        <v>2634</v>
      </c>
      <c r="C2612" s="706"/>
      <c r="D2612" s="717"/>
    </row>
    <row r="2613" spans="1:4" hidden="1" outlineLevel="1" x14ac:dyDescent="0.2">
      <c r="A2613" s="720" t="s">
        <v>4020</v>
      </c>
      <c r="B2613" s="710" t="s">
        <v>2753</v>
      </c>
      <c r="C2613" s="711" t="s">
        <v>3</v>
      </c>
      <c r="D2613" s="721">
        <v>13.2</v>
      </c>
    </row>
    <row r="2614" spans="1:4" hidden="1" outlineLevel="1" x14ac:dyDescent="0.2">
      <c r="A2614" s="718" t="s">
        <v>4021</v>
      </c>
      <c r="B2614" s="707" t="s">
        <v>2755</v>
      </c>
      <c r="C2614" s="708" t="s">
        <v>3</v>
      </c>
      <c r="D2614" s="719">
        <v>30.6</v>
      </c>
    </row>
    <row r="2615" spans="1:4" hidden="1" outlineLevel="1" x14ac:dyDescent="0.2">
      <c r="A2615" s="720" t="s">
        <v>4022</v>
      </c>
      <c r="B2615" s="710" t="s">
        <v>2757</v>
      </c>
      <c r="C2615" s="711" t="s">
        <v>3</v>
      </c>
      <c r="D2615" s="721">
        <v>8.6</v>
      </c>
    </row>
    <row r="2616" spans="1:4" hidden="1" outlineLevel="1" x14ac:dyDescent="0.2">
      <c r="A2616" s="718" t="s">
        <v>4023</v>
      </c>
      <c r="B2616" s="707" t="s">
        <v>2759</v>
      </c>
      <c r="C2616" s="708" t="s">
        <v>3</v>
      </c>
      <c r="D2616" s="719">
        <v>9.4</v>
      </c>
    </row>
    <row r="2617" spans="1:4" hidden="1" outlineLevel="1" x14ac:dyDescent="0.2">
      <c r="A2617" s="720" t="s">
        <v>4024</v>
      </c>
      <c r="B2617" s="710" t="s">
        <v>2761</v>
      </c>
      <c r="C2617" s="711" t="s">
        <v>3</v>
      </c>
      <c r="D2617" s="721">
        <v>23.5</v>
      </c>
    </row>
    <row r="2618" spans="1:4" hidden="1" outlineLevel="1" x14ac:dyDescent="0.2">
      <c r="A2618" s="718" t="s">
        <v>4025</v>
      </c>
      <c r="B2618" s="707" t="s">
        <v>2763</v>
      </c>
      <c r="C2618" s="708" t="s">
        <v>3</v>
      </c>
      <c r="D2618" s="719">
        <v>20.399999999999999</v>
      </c>
    </row>
    <row r="2619" spans="1:4" hidden="1" outlineLevel="1" x14ac:dyDescent="0.2">
      <c r="A2619" s="720" t="s">
        <v>4026</v>
      </c>
      <c r="B2619" s="710" t="s">
        <v>2765</v>
      </c>
      <c r="C2619" s="711" t="s">
        <v>3</v>
      </c>
      <c r="D2619" s="721">
        <v>5.0999999999999996</v>
      </c>
    </row>
    <row r="2620" spans="1:4" hidden="1" outlineLevel="1" x14ac:dyDescent="0.2">
      <c r="A2620" s="718" t="s">
        <v>4027</v>
      </c>
      <c r="B2620" s="707" t="s">
        <v>2767</v>
      </c>
      <c r="C2620" s="708" t="s">
        <v>3</v>
      </c>
      <c r="D2620" s="719">
        <v>13.6</v>
      </c>
    </row>
    <row r="2621" spans="1:4" hidden="1" outlineLevel="1" x14ac:dyDescent="0.2">
      <c r="A2621" s="720" t="s">
        <v>4028</v>
      </c>
      <c r="B2621" s="710" t="s">
        <v>2644</v>
      </c>
      <c r="C2621" s="711" t="s">
        <v>3</v>
      </c>
      <c r="D2621" s="721">
        <v>3.54</v>
      </c>
    </row>
    <row r="2622" spans="1:4" hidden="1" outlineLevel="1" x14ac:dyDescent="0.2">
      <c r="A2622" s="718" t="s">
        <v>4029</v>
      </c>
      <c r="B2622" s="707" t="s">
        <v>2646</v>
      </c>
      <c r="C2622" s="708" t="s">
        <v>3</v>
      </c>
      <c r="D2622" s="719">
        <v>2.72</v>
      </c>
    </row>
    <row r="2623" spans="1:4" hidden="1" outlineLevel="1" x14ac:dyDescent="0.2">
      <c r="A2623" s="722" t="s">
        <v>4030</v>
      </c>
      <c r="B2623" s="702" t="s">
        <v>1332</v>
      </c>
      <c r="C2623" s="703"/>
      <c r="D2623" s="723"/>
    </row>
    <row r="2624" spans="1:4" hidden="1" outlineLevel="1" x14ac:dyDescent="0.2">
      <c r="A2624" s="716" t="s">
        <v>4031</v>
      </c>
      <c r="B2624" s="705" t="s">
        <v>2634</v>
      </c>
      <c r="C2624" s="706"/>
      <c r="D2624" s="717"/>
    </row>
    <row r="2625" spans="1:4" hidden="1" outlineLevel="1" x14ac:dyDescent="0.2">
      <c r="A2625" s="720" t="s">
        <v>4032</v>
      </c>
      <c r="B2625" s="710" t="s">
        <v>2753</v>
      </c>
      <c r="C2625" s="711" t="s">
        <v>3</v>
      </c>
      <c r="D2625" s="721">
        <v>13.2</v>
      </c>
    </row>
    <row r="2626" spans="1:4" hidden="1" outlineLevel="1" x14ac:dyDescent="0.2">
      <c r="A2626" s="718" t="s">
        <v>4033</v>
      </c>
      <c r="B2626" s="707" t="s">
        <v>2755</v>
      </c>
      <c r="C2626" s="708" t="s">
        <v>3</v>
      </c>
      <c r="D2626" s="719">
        <v>30.6</v>
      </c>
    </row>
    <row r="2627" spans="1:4" hidden="1" outlineLevel="1" x14ac:dyDescent="0.2">
      <c r="A2627" s="720" t="s">
        <v>4034</v>
      </c>
      <c r="B2627" s="710" t="s">
        <v>2757</v>
      </c>
      <c r="C2627" s="711" t="s">
        <v>3</v>
      </c>
      <c r="D2627" s="721">
        <v>8.6</v>
      </c>
    </row>
    <row r="2628" spans="1:4" hidden="1" outlineLevel="1" x14ac:dyDescent="0.2">
      <c r="A2628" s="718" t="s">
        <v>4035</v>
      </c>
      <c r="B2628" s="707" t="s">
        <v>2759</v>
      </c>
      <c r="C2628" s="708" t="s">
        <v>3</v>
      </c>
      <c r="D2628" s="719">
        <v>9.4</v>
      </c>
    </row>
    <row r="2629" spans="1:4" hidden="1" outlineLevel="1" x14ac:dyDescent="0.2">
      <c r="A2629" s="720" t="s">
        <v>4036</v>
      </c>
      <c r="B2629" s="710" t="s">
        <v>2761</v>
      </c>
      <c r="C2629" s="711" t="s">
        <v>3</v>
      </c>
      <c r="D2629" s="721">
        <v>23.5</v>
      </c>
    </row>
    <row r="2630" spans="1:4" hidden="1" outlineLevel="1" x14ac:dyDescent="0.2">
      <c r="A2630" s="718" t="s">
        <v>4037</v>
      </c>
      <c r="B2630" s="707" t="s">
        <v>2763</v>
      </c>
      <c r="C2630" s="708" t="s">
        <v>3</v>
      </c>
      <c r="D2630" s="719">
        <v>20.399999999999999</v>
      </c>
    </row>
    <row r="2631" spans="1:4" hidden="1" outlineLevel="1" x14ac:dyDescent="0.2">
      <c r="A2631" s="720" t="s">
        <v>4038</v>
      </c>
      <c r="B2631" s="710" t="s">
        <v>2765</v>
      </c>
      <c r="C2631" s="711" t="s">
        <v>3</v>
      </c>
      <c r="D2631" s="721">
        <v>5.0999999999999996</v>
      </c>
    </row>
    <row r="2632" spans="1:4" hidden="1" outlineLevel="1" x14ac:dyDescent="0.2">
      <c r="A2632" s="718" t="s">
        <v>4039</v>
      </c>
      <c r="B2632" s="707" t="s">
        <v>2767</v>
      </c>
      <c r="C2632" s="708" t="s">
        <v>3</v>
      </c>
      <c r="D2632" s="719">
        <v>13.6</v>
      </c>
    </row>
    <row r="2633" spans="1:4" hidden="1" outlineLevel="1" x14ac:dyDescent="0.2">
      <c r="A2633" s="720" t="s">
        <v>4040</v>
      </c>
      <c r="B2633" s="710" t="s">
        <v>2644</v>
      </c>
      <c r="C2633" s="711" t="s">
        <v>3</v>
      </c>
      <c r="D2633" s="721">
        <v>3.54</v>
      </c>
    </row>
    <row r="2634" spans="1:4" hidden="1" outlineLevel="1" x14ac:dyDescent="0.2">
      <c r="A2634" s="718" t="s">
        <v>4041</v>
      </c>
      <c r="B2634" s="707" t="s">
        <v>2646</v>
      </c>
      <c r="C2634" s="708" t="s">
        <v>3</v>
      </c>
      <c r="D2634" s="719">
        <v>2.72</v>
      </c>
    </row>
    <row r="2635" spans="1:4" hidden="1" outlineLevel="1" x14ac:dyDescent="0.2">
      <c r="A2635" s="722" t="s">
        <v>4042</v>
      </c>
      <c r="B2635" s="702" t="s">
        <v>1336</v>
      </c>
      <c r="C2635" s="703"/>
      <c r="D2635" s="723"/>
    </row>
    <row r="2636" spans="1:4" hidden="1" outlineLevel="1" x14ac:dyDescent="0.2">
      <c r="A2636" s="716" t="s">
        <v>4043</v>
      </c>
      <c r="B2636" s="705" t="s">
        <v>2634</v>
      </c>
      <c r="C2636" s="706"/>
      <c r="D2636" s="717"/>
    </row>
    <row r="2637" spans="1:4" hidden="1" outlineLevel="1" x14ac:dyDescent="0.2">
      <c r="A2637" s="720" t="s">
        <v>4044</v>
      </c>
      <c r="B2637" s="710" t="s">
        <v>2753</v>
      </c>
      <c r="C2637" s="711" t="s">
        <v>3</v>
      </c>
      <c r="D2637" s="721">
        <v>13.2</v>
      </c>
    </row>
    <row r="2638" spans="1:4" hidden="1" outlineLevel="1" x14ac:dyDescent="0.2">
      <c r="A2638" s="718" t="s">
        <v>4045</v>
      </c>
      <c r="B2638" s="707" t="s">
        <v>2755</v>
      </c>
      <c r="C2638" s="708" t="s">
        <v>3</v>
      </c>
      <c r="D2638" s="719">
        <v>30.6</v>
      </c>
    </row>
    <row r="2639" spans="1:4" hidden="1" outlineLevel="1" x14ac:dyDescent="0.2">
      <c r="A2639" s="720" t="s">
        <v>4046</v>
      </c>
      <c r="B2639" s="710" t="s">
        <v>2757</v>
      </c>
      <c r="C2639" s="711" t="s">
        <v>3</v>
      </c>
      <c r="D2639" s="721">
        <v>8.6</v>
      </c>
    </row>
    <row r="2640" spans="1:4" hidden="1" outlineLevel="1" x14ac:dyDescent="0.2">
      <c r="A2640" s="718" t="s">
        <v>4047</v>
      </c>
      <c r="B2640" s="707" t="s">
        <v>2759</v>
      </c>
      <c r="C2640" s="708" t="s">
        <v>3</v>
      </c>
      <c r="D2640" s="719">
        <v>9.4</v>
      </c>
    </row>
    <row r="2641" spans="1:4" hidden="1" outlineLevel="1" x14ac:dyDescent="0.2">
      <c r="A2641" s="720" t="s">
        <v>4048</v>
      </c>
      <c r="B2641" s="710" t="s">
        <v>2761</v>
      </c>
      <c r="C2641" s="711" t="s">
        <v>3</v>
      </c>
      <c r="D2641" s="721">
        <v>23.5</v>
      </c>
    </row>
    <row r="2642" spans="1:4" hidden="1" outlineLevel="1" x14ac:dyDescent="0.2">
      <c r="A2642" s="718" t="s">
        <v>4049</v>
      </c>
      <c r="B2642" s="707" t="s">
        <v>2763</v>
      </c>
      <c r="C2642" s="708" t="s">
        <v>3</v>
      </c>
      <c r="D2642" s="719">
        <v>20.399999999999999</v>
      </c>
    </row>
    <row r="2643" spans="1:4" hidden="1" outlineLevel="1" x14ac:dyDescent="0.2">
      <c r="A2643" s="720" t="s">
        <v>4050</v>
      </c>
      <c r="B2643" s="710" t="s">
        <v>2765</v>
      </c>
      <c r="C2643" s="711" t="s">
        <v>3</v>
      </c>
      <c r="D2643" s="721">
        <v>5.0999999999999996</v>
      </c>
    </row>
    <row r="2644" spans="1:4" hidden="1" outlineLevel="1" x14ac:dyDescent="0.2">
      <c r="A2644" s="718" t="s">
        <v>4051</v>
      </c>
      <c r="B2644" s="707" t="s">
        <v>2767</v>
      </c>
      <c r="C2644" s="708" t="s">
        <v>3</v>
      </c>
      <c r="D2644" s="719">
        <v>13.6</v>
      </c>
    </row>
    <row r="2645" spans="1:4" hidden="1" outlineLevel="1" x14ac:dyDescent="0.2">
      <c r="A2645" s="720" t="s">
        <v>4052</v>
      </c>
      <c r="B2645" s="710" t="s">
        <v>2644</v>
      </c>
      <c r="C2645" s="711" t="s">
        <v>3</v>
      </c>
      <c r="D2645" s="721">
        <v>3.54</v>
      </c>
    </row>
    <row r="2646" spans="1:4" hidden="1" outlineLevel="1" x14ac:dyDescent="0.2">
      <c r="A2646" s="718" t="s">
        <v>4053</v>
      </c>
      <c r="B2646" s="707" t="s">
        <v>2646</v>
      </c>
      <c r="C2646" s="708" t="s">
        <v>3</v>
      </c>
      <c r="D2646" s="719">
        <v>2.72</v>
      </c>
    </row>
    <row r="2647" spans="1:4" hidden="1" outlineLevel="1" x14ac:dyDescent="0.2">
      <c r="A2647" s="722" t="s">
        <v>4054</v>
      </c>
      <c r="B2647" s="702" t="s">
        <v>1340</v>
      </c>
      <c r="C2647" s="703"/>
      <c r="D2647" s="723"/>
    </row>
    <row r="2648" spans="1:4" hidden="1" outlineLevel="1" x14ac:dyDescent="0.2">
      <c r="A2648" s="716" t="s">
        <v>4055</v>
      </c>
      <c r="B2648" s="705" t="s">
        <v>2634</v>
      </c>
      <c r="C2648" s="706"/>
      <c r="D2648" s="717"/>
    </row>
    <row r="2649" spans="1:4" hidden="1" outlineLevel="1" x14ac:dyDescent="0.2">
      <c r="A2649" s="720" t="s">
        <v>4056</v>
      </c>
      <c r="B2649" s="710" t="s">
        <v>2753</v>
      </c>
      <c r="C2649" s="711" t="s">
        <v>3</v>
      </c>
      <c r="D2649" s="721">
        <v>13.2</v>
      </c>
    </row>
    <row r="2650" spans="1:4" hidden="1" outlineLevel="1" x14ac:dyDescent="0.2">
      <c r="A2650" s="718" t="s">
        <v>4057</v>
      </c>
      <c r="B2650" s="707" t="s">
        <v>2755</v>
      </c>
      <c r="C2650" s="708" t="s">
        <v>3</v>
      </c>
      <c r="D2650" s="719">
        <v>30.6</v>
      </c>
    </row>
    <row r="2651" spans="1:4" hidden="1" outlineLevel="1" x14ac:dyDescent="0.2">
      <c r="A2651" s="720" t="s">
        <v>4058</v>
      </c>
      <c r="B2651" s="710" t="s">
        <v>2757</v>
      </c>
      <c r="C2651" s="711" t="s">
        <v>3</v>
      </c>
      <c r="D2651" s="721">
        <v>8.6</v>
      </c>
    </row>
    <row r="2652" spans="1:4" hidden="1" outlineLevel="1" x14ac:dyDescent="0.2">
      <c r="A2652" s="718" t="s">
        <v>4059</v>
      </c>
      <c r="B2652" s="707" t="s">
        <v>2759</v>
      </c>
      <c r="C2652" s="708" t="s">
        <v>3</v>
      </c>
      <c r="D2652" s="719">
        <v>9.4</v>
      </c>
    </row>
    <row r="2653" spans="1:4" hidden="1" outlineLevel="1" x14ac:dyDescent="0.2">
      <c r="A2653" s="720" t="s">
        <v>4060</v>
      </c>
      <c r="B2653" s="710" t="s">
        <v>2761</v>
      </c>
      <c r="C2653" s="711" t="s">
        <v>3</v>
      </c>
      <c r="D2653" s="721">
        <v>23.5</v>
      </c>
    </row>
    <row r="2654" spans="1:4" hidden="1" outlineLevel="1" x14ac:dyDescent="0.2">
      <c r="A2654" s="718" t="s">
        <v>4061</v>
      </c>
      <c r="B2654" s="707" t="s">
        <v>2763</v>
      </c>
      <c r="C2654" s="708" t="s">
        <v>3</v>
      </c>
      <c r="D2654" s="719">
        <v>20.399999999999999</v>
      </c>
    </row>
    <row r="2655" spans="1:4" hidden="1" outlineLevel="1" x14ac:dyDescent="0.2">
      <c r="A2655" s="720" t="s">
        <v>4062</v>
      </c>
      <c r="B2655" s="710" t="s">
        <v>2765</v>
      </c>
      <c r="C2655" s="711" t="s">
        <v>3</v>
      </c>
      <c r="D2655" s="721">
        <v>5.0999999999999996</v>
      </c>
    </row>
    <row r="2656" spans="1:4" hidden="1" outlineLevel="1" x14ac:dyDescent="0.2">
      <c r="A2656" s="718" t="s">
        <v>4063</v>
      </c>
      <c r="B2656" s="707" t="s">
        <v>2767</v>
      </c>
      <c r="C2656" s="708" t="s">
        <v>3</v>
      </c>
      <c r="D2656" s="719">
        <v>13.6</v>
      </c>
    </row>
    <row r="2657" spans="1:4" hidden="1" outlineLevel="1" x14ac:dyDescent="0.2">
      <c r="A2657" s="720" t="s">
        <v>4064</v>
      </c>
      <c r="B2657" s="710" t="s">
        <v>2644</v>
      </c>
      <c r="C2657" s="711" t="s">
        <v>3</v>
      </c>
      <c r="D2657" s="721">
        <v>3.54</v>
      </c>
    </row>
    <row r="2658" spans="1:4" hidden="1" outlineLevel="1" x14ac:dyDescent="0.2">
      <c r="A2658" s="718" t="s">
        <v>4065</v>
      </c>
      <c r="B2658" s="707" t="s">
        <v>2646</v>
      </c>
      <c r="C2658" s="708" t="s">
        <v>3</v>
      </c>
      <c r="D2658" s="719">
        <v>2.72</v>
      </c>
    </row>
    <row r="2659" spans="1:4" hidden="1" outlineLevel="1" x14ac:dyDescent="0.2">
      <c r="A2659" s="722" t="s">
        <v>4066</v>
      </c>
      <c r="B2659" s="702" t="s">
        <v>1344</v>
      </c>
      <c r="C2659" s="703"/>
      <c r="D2659" s="723"/>
    </row>
    <row r="2660" spans="1:4" hidden="1" outlineLevel="1" x14ac:dyDescent="0.2">
      <c r="A2660" s="716" t="s">
        <v>4067</v>
      </c>
      <c r="B2660" s="705" t="s">
        <v>2634</v>
      </c>
      <c r="C2660" s="706"/>
      <c r="D2660" s="717"/>
    </row>
    <row r="2661" spans="1:4" hidden="1" outlineLevel="1" x14ac:dyDescent="0.2">
      <c r="A2661" s="720" t="s">
        <v>4068</v>
      </c>
      <c r="B2661" s="710" t="s">
        <v>2753</v>
      </c>
      <c r="C2661" s="711" t="s">
        <v>3</v>
      </c>
      <c r="D2661" s="721">
        <v>13.2</v>
      </c>
    </row>
    <row r="2662" spans="1:4" hidden="1" outlineLevel="1" x14ac:dyDescent="0.2">
      <c r="A2662" s="718" t="s">
        <v>4069</v>
      </c>
      <c r="B2662" s="707" t="s">
        <v>2755</v>
      </c>
      <c r="C2662" s="708" t="s">
        <v>3</v>
      </c>
      <c r="D2662" s="719">
        <v>30.6</v>
      </c>
    </row>
    <row r="2663" spans="1:4" hidden="1" outlineLevel="1" x14ac:dyDescent="0.2">
      <c r="A2663" s="720" t="s">
        <v>4070</v>
      </c>
      <c r="B2663" s="710" t="s">
        <v>2757</v>
      </c>
      <c r="C2663" s="711" t="s">
        <v>3</v>
      </c>
      <c r="D2663" s="721">
        <v>8.6</v>
      </c>
    </row>
    <row r="2664" spans="1:4" hidden="1" outlineLevel="1" x14ac:dyDescent="0.2">
      <c r="A2664" s="718" t="s">
        <v>4071</v>
      </c>
      <c r="B2664" s="707" t="s">
        <v>2759</v>
      </c>
      <c r="C2664" s="708" t="s">
        <v>3</v>
      </c>
      <c r="D2664" s="719">
        <v>9.4</v>
      </c>
    </row>
    <row r="2665" spans="1:4" hidden="1" outlineLevel="1" x14ac:dyDescent="0.2">
      <c r="A2665" s="720" t="s">
        <v>4072</v>
      </c>
      <c r="B2665" s="710" t="s">
        <v>2761</v>
      </c>
      <c r="C2665" s="711" t="s">
        <v>3</v>
      </c>
      <c r="D2665" s="721">
        <v>23.5</v>
      </c>
    </row>
    <row r="2666" spans="1:4" hidden="1" outlineLevel="1" x14ac:dyDescent="0.2">
      <c r="A2666" s="718" t="s">
        <v>4073</v>
      </c>
      <c r="B2666" s="707" t="s">
        <v>2763</v>
      </c>
      <c r="C2666" s="708" t="s">
        <v>3</v>
      </c>
      <c r="D2666" s="719">
        <v>20.399999999999999</v>
      </c>
    </row>
    <row r="2667" spans="1:4" hidden="1" outlineLevel="1" x14ac:dyDescent="0.2">
      <c r="A2667" s="720" t="s">
        <v>4074</v>
      </c>
      <c r="B2667" s="710" t="s">
        <v>2765</v>
      </c>
      <c r="C2667" s="711" t="s">
        <v>3</v>
      </c>
      <c r="D2667" s="721">
        <v>5.0999999999999996</v>
      </c>
    </row>
    <row r="2668" spans="1:4" hidden="1" outlineLevel="1" x14ac:dyDescent="0.2">
      <c r="A2668" s="718" t="s">
        <v>4075</v>
      </c>
      <c r="B2668" s="707" t="s">
        <v>2767</v>
      </c>
      <c r="C2668" s="708" t="s">
        <v>3</v>
      </c>
      <c r="D2668" s="719">
        <v>13.6</v>
      </c>
    </row>
    <row r="2669" spans="1:4" hidden="1" outlineLevel="1" x14ac:dyDescent="0.2">
      <c r="A2669" s="720" t="s">
        <v>4076</v>
      </c>
      <c r="B2669" s="710" t="s">
        <v>2644</v>
      </c>
      <c r="C2669" s="711" t="s">
        <v>3</v>
      </c>
      <c r="D2669" s="721">
        <v>3.54</v>
      </c>
    </row>
    <row r="2670" spans="1:4" hidden="1" outlineLevel="1" x14ac:dyDescent="0.2">
      <c r="A2670" s="718" t="s">
        <v>4077</v>
      </c>
      <c r="B2670" s="707" t="s">
        <v>2646</v>
      </c>
      <c r="C2670" s="708" t="s">
        <v>3</v>
      </c>
      <c r="D2670" s="719">
        <v>2.72</v>
      </c>
    </row>
    <row r="2671" spans="1:4" hidden="1" outlineLevel="1" x14ac:dyDescent="0.2">
      <c r="A2671" s="722" t="s">
        <v>4078</v>
      </c>
      <c r="B2671" s="702" t="s">
        <v>1348</v>
      </c>
      <c r="C2671" s="703"/>
      <c r="D2671" s="723"/>
    </row>
    <row r="2672" spans="1:4" hidden="1" outlineLevel="1" x14ac:dyDescent="0.2">
      <c r="A2672" s="716" t="s">
        <v>4079</v>
      </c>
      <c r="B2672" s="705" t="s">
        <v>2634</v>
      </c>
      <c r="C2672" s="706"/>
      <c r="D2672" s="717"/>
    </row>
    <row r="2673" spans="1:4" hidden="1" outlineLevel="1" x14ac:dyDescent="0.2">
      <c r="A2673" s="720" t="s">
        <v>4080</v>
      </c>
      <c r="B2673" s="710" t="s">
        <v>2753</v>
      </c>
      <c r="C2673" s="711" t="s">
        <v>3</v>
      </c>
      <c r="D2673" s="721">
        <v>13.2</v>
      </c>
    </row>
    <row r="2674" spans="1:4" hidden="1" outlineLevel="1" x14ac:dyDescent="0.2">
      <c r="A2674" s="718" t="s">
        <v>4081</v>
      </c>
      <c r="B2674" s="707" t="s">
        <v>2755</v>
      </c>
      <c r="C2674" s="708" t="s">
        <v>3</v>
      </c>
      <c r="D2674" s="719">
        <v>30.6</v>
      </c>
    </row>
    <row r="2675" spans="1:4" hidden="1" outlineLevel="1" x14ac:dyDescent="0.2">
      <c r="A2675" s="720" t="s">
        <v>4082</v>
      </c>
      <c r="B2675" s="710" t="s">
        <v>2757</v>
      </c>
      <c r="C2675" s="711" t="s">
        <v>3</v>
      </c>
      <c r="D2675" s="721">
        <v>8.6</v>
      </c>
    </row>
    <row r="2676" spans="1:4" hidden="1" outlineLevel="1" x14ac:dyDescent="0.2">
      <c r="A2676" s="718" t="s">
        <v>4083</v>
      </c>
      <c r="B2676" s="707" t="s">
        <v>2759</v>
      </c>
      <c r="C2676" s="708" t="s">
        <v>3</v>
      </c>
      <c r="D2676" s="719">
        <v>9.4</v>
      </c>
    </row>
    <row r="2677" spans="1:4" hidden="1" outlineLevel="1" x14ac:dyDescent="0.2">
      <c r="A2677" s="720" t="s">
        <v>4084</v>
      </c>
      <c r="B2677" s="710" t="s">
        <v>2761</v>
      </c>
      <c r="C2677" s="711" t="s">
        <v>3</v>
      </c>
      <c r="D2677" s="721">
        <v>23.5</v>
      </c>
    </row>
    <row r="2678" spans="1:4" hidden="1" outlineLevel="1" x14ac:dyDescent="0.2">
      <c r="A2678" s="718" t="s">
        <v>4085</v>
      </c>
      <c r="B2678" s="707" t="s">
        <v>2763</v>
      </c>
      <c r="C2678" s="708" t="s">
        <v>3</v>
      </c>
      <c r="D2678" s="719">
        <v>20.399999999999999</v>
      </c>
    </row>
    <row r="2679" spans="1:4" hidden="1" outlineLevel="1" x14ac:dyDescent="0.2">
      <c r="A2679" s="720" t="s">
        <v>4086</v>
      </c>
      <c r="B2679" s="710" t="s">
        <v>2765</v>
      </c>
      <c r="C2679" s="711" t="s">
        <v>3</v>
      </c>
      <c r="D2679" s="721">
        <v>5.0999999999999996</v>
      </c>
    </row>
    <row r="2680" spans="1:4" hidden="1" outlineLevel="1" x14ac:dyDescent="0.2">
      <c r="A2680" s="718" t="s">
        <v>4087</v>
      </c>
      <c r="B2680" s="707" t="s">
        <v>2767</v>
      </c>
      <c r="C2680" s="708" t="s">
        <v>3</v>
      </c>
      <c r="D2680" s="719">
        <v>13.6</v>
      </c>
    </row>
    <row r="2681" spans="1:4" hidden="1" outlineLevel="1" x14ac:dyDescent="0.2">
      <c r="A2681" s="720" t="s">
        <v>4088</v>
      </c>
      <c r="B2681" s="710" t="s">
        <v>2644</v>
      </c>
      <c r="C2681" s="711" t="s">
        <v>3</v>
      </c>
      <c r="D2681" s="721">
        <v>3.54</v>
      </c>
    </row>
    <row r="2682" spans="1:4" hidden="1" outlineLevel="1" x14ac:dyDescent="0.2">
      <c r="A2682" s="718" t="s">
        <v>4089</v>
      </c>
      <c r="B2682" s="707" t="s">
        <v>2646</v>
      </c>
      <c r="C2682" s="708" t="s">
        <v>3</v>
      </c>
      <c r="D2682" s="719">
        <v>2.72</v>
      </c>
    </row>
    <row r="2683" spans="1:4" hidden="1" outlineLevel="1" x14ac:dyDescent="0.2">
      <c r="A2683" s="722" t="s">
        <v>4090</v>
      </c>
      <c r="B2683" s="702" t="s">
        <v>1352</v>
      </c>
      <c r="C2683" s="703"/>
      <c r="D2683" s="723"/>
    </row>
    <row r="2684" spans="1:4" hidden="1" outlineLevel="1" x14ac:dyDescent="0.2">
      <c r="A2684" s="716" t="s">
        <v>4091</v>
      </c>
      <c r="B2684" s="705" t="s">
        <v>2634</v>
      </c>
      <c r="C2684" s="706"/>
      <c r="D2684" s="717"/>
    </row>
    <row r="2685" spans="1:4" hidden="1" outlineLevel="1" x14ac:dyDescent="0.2">
      <c r="A2685" s="720" t="s">
        <v>4092</v>
      </c>
      <c r="B2685" s="710" t="s">
        <v>2753</v>
      </c>
      <c r="C2685" s="711" t="s">
        <v>3</v>
      </c>
      <c r="D2685" s="721">
        <v>13.2</v>
      </c>
    </row>
    <row r="2686" spans="1:4" hidden="1" outlineLevel="1" x14ac:dyDescent="0.2">
      <c r="A2686" s="718" t="s">
        <v>4093</v>
      </c>
      <c r="B2686" s="707" t="s">
        <v>2755</v>
      </c>
      <c r="C2686" s="708" t="s">
        <v>3</v>
      </c>
      <c r="D2686" s="719">
        <v>30.6</v>
      </c>
    </row>
    <row r="2687" spans="1:4" hidden="1" outlineLevel="1" x14ac:dyDescent="0.2">
      <c r="A2687" s="720" t="s">
        <v>4094</v>
      </c>
      <c r="B2687" s="710" t="s">
        <v>2757</v>
      </c>
      <c r="C2687" s="711" t="s">
        <v>3</v>
      </c>
      <c r="D2687" s="721">
        <v>8.6</v>
      </c>
    </row>
    <row r="2688" spans="1:4" hidden="1" outlineLevel="1" x14ac:dyDescent="0.2">
      <c r="A2688" s="718" t="s">
        <v>4095</v>
      </c>
      <c r="B2688" s="707" t="s">
        <v>2759</v>
      </c>
      <c r="C2688" s="708" t="s">
        <v>3</v>
      </c>
      <c r="D2688" s="719">
        <v>9.4</v>
      </c>
    </row>
    <row r="2689" spans="1:4" hidden="1" outlineLevel="1" x14ac:dyDescent="0.2">
      <c r="A2689" s="720" t="s">
        <v>4096</v>
      </c>
      <c r="B2689" s="710" t="s">
        <v>2761</v>
      </c>
      <c r="C2689" s="711" t="s">
        <v>3</v>
      </c>
      <c r="D2689" s="721">
        <v>23.5</v>
      </c>
    </row>
    <row r="2690" spans="1:4" hidden="1" outlineLevel="1" x14ac:dyDescent="0.2">
      <c r="A2690" s="718" t="s">
        <v>4097</v>
      </c>
      <c r="B2690" s="707" t="s">
        <v>2763</v>
      </c>
      <c r="C2690" s="708" t="s">
        <v>3</v>
      </c>
      <c r="D2690" s="719">
        <v>20.399999999999999</v>
      </c>
    </row>
    <row r="2691" spans="1:4" hidden="1" outlineLevel="1" x14ac:dyDescent="0.2">
      <c r="A2691" s="720" t="s">
        <v>4098</v>
      </c>
      <c r="B2691" s="710" t="s">
        <v>2765</v>
      </c>
      <c r="C2691" s="711" t="s">
        <v>3</v>
      </c>
      <c r="D2691" s="721">
        <v>5.0999999999999996</v>
      </c>
    </row>
    <row r="2692" spans="1:4" hidden="1" outlineLevel="1" x14ac:dyDescent="0.2">
      <c r="A2692" s="718" t="s">
        <v>4099</v>
      </c>
      <c r="B2692" s="707" t="s">
        <v>2767</v>
      </c>
      <c r="C2692" s="708" t="s">
        <v>3</v>
      </c>
      <c r="D2692" s="719">
        <v>13.6</v>
      </c>
    </row>
    <row r="2693" spans="1:4" hidden="1" outlineLevel="1" x14ac:dyDescent="0.2">
      <c r="A2693" s="720" t="s">
        <v>4100</v>
      </c>
      <c r="B2693" s="710" t="s">
        <v>2644</v>
      </c>
      <c r="C2693" s="711" t="s">
        <v>3</v>
      </c>
      <c r="D2693" s="721">
        <v>3.54</v>
      </c>
    </row>
    <row r="2694" spans="1:4" hidden="1" outlineLevel="1" x14ac:dyDescent="0.2">
      <c r="A2694" s="718" t="s">
        <v>4101</v>
      </c>
      <c r="B2694" s="707" t="s">
        <v>2646</v>
      </c>
      <c r="C2694" s="708" t="s">
        <v>3</v>
      </c>
      <c r="D2694" s="719">
        <v>2.72</v>
      </c>
    </row>
    <row r="2695" spans="1:4" hidden="1" outlineLevel="1" x14ac:dyDescent="0.2">
      <c r="A2695" s="722" t="s">
        <v>4102</v>
      </c>
      <c r="B2695" s="702" t="s">
        <v>1356</v>
      </c>
      <c r="C2695" s="703"/>
      <c r="D2695" s="723"/>
    </row>
    <row r="2696" spans="1:4" hidden="1" outlineLevel="1" x14ac:dyDescent="0.2">
      <c r="A2696" s="716" t="s">
        <v>4103</v>
      </c>
      <c r="B2696" s="705" t="s">
        <v>2634</v>
      </c>
      <c r="C2696" s="706"/>
      <c r="D2696" s="717"/>
    </row>
    <row r="2697" spans="1:4" hidden="1" outlineLevel="1" x14ac:dyDescent="0.2">
      <c r="A2697" s="720" t="s">
        <v>4104</v>
      </c>
      <c r="B2697" s="710" t="s">
        <v>2753</v>
      </c>
      <c r="C2697" s="711" t="s">
        <v>3</v>
      </c>
      <c r="D2697" s="721">
        <v>13.2</v>
      </c>
    </row>
    <row r="2698" spans="1:4" hidden="1" outlineLevel="1" x14ac:dyDescent="0.2">
      <c r="A2698" s="718" t="s">
        <v>4105</v>
      </c>
      <c r="B2698" s="707" t="s">
        <v>2755</v>
      </c>
      <c r="C2698" s="708" t="s">
        <v>3</v>
      </c>
      <c r="D2698" s="719">
        <v>30.6</v>
      </c>
    </row>
    <row r="2699" spans="1:4" hidden="1" outlineLevel="1" x14ac:dyDescent="0.2">
      <c r="A2699" s="720" t="s">
        <v>4106</v>
      </c>
      <c r="B2699" s="710" t="s">
        <v>2757</v>
      </c>
      <c r="C2699" s="711" t="s">
        <v>3</v>
      </c>
      <c r="D2699" s="721">
        <v>8.6</v>
      </c>
    </row>
    <row r="2700" spans="1:4" hidden="1" outlineLevel="1" x14ac:dyDescent="0.2">
      <c r="A2700" s="718" t="s">
        <v>4107</v>
      </c>
      <c r="B2700" s="707" t="s">
        <v>2759</v>
      </c>
      <c r="C2700" s="708" t="s">
        <v>3</v>
      </c>
      <c r="D2700" s="719">
        <v>9.4</v>
      </c>
    </row>
    <row r="2701" spans="1:4" hidden="1" outlineLevel="1" x14ac:dyDescent="0.2">
      <c r="A2701" s="720" t="s">
        <v>4108</v>
      </c>
      <c r="B2701" s="710" t="s">
        <v>2761</v>
      </c>
      <c r="C2701" s="711" t="s">
        <v>3</v>
      </c>
      <c r="D2701" s="721">
        <v>23.5</v>
      </c>
    </row>
    <row r="2702" spans="1:4" hidden="1" outlineLevel="1" x14ac:dyDescent="0.2">
      <c r="A2702" s="718" t="s">
        <v>4109</v>
      </c>
      <c r="B2702" s="707" t="s">
        <v>2763</v>
      </c>
      <c r="C2702" s="708" t="s">
        <v>3</v>
      </c>
      <c r="D2702" s="719">
        <v>20.399999999999999</v>
      </c>
    </row>
    <row r="2703" spans="1:4" hidden="1" outlineLevel="1" x14ac:dyDescent="0.2">
      <c r="A2703" s="720" t="s">
        <v>4110</v>
      </c>
      <c r="B2703" s="710" t="s">
        <v>2765</v>
      </c>
      <c r="C2703" s="711" t="s">
        <v>3</v>
      </c>
      <c r="D2703" s="721">
        <v>5.0999999999999996</v>
      </c>
    </row>
    <row r="2704" spans="1:4" hidden="1" outlineLevel="1" x14ac:dyDescent="0.2">
      <c r="A2704" s="718" t="s">
        <v>4111</v>
      </c>
      <c r="B2704" s="707" t="s">
        <v>2767</v>
      </c>
      <c r="C2704" s="708" t="s">
        <v>3</v>
      </c>
      <c r="D2704" s="719">
        <v>13.6</v>
      </c>
    </row>
    <row r="2705" spans="1:4" hidden="1" outlineLevel="1" x14ac:dyDescent="0.2">
      <c r="A2705" s="720" t="s">
        <v>4112</v>
      </c>
      <c r="B2705" s="710" t="s">
        <v>2644</v>
      </c>
      <c r="C2705" s="711" t="s">
        <v>3</v>
      </c>
      <c r="D2705" s="721">
        <v>3.54</v>
      </c>
    </row>
    <row r="2706" spans="1:4" hidden="1" outlineLevel="1" x14ac:dyDescent="0.2">
      <c r="A2706" s="718" t="s">
        <v>4113</v>
      </c>
      <c r="B2706" s="707" t="s">
        <v>2646</v>
      </c>
      <c r="C2706" s="708" t="s">
        <v>3</v>
      </c>
      <c r="D2706" s="719">
        <v>2.72</v>
      </c>
    </row>
    <row r="2707" spans="1:4" hidden="1" outlineLevel="1" x14ac:dyDescent="0.2">
      <c r="A2707" s="722" t="s">
        <v>4114</v>
      </c>
      <c r="B2707" s="702" t="s">
        <v>1360</v>
      </c>
      <c r="C2707" s="703"/>
      <c r="D2707" s="723"/>
    </row>
    <row r="2708" spans="1:4" hidden="1" outlineLevel="1" x14ac:dyDescent="0.2">
      <c r="A2708" s="716" t="s">
        <v>4115</v>
      </c>
      <c r="B2708" s="705" t="s">
        <v>2634</v>
      </c>
      <c r="C2708" s="706"/>
      <c r="D2708" s="717"/>
    </row>
    <row r="2709" spans="1:4" hidden="1" outlineLevel="1" x14ac:dyDescent="0.2">
      <c r="A2709" s="720" t="s">
        <v>4116</v>
      </c>
      <c r="B2709" s="710" t="s">
        <v>2753</v>
      </c>
      <c r="C2709" s="711" t="s">
        <v>3</v>
      </c>
      <c r="D2709" s="721">
        <v>13.2</v>
      </c>
    </row>
    <row r="2710" spans="1:4" hidden="1" outlineLevel="1" x14ac:dyDescent="0.2">
      <c r="A2710" s="718" t="s">
        <v>4117</v>
      </c>
      <c r="B2710" s="707" t="s">
        <v>2755</v>
      </c>
      <c r="C2710" s="708" t="s">
        <v>3</v>
      </c>
      <c r="D2710" s="719">
        <v>30.6</v>
      </c>
    </row>
    <row r="2711" spans="1:4" hidden="1" outlineLevel="1" x14ac:dyDescent="0.2">
      <c r="A2711" s="720" t="s">
        <v>4118</v>
      </c>
      <c r="B2711" s="710" t="s">
        <v>2757</v>
      </c>
      <c r="C2711" s="711" t="s">
        <v>3</v>
      </c>
      <c r="D2711" s="721">
        <v>8.6</v>
      </c>
    </row>
    <row r="2712" spans="1:4" hidden="1" outlineLevel="1" x14ac:dyDescent="0.2">
      <c r="A2712" s="718" t="s">
        <v>4119</v>
      </c>
      <c r="B2712" s="707" t="s">
        <v>2759</v>
      </c>
      <c r="C2712" s="708" t="s">
        <v>3</v>
      </c>
      <c r="D2712" s="719">
        <v>9.4</v>
      </c>
    </row>
    <row r="2713" spans="1:4" hidden="1" outlineLevel="1" x14ac:dyDescent="0.2">
      <c r="A2713" s="720" t="s">
        <v>4120</v>
      </c>
      <c r="B2713" s="710" t="s">
        <v>2761</v>
      </c>
      <c r="C2713" s="711" t="s">
        <v>3</v>
      </c>
      <c r="D2713" s="721">
        <v>23.5</v>
      </c>
    </row>
    <row r="2714" spans="1:4" hidden="1" outlineLevel="1" x14ac:dyDescent="0.2">
      <c r="A2714" s="718" t="s">
        <v>4121</v>
      </c>
      <c r="B2714" s="707" t="s">
        <v>2763</v>
      </c>
      <c r="C2714" s="708" t="s">
        <v>3</v>
      </c>
      <c r="D2714" s="719">
        <v>20.399999999999999</v>
      </c>
    </row>
    <row r="2715" spans="1:4" hidden="1" outlineLevel="1" x14ac:dyDescent="0.2">
      <c r="A2715" s="720" t="s">
        <v>4122</v>
      </c>
      <c r="B2715" s="710" t="s">
        <v>2765</v>
      </c>
      <c r="C2715" s="711" t="s">
        <v>3</v>
      </c>
      <c r="D2715" s="721">
        <v>5.0999999999999996</v>
      </c>
    </row>
    <row r="2716" spans="1:4" hidden="1" outlineLevel="1" x14ac:dyDescent="0.2">
      <c r="A2716" s="718" t="s">
        <v>4123</v>
      </c>
      <c r="B2716" s="707" t="s">
        <v>2767</v>
      </c>
      <c r="C2716" s="708" t="s">
        <v>3</v>
      </c>
      <c r="D2716" s="719">
        <v>13.6</v>
      </c>
    </row>
    <row r="2717" spans="1:4" hidden="1" outlineLevel="1" x14ac:dyDescent="0.2">
      <c r="A2717" s="720" t="s">
        <v>4124</v>
      </c>
      <c r="B2717" s="710" t="s">
        <v>2644</v>
      </c>
      <c r="C2717" s="711" t="s">
        <v>3</v>
      </c>
      <c r="D2717" s="721">
        <v>3.54</v>
      </c>
    </row>
    <row r="2718" spans="1:4" ht="13.5" hidden="1" outlineLevel="1" thickBot="1" x14ac:dyDescent="0.25">
      <c r="A2718" s="724" t="s">
        <v>4125</v>
      </c>
      <c r="B2718" s="725" t="s">
        <v>2646</v>
      </c>
      <c r="C2718" s="726" t="s">
        <v>3</v>
      </c>
      <c r="D2718" s="727">
        <v>2.72</v>
      </c>
    </row>
    <row r="2719" spans="1:4" hidden="1" outlineLevel="1" x14ac:dyDescent="0.2">
      <c r="A2719" s="712" t="s">
        <v>3903</v>
      </c>
      <c r="B2719" s="713" t="s">
        <v>1364</v>
      </c>
      <c r="C2719" s="714"/>
      <c r="D2719" s="715"/>
    </row>
    <row r="2720" spans="1:4" hidden="1" outlineLevel="1" x14ac:dyDescent="0.2">
      <c r="A2720" s="716" t="s">
        <v>3904</v>
      </c>
      <c r="B2720" s="705" t="s">
        <v>2648</v>
      </c>
      <c r="C2720" s="706"/>
      <c r="D2720" s="717"/>
    </row>
    <row r="2721" spans="1:4" hidden="1" outlineLevel="1" x14ac:dyDescent="0.2">
      <c r="A2721" s="718" t="s">
        <v>3905</v>
      </c>
      <c r="B2721" s="707" t="s">
        <v>3715</v>
      </c>
      <c r="C2721" s="708" t="s">
        <v>3</v>
      </c>
      <c r="D2721" s="719">
        <v>4.58</v>
      </c>
    </row>
    <row r="2722" spans="1:4" hidden="1" outlineLevel="1" x14ac:dyDescent="0.2">
      <c r="A2722" s="720" t="s">
        <v>3906</v>
      </c>
      <c r="B2722" s="710" t="s">
        <v>3197</v>
      </c>
      <c r="C2722" s="711" t="s">
        <v>3</v>
      </c>
      <c r="D2722" s="721">
        <v>3.24</v>
      </c>
    </row>
    <row r="2723" spans="1:4" hidden="1" outlineLevel="1" x14ac:dyDescent="0.2">
      <c r="A2723" s="718" t="s">
        <v>3907</v>
      </c>
      <c r="B2723" s="707" t="s">
        <v>3068</v>
      </c>
      <c r="C2723" s="708" t="s">
        <v>3</v>
      </c>
      <c r="D2723" s="719">
        <v>16.100000000000001</v>
      </c>
    </row>
    <row r="2724" spans="1:4" hidden="1" outlineLevel="1" x14ac:dyDescent="0.2">
      <c r="A2724" s="720" t="s">
        <v>3908</v>
      </c>
      <c r="B2724" s="710" t="s">
        <v>3077</v>
      </c>
      <c r="C2724" s="711" t="s">
        <v>3</v>
      </c>
      <c r="D2724" s="721">
        <v>20</v>
      </c>
    </row>
    <row r="2725" spans="1:4" hidden="1" outlineLevel="1" x14ac:dyDescent="0.2">
      <c r="A2725" s="718" t="s">
        <v>3909</v>
      </c>
      <c r="B2725" s="707" t="s">
        <v>3070</v>
      </c>
      <c r="C2725" s="708" t="s">
        <v>3</v>
      </c>
      <c r="D2725" s="719">
        <v>8.1</v>
      </c>
    </row>
    <row r="2726" spans="1:4" hidden="1" outlineLevel="1" x14ac:dyDescent="0.2">
      <c r="A2726" s="720" t="s">
        <v>3910</v>
      </c>
      <c r="B2726" s="710" t="s">
        <v>3080</v>
      </c>
      <c r="C2726" s="711" t="s">
        <v>3</v>
      </c>
      <c r="D2726" s="721">
        <v>9.1999999999999993</v>
      </c>
    </row>
    <row r="2727" spans="1:4" hidden="1" outlineLevel="1" x14ac:dyDescent="0.2">
      <c r="A2727" s="718" t="s">
        <v>3911</v>
      </c>
      <c r="B2727" s="707" t="s">
        <v>2773</v>
      </c>
      <c r="C2727" s="708" t="s">
        <v>3</v>
      </c>
      <c r="D2727" s="719">
        <v>6.2</v>
      </c>
    </row>
    <row r="2728" spans="1:4" hidden="1" outlineLevel="1" x14ac:dyDescent="0.2">
      <c r="A2728" s="720" t="s">
        <v>3912</v>
      </c>
      <c r="B2728" s="710" t="s">
        <v>3023</v>
      </c>
      <c r="C2728" s="711" t="s">
        <v>3</v>
      </c>
      <c r="D2728" s="721">
        <v>7.6</v>
      </c>
    </row>
    <row r="2729" spans="1:4" hidden="1" outlineLevel="1" x14ac:dyDescent="0.2">
      <c r="A2729" s="722" t="s">
        <v>4126</v>
      </c>
      <c r="B2729" s="702" t="s">
        <v>1364</v>
      </c>
      <c r="C2729" s="703"/>
      <c r="D2729" s="723"/>
    </row>
    <row r="2730" spans="1:4" hidden="1" outlineLevel="1" x14ac:dyDescent="0.2">
      <c r="A2730" s="716" t="s">
        <v>4127</v>
      </c>
      <c r="B2730" s="705" t="s">
        <v>2634</v>
      </c>
      <c r="C2730" s="706"/>
      <c r="D2730" s="717"/>
    </row>
    <row r="2731" spans="1:4" hidden="1" outlineLevel="1" x14ac:dyDescent="0.2">
      <c r="A2731" s="720" t="s">
        <v>4128</v>
      </c>
      <c r="B2731" s="710" t="s">
        <v>2753</v>
      </c>
      <c r="C2731" s="711" t="s">
        <v>3</v>
      </c>
      <c r="D2731" s="721">
        <v>13.2</v>
      </c>
    </row>
    <row r="2732" spans="1:4" hidden="1" outlineLevel="1" x14ac:dyDescent="0.2">
      <c r="A2732" s="718" t="s">
        <v>4129</v>
      </c>
      <c r="B2732" s="707" t="s">
        <v>2755</v>
      </c>
      <c r="C2732" s="708" t="s">
        <v>3</v>
      </c>
      <c r="D2732" s="719">
        <v>32.799999999999997</v>
      </c>
    </row>
    <row r="2733" spans="1:4" hidden="1" outlineLevel="1" x14ac:dyDescent="0.2">
      <c r="A2733" s="720" t="s">
        <v>4130</v>
      </c>
      <c r="B2733" s="710" t="s">
        <v>2757</v>
      </c>
      <c r="C2733" s="711" t="s">
        <v>3</v>
      </c>
      <c r="D2733" s="721">
        <v>8.6</v>
      </c>
    </row>
    <row r="2734" spans="1:4" hidden="1" outlineLevel="1" x14ac:dyDescent="0.2">
      <c r="A2734" s="718" t="s">
        <v>4131</v>
      </c>
      <c r="B2734" s="707" t="s">
        <v>2759</v>
      </c>
      <c r="C2734" s="708" t="s">
        <v>3</v>
      </c>
      <c r="D2734" s="719">
        <v>9.4</v>
      </c>
    </row>
    <row r="2735" spans="1:4" hidden="1" outlineLevel="1" x14ac:dyDescent="0.2">
      <c r="A2735" s="720" t="s">
        <v>4132</v>
      </c>
      <c r="B2735" s="710" t="s">
        <v>2761</v>
      </c>
      <c r="C2735" s="711" t="s">
        <v>3</v>
      </c>
      <c r="D2735" s="721">
        <v>23.5</v>
      </c>
    </row>
    <row r="2736" spans="1:4" hidden="1" outlineLevel="1" x14ac:dyDescent="0.2">
      <c r="A2736" s="718" t="s">
        <v>4133</v>
      </c>
      <c r="B2736" s="707" t="s">
        <v>2763</v>
      </c>
      <c r="C2736" s="708" t="s">
        <v>3</v>
      </c>
      <c r="D2736" s="719">
        <v>20.399999999999999</v>
      </c>
    </row>
    <row r="2737" spans="1:4" hidden="1" outlineLevel="1" x14ac:dyDescent="0.2">
      <c r="A2737" s="720" t="s">
        <v>4134</v>
      </c>
      <c r="B2737" s="710" t="s">
        <v>2765</v>
      </c>
      <c r="C2737" s="711" t="s">
        <v>3</v>
      </c>
      <c r="D2737" s="721">
        <v>5.0999999999999996</v>
      </c>
    </row>
    <row r="2738" spans="1:4" hidden="1" outlineLevel="1" x14ac:dyDescent="0.2">
      <c r="A2738" s="718" t="s">
        <v>4135</v>
      </c>
      <c r="B2738" s="707" t="s">
        <v>2767</v>
      </c>
      <c r="C2738" s="708" t="s">
        <v>3</v>
      </c>
      <c r="D2738" s="719">
        <v>13.6</v>
      </c>
    </row>
    <row r="2739" spans="1:4" hidden="1" outlineLevel="1" x14ac:dyDescent="0.2">
      <c r="A2739" s="720" t="s">
        <v>4136</v>
      </c>
      <c r="B2739" s="710" t="s">
        <v>2644</v>
      </c>
      <c r="C2739" s="711" t="s">
        <v>3</v>
      </c>
      <c r="D2739" s="721">
        <v>3.54</v>
      </c>
    </row>
    <row r="2740" spans="1:4" ht="13.5" hidden="1" outlineLevel="1" thickBot="1" x14ac:dyDescent="0.25">
      <c r="A2740" s="724" t="s">
        <v>4137</v>
      </c>
      <c r="B2740" s="725" t="s">
        <v>2646</v>
      </c>
      <c r="C2740" s="726" t="s">
        <v>3</v>
      </c>
      <c r="D2740" s="727">
        <v>2.72</v>
      </c>
    </row>
    <row r="2741" spans="1:4" hidden="1" outlineLevel="1" x14ac:dyDescent="0.2">
      <c r="A2741" s="712" t="s">
        <v>3913</v>
      </c>
      <c r="B2741" s="713" t="s">
        <v>1368</v>
      </c>
      <c r="C2741" s="714"/>
      <c r="D2741" s="715"/>
    </row>
    <row r="2742" spans="1:4" hidden="1" outlineLevel="1" x14ac:dyDescent="0.2">
      <c r="A2742" s="716" t="s">
        <v>3914</v>
      </c>
      <c r="B2742" s="705" t="s">
        <v>2648</v>
      </c>
      <c r="C2742" s="706"/>
      <c r="D2742" s="717"/>
    </row>
    <row r="2743" spans="1:4" hidden="1" outlineLevel="1" x14ac:dyDescent="0.2">
      <c r="A2743" s="718" t="s">
        <v>3915</v>
      </c>
      <c r="B2743" s="707" t="s">
        <v>3715</v>
      </c>
      <c r="C2743" s="708" t="s">
        <v>3</v>
      </c>
      <c r="D2743" s="719">
        <v>4.58</v>
      </c>
    </row>
    <row r="2744" spans="1:4" hidden="1" outlineLevel="1" x14ac:dyDescent="0.2">
      <c r="A2744" s="720" t="s">
        <v>3916</v>
      </c>
      <c r="B2744" s="710" t="s">
        <v>3040</v>
      </c>
      <c r="C2744" s="711" t="s">
        <v>3</v>
      </c>
      <c r="D2744" s="721">
        <v>2.2000000000000002</v>
      </c>
    </row>
    <row r="2745" spans="1:4" hidden="1" outlineLevel="1" x14ac:dyDescent="0.2">
      <c r="A2745" s="718" t="s">
        <v>3917</v>
      </c>
      <c r="B2745" s="707" t="s">
        <v>3197</v>
      </c>
      <c r="C2745" s="708" t="s">
        <v>3</v>
      </c>
      <c r="D2745" s="719">
        <v>3.24</v>
      </c>
    </row>
    <row r="2746" spans="1:4" hidden="1" outlineLevel="1" x14ac:dyDescent="0.2">
      <c r="A2746" s="720" t="s">
        <v>3918</v>
      </c>
      <c r="B2746" s="710" t="s">
        <v>3068</v>
      </c>
      <c r="C2746" s="711" t="s">
        <v>3</v>
      </c>
      <c r="D2746" s="721">
        <v>9.1999999999999993</v>
      </c>
    </row>
    <row r="2747" spans="1:4" hidden="1" outlineLevel="1" x14ac:dyDescent="0.2">
      <c r="A2747" s="718" t="s">
        <v>3919</v>
      </c>
      <c r="B2747" s="707" t="s">
        <v>3077</v>
      </c>
      <c r="C2747" s="708" t="s">
        <v>3</v>
      </c>
      <c r="D2747" s="719">
        <v>8.75</v>
      </c>
    </row>
    <row r="2748" spans="1:4" hidden="1" outlineLevel="1" x14ac:dyDescent="0.2">
      <c r="A2748" s="720" t="s">
        <v>3920</v>
      </c>
      <c r="B2748" s="710" t="s">
        <v>3070</v>
      </c>
      <c r="C2748" s="711" t="s">
        <v>3</v>
      </c>
      <c r="D2748" s="721">
        <v>5.4</v>
      </c>
    </row>
    <row r="2749" spans="1:4" hidden="1" outlineLevel="1" x14ac:dyDescent="0.2">
      <c r="A2749" s="718" t="s">
        <v>3921</v>
      </c>
      <c r="B2749" s="707" t="s">
        <v>3080</v>
      </c>
      <c r="C2749" s="708" t="s">
        <v>3</v>
      </c>
      <c r="D2749" s="719">
        <v>4.5999999999999996</v>
      </c>
    </row>
    <row r="2750" spans="1:4" hidden="1" outlineLevel="1" x14ac:dyDescent="0.2">
      <c r="A2750" s="720" t="s">
        <v>3922</v>
      </c>
      <c r="B2750" s="710" t="s">
        <v>3042</v>
      </c>
      <c r="C2750" s="711" t="s">
        <v>3</v>
      </c>
      <c r="D2750" s="721">
        <v>23.2</v>
      </c>
    </row>
    <row r="2751" spans="1:4" hidden="1" outlineLevel="1" x14ac:dyDescent="0.2">
      <c r="A2751" s="722" t="s">
        <v>4138</v>
      </c>
      <c r="B2751" s="702" t="s">
        <v>1368</v>
      </c>
      <c r="C2751" s="703"/>
      <c r="D2751" s="723"/>
    </row>
    <row r="2752" spans="1:4" hidden="1" outlineLevel="1" x14ac:dyDescent="0.2">
      <c r="A2752" s="716" t="s">
        <v>4139</v>
      </c>
      <c r="B2752" s="705" t="s">
        <v>2634</v>
      </c>
      <c r="C2752" s="706"/>
      <c r="D2752" s="717"/>
    </row>
    <row r="2753" spans="1:4" hidden="1" outlineLevel="1" x14ac:dyDescent="0.2">
      <c r="A2753" s="720" t="s">
        <v>4140</v>
      </c>
      <c r="B2753" s="710" t="s">
        <v>2753</v>
      </c>
      <c r="C2753" s="711" t="s">
        <v>3</v>
      </c>
      <c r="D2753" s="721">
        <v>8.8000000000000007</v>
      </c>
    </row>
    <row r="2754" spans="1:4" hidden="1" outlineLevel="1" x14ac:dyDescent="0.2">
      <c r="A2754" s="718" t="s">
        <v>4141</v>
      </c>
      <c r="B2754" s="707" t="s">
        <v>3030</v>
      </c>
      <c r="C2754" s="708" t="s">
        <v>3</v>
      </c>
      <c r="D2754" s="719">
        <v>9</v>
      </c>
    </row>
    <row r="2755" spans="1:4" hidden="1" outlineLevel="1" x14ac:dyDescent="0.2">
      <c r="A2755" s="720" t="s">
        <v>4142</v>
      </c>
      <c r="B2755" s="710" t="s">
        <v>2755</v>
      </c>
      <c r="C2755" s="711" t="s">
        <v>3</v>
      </c>
      <c r="D2755" s="721">
        <v>13</v>
      </c>
    </row>
    <row r="2756" spans="1:4" hidden="1" outlineLevel="1" x14ac:dyDescent="0.2">
      <c r="A2756" s="718" t="s">
        <v>4143</v>
      </c>
      <c r="B2756" s="707" t="s">
        <v>2759</v>
      </c>
      <c r="C2756" s="708" t="s">
        <v>3</v>
      </c>
      <c r="D2756" s="719">
        <v>9.4</v>
      </c>
    </row>
    <row r="2757" spans="1:4" hidden="1" outlineLevel="1" x14ac:dyDescent="0.2">
      <c r="A2757" s="720" t="s">
        <v>4144</v>
      </c>
      <c r="B2757" s="710" t="s">
        <v>2761</v>
      </c>
      <c r="C2757" s="711" t="s">
        <v>3</v>
      </c>
      <c r="D2757" s="721">
        <v>18.8</v>
      </c>
    </row>
    <row r="2758" spans="1:4" hidden="1" outlineLevel="1" x14ac:dyDescent="0.2">
      <c r="A2758" s="718" t="s">
        <v>4145</v>
      </c>
      <c r="B2758" s="707" t="s">
        <v>2763</v>
      </c>
      <c r="C2758" s="708" t="s">
        <v>3</v>
      </c>
      <c r="D2758" s="719">
        <v>10.199999999999999</v>
      </c>
    </row>
    <row r="2759" spans="1:4" hidden="1" outlineLevel="1" x14ac:dyDescent="0.2">
      <c r="A2759" s="720" t="s">
        <v>4146</v>
      </c>
      <c r="B2759" s="710" t="s">
        <v>2767</v>
      </c>
      <c r="C2759" s="711" t="s">
        <v>3</v>
      </c>
      <c r="D2759" s="721">
        <v>13.6</v>
      </c>
    </row>
    <row r="2760" spans="1:4" hidden="1" outlineLevel="1" x14ac:dyDescent="0.2">
      <c r="A2760" s="718" t="s">
        <v>4147</v>
      </c>
      <c r="B2760" s="707" t="s">
        <v>2644</v>
      </c>
      <c r="C2760" s="708" t="s">
        <v>3</v>
      </c>
      <c r="D2760" s="719">
        <v>3.54</v>
      </c>
    </row>
    <row r="2761" spans="1:4" ht="13.5" hidden="1" outlineLevel="1" thickBot="1" x14ac:dyDescent="0.25">
      <c r="A2761" s="728" t="s">
        <v>4148</v>
      </c>
      <c r="B2761" s="729" t="s">
        <v>2646</v>
      </c>
      <c r="C2761" s="730" t="s">
        <v>3</v>
      </c>
      <c r="D2761" s="731">
        <v>2.72</v>
      </c>
    </row>
    <row r="2762" spans="1:4" hidden="1" outlineLevel="1" x14ac:dyDescent="0.2">
      <c r="A2762" s="712" t="s">
        <v>3923</v>
      </c>
      <c r="B2762" s="713" t="s">
        <v>1283</v>
      </c>
      <c r="C2762" s="714"/>
      <c r="D2762" s="715"/>
    </row>
    <row r="2763" spans="1:4" hidden="1" outlineLevel="1" x14ac:dyDescent="0.2">
      <c r="A2763" s="716" t="s">
        <v>3924</v>
      </c>
      <c r="B2763" s="705" t="s">
        <v>2648</v>
      </c>
      <c r="C2763" s="706"/>
      <c r="D2763" s="717"/>
    </row>
    <row r="2764" spans="1:4" hidden="1" outlineLevel="1" x14ac:dyDescent="0.2">
      <c r="A2764" s="718" t="s">
        <v>3925</v>
      </c>
      <c r="B2764" s="707" t="s">
        <v>3197</v>
      </c>
      <c r="C2764" s="708" t="s">
        <v>3</v>
      </c>
      <c r="D2764" s="719">
        <v>3.24</v>
      </c>
    </row>
    <row r="2765" spans="1:4" hidden="1" outlineLevel="1" x14ac:dyDescent="0.2">
      <c r="A2765" s="722" t="s">
        <v>4149</v>
      </c>
      <c r="B2765" s="702" t="s">
        <v>1283</v>
      </c>
      <c r="C2765" s="703"/>
      <c r="D2765" s="723"/>
    </row>
    <row r="2766" spans="1:4" hidden="1" outlineLevel="1" x14ac:dyDescent="0.2">
      <c r="A2766" s="716" t="s">
        <v>4150</v>
      </c>
      <c r="B2766" s="705" t="s">
        <v>2634</v>
      </c>
      <c r="C2766" s="706"/>
      <c r="D2766" s="717"/>
    </row>
    <row r="2767" spans="1:4" ht="13.5" hidden="1" outlineLevel="1" thickBot="1" x14ac:dyDescent="0.25">
      <c r="A2767" s="724" t="s">
        <v>4151</v>
      </c>
      <c r="B2767" s="725" t="s">
        <v>2646</v>
      </c>
      <c r="C2767" s="726" t="s">
        <v>3</v>
      </c>
      <c r="D2767" s="727">
        <v>2.72</v>
      </c>
    </row>
    <row r="2768" spans="1:4" collapsed="1" x14ac:dyDescent="0.2">
      <c r="A2768" s="698" t="s">
        <v>3926</v>
      </c>
      <c r="B2768" s="699" t="s">
        <v>3927</v>
      </c>
      <c r="C2768" s="700"/>
      <c r="D2768" s="701"/>
    </row>
    <row r="2769" spans="1:4" x14ac:dyDescent="0.2">
      <c r="A2769" s="651" t="s">
        <v>3687</v>
      </c>
      <c r="B2769" s="652" t="s">
        <v>5057</v>
      </c>
      <c r="C2769" s="653"/>
      <c r="D2769" s="654"/>
    </row>
    <row r="2770" spans="1:4" x14ac:dyDescent="0.2">
      <c r="A2770" s="655" t="s">
        <v>3688</v>
      </c>
      <c r="B2770" s="656" t="s">
        <v>1283</v>
      </c>
      <c r="C2770" s="657"/>
      <c r="D2770" s="658"/>
    </row>
    <row r="2771" spans="1:4" x14ac:dyDescent="0.2">
      <c r="A2771" s="659" t="s">
        <v>3689</v>
      </c>
      <c r="B2771" s="660" t="s">
        <v>1542</v>
      </c>
      <c r="C2771" s="661" t="s">
        <v>11</v>
      </c>
      <c r="D2771" s="662">
        <v>393.61</v>
      </c>
    </row>
  </sheetData>
  <mergeCells count="7">
    <mergeCell ref="A1:D1"/>
    <mergeCell ref="A8:D8"/>
    <mergeCell ref="A9:D9"/>
    <mergeCell ref="A10:A11"/>
    <mergeCell ref="B10:B11"/>
    <mergeCell ref="C10:C11"/>
    <mergeCell ref="D10:D11"/>
  </mergeCells>
  <phoneticPr fontId="37" type="noConversion"/>
  <pageMargins left="0.78749999999999998" right="0.78749999999999998" top="1.05277777777778" bottom="1.05277777777778" header="0.78749999999999998" footer="0.78749999999999998"/>
  <pageSetup paperSize="9" scale="53" orientation="landscape" useFirstPageNumber="1" horizontalDpi="300" verticalDpi="300"/>
  <headerFooter>
    <oddHeader>&amp;C&amp;"Times New Roman,Normal"&amp;12&amp;A</oddHeader>
    <oddFooter>&amp;C&amp;"Times New Roman,Normal"&amp;12Página 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B6463-5A8D-499A-AB4A-0918ED83FACC}">
  <sheetPr>
    <tabColor theme="0" tint="-0.34998626667073579"/>
  </sheetPr>
  <dimension ref="A1:L97"/>
  <sheetViews>
    <sheetView workbookViewId="0">
      <selection activeCell="E3" sqref="E3"/>
    </sheetView>
  </sheetViews>
  <sheetFormatPr defaultColWidth="9.140625" defaultRowHeight="15" x14ac:dyDescent="0.25"/>
  <cols>
    <col min="1" max="1" width="81" style="592" customWidth="1"/>
    <col min="2" max="2" width="14" style="592" bestFit="1" customWidth="1"/>
    <col min="3" max="3" width="13.140625" style="592" bestFit="1" customWidth="1"/>
    <col min="4" max="4" width="15.5703125" style="592" bestFit="1" customWidth="1"/>
    <col min="5" max="16384" width="9.140625" style="592"/>
  </cols>
  <sheetData>
    <row r="1" spans="1:11" ht="15.75" thickBot="1" x14ac:dyDescent="0.3">
      <c r="A1" s="592" t="s">
        <v>0</v>
      </c>
      <c r="B1" s="592" t="s">
        <v>861</v>
      </c>
      <c r="C1" s="592" t="s">
        <v>862</v>
      </c>
    </row>
    <row r="2" spans="1:11" x14ac:dyDescent="0.25">
      <c r="A2" s="590" t="s">
        <v>807</v>
      </c>
      <c r="B2" s="591">
        <f>'Obra '!E15</f>
        <v>799.52</v>
      </c>
      <c r="C2" s="591">
        <f>B2/$E$6</f>
        <v>6.0621362903990145E-2</v>
      </c>
      <c r="E2" s="592" t="s">
        <v>814</v>
      </c>
      <c r="I2" s="223" t="s">
        <v>259</v>
      </c>
      <c r="J2" s="221">
        <v>408.18</v>
      </c>
    </row>
    <row r="3" spans="1:11" ht="22.5" x14ac:dyDescent="0.25">
      <c r="A3" s="593" t="s">
        <v>808</v>
      </c>
      <c r="B3" s="594">
        <f>'Obra '!E16+'Obra '!E17+'Obra '!E18</f>
        <v>2410.5</v>
      </c>
      <c r="C3" s="594">
        <f t="shared" ref="C3:C8" si="0">B3/$E$6</f>
        <v>0.18276940574353143</v>
      </c>
      <c r="E3" s="592">
        <v>4174.83</v>
      </c>
      <c r="I3" s="223" t="s">
        <v>467</v>
      </c>
      <c r="J3" s="221">
        <v>416.94</v>
      </c>
    </row>
    <row r="4" spans="1:11" ht="22.5" x14ac:dyDescent="0.25">
      <c r="A4" s="593" t="s">
        <v>753</v>
      </c>
      <c r="B4" s="594">
        <f>'Obra '!E19</f>
        <v>748.28</v>
      </c>
      <c r="C4" s="594">
        <f t="shared" si="0"/>
        <v>5.6736233532366599E-2</v>
      </c>
      <c r="I4" s="223" t="s">
        <v>468</v>
      </c>
      <c r="J4" s="221">
        <v>416.98</v>
      </c>
    </row>
    <row r="5" spans="1:11" ht="33.75" x14ac:dyDescent="0.25">
      <c r="A5" s="593" t="s">
        <v>809</v>
      </c>
      <c r="B5" s="594">
        <f>'Obra '!E20</f>
        <v>796.98</v>
      </c>
      <c r="C5" s="594">
        <f t="shared" si="0"/>
        <v>6.0428774523741825E-2</v>
      </c>
      <c r="E5" s="592" t="s">
        <v>860</v>
      </c>
      <c r="I5" s="223" t="s">
        <v>858</v>
      </c>
      <c r="J5" s="221">
        <v>418.34</v>
      </c>
    </row>
    <row r="6" spans="1:11" x14ac:dyDescent="0.25">
      <c r="A6" s="593" t="s">
        <v>810</v>
      </c>
      <c r="B6" s="594">
        <f>'Obra '!E21</f>
        <v>7112.56</v>
      </c>
      <c r="C6" s="594">
        <f t="shared" si="0"/>
        <v>0.53928992512558049</v>
      </c>
      <c r="E6" s="592">
        <f>'Obra '!E9</f>
        <v>13188.75</v>
      </c>
      <c r="I6" s="223" t="s">
        <v>859</v>
      </c>
      <c r="J6" s="221">
        <v>2183.13</v>
      </c>
    </row>
    <row r="7" spans="1:11" x14ac:dyDescent="0.25">
      <c r="A7" s="593" t="s">
        <v>796</v>
      </c>
      <c r="B7" s="594">
        <f>'Obra '!E22</f>
        <v>547.12</v>
      </c>
      <c r="C7" s="594">
        <f t="shared" si="0"/>
        <v>4.1483840394275426E-2</v>
      </c>
      <c r="I7" s="223" t="s">
        <v>399</v>
      </c>
      <c r="J7" s="221">
        <v>240.76</v>
      </c>
      <c r="K7" s="929">
        <f>J7+J5/2</f>
        <v>449.92999999999995</v>
      </c>
    </row>
    <row r="8" spans="1:11" x14ac:dyDescent="0.25">
      <c r="A8" s="593" t="s">
        <v>797</v>
      </c>
      <c r="B8" s="594">
        <f>'Obra '!E23</f>
        <v>466.11</v>
      </c>
      <c r="C8" s="594">
        <f t="shared" si="0"/>
        <v>3.5341484219505261E-2</v>
      </c>
      <c r="I8" s="223" t="s">
        <v>431</v>
      </c>
      <c r="J8" s="221">
        <f>22.79+34.64+33.07</f>
        <v>90.5</v>
      </c>
    </row>
    <row r="9" spans="1:11" ht="15.75" thickBot="1" x14ac:dyDescent="0.3">
      <c r="A9" s="595" t="s">
        <v>811</v>
      </c>
      <c r="B9" s="596">
        <f>'Obra '!E24+'Obra '!E25</f>
        <v>307.68</v>
      </c>
      <c r="C9" s="596">
        <f>B9/$E$6</f>
        <v>2.3328973557008813E-2</v>
      </c>
    </row>
    <row r="10" spans="1:11" x14ac:dyDescent="0.25">
      <c r="C10" s="929"/>
    </row>
    <row r="11" spans="1:11" s="597" customFormat="1" hidden="1" x14ac:dyDescent="0.25">
      <c r="A11" s="1185" t="s">
        <v>806</v>
      </c>
      <c r="B11" s="1186"/>
      <c r="C11" s="1186"/>
      <c r="D11" s="1186"/>
      <c r="E11" s="1186"/>
      <c r="F11" s="1186"/>
      <c r="G11" s="1186"/>
      <c r="H11" s="1186"/>
      <c r="I11" s="1186"/>
      <c r="J11" s="1186"/>
      <c r="K11" s="1187"/>
    </row>
    <row r="12" spans="1:11" s="597" customFormat="1" ht="30" hidden="1" x14ac:dyDescent="0.25">
      <c r="A12" s="609" t="s">
        <v>812</v>
      </c>
      <c r="B12" s="609" t="s">
        <v>813</v>
      </c>
      <c r="C12" s="609" t="s">
        <v>815</v>
      </c>
      <c r="D12" s="609" t="s">
        <v>807</v>
      </c>
      <c r="E12" s="609" t="s">
        <v>808</v>
      </c>
      <c r="F12" s="609" t="s">
        <v>753</v>
      </c>
      <c r="G12" s="609" t="s">
        <v>809</v>
      </c>
      <c r="H12" s="609" t="s">
        <v>810</v>
      </c>
      <c r="I12" s="609" t="s">
        <v>796</v>
      </c>
      <c r="J12" s="609" t="s">
        <v>797</v>
      </c>
      <c r="K12" s="609" t="s">
        <v>811</v>
      </c>
    </row>
    <row r="13" spans="1:11" s="599" customFormat="1" ht="30" hidden="1" x14ac:dyDescent="0.2">
      <c r="A13" s="610" t="s">
        <v>816</v>
      </c>
      <c r="B13" s="612">
        <v>1660.76</v>
      </c>
      <c r="C13" s="612">
        <f t="shared" ref="C13:C22" si="1">B13/$E$3</f>
        <v>0.3978030243147625</v>
      </c>
      <c r="D13" s="611">
        <f>C13*$B$2</f>
        <v>318.05147400013891</v>
      </c>
      <c r="E13" s="611">
        <f>C13*$B$3</f>
        <v>958.90419011073504</v>
      </c>
      <c r="F13" s="611">
        <f>C13*$B$4</f>
        <v>297.66804703425049</v>
      </c>
      <c r="G13" s="611">
        <f>C13*$B$5</f>
        <v>317.04105431837945</v>
      </c>
      <c r="H13" s="604"/>
      <c r="I13" s="604"/>
      <c r="J13" s="604"/>
      <c r="K13" s="604"/>
    </row>
    <row r="14" spans="1:11" s="599" customFormat="1" ht="30" hidden="1" x14ac:dyDescent="0.2">
      <c r="A14" s="610" t="s">
        <v>817</v>
      </c>
      <c r="B14" s="612">
        <v>2856.1</v>
      </c>
      <c r="C14" s="612">
        <f t="shared" si="1"/>
        <v>0.6841236649156972</v>
      </c>
      <c r="D14" s="611">
        <f t="shared" ref="D14:D19" si="2">C14*$B$2</f>
        <v>546.97055257339821</v>
      </c>
      <c r="E14" s="611">
        <f t="shared" ref="E14:E22" si="3">C14*$B$3</f>
        <v>1649.080094279288</v>
      </c>
      <c r="F14" s="611">
        <f t="shared" ref="F14:F22" si="4">C14*$B$4</f>
        <v>511.91605598311787</v>
      </c>
      <c r="G14" s="611">
        <f t="shared" ref="G14:G22" si="5">C14*$B$5</f>
        <v>545.2328784645124</v>
      </c>
      <c r="H14" s="604"/>
      <c r="I14" s="604"/>
      <c r="J14" s="604"/>
      <c r="K14" s="604"/>
    </row>
    <row r="15" spans="1:11" s="599" customFormat="1" ht="30" hidden="1" x14ac:dyDescent="0.2">
      <c r="A15" s="610" t="s">
        <v>819</v>
      </c>
      <c r="B15" s="612">
        <v>157.71</v>
      </c>
      <c r="C15" s="612">
        <f t="shared" si="1"/>
        <v>3.7776388499651488E-2</v>
      </c>
      <c r="D15" s="611">
        <f>C15*$B$2</f>
        <v>30.202978133241356</v>
      </c>
      <c r="E15" s="611">
        <f>C15*$B$3</f>
        <v>91.059984478409916</v>
      </c>
      <c r="F15" s="611">
        <f t="shared" si="4"/>
        <v>28.267315986519215</v>
      </c>
      <c r="G15" s="611">
        <f t="shared" si="5"/>
        <v>30.107026106452242</v>
      </c>
      <c r="H15" s="604"/>
      <c r="I15" s="604"/>
      <c r="J15" s="604"/>
      <c r="K15" s="604"/>
    </row>
    <row r="16" spans="1:11" s="599" customFormat="1" ht="30" hidden="1" x14ac:dyDescent="0.2">
      <c r="A16" s="610" t="s">
        <v>820</v>
      </c>
      <c r="B16" s="612">
        <v>32.68</v>
      </c>
      <c r="C16" s="612">
        <f t="shared" si="1"/>
        <v>7.8278636495378254E-3</v>
      </c>
      <c r="D16" s="611"/>
      <c r="E16" s="611"/>
      <c r="F16" s="611"/>
      <c r="G16" s="611">
        <f t="shared" si="5"/>
        <v>6.2386507714086559</v>
      </c>
      <c r="H16" s="604"/>
      <c r="I16" s="604"/>
      <c r="J16" s="604"/>
      <c r="K16" s="604"/>
    </row>
    <row r="17" spans="1:12" s="599" customFormat="1" ht="30" hidden="1" x14ac:dyDescent="0.2">
      <c r="A17" s="610" t="s">
        <v>818</v>
      </c>
      <c r="B17" s="612">
        <v>592.66</v>
      </c>
      <c r="C17" s="612">
        <f t="shared" si="1"/>
        <v>0.14196027143620218</v>
      </c>
      <c r="D17" s="611">
        <f t="shared" si="2"/>
        <v>113.50007621867236</v>
      </c>
      <c r="E17" s="611">
        <f t="shared" si="3"/>
        <v>342.19523429696534</v>
      </c>
      <c r="F17" s="611">
        <f t="shared" si="4"/>
        <v>106.22603191028136</v>
      </c>
      <c r="G17" s="611">
        <f t="shared" si="5"/>
        <v>113.13949712922442</v>
      </c>
      <c r="H17" s="604"/>
      <c r="I17" s="604"/>
      <c r="J17" s="604"/>
      <c r="K17" s="604"/>
    </row>
    <row r="18" spans="1:12" s="599" customFormat="1" hidden="1" x14ac:dyDescent="0.2">
      <c r="A18" s="610" t="s">
        <v>544</v>
      </c>
      <c r="B18" s="612">
        <v>102.31</v>
      </c>
      <c r="C18" s="612">
        <f t="shared" si="1"/>
        <v>2.4506387086420285E-2</v>
      </c>
      <c r="D18" s="611"/>
      <c r="E18" s="611"/>
      <c r="F18" s="611"/>
      <c r="G18" s="611">
        <f t="shared" si="5"/>
        <v>19.531100380135239</v>
      </c>
      <c r="H18" s="611">
        <f>C18*B6</f>
        <v>174.30314853538948</v>
      </c>
      <c r="I18" s="611">
        <f>C18*B7</f>
        <v>13.407934502722267</v>
      </c>
      <c r="J18" s="611">
        <f>C18*B8</f>
        <v>11.42267208485136</v>
      </c>
      <c r="K18" s="611"/>
    </row>
    <row r="19" spans="1:12" s="599" customFormat="1" hidden="1" x14ac:dyDescent="0.2">
      <c r="A19" s="610" t="s">
        <v>407</v>
      </c>
      <c r="B19" s="612">
        <v>2809.03</v>
      </c>
      <c r="C19" s="612">
        <f t="shared" si="1"/>
        <v>0.67284895432867931</v>
      </c>
      <c r="D19" s="611">
        <f t="shared" si="2"/>
        <v>537.95619596486563</v>
      </c>
      <c r="E19" s="611">
        <f t="shared" si="3"/>
        <v>1621.9024044092814</v>
      </c>
      <c r="F19" s="611">
        <f t="shared" si="4"/>
        <v>503.47941554506411</v>
      </c>
      <c r="G19" s="611">
        <f t="shared" si="5"/>
        <v>536.24715962087089</v>
      </c>
      <c r="H19" s="604"/>
      <c r="I19" s="604"/>
      <c r="J19" s="604"/>
      <c r="K19" s="604"/>
    </row>
    <row r="20" spans="1:12" s="599" customFormat="1" hidden="1" x14ac:dyDescent="0.2">
      <c r="A20" s="610" t="s">
        <v>408</v>
      </c>
      <c r="B20" s="612">
        <v>2629</v>
      </c>
      <c r="C20" s="612">
        <f t="shared" si="1"/>
        <v>0.62972624034990643</v>
      </c>
      <c r="D20" s="611">
        <f>C20*$B$2</f>
        <v>503.47872368455717</v>
      </c>
      <c r="E20" s="611">
        <f t="shared" si="3"/>
        <v>1517.9551023634494</v>
      </c>
      <c r="F20" s="611">
        <f t="shared" si="4"/>
        <v>471.21155112902795</v>
      </c>
      <c r="G20" s="611">
        <f t="shared" si="5"/>
        <v>501.87921903406846</v>
      </c>
      <c r="H20" s="604"/>
      <c r="I20" s="604"/>
      <c r="J20" s="604"/>
      <c r="K20" s="604"/>
    </row>
    <row r="21" spans="1:12" s="599" customFormat="1" ht="30" hidden="1" x14ac:dyDescent="0.2">
      <c r="A21" s="610" t="s">
        <v>823</v>
      </c>
      <c r="B21" s="612">
        <v>557.58000000000004</v>
      </c>
      <c r="C21" s="612">
        <f t="shared" si="1"/>
        <v>0.13355753407923199</v>
      </c>
      <c r="D21" s="611">
        <f>C21*$B$2</f>
        <v>106.78191964702755</v>
      </c>
      <c r="E21" s="611">
        <f t="shared" si="3"/>
        <v>321.94043589798872</v>
      </c>
      <c r="F21" s="611">
        <f t="shared" si="4"/>
        <v>99.938431600807704</v>
      </c>
      <c r="G21" s="611">
        <f t="shared" si="5"/>
        <v>106.44268351046631</v>
      </c>
      <c r="H21" s="611">
        <f>C21*B6</f>
        <v>949.9359745905823</v>
      </c>
      <c r="I21" s="611">
        <f>C21*B7</f>
        <v>73.07199804542941</v>
      </c>
      <c r="J21" s="611">
        <f>C21*B8</f>
        <v>62.252502209670823</v>
      </c>
      <c r="K21" s="611"/>
    </row>
    <row r="22" spans="1:12" s="599" customFormat="1" hidden="1" x14ac:dyDescent="0.2">
      <c r="A22" s="610" t="s">
        <v>409</v>
      </c>
      <c r="B22" s="612">
        <v>692.05</v>
      </c>
      <c r="C22" s="612">
        <f t="shared" si="1"/>
        <v>0.16576722884524639</v>
      </c>
      <c r="D22" s="611">
        <f>C22*$B$2</f>
        <v>132.5342148063514</v>
      </c>
      <c r="E22" s="611">
        <f t="shared" si="3"/>
        <v>399.58190513146644</v>
      </c>
      <c r="F22" s="611">
        <f t="shared" si="4"/>
        <v>124.04030200032096</v>
      </c>
      <c r="G22" s="611">
        <f t="shared" si="5"/>
        <v>132.11316604508448</v>
      </c>
      <c r="H22" s="604"/>
      <c r="I22" s="604"/>
      <c r="J22" s="604"/>
      <c r="K22" s="604"/>
    </row>
    <row r="23" spans="1:12" s="597" customFormat="1" hidden="1" x14ac:dyDescent="0.25">
      <c r="A23" s="1185" t="s">
        <v>844</v>
      </c>
      <c r="B23" s="1186"/>
      <c r="C23" s="1186"/>
      <c r="D23" s="1186"/>
      <c r="E23" s="1186"/>
      <c r="F23" s="1186"/>
      <c r="G23" s="1186"/>
      <c r="H23" s="1186"/>
      <c r="I23" s="1186"/>
      <c r="J23" s="1186"/>
      <c r="K23" s="1187"/>
    </row>
    <row r="24" spans="1:12" s="597" customFormat="1" ht="30" hidden="1" x14ac:dyDescent="0.25">
      <c r="A24" s="609" t="s">
        <v>812</v>
      </c>
      <c r="B24" s="609" t="s">
        <v>813</v>
      </c>
      <c r="C24" s="609" t="s">
        <v>815</v>
      </c>
      <c r="D24" s="609" t="s">
        <v>807</v>
      </c>
      <c r="E24" s="609" t="s">
        <v>808</v>
      </c>
      <c r="F24" s="609" t="s">
        <v>753</v>
      </c>
      <c r="G24" s="609" t="s">
        <v>809</v>
      </c>
      <c r="H24" s="609" t="s">
        <v>810</v>
      </c>
      <c r="I24" s="609" t="s">
        <v>796</v>
      </c>
      <c r="J24" s="609" t="s">
        <v>797</v>
      </c>
      <c r="K24" s="609" t="s">
        <v>811</v>
      </c>
    </row>
    <row r="25" spans="1:12" s="599" customFormat="1" hidden="1" x14ac:dyDescent="0.2">
      <c r="A25" s="610" t="s">
        <v>845</v>
      </c>
      <c r="B25" s="612">
        <v>437.1</v>
      </c>
      <c r="C25" s="613">
        <f>B25/J2</f>
        <v>1.0708510951051007</v>
      </c>
      <c r="D25" s="611">
        <f>C25*$B$2</f>
        <v>856.16686755843011</v>
      </c>
      <c r="E25" s="611"/>
      <c r="F25" s="611"/>
      <c r="G25" s="611"/>
      <c r="H25" s="611"/>
      <c r="I25" s="611"/>
      <c r="J25" s="611"/>
      <c r="K25" s="604"/>
      <c r="L25" s="599" t="s">
        <v>855</v>
      </c>
    </row>
    <row r="26" spans="1:12" s="599" customFormat="1" hidden="1" x14ac:dyDescent="0.2">
      <c r="A26" s="610" t="s">
        <v>846</v>
      </c>
      <c r="B26" s="612">
        <v>835.55</v>
      </c>
      <c r="C26" s="613">
        <f>B26/(J3+J5+J6+J7+J8)</f>
        <v>0.24944248239378802</v>
      </c>
      <c r="D26" s="611">
        <f>C26*$B$2</f>
        <v>199.4342535234814</v>
      </c>
      <c r="E26" s="611"/>
      <c r="F26" s="611"/>
      <c r="G26" s="611">
        <f>C26*$B$5</f>
        <v>198.80066961820117</v>
      </c>
      <c r="H26" s="611">
        <f>C26*$B$6</f>
        <v>1774.1746225747611</v>
      </c>
      <c r="I26" s="611">
        <f>C26*$B$7</f>
        <v>136.47497096728929</v>
      </c>
      <c r="J26" s="611">
        <f>C26*$B$8</f>
        <v>116.26763546856854</v>
      </c>
      <c r="K26" s="604">
        <f>C26*$B$9</f>
        <v>76.748462982920699</v>
      </c>
    </row>
    <row r="27" spans="1:12" s="599" customFormat="1" hidden="1" x14ac:dyDescent="0.2">
      <c r="A27" s="610" t="s">
        <v>847</v>
      </c>
      <c r="B27" s="612">
        <v>123.38</v>
      </c>
      <c r="C27" s="613">
        <f>B27/(J5+J6+J7)</f>
        <v>4.3409576283411258E-2</v>
      </c>
      <c r="D27" s="611"/>
      <c r="E27" s="611"/>
      <c r="F27" s="611"/>
      <c r="G27" s="611">
        <f>C27*$B$5</f>
        <v>34.596564106353107</v>
      </c>
      <c r="H27" s="611">
        <f>C27*$B$6</f>
        <v>308.75321589033962</v>
      </c>
      <c r="I27" s="611">
        <f>C27*$B$7</f>
        <v>23.750247376179967</v>
      </c>
      <c r="J27" s="611">
        <f>C27*$B$8</f>
        <v>20.233637601460821</v>
      </c>
      <c r="K27" s="604"/>
      <c r="L27" s="599" t="s">
        <v>856</v>
      </c>
    </row>
    <row r="28" spans="1:12" s="599" customFormat="1" ht="30" hidden="1" x14ac:dyDescent="0.2">
      <c r="A28" s="610" t="s">
        <v>848</v>
      </c>
      <c r="B28" s="612">
        <v>1696.63</v>
      </c>
      <c r="C28" s="613">
        <f>B28/(J3+J5+J6+J7+J8)</f>
        <v>0.50650661109900386</v>
      </c>
      <c r="D28" s="611"/>
      <c r="E28" s="611"/>
      <c r="F28" s="611"/>
      <c r="G28" s="611">
        <f>C28*$B$5</f>
        <v>403.67563891368411</v>
      </c>
      <c r="H28" s="611">
        <f>C28*$B$6</f>
        <v>3602.5586618383309</v>
      </c>
      <c r="I28" s="611">
        <f>C28*$B$7</f>
        <v>277.11989706448702</v>
      </c>
      <c r="J28" s="611">
        <f>C28*$B$8</f>
        <v>236.0877964993567</v>
      </c>
      <c r="K28" s="604">
        <f>C28*$B$9</f>
        <v>155.84195410294151</v>
      </c>
    </row>
    <row r="29" spans="1:12" s="599" customFormat="1" ht="30" hidden="1" x14ac:dyDescent="0.2">
      <c r="A29" s="610" t="s">
        <v>545</v>
      </c>
      <c r="B29" s="612">
        <v>385.62</v>
      </c>
      <c r="C29" s="613">
        <f>B29/(J2+J3+J5+J7+J8)</f>
        <v>0.24488162975005079</v>
      </c>
      <c r="D29" s="611"/>
      <c r="E29" s="611"/>
      <c r="F29" s="611"/>
      <c r="G29" s="611">
        <f>C29*$B$5</f>
        <v>195.16576127819548</v>
      </c>
      <c r="H29" s="611"/>
      <c r="I29" s="611"/>
      <c r="J29" s="611">
        <f>C29*$B$8</f>
        <v>114.14177644279617</v>
      </c>
      <c r="K29" s="604">
        <f>186.74+202.93</f>
        <v>389.67</v>
      </c>
      <c r="L29" s="599" t="s">
        <v>857</v>
      </c>
    </row>
    <row r="30" spans="1:12" s="599" customFormat="1" hidden="1" x14ac:dyDescent="0.2">
      <c r="A30" s="610" t="s">
        <v>849</v>
      </c>
      <c r="B30" s="612">
        <v>343.2</v>
      </c>
      <c r="C30" s="613">
        <f>B30/(J2+J3+J5+J7+J8)</f>
        <v>0.21794350741719162</v>
      </c>
      <c r="D30" s="611"/>
      <c r="E30" s="611"/>
      <c r="F30" s="611"/>
      <c r="G30" s="611">
        <f>C30*$B$5</f>
        <v>173.69661654135339</v>
      </c>
      <c r="H30" s="611"/>
      <c r="I30" s="611"/>
      <c r="J30" s="611">
        <f>C30*$B$8</f>
        <v>101.58564824222719</v>
      </c>
      <c r="K30" s="604">
        <f>C30*$B$9</f>
        <v>67.056858362121517</v>
      </c>
    </row>
    <row r="31" spans="1:12" s="597" customFormat="1" hidden="1" x14ac:dyDescent="0.25">
      <c r="A31" s="1185" t="s">
        <v>552</v>
      </c>
      <c r="B31" s="1186"/>
      <c r="C31" s="1186"/>
      <c r="D31" s="1186"/>
      <c r="E31" s="1186"/>
      <c r="F31" s="1186"/>
      <c r="G31" s="1186"/>
      <c r="H31" s="1186"/>
      <c r="I31" s="1186"/>
      <c r="J31" s="1186"/>
      <c r="K31" s="1187"/>
    </row>
    <row r="32" spans="1:12" s="597" customFormat="1" ht="30" hidden="1" x14ac:dyDescent="0.25">
      <c r="A32" s="609" t="s">
        <v>812</v>
      </c>
      <c r="B32" s="609" t="s">
        <v>813</v>
      </c>
      <c r="C32" s="609" t="s">
        <v>815</v>
      </c>
      <c r="D32" s="609" t="s">
        <v>807</v>
      </c>
      <c r="E32" s="609" t="s">
        <v>808</v>
      </c>
      <c r="F32" s="609" t="s">
        <v>753</v>
      </c>
      <c r="G32" s="609" t="s">
        <v>809</v>
      </c>
      <c r="H32" s="609" t="s">
        <v>810</v>
      </c>
      <c r="I32" s="609" t="s">
        <v>796</v>
      </c>
      <c r="J32" s="609" t="s">
        <v>797</v>
      </c>
      <c r="K32" s="609" t="s">
        <v>811</v>
      </c>
    </row>
    <row r="33" spans="1:11" s="599" customFormat="1" hidden="1" x14ac:dyDescent="0.2">
      <c r="A33" s="610" t="s">
        <v>979</v>
      </c>
      <c r="B33" s="612">
        <v>6570.47</v>
      </c>
      <c r="C33" s="613">
        <f>B33/E3</f>
        <v>1.573829353530563</v>
      </c>
      <c r="D33" s="611">
        <f>C33*$B$2</f>
        <v>1258.3080447347556</v>
      </c>
      <c r="E33" s="611">
        <f>C33*$B$3</f>
        <v>3793.7156566854219</v>
      </c>
      <c r="F33" s="611">
        <f>C33*$B$4</f>
        <v>1177.6650286598497</v>
      </c>
      <c r="G33" s="611">
        <f>C33*$B$5</f>
        <v>1254.310518176788</v>
      </c>
      <c r="H33" s="611">
        <f>C33*$B$6</f>
        <v>11193.955706747342</v>
      </c>
      <c r="I33" s="611">
        <f>C33*$B$7</f>
        <v>861.07351590364158</v>
      </c>
      <c r="J33" s="611">
        <f>C33*$B$8</f>
        <v>733.57759997413075</v>
      </c>
      <c r="K33" s="605">
        <f>C33*$B$9</f>
        <v>484.2358154942836</v>
      </c>
    </row>
    <row r="34" spans="1:11" s="599" customFormat="1" hidden="1" x14ac:dyDescent="0.2">
      <c r="A34" s="610" t="s">
        <v>980</v>
      </c>
      <c r="B34" s="612">
        <v>1929.17</v>
      </c>
      <c r="C34" s="613">
        <f>B34/E3</f>
        <v>0.46209546256973338</v>
      </c>
      <c r="D34" s="611">
        <f t="shared" ref="D34:D40" si="6">C34*$B$2</f>
        <v>369.45456423375322</v>
      </c>
      <c r="E34" s="611">
        <f>C34*$B$3</f>
        <v>1113.8811125243424</v>
      </c>
      <c r="F34" s="611">
        <f t="shared" ref="F34:F40" si="7">C34*$B$4</f>
        <v>345.77679273168008</v>
      </c>
      <c r="G34" s="611">
        <f>C34*$B$5</f>
        <v>368.28084175882611</v>
      </c>
      <c r="H34" s="611">
        <f t="shared" ref="H34:H40" si="8">C34*$B$6</f>
        <v>3286.6817032549829</v>
      </c>
      <c r="I34" s="611">
        <f t="shared" ref="I34:I40" si="9">C34*$B$7</f>
        <v>252.82166948115253</v>
      </c>
      <c r="J34" s="611">
        <f t="shared" ref="J34:J40" si="10">C34*$B$8</f>
        <v>215.38731605837845</v>
      </c>
      <c r="K34" s="605">
        <f>C34*$B$9</f>
        <v>142.17753192345558</v>
      </c>
    </row>
    <row r="35" spans="1:11" s="599" customFormat="1" ht="15" hidden="1" customHeight="1" x14ac:dyDescent="0.2">
      <c r="A35" s="610" t="s">
        <v>553</v>
      </c>
      <c r="B35" s="612">
        <v>8499.64</v>
      </c>
      <c r="C35" s="613">
        <f>B35/E3</f>
        <v>2.0359248161002963</v>
      </c>
      <c r="D35" s="611">
        <f t="shared" si="6"/>
        <v>1627.7626089685089</v>
      </c>
      <c r="E35" s="611">
        <f>C35*$B$3</f>
        <v>4907.5967692097638</v>
      </c>
      <c r="F35" s="611">
        <f t="shared" si="7"/>
        <v>1523.4418213915296</v>
      </c>
      <c r="G35" s="611">
        <f>C35*$B$5</f>
        <v>1622.5913599356143</v>
      </c>
      <c r="H35" s="611">
        <f t="shared" si="8"/>
        <v>14480.637410002324</v>
      </c>
      <c r="I35" s="611">
        <f t="shared" si="9"/>
        <v>1113.8951853847941</v>
      </c>
      <c r="J35" s="611">
        <f t="shared" si="10"/>
        <v>948.96491603250911</v>
      </c>
      <c r="K35" s="605">
        <f>C35*$B$9</f>
        <v>626.41334741773915</v>
      </c>
    </row>
    <row r="36" spans="1:11" s="599" customFormat="1" hidden="1" x14ac:dyDescent="0.2">
      <c r="A36" s="610" t="s">
        <v>419</v>
      </c>
      <c r="B36" s="612">
        <v>885.69</v>
      </c>
      <c r="C36" s="613">
        <f>B36/E3</f>
        <v>0.21214995580658375</v>
      </c>
      <c r="D36" s="611">
        <f t="shared" si="6"/>
        <v>169.61813266647982</v>
      </c>
      <c r="E36" s="611">
        <f>C36*$B$3</f>
        <v>511.38746847177009</v>
      </c>
      <c r="F36" s="611">
        <f t="shared" si="7"/>
        <v>158.74756893095048</v>
      </c>
      <c r="G36" s="611">
        <f>C36*$B$5</f>
        <v>169.07927177873111</v>
      </c>
      <c r="H36" s="611">
        <f t="shared" si="8"/>
        <v>1508.9292896716754</v>
      </c>
      <c r="I36" s="611">
        <f t="shared" si="9"/>
        <v>116.0714838208981</v>
      </c>
      <c r="J36" s="611">
        <f t="shared" si="10"/>
        <v>98.88521590100676</v>
      </c>
      <c r="K36" s="605">
        <f>C36*$B$9</f>
        <v>65.274298402569684</v>
      </c>
    </row>
    <row r="37" spans="1:11" s="599" customFormat="1" hidden="1" x14ac:dyDescent="0.2">
      <c r="A37" s="610" t="s">
        <v>981</v>
      </c>
      <c r="B37" s="612">
        <v>887.85</v>
      </c>
      <c r="C37" s="613">
        <f>B37/(J6+J5/2)</f>
        <v>0.37112820298457549</v>
      </c>
      <c r="D37" s="611"/>
      <c r="E37" s="611"/>
      <c r="F37" s="611"/>
      <c r="G37" s="611"/>
      <c r="H37" s="611">
        <f t="shared" si="8"/>
        <v>2639.6716114199726</v>
      </c>
      <c r="I37" s="611">
        <f t="shared" si="9"/>
        <v>203.05166241692095</v>
      </c>
      <c r="J37" s="611">
        <f t="shared" si="10"/>
        <v>172.9865666931405</v>
      </c>
      <c r="K37" s="605"/>
    </row>
    <row r="38" spans="1:11" s="599" customFormat="1" hidden="1" x14ac:dyDescent="0.2">
      <c r="A38" s="610" t="s">
        <v>982</v>
      </c>
      <c r="B38" s="612">
        <v>83.98</v>
      </c>
      <c r="C38" s="613">
        <f>B38/J7</f>
        <v>0.34881209503239746</v>
      </c>
      <c r="D38" s="611"/>
      <c r="E38" s="611"/>
      <c r="F38" s="611"/>
      <c r="G38" s="611">
        <f>C38*$B$5</f>
        <v>277.99626349892014</v>
      </c>
      <c r="H38" s="611"/>
      <c r="I38" s="611"/>
      <c r="J38" s="611"/>
      <c r="K38" s="605"/>
    </row>
    <row r="39" spans="1:11" s="599" customFormat="1" hidden="1" x14ac:dyDescent="0.2">
      <c r="A39" s="610" t="s">
        <v>983</v>
      </c>
      <c r="B39" s="612">
        <v>11.48</v>
      </c>
      <c r="C39" s="613">
        <f>B39/J2</f>
        <v>2.8124846881277869E-2</v>
      </c>
      <c r="D39" s="611">
        <f t="shared" si="6"/>
        <v>22.486377578519281</v>
      </c>
      <c r="E39" s="611"/>
      <c r="F39" s="611"/>
      <c r="G39" s="611"/>
      <c r="H39" s="611"/>
      <c r="I39" s="611"/>
      <c r="J39" s="611"/>
      <c r="K39" s="605"/>
    </row>
    <row r="40" spans="1:11" s="599" customFormat="1" hidden="1" x14ac:dyDescent="0.2">
      <c r="A40" s="610" t="s">
        <v>984</v>
      </c>
      <c r="B40" s="612">
        <v>91.4</v>
      </c>
      <c r="C40" s="613">
        <f>B40/(J2+J4+J5+J6+J7)</f>
        <v>2.4922356226089945E-2</v>
      </c>
      <c r="D40" s="611">
        <f t="shared" si="6"/>
        <v>19.925922249883431</v>
      </c>
      <c r="E40" s="611"/>
      <c r="F40" s="611">
        <f t="shared" si="7"/>
        <v>18.648900716858584</v>
      </c>
      <c r="G40" s="611">
        <f>C40*$B$5</f>
        <v>19.862619465069166</v>
      </c>
      <c r="H40" s="611">
        <f t="shared" si="8"/>
        <v>177.2617539994383</v>
      </c>
      <c r="I40" s="611">
        <f t="shared" si="9"/>
        <v>13.635519538418331</v>
      </c>
      <c r="J40" s="611">
        <f t="shared" si="10"/>
        <v>11.616559460542785</v>
      </c>
      <c r="K40" s="605"/>
    </row>
    <row r="41" spans="1:11" hidden="1" x14ac:dyDescent="0.25"/>
    <row r="42" spans="1:11" s="597" customFormat="1" hidden="1" x14ac:dyDescent="0.25">
      <c r="A42" s="1185" t="s">
        <v>554</v>
      </c>
      <c r="B42" s="1186"/>
      <c r="C42" s="1186"/>
      <c r="D42" s="1186"/>
      <c r="E42" s="1186"/>
      <c r="F42" s="1186"/>
      <c r="G42" s="1186"/>
      <c r="H42" s="1186"/>
      <c r="I42" s="1186"/>
      <c r="J42" s="1186"/>
      <c r="K42" s="1187"/>
    </row>
    <row r="43" spans="1:11" s="597" customFormat="1" ht="30" hidden="1" x14ac:dyDescent="0.25">
      <c r="A43" s="609" t="s">
        <v>812</v>
      </c>
      <c r="B43" s="609" t="s">
        <v>813</v>
      </c>
      <c r="C43" s="609" t="s">
        <v>815</v>
      </c>
      <c r="D43" s="609" t="s">
        <v>807</v>
      </c>
      <c r="E43" s="609" t="s">
        <v>808</v>
      </c>
      <c r="F43" s="609" t="s">
        <v>753</v>
      </c>
      <c r="G43" s="609" t="s">
        <v>809</v>
      </c>
      <c r="H43" s="609" t="s">
        <v>810</v>
      </c>
      <c r="I43" s="609" t="s">
        <v>796</v>
      </c>
      <c r="J43" s="609" t="s">
        <v>797</v>
      </c>
      <c r="K43" s="609" t="s">
        <v>811</v>
      </c>
    </row>
    <row r="44" spans="1:11" s="599" customFormat="1" hidden="1" x14ac:dyDescent="0.2">
      <c r="A44" s="610" t="s">
        <v>999</v>
      </c>
      <c r="B44" s="612">
        <v>1108.01</v>
      </c>
      <c r="C44" s="613">
        <f>B44/(J2+J3+J4+J8)</f>
        <v>0.83146480564310377</v>
      </c>
      <c r="D44" s="611">
        <f>C44*$B$2</f>
        <v>664.77274140777433</v>
      </c>
      <c r="E44" s="611">
        <f>C44*$B$3</f>
        <v>2004.2459140027017</v>
      </c>
      <c r="F44" s="611">
        <f>C44*$B$4</f>
        <v>622.16848476662165</v>
      </c>
      <c r="G44" s="611"/>
      <c r="H44" s="611"/>
      <c r="I44" s="611"/>
      <c r="J44" s="611"/>
      <c r="K44" s="605">
        <f>C44*$B$9</f>
        <v>255.82509140027017</v>
      </c>
    </row>
    <row r="45" spans="1:11" s="599" customFormat="1" hidden="1" x14ac:dyDescent="0.2">
      <c r="A45" s="610" t="s">
        <v>556</v>
      </c>
      <c r="B45" s="612">
        <v>2206.7800000000002</v>
      </c>
      <c r="C45" s="613">
        <f>B45/(J5+J6+J7)</f>
        <v>0.77642555317479578</v>
      </c>
      <c r="D45" s="611">
        <f>(40/B45)*B2</f>
        <v>14.492065362201942</v>
      </c>
      <c r="E45" s="611">
        <f>(40/B45)*B3</f>
        <v>43.692620016494622</v>
      </c>
      <c r="F45" s="611">
        <f>(40/B45)*B4</f>
        <v>13.563291311322379</v>
      </c>
      <c r="G45" s="611">
        <f>C45*$B$5</f>
        <v>618.79563736924877</v>
      </c>
      <c r="H45" s="611">
        <f>C45*$B$6</f>
        <v>5522.3733324889254</v>
      </c>
      <c r="I45" s="611">
        <f>C45*$B$7</f>
        <v>424.79794865299425</v>
      </c>
      <c r="J45" s="611">
        <f>C45*$B$8</f>
        <v>361.89971459030409</v>
      </c>
      <c r="K45" s="605"/>
    </row>
    <row r="46" spans="1:11" s="599" customFormat="1" ht="15" hidden="1" customHeight="1" x14ac:dyDescent="0.2">
      <c r="A46" s="610" t="s">
        <v>1000</v>
      </c>
      <c r="B46" s="612">
        <v>2648.14</v>
      </c>
      <c r="C46" s="613">
        <f>B46/E14</f>
        <v>1.6058286126832062</v>
      </c>
      <c r="D46" s="611"/>
      <c r="E46" s="611"/>
      <c r="F46" s="611"/>
      <c r="G46" s="611">
        <f>C46*$B$5</f>
        <v>1279.8132877362616</v>
      </c>
      <c r="H46" s="611">
        <f>C46*$B$6</f>
        <v>11421.552357426066</v>
      </c>
      <c r="I46" s="611">
        <f>C46*$B$7</f>
        <v>878.5809505712358</v>
      </c>
      <c r="J46" s="611">
        <f>C46*$B$8</f>
        <v>748.49277465776925</v>
      </c>
      <c r="K46" s="605"/>
    </row>
    <row r="47" spans="1:11" hidden="1" x14ac:dyDescent="0.25"/>
    <row r="48" spans="1:11" s="597" customFormat="1" hidden="1" x14ac:dyDescent="0.25">
      <c r="A48" s="1185" t="s">
        <v>554</v>
      </c>
      <c r="B48" s="1186"/>
      <c r="C48" s="1186"/>
      <c r="D48" s="1186"/>
      <c r="E48" s="1186"/>
      <c r="F48" s="1186"/>
      <c r="G48" s="1186"/>
      <c r="H48" s="1186"/>
      <c r="I48" s="1186"/>
      <c r="J48" s="1186"/>
      <c r="K48" s="1187"/>
    </row>
    <row r="49" spans="1:11" s="597" customFormat="1" ht="30" hidden="1" x14ac:dyDescent="0.25">
      <c r="A49" s="609" t="s">
        <v>812</v>
      </c>
      <c r="B49" s="609" t="s">
        <v>813</v>
      </c>
      <c r="C49" s="609" t="s">
        <v>815</v>
      </c>
      <c r="D49" s="609" t="s">
        <v>807</v>
      </c>
      <c r="E49" s="609" t="s">
        <v>808</v>
      </c>
      <c r="F49" s="609" t="s">
        <v>753</v>
      </c>
      <c r="G49" s="609" t="s">
        <v>809</v>
      </c>
      <c r="H49" s="609" t="s">
        <v>810</v>
      </c>
      <c r="I49" s="609" t="s">
        <v>796</v>
      </c>
      <c r="J49" s="609" t="s">
        <v>797</v>
      </c>
      <c r="K49" s="609" t="s">
        <v>811</v>
      </c>
    </row>
    <row r="50" spans="1:11" s="599" customFormat="1" hidden="1" x14ac:dyDescent="0.2">
      <c r="A50" s="610" t="s">
        <v>420</v>
      </c>
      <c r="B50" s="612">
        <v>2062.39</v>
      </c>
      <c r="C50" s="613">
        <f>B50/$E$3</f>
        <v>0.49400574394646007</v>
      </c>
      <c r="D50" s="611">
        <f>13.29+2.29+2.26+3.14</f>
        <v>20.979999999999997</v>
      </c>
      <c r="E50" s="611">
        <f>20.89*3</f>
        <v>62.67</v>
      </c>
      <c r="F50" s="611">
        <v>20.89</v>
      </c>
      <c r="G50" s="611">
        <f>C50*$B$5</f>
        <v>393.71269781044975</v>
      </c>
      <c r="H50" s="611">
        <f>C50*$B$6</f>
        <v>3513.6454941638344</v>
      </c>
      <c r="I50" s="611">
        <f>C50*$B$7</f>
        <v>270.28042262798726</v>
      </c>
      <c r="J50" s="611">
        <f>C50*$B$8</f>
        <v>230.26101731088451</v>
      </c>
      <c r="K50" s="605">
        <f>C50*$B$9</f>
        <v>151.99568729744684</v>
      </c>
    </row>
    <row r="51" spans="1:11" s="599" customFormat="1" hidden="1" x14ac:dyDescent="0.2">
      <c r="A51" s="610" t="s">
        <v>1010</v>
      </c>
      <c r="B51" s="612">
        <v>165.07</v>
      </c>
      <c r="C51" s="613">
        <f>B51/$E$3</f>
        <v>3.9539334535777501E-2</v>
      </c>
      <c r="D51" s="611">
        <f t="shared" ref="D51:D57" si="11">C51*$B$2</f>
        <v>31.612488748044829</v>
      </c>
      <c r="E51" s="611"/>
      <c r="F51" s="611"/>
      <c r="G51" s="611"/>
      <c r="H51" s="611"/>
      <c r="I51" s="611"/>
      <c r="J51" s="611"/>
      <c r="K51" s="605">
        <f>C51*$B$9</f>
        <v>12.165462449968022</v>
      </c>
    </row>
    <row r="52" spans="1:11" s="599" customFormat="1" ht="15" hidden="1" customHeight="1" x14ac:dyDescent="0.2">
      <c r="A52" s="610" t="s">
        <v>1011</v>
      </c>
      <c r="B52" s="612">
        <v>55.86</v>
      </c>
      <c r="C52" s="613">
        <f>B52/J7</f>
        <v>0.23201528493105167</v>
      </c>
      <c r="D52" s="611"/>
      <c r="E52" s="611"/>
      <c r="F52" s="611"/>
      <c r="G52" s="611"/>
      <c r="H52" s="611"/>
      <c r="I52" s="611"/>
      <c r="J52" s="611"/>
      <c r="K52" s="605"/>
    </row>
    <row r="53" spans="1:11" s="599" customFormat="1" hidden="1" x14ac:dyDescent="0.2">
      <c r="A53" s="610" t="s">
        <v>1012</v>
      </c>
      <c r="B53" s="612">
        <v>100.32</v>
      </c>
      <c r="C53" s="613">
        <f>B53/$E$3</f>
        <v>2.4029720970674254E-2</v>
      </c>
      <c r="D53" s="611">
        <f t="shared" si="11"/>
        <v>19.21224251047348</v>
      </c>
      <c r="E53" s="611"/>
      <c r="F53" s="611">
        <f>C53*$B$4</f>
        <v>17.980959607936128</v>
      </c>
      <c r="G53" s="611"/>
      <c r="H53" s="611"/>
      <c r="I53" s="611"/>
      <c r="J53" s="611"/>
      <c r="K53" s="605">
        <f>C53*$B$9</f>
        <v>7.3934645482570547</v>
      </c>
    </row>
    <row r="54" spans="1:11" s="599" customFormat="1" hidden="1" x14ac:dyDescent="0.2">
      <c r="A54" s="610" t="s">
        <v>1013</v>
      </c>
      <c r="B54" s="612">
        <v>8.77</v>
      </c>
      <c r="C54" s="613">
        <f>B54/J2</f>
        <v>2.1485619089617325E-2</v>
      </c>
      <c r="D54" s="611">
        <f t="shared" si="11"/>
        <v>17.178182174530843</v>
      </c>
      <c r="E54" s="611"/>
      <c r="F54" s="611"/>
      <c r="G54" s="611"/>
      <c r="H54" s="611"/>
      <c r="I54" s="611"/>
      <c r="J54" s="611"/>
      <c r="K54" s="605"/>
    </row>
    <row r="55" spans="1:11" s="599" customFormat="1" hidden="1" x14ac:dyDescent="0.2">
      <c r="A55" s="610" t="s">
        <v>1014</v>
      </c>
      <c r="B55" s="612">
        <v>2165.12</v>
      </c>
      <c r="C55" s="613">
        <f>B55/E3</f>
        <v>0.51861273393168106</v>
      </c>
      <c r="D55" s="611"/>
      <c r="E55" s="611"/>
      <c r="F55" s="611"/>
      <c r="G55" s="611"/>
      <c r="H55" s="611">
        <f>C55*$B$6</f>
        <v>3688.6641868531178</v>
      </c>
      <c r="I55" s="611">
        <f>C55*$B$7</f>
        <v>283.74339898870136</v>
      </c>
      <c r="J55" s="611">
        <f>C55*$B$8</f>
        <v>241.73058141289587</v>
      </c>
      <c r="K55" s="605">
        <f>C55*$B$9</f>
        <v>159.56676597609962</v>
      </c>
    </row>
    <row r="56" spans="1:11" s="599" customFormat="1" hidden="1" x14ac:dyDescent="0.2">
      <c r="A56" s="610" t="s">
        <v>1015</v>
      </c>
      <c r="B56" s="612">
        <v>817.22</v>
      </c>
      <c r="C56" s="613">
        <f>B56/(J3+J4+J2)</f>
        <v>0.65793414378874482</v>
      </c>
      <c r="D56" s="611">
        <f t="shared" si="11"/>
        <v>526.03150664197722</v>
      </c>
      <c r="E56" s="611">
        <f>C56*$B$3</f>
        <v>1585.9502536027694</v>
      </c>
      <c r="F56" s="611">
        <f>C56*$B$4</f>
        <v>492.31896111424197</v>
      </c>
      <c r="G56" s="611"/>
      <c r="H56" s="611"/>
      <c r="I56" s="611"/>
      <c r="J56" s="611"/>
      <c r="K56" s="605"/>
    </row>
    <row r="57" spans="1:11" s="599" customFormat="1" hidden="1" x14ac:dyDescent="0.2">
      <c r="A57" s="610" t="s">
        <v>1016</v>
      </c>
      <c r="B57" s="612">
        <v>9.9600000000000009</v>
      </c>
      <c r="C57" s="613">
        <f>B57/J2</f>
        <v>2.4400999559018081E-2</v>
      </c>
      <c r="D57" s="611">
        <f t="shared" si="11"/>
        <v>19.509087167426134</v>
      </c>
      <c r="E57" s="611"/>
      <c r="F57" s="611"/>
      <c r="G57" s="611"/>
      <c r="H57" s="611"/>
      <c r="I57" s="611"/>
      <c r="J57" s="611"/>
      <c r="K57" s="605"/>
    </row>
    <row r="58" spans="1:11" s="599" customFormat="1" hidden="1" x14ac:dyDescent="0.2">
      <c r="A58" s="610" t="s">
        <v>1017</v>
      </c>
      <c r="B58" s="612">
        <v>1382.43</v>
      </c>
      <c r="C58" s="613">
        <f>B58/(J6+J7)</f>
        <v>0.57033528749241913</v>
      </c>
      <c r="D58" s="611"/>
      <c r="E58" s="611"/>
      <c r="F58" s="611"/>
      <c r="G58" s="611"/>
      <c r="H58" s="611">
        <f>C58*$B$6</f>
        <v>4056.5439524070807</v>
      </c>
      <c r="I58" s="611">
        <f>C58*$B$7</f>
        <v>312.04184249285237</v>
      </c>
      <c r="J58" s="611">
        <f>C58*$B$8</f>
        <v>265.83898085309147</v>
      </c>
      <c r="K58" s="605"/>
    </row>
    <row r="59" spans="1:11" s="599" customFormat="1" hidden="1" x14ac:dyDescent="0.2">
      <c r="A59" s="610" t="s">
        <v>1018</v>
      </c>
      <c r="B59" s="612">
        <v>315.39999999999998</v>
      </c>
      <c r="C59" s="613">
        <f>B59/J5</f>
        <v>0.7539322082516613</v>
      </c>
      <c r="D59" s="611">
        <v>65</v>
      </c>
      <c r="E59" s="611"/>
      <c r="F59" s="611"/>
      <c r="G59" s="611">
        <f>C59*$B$5</f>
        <v>600.86889133240902</v>
      </c>
      <c r="H59" s="611"/>
      <c r="I59" s="611"/>
      <c r="J59" s="611"/>
      <c r="K59" s="605"/>
    </row>
    <row r="60" spans="1:11" s="599" customFormat="1" hidden="1" x14ac:dyDescent="0.2">
      <c r="A60" s="610" t="s">
        <v>561</v>
      </c>
      <c r="B60" s="612">
        <v>532.91999999999996</v>
      </c>
      <c r="C60" s="613">
        <f>B60/(J5+J6+J7)</f>
        <v>0.18750065969326898</v>
      </c>
      <c r="D60" s="611">
        <f>C60*$B$2</f>
        <v>149.9105274379624</v>
      </c>
      <c r="E60" s="611"/>
      <c r="F60" s="611"/>
      <c r="G60" s="611">
        <f>C60*$B$5</f>
        <v>149.43427576234151</v>
      </c>
      <c r="H60" s="611">
        <f>C60*$B$6</f>
        <v>1333.6096921079572</v>
      </c>
      <c r="I60" s="611">
        <f>C60*$B$7</f>
        <v>102.58536093138133</v>
      </c>
      <c r="J60" s="611">
        <f>C60*$B$8</f>
        <v>87.395932489629615</v>
      </c>
      <c r="K60" s="605"/>
    </row>
    <row r="61" spans="1:11" s="599" customFormat="1" hidden="1" x14ac:dyDescent="0.2">
      <c r="A61" s="610" t="s">
        <v>560</v>
      </c>
      <c r="B61" s="612">
        <v>1811.028</v>
      </c>
      <c r="C61" s="613">
        <f>B61/E3</f>
        <v>0.43379682525995072</v>
      </c>
      <c r="D61" s="611"/>
      <c r="E61" s="611"/>
      <c r="F61" s="611"/>
      <c r="G61" s="611">
        <f>C61*$B$5</f>
        <v>345.72739379567554</v>
      </c>
      <c r="H61" s="611">
        <f>C61*$B$6</f>
        <v>3085.4059474709152</v>
      </c>
      <c r="I61" s="611">
        <f>C61*$B$7</f>
        <v>237.33891903622424</v>
      </c>
      <c r="J61" s="611">
        <f>C61*$B$8</f>
        <v>202.19703822191565</v>
      </c>
      <c r="K61" s="605"/>
    </row>
    <row r="62" spans="1:11" s="599" customFormat="1" hidden="1" x14ac:dyDescent="0.2">
      <c r="A62" s="610" t="s">
        <v>1028</v>
      </c>
      <c r="B62" s="612">
        <v>598.16</v>
      </c>
      <c r="C62" s="613">
        <f>B62/(J6+J7)</f>
        <v>0.24677687518823044</v>
      </c>
      <c r="D62" s="611"/>
      <c r="E62" s="611"/>
      <c r="F62" s="611"/>
      <c r="G62" s="611">
        <f>C62*$B$5</f>
        <v>196.6762339875159</v>
      </c>
      <c r="H62" s="611">
        <f>C62*$B$6</f>
        <v>1755.2153313888005</v>
      </c>
      <c r="I62" s="611">
        <f>C62*$B$7</f>
        <v>135.01656395298463</v>
      </c>
      <c r="J62" s="611">
        <f>C62*$B$8</f>
        <v>115.0251692939861</v>
      </c>
      <c r="K62" s="605"/>
    </row>
    <row r="63" spans="1:11" s="599" customFormat="1" hidden="1" x14ac:dyDescent="0.2">
      <c r="A63" s="610" t="s">
        <v>1026</v>
      </c>
      <c r="B63" s="612">
        <v>0.55000000000000004</v>
      </c>
      <c r="C63" s="613">
        <f>B63/J7</f>
        <v>2.2844326300049847E-3</v>
      </c>
      <c r="D63" s="611"/>
      <c r="E63" s="611"/>
      <c r="F63" s="611"/>
      <c r="G63" s="611">
        <f>C63*$B$5</f>
        <v>1.8206471174613728</v>
      </c>
      <c r="H63" s="611"/>
      <c r="I63" s="611"/>
      <c r="J63" s="611"/>
      <c r="K63" s="605"/>
    </row>
    <row r="64" spans="1:11" hidden="1" x14ac:dyDescent="0.25"/>
    <row r="65" spans="1:11" s="597" customFormat="1" hidden="1" x14ac:dyDescent="0.25">
      <c r="A65" s="1185" t="s">
        <v>136</v>
      </c>
      <c r="B65" s="1186"/>
      <c r="C65" s="1186"/>
      <c r="D65" s="1186"/>
      <c r="E65" s="1186"/>
      <c r="F65" s="1186"/>
      <c r="G65" s="1186"/>
      <c r="H65" s="1186"/>
      <c r="I65" s="1186"/>
      <c r="J65" s="1186"/>
      <c r="K65" s="1187"/>
    </row>
    <row r="66" spans="1:11" s="597" customFormat="1" ht="30" hidden="1" x14ac:dyDescent="0.25">
      <c r="A66" s="609" t="s">
        <v>812</v>
      </c>
      <c r="B66" s="609" t="s">
        <v>813</v>
      </c>
      <c r="C66" s="609" t="s">
        <v>815</v>
      </c>
      <c r="D66" s="609" t="s">
        <v>807</v>
      </c>
      <c r="E66" s="609" t="s">
        <v>808</v>
      </c>
      <c r="F66" s="609" t="s">
        <v>753</v>
      </c>
      <c r="G66" s="609" t="s">
        <v>809</v>
      </c>
      <c r="H66" s="609" t="s">
        <v>810</v>
      </c>
      <c r="I66" s="609" t="s">
        <v>796</v>
      </c>
      <c r="J66" s="609" t="s">
        <v>797</v>
      </c>
      <c r="K66" s="609" t="s">
        <v>811</v>
      </c>
    </row>
    <row r="67" spans="1:11" s="599" customFormat="1" hidden="1" x14ac:dyDescent="0.2">
      <c r="A67" s="610" t="s">
        <v>1035</v>
      </c>
      <c r="B67" s="612">
        <v>36.799999999999997</v>
      </c>
      <c r="C67" s="613">
        <f>B67/(J2+J3+J4)</f>
        <v>2.9627244183238064E-2</v>
      </c>
      <c r="D67" s="611">
        <f>C67*$B$2</f>
        <v>23.687574269382498</v>
      </c>
      <c r="E67" s="611">
        <f>C67*$B$3</f>
        <v>71.416472103695355</v>
      </c>
      <c r="F67" s="611">
        <f>C67*$B$4</f>
        <v>22.169474277433377</v>
      </c>
      <c r="G67" s="611"/>
      <c r="H67" s="611"/>
      <c r="I67" s="611"/>
      <c r="J67" s="611"/>
      <c r="K67" s="605"/>
    </row>
    <row r="68" spans="1:11" s="599" customFormat="1" hidden="1" x14ac:dyDescent="0.2">
      <c r="A68" s="610" t="s">
        <v>1036</v>
      </c>
      <c r="B68" s="612">
        <v>817.22</v>
      </c>
      <c r="C68" s="613">
        <f>B68/(J2+J3+J4)</f>
        <v>0.65793414378874493</v>
      </c>
      <c r="D68" s="611">
        <f>C68*$B$2</f>
        <v>526.03150664197733</v>
      </c>
      <c r="E68" s="611">
        <f>C68*$B$3</f>
        <v>1585.9502536027696</v>
      </c>
      <c r="F68" s="611">
        <f>C68*$B$4</f>
        <v>492.31896111424203</v>
      </c>
      <c r="G68" s="611"/>
      <c r="H68" s="611"/>
      <c r="I68" s="611"/>
      <c r="J68" s="611"/>
      <c r="K68" s="605"/>
    </row>
    <row r="69" spans="1:11" s="599" customFormat="1" ht="15" hidden="1" customHeight="1" x14ac:dyDescent="0.2">
      <c r="A69" s="610" t="s">
        <v>1037</v>
      </c>
      <c r="B69" s="612">
        <v>333.66</v>
      </c>
      <c r="C69" s="613">
        <f>B69/E3</f>
        <v>7.9921817175789195E-2</v>
      </c>
      <c r="D69" s="611">
        <f>C69*$B$2</f>
        <v>63.899091268386975</v>
      </c>
      <c r="E69" s="611">
        <f t="shared" ref="E69:E74" si="12">C69*$B$3</f>
        <v>192.65154030223985</v>
      </c>
      <c r="F69" s="611">
        <f>C69*$B$4</f>
        <v>59.803897356299537</v>
      </c>
      <c r="G69" s="611">
        <f t="shared" ref="G69:G75" si="13">C69*$B$5</f>
        <v>63.696089852760473</v>
      </c>
      <c r="H69" s="611">
        <f>C69*$B$6</f>
        <v>568.44871997183122</v>
      </c>
      <c r="I69" s="611">
        <f>C69*$B$7</f>
        <v>43.726824613217786</v>
      </c>
      <c r="J69" s="611">
        <f>C69*$B$8</f>
        <v>37.252358203807105</v>
      </c>
      <c r="K69" s="605">
        <f>C69*$B$9</f>
        <v>24.590344708646821</v>
      </c>
    </row>
    <row r="70" spans="1:11" s="599" customFormat="1" hidden="1" x14ac:dyDescent="0.2">
      <c r="A70" s="610" t="s">
        <v>1038</v>
      </c>
      <c r="B70" s="612">
        <v>123.95</v>
      </c>
      <c r="C70" s="613">
        <f>B70/(J2+J3+J4)</f>
        <v>9.9790677079140175E-2</v>
      </c>
      <c r="D70" s="611">
        <f>C70*$B$2</f>
        <v>79.784642138314155</v>
      </c>
      <c r="E70" s="611">
        <f t="shared" si="12"/>
        <v>240.54542709926739</v>
      </c>
      <c r="F70" s="611">
        <f>C70*$B$4</f>
        <v>74.671367844779013</v>
      </c>
      <c r="G70" s="611"/>
      <c r="H70" s="611"/>
      <c r="I70" s="611"/>
      <c r="J70" s="611"/>
      <c r="K70" s="605"/>
    </row>
    <row r="71" spans="1:11" s="599" customFormat="1" hidden="1" x14ac:dyDescent="0.2">
      <c r="A71" s="610" t="s">
        <v>1039</v>
      </c>
      <c r="B71" s="612">
        <v>9047.9699999999993</v>
      </c>
      <c r="C71" s="613">
        <f>B71/E3</f>
        <v>2.1672666910987992</v>
      </c>
      <c r="D71" s="611">
        <f>C71*$B$2</f>
        <v>1732.7730648673119</v>
      </c>
      <c r="E71" s="611">
        <f t="shared" si="12"/>
        <v>5224.1963588936551</v>
      </c>
      <c r="F71" s="611">
        <f>C71*$B$4</f>
        <v>1621.7223196154093</v>
      </c>
      <c r="G71" s="611">
        <f t="shared" si="13"/>
        <v>1727.268207471921</v>
      </c>
      <c r="H71" s="611">
        <f>C71*$B$6</f>
        <v>15414.814376441676</v>
      </c>
      <c r="I71" s="611">
        <f>C71*$B$7</f>
        <v>1185.7549520339751</v>
      </c>
      <c r="J71" s="611">
        <f>C71*$B$8</f>
        <v>1010.1846773880613</v>
      </c>
      <c r="K71" s="605">
        <f>C71*$B$9</f>
        <v>666.82461551727852</v>
      </c>
    </row>
    <row r="72" spans="1:11" s="599" customFormat="1" hidden="1" x14ac:dyDescent="0.2">
      <c r="A72" s="610" t="s">
        <v>563</v>
      </c>
      <c r="B72" s="612">
        <v>6615.67</v>
      </c>
      <c r="C72" s="613">
        <v>1.88</v>
      </c>
      <c r="D72" s="611">
        <f>D73</f>
        <v>161.22472540927367</v>
      </c>
      <c r="E72" s="611">
        <f>C72*E50</f>
        <v>117.81959999999999</v>
      </c>
      <c r="F72" s="611">
        <f>C72*F50</f>
        <v>39.273199999999996</v>
      </c>
      <c r="G72" s="611">
        <f t="shared" si="13"/>
        <v>1498.3224</v>
      </c>
      <c r="H72" s="611">
        <f>C72*$B$6</f>
        <v>13371.612800000001</v>
      </c>
      <c r="I72" s="611">
        <f>C72*$B$7</f>
        <v>1028.5855999999999</v>
      </c>
      <c r="J72" s="611">
        <f>C72*$B$8</f>
        <v>876.28679999999997</v>
      </c>
      <c r="K72" s="605">
        <f>C72*$B$9</f>
        <v>578.4384</v>
      </c>
    </row>
    <row r="73" spans="1:11" s="599" customFormat="1" hidden="1" x14ac:dyDescent="0.2">
      <c r="A73" s="610" t="s">
        <v>1040</v>
      </c>
      <c r="B73" s="612">
        <v>5335.17</v>
      </c>
      <c r="C73" s="613">
        <f>B73/(J5+J6+J7)</f>
        <v>1.8771070603012421</v>
      </c>
      <c r="D73" s="611">
        <f>C73*(65+20.89)</f>
        <v>161.22472540927367</v>
      </c>
      <c r="E73" s="611"/>
      <c r="F73" s="611"/>
      <c r="G73" s="611">
        <f t="shared" si="13"/>
        <v>1496.016784918884</v>
      </c>
      <c r="H73" s="611">
        <f>C73*$B$6</f>
        <v>13351.036592816203</v>
      </c>
      <c r="I73" s="611">
        <f>C73*$B$7</f>
        <v>1027.0028148320155</v>
      </c>
      <c r="J73" s="611">
        <f>C73*$B$8</f>
        <v>874.93837187701195</v>
      </c>
      <c r="K73" s="605"/>
    </row>
    <row r="74" spans="1:11" s="599" customFormat="1" hidden="1" x14ac:dyDescent="0.2">
      <c r="A74" s="610" t="s">
        <v>435</v>
      </c>
      <c r="B74" s="612">
        <v>1633.09</v>
      </c>
      <c r="C74" s="613">
        <f>B74/(J2+J3+J4)</f>
        <v>1.314781418565333</v>
      </c>
      <c r="D74" s="611">
        <f>C74*$B$2</f>
        <v>1051.1940397713549</v>
      </c>
      <c r="E74" s="611">
        <f t="shared" si="12"/>
        <v>3169.2806094517355</v>
      </c>
      <c r="F74" s="611">
        <f>C74*$B$4</f>
        <v>983.82463988406732</v>
      </c>
      <c r="G74" s="611"/>
      <c r="H74" s="611"/>
      <c r="I74" s="611"/>
      <c r="J74" s="611"/>
      <c r="K74" s="605"/>
    </row>
    <row r="75" spans="1:11" s="599" customFormat="1" hidden="1" x14ac:dyDescent="0.2">
      <c r="A75" s="610" t="s">
        <v>1041</v>
      </c>
      <c r="B75" s="612">
        <v>799.21</v>
      </c>
      <c r="C75" s="613">
        <f>B75/E3</f>
        <v>0.19143533988210298</v>
      </c>
      <c r="D75" s="611">
        <f>C75*$B$2</f>
        <v>153.05638294253899</v>
      </c>
      <c r="E75" s="611">
        <f>C75*$B$3</f>
        <v>461.45488678580926</v>
      </c>
      <c r="F75" s="611">
        <f>C75*$B$4</f>
        <v>143.24723612698003</v>
      </c>
      <c r="G75" s="611">
        <f t="shared" si="13"/>
        <v>152.57013717923843</v>
      </c>
      <c r="H75" s="611">
        <f>C75*$B$6</f>
        <v>1361.5953410318505</v>
      </c>
      <c r="I75" s="611">
        <f>C75*$B$7</f>
        <v>104.73810315629619</v>
      </c>
      <c r="J75" s="611">
        <f>C75*$B$8</f>
        <v>89.229926272447031</v>
      </c>
      <c r="K75" s="605">
        <f>C75*$B$9</f>
        <v>58.900825374925446</v>
      </c>
    </row>
    <row r="76" spans="1:11" s="599" customFormat="1" hidden="1" x14ac:dyDescent="0.2">
      <c r="A76" s="610"/>
      <c r="B76" s="612"/>
      <c r="C76" s="613"/>
      <c r="D76" s="611"/>
      <c r="E76" s="611"/>
      <c r="F76" s="611"/>
      <c r="G76" s="611"/>
      <c r="H76" s="611"/>
      <c r="I76" s="611"/>
      <c r="J76" s="611"/>
      <c r="K76" s="605"/>
    </row>
    <row r="77" spans="1:11" s="599" customFormat="1" hidden="1" x14ac:dyDescent="0.2">
      <c r="A77" s="610"/>
      <c r="B77" s="612"/>
      <c r="C77" s="613"/>
      <c r="D77" s="611"/>
      <c r="E77" s="611"/>
      <c r="F77" s="611"/>
      <c r="G77" s="611"/>
      <c r="H77" s="611"/>
      <c r="I77" s="611"/>
      <c r="J77" s="611"/>
      <c r="K77" s="605"/>
    </row>
    <row r="78" spans="1:11" s="599" customFormat="1" hidden="1" x14ac:dyDescent="0.2">
      <c r="A78" s="610"/>
      <c r="B78" s="612"/>
      <c r="C78" s="613"/>
      <c r="D78" s="611"/>
      <c r="E78" s="611"/>
      <c r="F78" s="611"/>
      <c r="G78" s="611"/>
      <c r="H78" s="611"/>
      <c r="I78" s="611"/>
      <c r="J78" s="611"/>
      <c r="K78" s="605"/>
    </row>
    <row r="79" spans="1:11" s="599" customFormat="1" hidden="1" x14ac:dyDescent="0.2">
      <c r="A79" s="610"/>
      <c r="B79" s="612"/>
      <c r="C79" s="613"/>
      <c r="D79" s="611"/>
      <c r="E79" s="611"/>
      <c r="F79" s="611"/>
      <c r="G79" s="611"/>
      <c r="H79" s="611"/>
      <c r="I79" s="611"/>
      <c r="J79" s="611"/>
      <c r="K79" s="605"/>
    </row>
    <row r="80" spans="1:11" s="599" customFormat="1" hidden="1" x14ac:dyDescent="0.2">
      <c r="A80" s="610"/>
      <c r="B80" s="612"/>
      <c r="C80" s="613"/>
      <c r="D80" s="611"/>
      <c r="E80" s="611"/>
      <c r="F80" s="611"/>
      <c r="G80" s="611"/>
      <c r="H80" s="611"/>
      <c r="I80" s="611"/>
      <c r="J80" s="611"/>
      <c r="K80" s="605"/>
    </row>
    <row r="81" spans="1:11" hidden="1" x14ac:dyDescent="0.25"/>
    <row r="82" spans="1:11" s="597" customFormat="1" hidden="1" x14ac:dyDescent="0.25">
      <c r="A82" s="1185" t="s">
        <v>1211</v>
      </c>
      <c r="B82" s="1186"/>
      <c r="C82" s="1186"/>
      <c r="D82" s="1186"/>
      <c r="E82" s="1186"/>
      <c r="F82" s="1186"/>
      <c r="G82" s="1186"/>
      <c r="H82" s="1186"/>
      <c r="I82" s="1186"/>
      <c r="J82" s="1186"/>
      <c r="K82" s="1187"/>
    </row>
    <row r="83" spans="1:11" s="597" customFormat="1" ht="30" hidden="1" x14ac:dyDescent="0.25">
      <c r="A83" s="609" t="s">
        <v>812</v>
      </c>
      <c r="B83" s="609" t="s">
        <v>813</v>
      </c>
      <c r="C83" s="609" t="s">
        <v>815</v>
      </c>
      <c r="D83" s="609" t="s">
        <v>807</v>
      </c>
      <c r="E83" s="609" t="s">
        <v>808</v>
      </c>
      <c r="F83" s="609" t="s">
        <v>753</v>
      </c>
      <c r="G83" s="609" t="s">
        <v>809</v>
      </c>
      <c r="H83" s="609" t="s">
        <v>810</v>
      </c>
      <c r="I83" s="609" t="s">
        <v>796</v>
      </c>
      <c r="J83" s="609" t="s">
        <v>797</v>
      </c>
      <c r="K83" s="609" t="s">
        <v>811</v>
      </c>
    </row>
    <row r="84" spans="1:11" s="599" customFormat="1" hidden="1" x14ac:dyDescent="0.2">
      <c r="A84" s="610" t="s">
        <v>1199</v>
      </c>
      <c r="B84" s="612">
        <v>243.63</v>
      </c>
      <c r="C84" s="613">
        <f>B84/E3</f>
        <v>5.835686722573135E-2</v>
      </c>
      <c r="D84" s="611">
        <f>C84*$B$2</f>
        <v>46.657482484316731</v>
      </c>
      <c r="E84" s="611">
        <f>C84*$B$3</f>
        <v>140.66922844762541</v>
      </c>
      <c r="F84" s="611">
        <f>C84*$B$4</f>
        <v>43.667276607670253</v>
      </c>
      <c r="G84" s="611">
        <f>C84*$B$5</f>
        <v>46.509256041563376</v>
      </c>
      <c r="H84" s="611">
        <f>C84*$B$6</f>
        <v>415.06671955504777</v>
      </c>
      <c r="I84" s="611">
        <f>C84*$B$7</f>
        <v>31.928209196542138</v>
      </c>
      <c r="J84" s="611">
        <f>C84*$B$8</f>
        <v>27.200719382585639</v>
      </c>
      <c r="K84" s="605"/>
    </row>
    <row r="85" spans="1:11" s="599" customFormat="1" ht="30" hidden="1" x14ac:dyDescent="0.2">
      <c r="A85" s="610" t="s">
        <v>572</v>
      </c>
      <c r="B85" s="612">
        <v>3835.13</v>
      </c>
      <c r="C85" s="613">
        <f t="shared" ref="C85:C90" si="14">B85/$E$3</f>
        <v>0.91863141732717268</v>
      </c>
      <c r="D85" s="611">
        <f t="shared" ref="D85:D90" si="15">C85*$E$6</f>
        <v>12115.600105273748</v>
      </c>
      <c r="E85" s="611"/>
      <c r="F85" s="611"/>
      <c r="G85" s="611"/>
      <c r="H85" s="611"/>
      <c r="I85" s="611"/>
      <c r="J85" s="611"/>
      <c r="K85" s="605"/>
    </row>
    <row r="86" spans="1:11" s="599" customFormat="1" ht="15" hidden="1" customHeight="1" x14ac:dyDescent="0.2">
      <c r="A86" s="610" t="s">
        <v>573</v>
      </c>
      <c r="B86" s="612">
        <v>3835.13</v>
      </c>
      <c r="C86" s="613">
        <f t="shared" si="14"/>
        <v>0.91863141732717268</v>
      </c>
      <c r="D86" s="611">
        <f t="shared" si="15"/>
        <v>12115.600105273748</v>
      </c>
      <c r="E86" s="611"/>
      <c r="F86" s="611"/>
      <c r="G86" s="611"/>
      <c r="H86" s="611"/>
      <c r="I86" s="611"/>
      <c r="J86" s="611"/>
      <c r="K86" s="605"/>
    </row>
    <row r="87" spans="1:11" s="599" customFormat="1" hidden="1" x14ac:dyDescent="0.2">
      <c r="A87" s="610" t="s">
        <v>575</v>
      </c>
      <c r="B87" s="612">
        <v>1116.82</v>
      </c>
      <c r="C87" s="613">
        <f t="shared" si="14"/>
        <v>0.26751268913943799</v>
      </c>
      <c r="D87" s="611">
        <f t="shared" si="15"/>
        <v>3528.157978887763</v>
      </c>
      <c r="E87" s="611"/>
      <c r="F87" s="611"/>
      <c r="G87" s="611"/>
      <c r="H87" s="611"/>
      <c r="I87" s="611"/>
      <c r="J87" s="611"/>
      <c r="K87" s="605"/>
    </row>
    <row r="88" spans="1:11" s="599" customFormat="1" hidden="1" x14ac:dyDescent="0.2">
      <c r="A88" s="610" t="s">
        <v>161</v>
      </c>
      <c r="B88" s="612">
        <v>3745.11</v>
      </c>
      <c r="C88" s="613">
        <f t="shared" si="14"/>
        <v>0.89706886268422914</v>
      </c>
      <c r="D88" s="611">
        <f t="shared" si="15"/>
        <v>11831.216962726627</v>
      </c>
      <c r="E88" s="611"/>
      <c r="F88" s="611"/>
      <c r="G88" s="611"/>
      <c r="H88" s="611"/>
      <c r="I88" s="611"/>
      <c r="J88" s="611"/>
      <c r="K88" s="605"/>
    </row>
    <row r="89" spans="1:11" s="599" customFormat="1" hidden="1" x14ac:dyDescent="0.2">
      <c r="A89" s="610" t="s">
        <v>577</v>
      </c>
      <c r="B89" s="612">
        <v>3745.11</v>
      </c>
      <c r="C89" s="613">
        <f t="shared" si="14"/>
        <v>0.89706886268422914</v>
      </c>
      <c r="D89" s="611">
        <f t="shared" si="15"/>
        <v>11831.216962726627</v>
      </c>
      <c r="E89" s="611"/>
      <c r="F89" s="611"/>
      <c r="G89" s="611"/>
      <c r="H89" s="611"/>
      <c r="I89" s="611"/>
      <c r="J89" s="611"/>
      <c r="K89" s="605"/>
    </row>
    <row r="90" spans="1:11" s="599" customFormat="1" hidden="1" x14ac:dyDescent="0.2">
      <c r="A90" s="610" t="s">
        <v>1212</v>
      </c>
      <c r="B90" s="612">
        <v>3745.11</v>
      </c>
      <c r="C90" s="613">
        <f t="shared" si="14"/>
        <v>0.89706886268422914</v>
      </c>
      <c r="D90" s="611">
        <f t="shared" si="15"/>
        <v>11831.216962726627</v>
      </c>
      <c r="E90" s="611"/>
      <c r="F90" s="611"/>
      <c r="G90" s="611"/>
      <c r="H90" s="611"/>
      <c r="I90" s="611"/>
      <c r="J90" s="611"/>
      <c r="K90" s="605"/>
    </row>
    <row r="91" spans="1:11" s="599" customFormat="1" x14ac:dyDescent="0.2">
      <c r="A91" s="610" t="s">
        <v>167</v>
      </c>
      <c r="B91" s="614">
        <v>432696.37399999995</v>
      </c>
      <c r="C91" s="613">
        <f>(B91/(J5/2+J7))</f>
        <v>961.69709510368284</v>
      </c>
      <c r="D91" s="615">
        <f>C91*B5</f>
        <v>766453.35085573315</v>
      </c>
      <c r="E91" s="611"/>
      <c r="F91" s="611"/>
      <c r="G91" s="611"/>
      <c r="H91" s="611"/>
      <c r="I91" s="611"/>
      <c r="J91" s="611"/>
      <c r="K91" s="605"/>
    </row>
    <row r="92" spans="1:11" s="599" customFormat="1" x14ac:dyDescent="0.2">
      <c r="A92" s="610" t="s">
        <v>169</v>
      </c>
      <c r="B92" s="614">
        <v>84963.549471428574</v>
      </c>
      <c r="C92" s="613">
        <f t="shared" ref="C92:C97" si="16">B92/$E$3</f>
        <v>20.351379450523392</v>
      </c>
      <c r="D92" s="615">
        <f>C92*$E$6*0.5</f>
        <v>134204.62786404521</v>
      </c>
      <c r="E92" s="611"/>
      <c r="F92" s="611"/>
      <c r="G92" s="611"/>
      <c r="H92" s="611"/>
      <c r="I92" s="611"/>
      <c r="J92" s="611"/>
      <c r="K92" s="605"/>
    </row>
    <row r="93" spans="1:11" s="599" customFormat="1" x14ac:dyDescent="0.2">
      <c r="A93" s="610" t="s">
        <v>1213</v>
      </c>
      <c r="B93" s="614">
        <v>46208</v>
      </c>
      <c r="C93" s="613">
        <f t="shared" si="16"/>
        <v>11.068235113765111</v>
      </c>
      <c r="D93" s="615">
        <f>C93*$E$6</f>
        <v>145976.18585666962</v>
      </c>
      <c r="E93" s="611"/>
      <c r="F93" s="611"/>
      <c r="G93" s="611"/>
      <c r="H93" s="611"/>
      <c r="I93" s="611"/>
      <c r="J93" s="611"/>
      <c r="K93" s="605"/>
    </row>
    <row r="94" spans="1:11" s="599" customFormat="1" x14ac:dyDescent="0.2">
      <c r="A94" s="610" t="s">
        <v>220</v>
      </c>
      <c r="B94" s="614">
        <v>43543.476900000001</v>
      </c>
      <c r="C94" s="613">
        <f t="shared" si="16"/>
        <v>10.43</v>
      </c>
      <c r="D94" s="615">
        <f>C94*$E$6</f>
        <v>137558.66250000001</v>
      </c>
      <c r="E94" s="611"/>
      <c r="F94" s="611"/>
      <c r="G94" s="611"/>
      <c r="H94" s="611"/>
      <c r="I94" s="611"/>
      <c r="J94" s="611"/>
      <c r="K94" s="605"/>
    </row>
    <row r="95" spans="1:11" s="599" customFormat="1" x14ac:dyDescent="0.2">
      <c r="A95" s="610" t="s">
        <v>171</v>
      </c>
      <c r="B95" s="614">
        <v>61203.007799999999</v>
      </c>
      <c r="C95" s="613">
        <f t="shared" si="16"/>
        <v>14.66</v>
      </c>
      <c r="D95" s="615">
        <f>C95*$E$6</f>
        <v>193347.07500000001</v>
      </c>
      <c r="E95" s="611"/>
      <c r="F95" s="611"/>
      <c r="G95" s="611"/>
      <c r="H95" s="611"/>
      <c r="I95" s="611"/>
      <c r="J95" s="611"/>
      <c r="K95" s="605"/>
    </row>
    <row r="96" spans="1:11" s="599" customFormat="1" x14ac:dyDescent="0.2">
      <c r="A96" s="610" t="s">
        <v>172</v>
      </c>
      <c r="B96" s="614">
        <v>22502.333699999999</v>
      </c>
      <c r="C96" s="613">
        <f t="shared" si="16"/>
        <v>5.39</v>
      </c>
      <c r="D96" s="615">
        <f>C96*$E$6</f>
        <v>71087.362500000003</v>
      </c>
      <c r="E96" s="611"/>
      <c r="F96" s="611"/>
      <c r="G96" s="611"/>
      <c r="H96" s="611"/>
      <c r="I96" s="611"/>
      <c r="J96" s="611"/>
      <c r="K96" s="605"/>
    </row>
    <row r="97" spans="1:11" s="599" customFormat="1" x14ac:dyDescent="0.2">
      <c r="A97" s="610" t="s">
        <v>173</v>
      </c>
      <c r="B97" s="612">
        <v>19371.211199999998</v>
      </c>
      <c r="C97" s="613">
        <f t="shared" si="16"/>
        <v>4.6399999999999997</v>
      </c>
      <c r="D97" s="615">
        <f>C97*$E$6</f>
        <v>61195.799999999996</v>
      </c>
      <c r="E97" s="611"/>
      <c r="F97" s="611"/>
      <c r="G97" s="611"/>
      <c r="H97" s="611"/>
      <c r="I97" s="611"/>
      <c r="J97" s="611"/>
      <c r="K97" s="605"/>
    </row>
  </sheetData>
  <mergeCells count="7">
    <mergeCell ref="A11:K11"/>
    <mergeCell ref="A23:K23"/>
    <mergeCell ref="A65:K65"/>
    <mergeCell ref="A82:K82"/>
    <mergeCell ref="A31:K31"/>
    <mergeCell ref="A42:K42"/>
    <mergeCell ref="A48:K48"/>
  </mergeCells>
  <phoneticPr fontId="143" type="noConversion"/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CEEC0-7607-4462-854C-24A5954BBF3D}">
  <sheetPr>
    <tabColor rgb="FFB4B4B4"/>
  </sheetPr>
  <dimension ref="A1:G54"/>
  <sheetViews>
    <sheetView topLeftCell="A6" workbookViewId="0">
      <selection activeCell="W29" sqref="W29"/>
    </sheetView>
  </sheetViews>
  <sheetFormatPr defaultRowHeight="15" customHeight="1" x14ac:dyDescent="0.2"/>
  <cols>
    <col min="1" max="1" width="79.5703125" bestFit="1" customWidth="1"/>
    <col min="3" max="3" width="12.28515625" bestFit="1" customWidth="1"/>
    <col min="4" max="4" width="11.7109375" style="750" customWidth="1"/>
    <col min="5" max="5" width="15.28515625" style="750" bestFit="1" customWidth="1"/>
    <col min="6" max="6" width="28.85546875" customWidth="1"/>
    <col min="7" max="7" width="10.5703125" bestFit="1" customWidth="1"/>
  </cols>
  <sheetData>
    <row r="1" spans="1:6" ht="15" customHeight="1" x14ac:dyDescent="0.2">
      <c r="A1" s="753" t="s">
        <v>4216</v>
      </c>
      <c r="B1" s="754" t="s">
        <v>4217</v>
      </c>
      <c r="C1" s="755" t="s">
        <v>4218</v>
      </c>
      <c r="D1" s="756" t="s">
        <v>4219</v>
      </c>
      <c r="E1" s="756" t="s">
        <v>8</v>
      </c>
      <c r="F1" t="s">
        <v>4290</v>
      </c>
    </row>
    <row r="2" spans="1:6" s="752" customFormat="1" ht="15.75" customHeight="1" x14ac:dyDescent="0.2">
      <c r="A2" s="683" t="s">
        <v>2632</v>
      </c>
      <c r="B2" s="684" t="s">
        <v>3</v>
      </c>
      <c r="C2" s="685" cm="1">
        <f t="array" ref="C2:C50">SUMIF(Arquitetura!B1344:B1709,'PRECIFICAÇÃO ESQUADRIAS'!A2:A50,Arquitetura!D1344:D1709)</f>
        <v>107.19999999999996</v>
      </c>
      <c r="D2" s="751">
        <f>107.91</f>
        <v>107.91</v>
      </c>
      <c r="E2" s="751">
        <f>D2*C2</f>
        <v>11567.951999999996</v>
      </c>
    </row>
    <row r="3" spans="1:6" ht="15" customHeight="1" x14ac:dyDescent="0.2">
      <c r="A3" s="753" t="s">
        <v>2636</v>
      </c>
      <c r="B3" s="754" t="s">
        <v>11</v>
      </c>
      <c r="C3" s="755">
        <v>1.88</v>
      </c>
      <c r="D3" s="756">
        <v>972.90793133242767</v>
      </c>
      <c r="E3" s="756">
        <f>D3*C3</f>
        <v>1829.0669109049638</v>
      </c>
      <c r="F3" t="s">
        <v>4291</v>
      </c>
    </row>
    <row r="4" spans="1:6" ht="15" customHeight="1" x14ac:dyDescent="0.2">
      <c r="A4" s="753" t="s">
        <v>2638</v>
      </c>
      <c r="B4" s="754" t="s">
        <v>11</v>
      </c>
      <c r="C4" s="755">
        <v>6.02</v>
      </c>
      <c r="D4" s="756">
        <v>921.73798219306059</v>
      </c>
      <c r="E4" s="756">
        <f>D4*C4</f>
        <v>5548.8626528022241</v>
      </c>
      <c r="F4" t="s">
        <v>4292</v>
      </c>
    </row>
    <row r="5" spans="1:6" ht="15" customHeight="1" x14ac:dyDescent="0.2">
      <c r="A5" s="753" t="s">
        <v>2640</v>
      </c>
      <c r="B5" s="754" t="s">
        <v>11</v>
      </c>
      <c r="C5" s="755">
        <v>6.65</v>
      </c>
      <c r="D5" s="756">
        <v>921.73798219306059</v>
      </c>
      <c r="E5" s="756">
        <f>D5*C5</f>
        <v>6129.5575815838529</v>
      </c>
      <c r="F5" t="s">
        <v>4292</v>
      </c>
    </row>
    <row r="6" spans="1:6" ht="15" customHeight="1" x14ac:dyDescent="0.2">
      <c r="A6" s="753" t="s">
        <v>2642</v>
      </c>
      <c r="B6" s="754" t="s">
        <v>11</v>
      </c>
      <c r="C6" s="755">
        <v>1.56</v>
      </c>
      <c r="D6" s="756">
        <v>921.73798219306059</v>
      </c>
      <c r="E6" s="756">
        <f>D6*C6</f>
        <v>1437.9112522211747</v>
      </c>
      <c r="F6" t="s">
        <v>4292</v>
      </c>
    </row>
    <row r="7" spans="1:6" ht="15" customHeight="1" x14ac:dyDescent="0.2">
      <c r="A7" s="753" t="s">
        <v>2644</v>
      </c>
      <c r="B7" s="754" t="s">
        <v>11</v>
      </c>
      <c r="C7" s="755">
        <v>16.8</v>
      </c>
      <c r="D7" s="756">
        <v>921.73798219306059</v>
      </c>
      <c r="E7" s="756">
        <f t="shared" ref="E7:E50" si="0">D7*C7</f>
        <v>15485.198100843418</v>
      </c>
      <c r="F7" t="s">
        <v>4292</v>
      </c>
    </row>
    <row r="8" spans="1:6" ht="15" customHeight="1" x14ac:dyDescent="0.2">
      <c r="A8" s="753" t="s">
        <v>2646</v>
      </c>
      <c r="B8" s="754" t="s">
        <v>11</v>
      </c>
      <c r="C8" s="755">
        <v>15.179999999999993</v>
      </c>
      <c r="D8" s="756">
        <v>921.73798219306059</v>
      </c>
      <c r="E8" s="756">
        <f t="shared" si="0"/>
        <v>13991.982569690654</v>
      </c>
      <c r="F8" t="s">
        <v>4292</v>
      </c>
    </row>
    <row r="9" spans="1:6" ht="15" customHeight="1" x14ac:dyDescent="0.2">
      <c r="A9" s="753" t="s">
        <v>2650</v>
      </c>
      <c r="B9" s="754" t="s">
        <v>11</v>
      </c>
      <c r="C9" s="755">
        <v>1.8</v>
      </c>
      <c r="D9" s="756">
        <v>1190.5476586538475</v>
      </c>
      <c r="E9" s="756">
        <f t="shared" si="0"/>
        <v>2142.9857855769255</v>
      </c>
      <c r="F9" t="s">
        <v>4293</v>
      </c>
    </row>
    <row r="10" spans="1:6" ht="15" customHeight="1" x14ac:dyDescent="0.2">
      <c r="A10" s="753" t="s">
        <v>2652</v>
      </c>
      <c r="B10" s="754" t="s">
        <v>11</v>
      </c>
      <c r="C10" s="755">
        <v>70.889999999999986</v>
      </c>
      <c r="D10" s="756">
        <v>1190.5476586538475</v>
      </c>
      <c r="E10" s="756">
        <f t="shared" si="0"/>
        <v>84397.923521971228</v>
      </c>
      <c r="F10" t="s">
        <v>4293</v>
      </c>
    </row>
    <row r="11" spans="1:6" ht="15" customHeight="1" x14ac:dyDescent="0.2">
      <c r="A11" s="753" t="s">
        <v>2654</v>
      </c>
      <c r="B11" s="754" t="s">
        <v>11</v>
      </c>
      <c r="C11" s="755">
        <v>2.46</v>
      </c>
      <c r="D11" s="756">
        <v>1190.5476586538475</v>
      </c>
      <c r="E11" s="756">
        <f t="shared" si="0"/>
        <v>2928.747240288465</v>
      </c>
      <c r="F11" t="s">
        <v>4293</v>
      </c>
    </row>
    <row r="12" spans="1:6" s="752" customFormat="1" ht="15" customHeight="1" x14ac:dyDescent="0.2">
      <c r="A12" s="683" t="s">
        <v>2656</v>
      </c>
      <c r="B12" s="684" t="s">
        <v>11</v>
      </c>
      <c r="C12" s="685">
        <v>10.08</v>
      </c>
      <c r="D12" s="751">
        <v>2601.9256619443695</v>
      </c>
      <c r="E12" s="751">
        <f t="shared" si="0"/>
        <v>26227.410672399245</v>
      </c>
    </row>
    <row r="13" spans="1:6" s="752" customFormat="1" ht="15" customHeight="1" x14ac:dyDescent="0.2">
      <c r="A13" s="683" t="s">
        <v>2658</v>
      </c>
      <c r="B13" s="684" t="s">
        <v>11</v>
      </c>
      <c r="C13" s="685">
        <v>8.66</v>
      </c>
      <c r="D13" s="751">
        <v>2601.9256619443695</v>
      </c>
      <c r="E13" s="751">
        <f t="shared" si="0"/>
        <v>22532.67623243824</v>
      </c>
    </row>
    <row r="14" spans="1:6" ht="15" customHeight="1" x14ac:dyDescent="0.2">
      <c r="A14" s="753" t="s">
        <v>2660</v>
      </c>
      <c r="B14" s="754" t="s">
        <v>11</v>
      </c>
      <c r="C14" s="755">
        <v>6.72</v>
      </c>
      <c r="D14" s="756">
        <v>996.87096884418247</v>
      </c>
      <c r="E14" s="756">
        <f t="shared" si="0"/>
        <v>6698.972910632906</v>
      </c>
      <c r="F14" t="s">
        <v>4294</v>
      </c>
    </row>
    <row r="15" spans="1:6" ht="15" customHeight="1" x14ac:dyDescent="0.2">
      <c r="A15" s="753" t="s">
        <v>2666</v>
      </c>
      <c r="B15" s="754" t="s">
        <v>11</v>
      </c>
      <c r="C15" s="755">
        <v>35.74</v>
      </c>
      <c r="D15" s="756">
        <v>998.18629440504117</v>
      </c>
      <c r="E15" s="756">
        <f t="shared" si="0"/>
        <v>35675.178162036173</v>
      </c>
      <c r="F15" t="s">
        <v>4294</v>
      </c>
    </row>
    <row r="16" spans="1:6" ht="15" customHeight="1" x14ac:dyDescent="0.2">
      <c r="A16" s="753" t="s">
        <v>2672</v>
      </c>
      <c r="B16" s="754" t="s">
        <v>11</v>
      </c>
      <c r="C16" s="755">
        <v>25.6</v>
      </c>
      <c r="D16" s="756">
        <v>1190.5476586538475</v>
      </c>
      <c r="E16" s="756">
        <f t="shared" si="0"/>
        <v>30478.020061538497</v>
      </c>
    </row>
    <row r="17" spans="1:6" ht="15" customHeight="1" x14ac:dyDescent="0.2">
      <c r="A17" s="753" t="s">
        <v>2688</v>
      </c>
      <c r="B17" s="754" t="s">
        <v>11</v>
      </c>
      <c r="C17" s="755">
        <v>37.159999999999997</v>
      </c>
      <c r="D17" s="756">
        <v>998.18629440504117</v>
      </c>
      <c r="E17" s="756">
        <f t="shared" si="0"/>
        <v>37092.602700091324</v>
      </c>
      <c r="F17" t="s">
        <v>4294</v>
      </c>
    </row>
    <row r="18" spans="1:6" s="752" customFormat="1" ht="15" customHeight="1" x14ac:dyDescent="0.2">
      <c r="A18" s="683" t="s">
        <v>2708</v>
      </c>
      <c r="B18" s="684" t="s">
        <v>3</v>
      </c>
      <c r="C18" s="685">
        <v>24.69</v>
      </c>
      <c r="D18" s="751">
        <v>1406.7884253554087</v>
      </c>
      <c r="E18" s="751">
        <f t="shared" si="0"/>
        <v>34733.606222025039</v>
      </c>
      <c r="F18" s="752" t="s">
        <v>4297</v>
      </c>
    </row>
    <row r="19" spans="1:6" ht="15" customHeight="1" x14ac:dyDescent="0.2">
      <c r="A19" s="753" t="s">
        <v>2711</v>
      </c>
      <c r="B19" s="754" t="s">
        <v>11</v>
      </c>
      <c r="C19" s="755">
        <v>0.04</v>
      </c>
      <c r="D19" s="756">
        <v>1078.7287523057166</v>
      </c>
      <c r="E19" s="756">
        <f t="shared" si="0"/>
        <v>43.149150092228666</v>
      </c>
    </row>
    <row r="20" spans="1:6" ht="15" customHeight="1" x14ac:dyDescent="0.2">
      <c r="A20" s="753" t="s">
        <v>2713</v>
      </c>
      <c r="B20" s="754" t="s">
        <v>11</v>
      </c>
      <c r="C20" s="755">
        <v>31.94</v>
      </c>
      <c r="D20" s="756">
        <v>998.18629440504117</v>
      </c>
      <c r="E20" s="756">
        <f t="shared" si="0"/>
        <v>31882.070243297017</v>
      </c>
    </row>
    <row r="21" spans="1:6" ht="15" customHeight="1" x14ac:dyDescent="0.2">
      <c r="A21" s="753" t="s">
        <v>2715</v>
      </c>
      <c r="B21" s="754" t="s">
        <v>11</v>
      </c>
      <c r="C21" s="755">
        <v>5.31</v>
      </c>
      <c r="D21" s="756">
        <v>921.73798219306059</v>
      </c>
      <c r="E21" s="756">
        <f t="shared" si="0"/>
        <v>4894.4286854451511</v>
      </c>
      <c r="F21" t="s">
        <v>4295</v>
      </c>
    </row>
    <row r="22" spans="1:6" ht="15" customHeight="1" x14ac:dyDescent="0.2">
      <c r="A22" s="753" t="s">
        <v>2717</v>
      </c>
      <c r="B22" s="754" t="s">
        <v>11</v>
      </c>
      <c r="C22" s="755">
        <v>5.54</v>
      </c>
      <c r="D22" s="756">
        <v>921.73798219306059</v>
      </c>
      <c r="E22" s="756">
        <f t="shared" si="0"/>
        <v>5106.4284213495557</v>
      </c>
      <c r="F22" t="s">
        <v>4295</v>
      </c>
    </row>
    <row r="23" spans="1:6" ht="15" customHeight="1" x14ac:dyDescent="0.2">
      <c r="A23" s="753" t="s">
        <v>2719</v>
      </c>
      <c r="B23" s="754" t="s">
        <v>11</v>
      </c>
      <c r="C23" s="755">
        <v>6.37</v>
      </c>
      <c r="D23" s="756">
        <v>921.73798219306059</v>
      </c>
      <c r="E23" s="756">
        <f t="shared" si="0"/>
        <v>5871.4709465697961</v>
      </c>
      <c r="F23" t="s">
        <v>4295</v>
      </c>
    </row>
    <row r="24" spans="1:6" ht="15" customHeight="1" x14ac:dyDescent="0.2">
      <c r="A24" s="753" t="s">
        <v>2721</v>
      </c>
      <c r="B24" s="754" t="s">
        <v>11</v>
      </c>
      <c r="C24" s="755">
        <v>6.83</v>
      </c>
      <c r="D24" s="756">
        <v>921.73798219306059</v>
      </c>
      <c r="E24" s="756">
        <f t="shared" si="0"/>
        <v>6295.4704183786043</v>
      </c>
      <c r="F24" t="s">
        <v>4295</v>
      </c>
    </row>
    <row r="25" spans="1:6" ht="15" customHeight="1" x14ac:dyDescent="0.2">
      <c r="A25" s="753" t="s">
        <v>2723</v>
      </c>
      <c r="B25" s="754" t="s">
        <v>11</v>
      </c>
      <c r="C25" s="755">
        <v>8.5500000000000007</v>
      </c>
      <c r="D25" s="756">
        <v>921.73798219306059</v>
      </c>
      <c r="E25" s="756">
        <f t="shared" si="0"/>
        <v>7880.8597477506682</v>
      </c>
      <c r="F25" t="s">
        <v>4295</v>
      </c>
    </row>
    <row r="26" spans="1:6" ht="15" customHeight="1" x14ac:dyDescent="0.2">
      <c r="A26" s="753" t="s">
        <v>2725</v>
      </c>
      <c r="B26" s="754" t="s">
        <v>11</v>
      </c>
      <c r="C26" s="755">
        <v>6.71</v>
      </c>
      <c r="D26" s="756">
        <v>921.73798219306059</v>
      </c>
      <c r="E26" s="756">
        <f t="shared" si="0"/>
        <v>6184.8618605154361</v>
      </c>
      <c r="F26" t="s">
        <v>4295</v>
      </c>
    </row>
    <row r="27" spans="1:6" ht="15" customHeight="1" x14ac:dyDescent="0.2">
      <c r="A27" s="753" t="s">
        <v>2727</v>
      </c>
      <c r="B27" s="754" t="s">
        <v>11</v>
      </c>
      <c r="C27" s="755">
        <v>10.65</v>
      </c>
      <c r="D27" s="756">
        <v>921.73798219306059</v>
      </c>
      <c r="E27" s="756">
        <f t="shared" si="0"/>
        <v>9816.5095103560961</v>
      </c>
      <c r="F27" t="s">
        <v>4295</v>
      </c>
    </row>
    <row r="28" spans="1:6" ht="15" customHeight="1" x14ac:dyDescent="0.2">
      <c r="A28" s="753" t="s">
        <v>2729</v>
      </c>
      <c r="B28" s="754" t="s">
        <v>11</v>
      </c>
      <c r="C28" s="755">
        <v>12.62</v>
      </c>
      <c r="D28" s="756">
        <v>921.73798219306059</v>
      </c>
      <c r="E28" s="756">
        <f t="shared" si="0"/>
        <v>11632.333335276424</v>
      </c>
      <c r="F28" t="s">
        <v>4295</v>
      </c>
    </row>
    <row r="29" spans="1:6" ht="15" customHeight="1" x14ac:dyDescent="0.2">
      <c r="A29" s="753" t="s">
        <v>2731</v>
      </c>
      <c r="B29" s="754" t="s">
        <v>11</v>
      </c>
      <c r="C29" s="755">
        <v>1.77</v>
      </c>
      <c r="D29" s="756">
        <v>921.73798219306059</v>
      </c>
      <c r="E29" s="756">
        <f t="shared" si="0"/>
        <v>1631.4762284817173</v>
      </c>
      <c r="F29" t="s">
        <v>4295</v>
      </c>
    </row>
    <row r="30" spans="1:6" ht="15" customHeight="1" x14ac:dyDescent="0.2">
      <c r="A30" s="753" t="s">
        <v>2735</v>
      </c>
      <c r="B30" s="754" t="s">
        <v>11</v>
      </c>
      <c r="C30" s="755">
        <v>10.29</v>
      </c>
      <c r="D30" s="756">
        <v>1186.6016275362883</v>
      </c>
      <c r="E30" s="756">
        <f t="shared" si="0"/>
        <v>12210.130747348407</v>
      </c>
    </row>
    <row r="31" spans="1:6" ht="15" customHeight="1" x14ac:dyDescent="0.2">
      <c r="A31" s="753" t="s">
        <v>2737</v>
      </c>
      <c r="B31" s="754" t="s">
        <v>11</v>
      </c>
      <c r="C31" s="755">
        <v>1.68</v>
      </c>
      <c r="D31" s="756">
        <v>1186.6016275362883</v>
      </c>
      <c r="E31" s="756">
        <f t="shared" si="0"/>
        <v>1993.4907342609642</v>
      </c>
    </row>
    <row r="32" spans="1:6" ht="15" customHeight="1" x14ac:dyDescent="0.2">
      <c r="A32" s="753" t="s">
        <v>2739</v>
      </c>
      <c r="B32" s="754" t="s">
        <v>11</v>
      </c>
      <c r="C32" s="755">
        <v>159.60000000000005</v>
      </c>
      <c r="D32" s="756">
        <v>991.37795485510981</v>
      </c>
      <c r="E32" s="756">
        <f t="shared" si="0"/>
        <v>158223.92159487557</v>
      </c>
    </row>
    <row r="33" spans="1:6" ht="15" customHeight="1" x14ac:dyDescent="0.2">
      <c r="A33" s="753" t="s">
        <v>2741</v>
      </c>
      <c r="B33" s="754" t="s">
        <v>11</v>
      </c>
      <c r="C33" s="755">
        <v>5.58</v>
      </c>
      <c r="D33" s="756">
        <v>1190.8763369888056</v>
      </c>
      <c r="E33" s="756">
        <f t="shared" si="0"/>
        <v>6645.0899603975358</v>
      </c>
    </row>
    <row r="34" spans="1:6" ht="15" customHeight="1" x14ac:dyDescent="0.2">
      <c r="A34" s="753" t="s">
        <v>2743</v>
      </c>
      <c r="B34" s="754" t="s">
        <v>11</v>
      </c>
      <c r="C34" s="755">
        <v>8.3699999999999992</v>
      </c>
      <c r="D34" s="756">
        <v>1190.8763369888056</v>
      </c>
      <c r="E34" s="756">
        <f t="shared" si="0"/>
        <v>9967.6349405963028</v>
      </c>
    </row>
    <row r="35" spans="1:6" ht="15" customHeight="1" x14ac:dyDescent="0.2">
      <c r="A35" s="753" t="s">
        <v>2745</v>
      </c>
      <c r="B35" s="754" t="s">
        <v>11</v>
      </c>
      <c r="C35" s="755">
        <v>25.92</v>
      </c>
      <c r="D35" s="756">
        <v>996.87096884418247</v>
      </c>
      <c r="E35" s="756">
        <f t="shared" si="0"/>
        <v>25838.89551244121</v>
      </c>
    </row>
    <row r="36" spans="1:6" s="752" customFormat="1" ht="15" customHeight="1" x14ac:dyDescent="0.2">
      <c r="A36" s="683" t="s">
        <v>2750</v>
      </c>
      <c r="B36" s="684" t="s">
        <v>3</v>
      </c>
      <c r="C36" s="685">
        <v>312.64000000000004</v>
      </c>
      <c r="D36" s="751">
        <v>1406.7884253554087</v>
      </c>
      <c r="E36" s="751">
        <f t="shared" si="0"/>
        <v>439818.33330311504</v>
      </c>
      <c r="F36" s="752" t="s">
        <v>4297</v>
      </c>
    </row>
    <row r="37" spans="1:6" ht="15" customHeight="1" x14ac:dyDescent="0.2">
      <c r="A37" s="753" t="s">
        <v>2753</v>
      </c>
      <c r="B37" s="754" t="s">
        <v>11</v>
      </c>
      <c r="C37" s="755">
        <v>2.93</v>
      </c>
      <c r="D37" s="756">
        <v>1078.7287523057166</v>
      </c>
      <c r="E37" s="756">
        <f t="shared" si="0"/>
        <v>3160.6752442557499</v>
      </c>
    </row>
    <row r="38" spans="1:6" ht="15" customHeight="1" x14ac:dyDescent="0.2">
      <c r="A38" s="753" t="s">
        <v>2755</v>
      </c>
      <c r="B38" s="754" t="s">
        <v>11</v>
      </c>
      <c r="C38" s="755">
        <v>126.24000000000005</v>
      </c>
      <c r="D38" s="756">
        <v>998.18629440504117</v>
      </c>
      <c r="E38" s="756">
        <f t="shared" si="0"/>
        <v>126011.03780569245</v>
      </c>
    </row>
    <row r="39" spans="1:6" ht="15" customHeight="1" x14ac:dyDescent="0.2">
      <c r="A39" s="753" t="s">
        <v>2757</v>
      </c>
      <c r="B39" s="754" t="s">
        <v>11</v>
      </c>
      <c r="C39" s="755">
        <v>86.239999999999981</v>
      </c>
      <c r="D39" s="756">
        <v>1117.9320049183541</v>
      </c>
      <c r="E39" s="756">
        <f t="shared" si="0"/>
        <v>96410.456104158831</v>
      </c>
    </row>
    <row r="40" spans="1:6" ht="15" customHeight="1" x14ac:dyDescent="0.2">
      <c r="A40" s="753" t="s">
        <v>2759</v>
      </c>
      <c r="B40" s="754" t="s">
        <v>11</v>
      </c>
      <c r="C40" s="755">
        <v>71.999999999999986</v>
      </c>
      <c r="D40" s="756">
        <v>1117.9320049183541</v>
      </c>
      <c r="E40" s="756">
        <f t="shared" si="0"/>
        <v>80491.104354121475</v>
      </c>
    </row>
    <row r="41" spans="1:6" ht="15" customHeight="1" x14ac:dyDescent="0.2">
      <c r="A41" s="753" t="s">
        <v>2761</v>
      </c>
      <c r="B41" s="754" t="s">
        <v>11</v>
      </c>
      <c r="C41" s="755">
        <v>260.47999999999996</v>
      </c>
      <c r="D41" s="756">
        <v>1117.9320049183541</v>
      </c>
      <c r="E41" s="756">
        <f t="shared" si="0"/>
        <v>291198.92864113284</v>
      </c>
    </row>
    <row r="42" spans="1:6" ht="15" customHeight="1" x14ac:dyDescent="0.2">
      <c r="A42" s="753" t="s">
        <v>2763</v>
      </c>
      <c r="B42" s="754" t="s">
        <v>11</v>
      </c>
      <c r="C42" s="755">
        <v>156.60000000000002</v>
      </c>
      <c r="D42" s="756">
        <v>1117.9320049183541</v>
      </c>
      <c r="E42" s="756">
        <f t="shared" si="0"/>
        <v>175068.15197021427</v>
      </c>
    </row>
    <row r="43" spans="1:6" ht="15" customHeight="1" x14ac:dyDescent="0.2">
      <c r="A43" s="753" t="s">
        <v>2765</v>
      </c>
      <c r="B43" s="754" t="s">
        <v>11</v>
      </c>
      <c r="C43" s="755">
        <v>55.440000000000005</v>
      </c>
      <c r="D43" s="756">
        <v>1117.9320049183541</v>
      </c>
      <c r="E43" s="756">
        <f t="shared" si="0"/>
        <v>61978.150352673554</v>
      </c>
    </row>
    <row r="44" spans="1:6" ht="15" customHeight="1" x14ac:dyDescent="0.2">
      <c r="A44" s="753" t="s">
        <v>2767</v>
      </c>
      <c r="B44" s="754" t="s">
        <v>11</v>
      </c>
      <c r="C44" s="755">
        <v>158.4</v>
      </c>
      <c r="D44" s="756">
        <v>1117.9320049183541</v>
      </c>
      <c r="E44" s="756">
        <f t="shared" si="0"/>
        <v>177080.42957906731</v>
      </c>
    </row>
    <row r="45" spans="1:6" ht="15" customHeight="1" x14ac:dyDescent="0.2">
      <c r="A45" s="753" t="s">
        <v>2773</v>
      </c>
      <c r="B45" s="754" t="s">
        <v>11</v>
      </c>
      <c r="C45" s="755">
        <v>167.44000000000005</v>
      </c>
      <c r="D45" s="756">
        <v>1190.8763369888056</v>
      </c>
      <c r="E45" s="756">
        <f t="shared" si="0"/>
        <v>199400.33386540567</v>
      </c>
      <c r="F45" t="s">
        <v>4296</v>
      </c>
    </row>
    <row r="46" spans="1:6" ht="15" customHeight="1" x14ac:dyDescent="0.2">
      <c r="A46" s="753" t="s">
        <v>2775</v>
      </c>
      <c r="B46" s="754" t="s">
        <v>11</v>
      </c>
      <c r="C46" s="755">
        <v>111.53999999999999</v>
      </c>
      <c r="D46" s="756">
        <v>1190.8763369888056</v>
      </c>
      <c r="E46" s="756">
        <f t="shared" si="0"/>
        <v>132830.34662773137</v>
      </c>
      <c r="F46" t="s">
        <v>4296</v>
      </c>
    </row>
    <row r="47" spans="1:6" ht="15" customHeight="1" x14ac:dyDescent="0.2">
      <c r="A47" s="753" t="s">
        <v>3023</v>
      </c>
      <c r="B47" s="754" t="s">
        <v>11</v>
      </c>
      <c r="C47" s="755">
        <v>15.6</v>
      </c>
      <c r="D47" s="756">
        <v>1190.8763369888056</v>
      </c>
      <c r="E47" s="756">
        <f t="shared" si="0"/>
        <v>18577.670857025369</v>
      </c>
      <c r="F47" t="s">
        <v>4296</v>
      </c>
    </row>
    <row r="48" spans="1:6" ht="15" customHeight="1" x14ac:dyDescent="0.2">
      <c r="A48" s="753" t="s">
        <v>3030</v>
      </c>
      <c r="B48" s="754" t="s">
        <v>11</v>
      </c>
      <c r="C48" s="755">
        <v>3.15</v>
      </c>
      <c r="D48" s="756">
        <v>998.18629440504117</v>
      </c>
      <c r="E48" s="756">
        <f t="shared" si="0"/>
        <v>3144.2868273758795</v>
      </c>
    </row>
    <row r="49" spans="1:7" ht="15" customHeight="1" x14ac:dyDescent="0.2">
      <c r="A49" s="753" t="s">
        <v>3040</v>
      </c>
      <c r="B49" s="754" t="s">
        <v>11</v>
      </c>
      <c r="C49" s="755">
        <v>3.64</v>
      </c>
      <c r="D49" s="756">
        <v>1190.5476586538475</v>
      </c>
      <c r="E49" s="756">
        <f t="shared" si="0"/>
        <v>4333.5934775000051</v>
      </c>
    </row>
    <row r="50" spans="1:7" ht="15" customHeight="1" x14ac:dyDescent="0.2">
      <c r="A50" s="753" t="s">
        <v>3042</v>
      </c>
      <c r="B50" s="769" t="s">
        <v>11</v>
      </c>
      <c r="C50" s="770">
        <v>54</v>
      </c>
      <c r="D50" s="771">
        <v>1190.8763369888056</v>
      </c>
      <c r="E50" s="771">
        <f t="shared" si="0"/>
        <v>64307.322197395508</v>
      </c>
    </row>
    <row r="51" spans="1:7" ht="15" customHeight="1" x14ac:dyDescent="0.2">
      <c r="A51" s="734"/>
      <c r="B51" s="772"/>
      <c r="C51" s="773" t="s">
        <v>4300</v>
      </c>
      <c r="D51" s="774"/>
      <c r="E51" s="774" t="s">
        <v>4299</v>
      </c>
      <c r="F51" s="775"/>
    </row>
    <row r="52" spans="1:7" ht="15" customHeight="1" x14ac:dyDescent="0.2">
      <c r="B52" s="776"/>
      <c r="C52" s="777">
        <f>SUM(_xlfn.ANCHORARRAY(C2))-C2</f>
        <v>2166.0000000000005</v>
      </c>
      <c r="D52" s="778"/>
      <c r="E52" s="778">
        <f>SUM(E2:E50)</f>
        <v>2518827.6978213419</v>
      </c>
      <c r="F52" s="779" t="s">
        <v>12</v>
      </c>
      <c r="G52" s="757"/>
    </row>
    <row r="53" spans="1:7" ht="15" customHeight="1" x14ac:dyDescent="0.2">
      <c r="B53" s="776"/>
      <c r="C53" s="777">
        <f>C52-C36-C18-C2-C12-C13</f>
        <v>1702.7300000000002</v>
      </c>
      <c r="D53" s="778"/>
      <c r="E53" s="778">
        <f>E52-E36-E18-E13-E12-E2</f>
        <v>1983947.7193913641</v>
      </c>
      <c r="F53" s="779" t="s">
        <v>4298</v>
      </c>
    </row>
    <row r="54" spans="1:7" ht="15" customHeight="1" x14ac:dyDescent="0.2">
      <c r="B54" s="780" t="s">
        <v>4220</v>
      </c>
      <c r="C54" s="781"/>
      <c r="D54" s="782"/>
      <c r="E54" s="782">
        <f>E53/C53</f>
        <v>1165.1569652213586</v>
      </c>
      <c r="F54" s="783"/>
    </row>
  </sheetData>
  <autoFilter ref="A1:A56" xr:uid="{972CEEC0-7607-4462-854C-24A5954BBF3D}"/>
  <phoneticPr fontId="143" type="noConversion"/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7AA90-B497-472A-A66C-77D129F72013}">
  <sheetPr>
    <tabColor rgb="FFB4B4B4"/>
    <pageSetUpPr fitToPage="1"/>
  </sheetPr>
  <dimension ref="A1:F141"/>
  <sheetViews>
    <sheetView showGridLines="0" view="pageBreakPreview" zoomScale="95" zoomScaleNormal="100" zoomScaleSheetLayoutView="95" workbookViewId="0">
      <pane ySplit="6" topLeftCell="A7" activePane="bottomLeft" state="frozen"/>
      <selection activeCell="E53" sqref="E53"/>
      <selection pane="bottomLeft" activeCell="W29" sqref="W29"/>
    </sheetView>
  </sheetViews>
  <sheetFormatPr defaultRowHeight="11.25" x14ac:dyDescent="0.2"/>
  <cols>
    <col min="1" max="1" width="13.7109375" style="4" customWidth="1"/>
    <col min="2" max="2" width="44.140625" style="4" customWidth="1"/>
    <col min="3" max="4" width="11.140625" style="4" customWidth="1"/>
    <col min="5" max="5" width="14.7109375" style="4" customWidth="1"/>
    <col min="6" max="6" width="16.42578125" style="4" customWidth="1"/>
    <col min="7" max="235" width="9.140625" style="4"/>
    <col min="236" max="236" width="18.7109375" style="4" customWidth="1"/>
    <col min="237" max="237" width="25.140625" style="4" customWidth="1"/>
    <col min="238" max="240" width="7.5703125" style="4" customWidth="1"/>
    <col min="241" max="243" width="6.7109375" style="4" customWidth="1"/>
    <col min="244" max="247" width="7.5703125" style="4" customWidth="1"/>
    <col min="248" max="248" width="8.140625" style="4" customWidth="1"/>
    <col min="249" max="249" width="8.42578125" style="4" customWidth="1"/>
    <col min="250" max="250" width="9.28515625" style="4" customWidth="1"/>
    <col min="251" max="251" width="8.42578125" style="4" customWidth="1"/>
    <col min="252" max="252" width="11.28515625" style="4" customWidth="1"/>
    <col min="253" max="253" width="9.28515625" style="4" customWidth="1"/>
    <col min="254" max="491" width="9.140625" style="4"/>
    <col min="492" max="492" width="18.7109375" style="4" customWidth="1"/>
    <col min="493" max="493" width="25.140625" style="4" customWidth="1"/>
    <col min="494" max="496" width="7.5703125" style="4" customWidth="1"/>
    <col min="497" max="499" width="6.7109375" style="4" customWidth="1"/>
    <col min="500" max="503" width="7.5703125" style="4" customWidth="1"/>
    <col min="504" max="504" width="8.140625" style="4" customWidth="1"/>
    <col min="505" max="505" width="8.42578125" style="4" customWidth="1"/>
    <col min="506" max="506" width="9.28515625" style="4" customWidth="1"/>
    <col min="507" max="507" width="8.42578125" style="4" customWidth="1"/>
    <col min="508" max="508" width="11.28515625" style="4" customWidth="1"/>
    <col min="509" max="509" width="9.28515625" style="4" customWidth="1"/>
    <col min="510" max="747" width="9.140625" style="4"/>
    <col min="748" max="748" width="18.7109375" style="4" customWidth="1"/>
    <col min="749" max="749" width="25.140625" style="4" customWidth="1"/>
    <col min="750" max="752" width="7.5703125" style="4" customWidth="1"/>
    <col min="753" max="755" width="6.7109375" style="4" customWidth="1"/>
    <col min="756" max="759" width="7.5703125" style="4" customWidth="1"/>
    <col min="760" max="760" width="8.140625" style="4" customWidth="1"/>
    <col min="761" max="761" width="8.42578125" style="4" customWidth="1"/>
    <col min="762" max="762" width="9.28515625" style="4" customWidth="1"/>
    <col min="763" max="763" width="8.42578125" style="4" customWidth="1"/>
    <col min="764" max="764" width="11.28515625" style="4" customWidth="1"/>
    <col min="765" max="765" width="9.28515625" style="4" customWidth="1"/>
    <col min="766" max="1003" width="9.140625" style="4"/>
    <col min="1004" max="1004" width="18.7109375" style="4" customWidth="1"/>
    <col min="1005" max="1005" width="25.140625" style="4" customWidth="1"/>
    <col min="1006" max="1008" width="7.5703125" style="4" customWidth="1"/>
    <col min="1009" max="1011" width="6.7109375" style="4" customWidth="1"/>
    <col min="1012" max="1015" width="7.5703125" style="4" customWidth="1"/>
    <col min="1016" max="1016" width="8.140625" style="4" customWidth="1"/>
    <col min="1017" max="1017" width="8.42578125" style="4" customWidth="1"/>
    <col min="1018" max="1018" width="9.28515625" style="4" customWidth="1"/>
    <col min="1019" max="1019" width="8.42578125" style="4" customWidth="1"/>
    <col min="1020" max="1020" width="11.28515625" style="4" customWidth="1"/>
    <col min="1021" max="1021" width="9.28515625" style="4" customWidth="1"/>
    <col min="1022" max="1259" width="9.140625" style="4"/>
    <col min="1260" max="1260" width="18.7109375" style="4" customWidth="1"/>
    <col min="1261" max="1261" width="25.140625" style="4" customWidth="1"/>
    <col min="1262" max="1264" width="7.5703125" style="4" customWidth="1"/>
    <col min="1265" max="1267" width="6.7109375" style="4" customWidth="1"/>
    <col min="1268" max="1271" width="7.5703125" style="4" customWidth="1"/>
    <col min="1272" max="1272" width="8.140625" style="4" customWidth="1"/>
    <col min="1273" max="1273" width="8.42578125" style="4" customWidth="1"/>
    <col min="1274" max="1274" width="9.28515625" style="4" customWidth="1"/>
    <col min="1275" max="1275" width="8.42578125" style="4" customWidth="1"/>
    <col min="1276" max="1276" width="11.28515625" style="4" customWidth="1"/>
    <col min="1277" max="1277" width="9.28515625" style="4" customWidth="1"/>
    <col min="1278" max="1515" width="9.140625" style="4"/>
    <col min="1516" max="1516" width="18.7109375" style="4" customWidth="1"/>
    <col min="1517" max="1517" width="25.140625" style="4" customWidth="1"/>
    <col min="1518" max="1520" width="7.5703125" style="4" customWidth="1"/>
    <col min="1521" max="1523" width="6.7109375" style="4" customWidth="1"/>
    <col min="1524" max="1527" width="7.5703125" style="4" customWidth="1"/>
    <col min="1528" max="1528" width="8.140625" style="4" customWidth="1"/>
    <col min="1529" max="1529" width="8.42578125" style="4" customWidth="1"/>
    <col min="1530" max="1530" width="9.28515625" style="4" customWidth="1"/>
    <col min="1531" max="1531" width="8.42578125" style="4" customWidth="1"/>
    <col min="1532" max="1532" width="11.28515625" style="4" customWidth="1"/>
    <col min="1533" max="1533" width="9.28515625" style="4" customWidth="1"/>
    <col min="1534" max="1771" width="9.140625" style="4"/>
    <col min="1772" max="1772" width="18.7109375" style="4" customWidth="1"/>
    <col min="1773" max="1773" width="25.140625" style="4" customWidth="1"/>
    <col min="1774" max="1776" width="7.5703125" style="4" customWidth="1"/>
    <col min="1777" max="1779" width="6.7109375" style="4" customWidth="1"/>
    <col min="1780" max="1783" width="7.5703125" style="4" customWidth="1"/>
    <col min="1784" max="1784" width="8.140625" style="4" customWidth="1"/>
    <col min="1785" max="1785" width="8.42578125" style="4" customWidth="1"/>
    <col min="1786" max="1786" width="9.28515625" style="4" customWidth="1"/>
    <col min="1787" max="1787" width="8.42578125" style="4" customWidth="1"/>
    <col min="1788" max="1788" width="11.28515625" style="4" customWidth="1"/>
    <col min="1789" max="1789" width="9.28515625" style="4" customWidth="1"/>
    <col min="1790" max="2027" width="9.140625" style="4"/>
    <col min="2028" max="2028" width="18.7109375" style="4" customWidth="1"/>
    <col min="2029" max="2029" width="25.140625" style="4" customWidth="1"/>
    <col min="2030" max="2032" width="7.5703125" style="4" customWidth="1"/>
    <col min="2033" max="2035" width="6.7109375" style="4" customWidth="1"/>
    <col min="2036" max="2039" width="7.5703125" style="4" customWidth="1"/>
    <col min="2040" max="2040" width="8.140625" style="4" customWidth="1"/>
    <col min="2041" max="2041" width="8.42578125" style="4" customWidth="1"/>
    <col min="2042" max="2042" width="9.28515625" style="4" customWidth="1"/>
    <col min="2043" max="2043" width="8.42578125" style="4" customWidth="1"/>
    <col min="2044" max="2044" width="11.28515625" style="4" customWidth="1"/>
    <col min="2045" max="2045" width="9.28515625" style="4" customWidth="1"/>
    <col min="2046" max="2283" width="9.140625" style="4"/>
    <col min="2284" max="2284" width="18.7109375" style="4" customWidth="1"/>
    <col min="2285" max="2285" width="25.140625" style="4" customWidth="1"/>
    <col min="2286" max="2288" width="7.5703125" style="4" customWidth="1"/>
    <col min="2289" max="2291" width="6.7109375" style="4" customWidth="1"/>
    <col min="2292" max="2295" width="7.5703125" style="4" customWidth="1"/>
    <col min="2296" max="2296" width="8.140625" style="4" customWidth="1"/>
    <col min="2297" max="2297" width="8.42578125" style="4" customWidth="1"/>
    <col min="2298" max="2298" width="9.28515625" style="4" customWidth="1"/>
    <col min="2299" max="2299" width="8.42578125" style="4" customWidth="1"/>
    <col min="2300" max="2300" width="11.28515625" style="4" customWidth="1"/>
    <col min="2301" max="2301" width="9.28515625" style="4" customWidth="1"/>
    <col min="2302" max="2539" width="9.140625" style="4"/>
    <col min="2540" max="2540" width="18.7109375" style="4" customWidth="1"/>
    <col min="2541" max="2541" width="25.140625" style="4" customWidth="1"/>
    <col min="2542" max="2544" width="7.5703125" style="4" customWidth="1"/>
    <col min="2545" max="2547" width="6.7109375" style="4" customWidth="1"/>
    <col min="2548" max="2551" width="7.5703125" style="4" customWidth="1"/>
    <col min="2552" max="2552" width="8.140625" style="4" customWidth="1"/>
    <col min="2553" max="2553" width="8.42578125" style="4" customWidth="1"/>
    <col min="2554" max="2554" width="9.28515625" style="4" customWidth="1"/>
    <col min="2555" max="2555" width="8.42578125" style="4" customWidth="1"/>
    <col min="2556" max="2556" width="11.28515625" style="4" customWidth="1"/>
    <col min="2557" max="2557" width="9.28515625" style="4" customWidth="1"/>
    <col min="2558" max="2795" width="9.140625" style="4"/>
    <col min="2796" max="2796" width="18.7109375" style="4" customWidth="1"/>
    <col min="2797" max="2797" width="25.140625" style="4" customWidth="1"/>
    <col min="2798" max="2800" width="7.5703125" style="4" customWidth="1"/>
    <col min="2801" max="2803" width="6.7109375" style="4" customWidth="1"/>
    <col min="2804" max="2807" width="7.5703125" style="4" customWidth="1"/>
    <col min="2808" max="2808" width="8.140625" style="4" customWidth="1"/>
    <col min="2809" max="2809" width="8.42578125" style="4" customWidth="1"/>
    <col min="2810" max="2810" width="9.28515625" style="4" customWidth="1"/>
    <col min="2811" max="2811" width="8.42578125" style="4" customWidth="1"/>
    <col min="2812" max="2812" width="11.28515625" style="4" customWidth="1"/>
    <col min="2813" max="2813" width="9.28515625" style="4" customWidth="1"/>
    <col min="2814" max="3051" width="9.140625" style="4"/>
    <col min="3052" max="3052" width="18.7109375" style="4" customWidth="1"/>
    <col min="3053" max="3053" width="25.140625" style="4" customWidth="1"/>
    <col min="3054" max="3056" width="7.5703125" style="4" customWidth="1"/>
    <col min="3057" max="3059" width="6.7109375" style="4" customWidth="1"/>
    <col min="3060" max="3063" width="7.5703125" style="4" customWidth="1"/>
    <col min="3064" max="3064" width="8.140625" style="4" customWidth="1"/>
    <col min="3065" max="3065" width="8.42578125" style="4" customWidth="1"/>
    <col min="3066" max="3066" width="9.28515625" style="4" customWidth="1"/>
    <col min="3067" max="3067" width="8.42578125" style="4" customWidth="1"/>
    <col min="3068" max="3068" width="11.28515625" style="4" customWidth="1"/>
    <col min="3069" max="3069" width="9.28515625" style="4" customWidth="1"/>
    <col min="3070" max="3307" width="9.140625" style="4"/>
    <col min="3308" max="3308" width="18.7109375" style="4" customWidth="1"/>
    <col min="3309" max="3309" width="25.140625" style="4" customWidth="1"/>
    <col min="3310" max="3312" width="7.5703125" style="4" customWidth="1"/>
    <col min="3313" max="3315" width="6.7109375" style="4" customWidth="1"/>
    <col min="3316" max="3319" width="7.5703125" style="4" customWidth="1"/>
    <col min="3320" max="3320" width="8.140625" style="4" customWidth="1"/>
    <col min="3321" max="3321" width="8.42578125" style="4" customWidth="1"/>
    <col min="3322" max="3322" width="9.28515625" style="4" customWidth="1"/>
    <col min="3323" max="3323" width="8.42578125" style="4" customWidth="1"/>
    <col min="3324" max="3324" width="11.28515625" style="4" customWidth="1"/>
    <col min="3325" max="3325" width="9.28515625" style="4" customWidth="1"/>
    <col min="3326" max="3563" width="9.140625" style="4"/>
    <col min="3564" max="3564" width="18.7109375" style="4" customWidth="1"/>
    <col min="3565" max="3565" width="25.140625" style="4" customWidth="1"/>
    <col min="3566" max="3568" width="7.5703125" style="4" customWidth="1"/>
    <col min="3569" max="3571" width="6.7109375" style="4" customWidth="1"/>
    <col min="3572" max="3575" width="7.5703125" style="4" customWidth="1"/>
    <col min="3576" max="3576" width="8.140625" style="4" customWidth="1"/>
    <col min="3577" max="3577" width="8.42578125" style="4" customWidth="1"/>
    <col min="3578" max="3578" width="9.28515625" style="4" customWidth="1"/>
    <col min="3579" max="3579" width="8.42578125" style="4" customWidth="1"/>
    <col min="3580" max="3580" width="11.28515625" style="4" customWidth="1"/>
    <col min="3581" max="3581" width="9.28515625" style="4" customWidth="1"/>
    <col min="3582" max="3819" width="9.140625" style="4"/>
    <col min="3820" max="3820" width="18.7109375" style="4" customWidth="1"/>
    <col min="3821" max="3821" width="25.140625" style="4" customWidth="1"/>
    <col min="3822" max="3824" width="7.5703125" style="4" customWidth="1"/>
    <col min="3825" max="3827" width="6.7109375" style="4" customWidth="1"/>
    <col min="3828" max="3831" width="7.5703125" style="4" customWidth="1"/>
    <col min="3832" max="3832" width="8.140625" style="4" customWidth="1"/>
    <col min="3833" max="3833" width="8.42578125" style="4" customWidth="1"/>
    <col min="3834" max="3834" width="9.28515625" style="4" customWidth="1"/>
    <col min="3835" max="3835" width="8.42578125" style="4" customWidth="1"/>
    <col min="3836" max="3836" width="11.28515625" style="4" customWidth="1"/>
    <col min="3837" max="3837" width="9.28515625" style="4" customWidth="1"/>
    <col min="3838" max="4075" width="9.140625" style="4"/>
    <col min="4076" max="4076" width="18.7109375" style="4" customWidth="1"/>
    <col min="4077" max="4077" width="25.140625" style="4" customWidth="1"/>
    <col min="4078" max="4080" width="7.5703125" style="4" customWidth="1"/>
    <col min="4081" max="4083" width="6.7109375" style="4" customWidth="1"/>
    <col min="4084" max="4087" width="7.5703125" style="4" customWidth="1"/>
    <col min="4088" max="4088" width="8.140625" style="4" customWidth="1"/>
    <col min="4089" max="4089" width="8.42578125" style="4" customWidth="1"/>
    <col min="4090" max="4090" width="9.28515625" style="4" customWidth="1"/>
    <col min="4091" max="4091" width="8.42578125" style="4" customWidth="1"/>
    <col min="4092" max="4092" width="11.28515625" style="4" customWidth="1"/>
    <col min="4093" max="4093" width="9.28515625" style="4" customWidth="1"/>
    <col min="4094" max="4331" width="9.140625" style="4"/>
    <col min="4332" max="4332" width="18.7109375" style="4" customWidth="1"/>
    <col min="4333" max="4333" width="25.140625" style="4" customWidth="1"/>
    <col min="4334" max="4336" width="7.5703125" style="4" customWidth="1"/>
    <col min="4337" max="4339" width="6.7109375" style="4" customWidth="1"/>
    <col min="4340" max="4343" width="7.5703125" style="4" customWidth="1"/>
    <col min="4344" max="4344" width="8.140625" style="4" customWidth="1"/>
    <col min="4345" max="4345" width="8.42578125" style="4" customWidth="1"/>
    <col min="4346" max="4346" width="9.28515625" style="4" customWidth="1"/>
    <col min="4347" max="4347" width="8.42578125" style="4" customWidth="1"/>
    <col min="4348" max="4348" width="11.28515625" style="4" customWidth="1"/>
    <col min="4349" max="4349" width="9.28515625" style="4" customWidth="1"/>
    <col min="4350" max="4587" width="9.140625" style="4"/>
    <col min="4588" max="4588" width="18.7109375" style="4" customWidth="1"/>
    <col min="4589" max="4589" width="25.140625" style="4" customWidth="1"/>
    <col min="4590" max="4592" width="7.5703125" style="4" customWidth="1"/>
    <col min="4593" max="4595" width="6.7109375" style="4" customWidth="1"/>
    <col min="4596" max="4599" width="7.5703125" style="4" customWidth="1"/>
    <col min="4600" max="4600" width="8.140625" style="4" customWidth="1"/>
    <col min="4601" max="4601" width="8.42578125" style="4" customWidth="1"/>
    <col min="4602" max="4602" width="9.28515625" style="4" customWidth="1"/>
    <col min="4603" max="4603" width="8.42578125" style="4" customWidth="1"/>
    <col min="4604" max="4604" width="11.28515625" style="4" customWidth="1"/>
    <col min="4605" max="4605" width="9.28515625" style="4" customWidth="1"/>
    <col min="4606" max="4843" width="9.140625" style="4"/>
    <col min="4844" max="4844" width="18.7109375" style="4" customWidth="1"/>
    <col min="4845" max="4845" width="25.140625" style="4" customWidth="1"/>
    <col min="4846" max="4848" width="7.5703125" style="4" customWidth="1"/>
    <col min="4849" max="4851" width="6.7109375" style="4" customWidth="1"/>
    <col min="4852" max="4855" width="7.5703125" style="4" customWidth="1"/>
    <col min="4856" max="4856" width="8.140625" style="4" customWidth="1"/>
    <col min="4857" max="4857" width="8.42578125" style="4" customWidth="1"/>
    <col min="4858" max="4858" width="9.28515625" style="4" customWidth="1"/>
    <col min="4859" max="4859" width="8.42578125" style="4" customWidth="1"/>
    <col min="4860" max="4860" width="11.28515625" style="4" customWidth="1"/>
    <col min="4861" max="4861" width="9.28515625" style="4" customWidth="1"/>
    <col min="4862" max="5099" width="9.140625" style="4"/>
    <col min="5100" max="5100" width="18.7109375" style="4" customWidth="1"/>
    <col min="5101" max="5101" width="25.140625" style="4" customWidth="1"/>
    <col min="5102" max="5104" width="7.5703125" style="4" customWidth="1"/>
    <col min="5105" max="5107" width="6.7109375" style="4" customWidth="1"/>
    <col min="5108" max="5111" width="7.5703125" style="4" customWidth="1"/>
    <col min="5112" max="5112" width="8.140625" style="4" customWidth="1"/>
    <col min="5113" max="5113" width="8.42578125" style="4" customWidth="1"/>
    <col min="5114" max="5114" width="9.28515625" style="4" customWidth="1"/>
    <col min="5115" max="5115" width="8.42578125" style="4" customWidth="1"/>
    <col min="5116" max="5116" width="11.28515625" style="4" customWidth="1"/>
    <col min="5117" max="5117" width="9.28515625" style="4" customWidth="1"/>
    <col min="5118" max="5355" width="9.140625" style="4"/>
    <col min="5356" max="5356" width="18.7109375" style="4" customWidth="1"/>
    <col min="5357" max="5357" width="25.140625" style="4" customWidth="1"/>
    <col min="5358" max="5360" width="7.5703125" style="4" customWidth="1"/>
    <col min="5361" max="5363" width="6.7109375" style="4" customWidth="1"/>
    <col min="5364" max="5367" width="7.5703125" style="4" customWidth="1"/>
    <col min="5368" max="5368" width="8.140625" style="4" customWidth="1"/>
    <col min="5369" max="5369" width="8.42578125" style="4" customWidth="1"/>
    <col min="5370" max="5370" width="9.28515625" style="4" customWidth="1"/>
    <col min="5371" max="5371" width="8.42578125" style="4" customWidth="1"/>
    <col min="5372" max="5372" width="11.28515625" style="4" customWidth="1"/>
    <col min="5373" max="5373" width="9.28515625" style="4" customWidth="1"/>
    <col min="5374" max="5611" width="9.140625" style="4"/>
    <col min="5612" max="5612" width="18.7109375" style="4" customWidth="1"/>
    <col min="5613" max="5613" width="25.140625" style="4" customWidth="1"/>
    <col min="5614" max="5616" width="7.5703125" style="4" customWidth="1"/>
    <col min="5617" max="5619" width="6.7109375" style="4" customWidth="1"/>
    <col min="5620" max="5623" width="7.5703125" style="4" customWidth="1"/>
    <col min="5624" max="5624" width="8.140625" style="4" customWidth="1"/>
    <col min="5625" max="5625" width="8.42578125" style="4" customWidth="1"/>
    <col min="5626" max="5626" width="9.28515625" style="4" customWidth="1"/>
    <col min="5627" max="5627" width="8.42578125" style="4" customWidth="1"/>
    <col min="5628" max="5628" width="11.28515625" style="4" customWidth="1"/>
    <col min="5629" max="5629" width="9.28515625" style="4" customWidth="1"/>
    <col min="5630" max="5867" width="9.140625" style="4"/>
    <col min="5868" max="5868" width="18.7109375" style="4" customWidth="1"/>
    <col min="5869" max="5869" width="25.140625" style="4" customWidth="1"/>
    <col min="5870" max="5872" width="7.5703125" style="4" customWidth="1"/>
    <col min="5873" max="5875" width="6.7109375" style="4" customWidth="1"/>
    <col min="5876" max="5879" width="7.5703125" style="4" customWidth="1"/>
    <col min="5880" max="5880" width="8.140625" style="4" customWidth="1"/>
    <col min="5881" max="5881" width="8.42578125" style="4" customWidth="1"/>
    <col min="5882" max="5882" width="9.28515625" style="4" customWidth="1"/>
    <col min="5883" max="5883" width="8.42578125" style="4" customWidth="1"/>
    <col min="5884" max="5884" width="11.28515625" style="4" customWidth="1"/>
    <col min="5885" max="5885" width="9.28515625" style="4" customWidth="1"/>
    <col min="5886" max="6123" width="9.140625" style="4"/>
    <col min="6124" max="6124" width="18.7109375" style="4" customWidth="1"/>
    <col min="6125" max="6125" width="25.140625" style="4" customWidth="1"/>
    <col min="6126" max="6128" width="7.5703125" style="4" customWidth="1"/>
    <col min="6129" max="6131" width="6.7109375" style="4" customWidth="1"/>
    <col min="6132" max="6135" width="7.5703125" style="4" customWidth="1"/>
    <col min="6136" max="6136" width="8.140625" style="4" customWidth="1"/>
    <col min="6137" max="6137" width="8.42578125" style="4" customWidth="1"/>
    <col min="6138" max="6138" width="9.28515625" style="4" customWidth="1"/>
    <col min="6139" max="6139" width="8.42578125" style="4" customWidth="1"/>
    <col min="6140" max="6140" width="11.28515625" style="4" customWidth="1"/>
    <col min="6141" max="6141" width="9.28515625" style="4" customWidth="1"/>
    <col min="6142" max="6379" width="9.140625" style="4"/>
    <col min="6380" max="6380" width="18.7109375" style="4" customWidth="1"/>
    <col min="6381" max="6381" width="25.140625" style="4" customWidth="1"/>
    <col min="6382" max="6384" width="7.5703125" style="4" customWidth="1"/>
    <col min="6385" max="6387" width="6.7109375" style="4" customWidth="1"/>
    <col min="6388" max="6391" width="7.5703125" style="4" customWidth="1"/>
    <col min="6392" max="6392" width="8.140625" style="4" customWidth="1"/>
    <col min="6393" max="6393" width="8.42578125" style="4" customWidth="1"/>
    <col min="6394" max="6394" width="9.28515625" style="4" customWidth="1"/>
    <col min="6395" max="6395" width="8.42578125" style="4" customWidth="1"/>
    <col min="6396" max="6396" width="11.28515625" style="4" customWidth="1"/>
    <col min="6397" max="6397" width="9.28515625" style="4" customWidth="1"/>
    <col min="6398" max="6635" width="9.140625" style="4"/>
    <col min="6636" max="6636" width="18.7109375" style="4" customWidth="1"/>
    <col min="6637" max="6637" width="25.140625" style="4" customWidth="1"/>
    <col min="6638" max="6640" width="7.5703125" style="4" customWidth="1"/>
    <col min="6641" max="6643" width="6.7109375" style="4" customWidth="1"/>
    <col min="6644" max="6647" width="7.5703125" style="4" customWidth="1"/>
    <col min="6648" max="6648" width="8.140625" style="4" customWidth="1"/>
    <col min="6649" max="6649" width="8.42578125" style="4" customWidth="1"/>
    <col min="6650" max="6650" width="9.28515625" style="4" customWidth="1"/>
    <col min="6651" max="6651" width="8.42578125" style="4" customWidth="1"/>
    <col min="6652" max="6652" width="11.28515625" style="4" customWidth="1"/>
    <col min="6653" max="6653" width="9.28515625" style="4" customWidth="1"/>
    <col min="6654" max="6891" width="9.140625" style="4"/>
    <col min="6892" max="6892" width="18.7109375" style="4" customWidth="1"/>
    <col min="6893" max="6893" width="25.140625" style="4" customWidth="1"/>
    <col min="6894" max="6896" width="7.5703125" style="4" customWidth="1"/>
    <col min="6897" max="6899" width="6.7109375" style="4" customWidth="1"/>
    <col min="6900" max="6903" width="7.5703125" style="4" customWidth="1"/>
    <col min="6904" max="6904" width="8.140625" style="4" customWidth="1"/>
    <col min="6905" max="6905" width="8.42578125" style="4" customWidth="1"/>
    <col min="6906" max="6906" width="9.28515625" style="4" customWidth="1"/>
    <col min="6907" max="6907" width="8.42578125" style="4" customWidth="1"/>
    <col min="6908" max="6908" width="11.28515625" style="4" customWidth="1"/>
    <col min="6909" max="6909" width="9.28515625" style="4" customWidth="1"/>
    <col min="6910" max="7147" width="9.140625" style="4"/>
    <col min="7148" max="7148" width="18.7109375" style="4" customWidth="1"/>
    <col min="7149" max="7149" width="25.140625" style="4" customWidth="1"/>
    <col min="7150" max="7152" width="7.5703125" style="4" customWidth="1"/>
    <col min="7153" max="7155" width="6.7109375" style="4" customWidth="1"/>
    <col min="7156" max="7159" width="7.5703125" style="4" customWidth="1"/>
    <col min="7160" max="7160" width="8.140625" style="4" customWidth="1"/>
    <col min="7161" max="7161" width="8.42578125" style="4" customWidth="1"/>
    <col min="7162" max="7162" width="9.28515625" style="4" customWidth="1"/>
    <col min="7163" max="7163" width="8.42578125" style="4" customWidth="1"/>
    <col min="7164" max="7164" width="11.28515625" style="4" customWidth="1"/>
    <col min="7165" max="7165" width="9.28515625" style="4" customWidth="1"/>
    <col min="7166" max="7403" width="9.140625" style="4"/>
    <col min="7404" max="7404" width="18.7109375" style="4" customWidth="1"/>
    <col min="7405" max="7405" width="25.140625" style="4" customWidth="1"/>
    <col min="7406" max="7408" width="7.5703125" style="4" customWidth="1"/>
    <col min="7409" max="7411" width="6.7109375" style="4" customWidth="1"/>
    <col min="7412" max="7415" width="7.5703125" style="4" customWidth="1"/>
    <col min="7416" max="7416" width="8.140625" style="4" customWidth="1"/>
    <col min="7417" max="7417" width="8.42578125" style="4" customWidth="1"/>
    <col min="7418" max="7418" width="9.28515625" style="4" customWidth="1"/>
    <col min="7419" max="7419" width="8.42578125" style="4" customWidth="1"/>
    <col min="7420" max="7420" width="11.28515625" style="4" customWidth="1"/>
    <col min="7421" max="7421" width="9.28515625" style="4" customWidth="1"/>
    <col min="7422" max="7659" width="9.140625" style="4"/>
    <col min="7660" max="7660" width="18.7109375" style="4" customWidth="1"/>
    <col min="7661" max="7661" width="25.140625" style="4" customWidth="1"/>
    <col min="7662" max="7664" width="7.5703125" style="4" customWidth="1"/>
    <col min="7665" max="7667" width="6.7109375" style="4" customWidth="1"/>
    <col min="7668" max="7671" width="7.5703125" style="4" customWidth="1"/>
    <col min="7672" max="7672" width="8.140625" style="4" customWidth="1"/>
    <col min="7673" max="7673" width="8.42578125" style="4" customWidth="1"/>
    <col min="7674" max="7674" width="9.28515625" style="4" customWidth="1"/>
    <col min="7675" max="7675" width="8.42578125" style="4" customWidth="1"/>
    <col min="7676" max="7676" width="11.28515625" style="4" customWidth="1"/>
    <col min="7677" max="7677" width="9.28515625" style="4" customWidth="1"/>
    <col min="7678" max="7915" width="9.140625" style="4"/>
    <col min="7916" max="7916" width="18.7109375" style="4" customWidth="1"/>
    <col min="7917" max="7917" width="25.140625" style="4" customWidth="1"/>
    <col min="7918" max="7920" width="7.5703125" style="4" customWidth="1"/>
    <col min="7921" max="7923" width="6.7109375" style="4" customWidth="1"/>
    <col min="7924" max="7927" width="7.5703125" style="4" customWidth="1"/>
    <col min="7928" max="7928" width="8.140625" style="4" customWidth="1"/>
    <col min="7929" max="7929" width="8.42578125" style="4" customWidth="1"/>
    <col min="7930" max="7930" width="9.28515625" style="4" customWidth="1"/>
    <col min="7931" max="7931" width="8.42578125" style="4" customWidth="1"/>
    <col min="7932" max="7932" width="11.28515625" style="4" customWidth="1"/>
    <col min="7933" max="7933" width="9.28515625" style="4" customWidth="1"/>
    <col min="7934" max="8171" width="9.140625" style="4"/>
    <col min="8172" max="8172" width="18.7109375" style="4" customWidth="1"/>
    <col min="8173" max="8173" width="25.140625" style="4" customWidth="1"/>
    <col min="8174" max="8176" width="7.5703125" style="4" customWidth="1"/>
    <col min="8177" max="8179" width="6.7109375" style="4" customWidth="1"/>
    <col min="8180" max="8183" width="7.5703125" style="4" customWidth="1"/>
    <col min="8184" max="8184" width="8.140625" style="4" customWidth="1"/>
    <col min="8185" max="8185" width="8.42578125" style="4" customWidth="1"/>
    <col min="8186" max="8186" width="9.28515625" style="4" customWidth="1"/>
    <col min="8187" max="8187" width="8.42578125" style="4" customWidth="1"/>
    <col min="8188" max="8188" width="11.28515625" style="4" customWidth="1"/>
    <col min="8189" max="8189" width="9.28515625" style="4" customWidth="1"/>
    <col min="8190" max="8427" width="9.140625" style="4"/>
    <col min="8428" max="8428" width="18.7109375" style="4" customWidth="1"/>
    <col min="8429" max="8429" width="25.140625" style="4" customWidth="1"/>
    <col min="8430" max="8432" width="7.5703125" style="4" customWidth="1"/>
    <col min="8433" max="8435" width="6.7109375" style="4" customWidth="1"/>
    <col min="8436" max="8439" width="7.5703125" style="4" customWidth="1"/>
    <col min="8440" max="8440" width="8.140625" style="4" customWidth="1"/>
    <col min="8441" max="8441" width="8.42578125" style="4" customWidth="1"/>
    <col min="8442" max="8442" width="9.28515625" style="4" customWidth="1"/>
    <col min="8443" max="8443" width="8.42578125" style="4" customWidth="1"/>
    <col min="8444" max="8444" width="11.28515625" style="4" customWidth="1"/>
    <col min="8445" max="8445" width="9.28515625" style="4" customWidth="1"/>
    <col min="8446" max="8683" width="9.140625" style="4"/>
    <col min="8684" max="8684" width="18.7109375" style="4" customWidth="1"/>
    <col min="8685" max="8685" width="25.140625" style="4" customWidth="1"/>
    <col min="8686" max="8688" width="7.5703125" style="4" customWidth="1"/>
    <col min="8689" max="8691" width="6.7109375" style="4" customWidth="1"/>
    <col min="8692" max="8695" width="7.5703125" style="4" customWidth="1"/>
    <col min="8696" max="8696" width="8.140625" style="4" customWidth="1"/>
    <col min="8697" max="8697" width="8.42578125" style="4" customWidth="1"/>
    <col min="8698" max="8698" width="9.28515625" style="4" customWidth="1"/>
    <col min="8699" max="8699" width="8.42578125" style="4" customWidth="1"/>
    <col min="8700" max="8700" width="11.28515625" style="4" customWidth="1"/>
    <col min="8701" max="8701" width="9.28515625" style="4" customWidth="1"/>
    <col min="8702" max="8939" width="9.140625" style="4"/>
    <col min="8940" max="8940" width="18.7109375" style="4" customWidth="1"/>
    <col min="8941" max="8941" width="25.140625" style="4" customWidth="1"/>
    <col min="8942" max="8944" width="7.5703125" style="4" customWidth="1"/>
    <col min="8945" max="8947" width="6.7109375" style="4" customWidth="1"/>
    <col min="8948" max="8951" width="7.5703125" style="4" customWidth="1"/>
    <col min="8952" max="8952" width="8.140625" style="4" customWidth="1"/>
    <col min="8953" max="8953" width="8.42578125" style="4" customWidth="1"/>
    <col min="8954" max="8954" width="9.28515625" style="4" customWidth="1"/>
    <col min="8955" max="8955" width="8.42578125" style="4" customWidth="1"/>
    <col min="8956" max="8956" width="11.28515625" style="4" customWidth="1"/>
    <col min="8957" max="8957" width="9.28515625" style="4" customWidth="1"/>
    <col min="8958" max="9195" width="9.140625" style="4"/>
    <col min="9196" max="9196" width="18.7109375" style="4" customWidth="1"/>
    <col min="9197" max="9197" width="25.140625" style="4" customWidth="1"/>
    <col min="9198" max="9200" width="7.5703125" style="4" customWidth="1"/>
    <col min="9201" max="9203" width="6.7109375" style="4" customWidth="1"/>
    <col min="9204" max="9207" width="7.5703125" style="4" customWidth="1"/>
    <col min="9208" max="9208" width="8.140625" style="4" customWidth="1"/>
    <col min="9209" max="9209" width="8.42578125" style="4" customWidth="1"/>
    <col min="9210" max="9210" width="9.28515625" style="4" customWidth="1"/>
    <col min="9211" max="9211" width="8.42578125" style="4" customWidth="1"/>
    <col min="9212" max="9212" width="11.28515625" style="4" customWidth="1"/>
    <col min="9213" max="9213" width="9.28515625" style="4" customWidth="1"/>
    <col min="9214" max="9451" width="9.140625" style="4"/>
    <col min="9452" max="9452" width="18.7109375" style="4" customWidth="1"/>
    <col min="9453" max="9453" width="25.140625" style="4" customWidth="1"/>
    <col min="9454" max="9456" width="7.5703125" style="4" customWidth="1"/>
    <col min="9457" max="9459" width="6.7109375" style="4" customWidth="1"/>
    <col min="9460" max="9463" width="7.5703125" style="4" customWidth="1"/>
    <col min="9464" max="9464" width="8.140625" style="4" customWidth="1"/>
    <col min="9465" max="9465" width="8.42578125" style="4" customWidth="1"/>
    <col min="9466" max="9466" width="9.28515625" style="4" customWidth="1"/>
    <col min="9467" max="9467" width="8.42578125" style="4" customWidth="1"/>
    <col min="9468" max="9468" width="11.28515625" style="4" customWidth="1"/>
    <col min="9469" max="9469" width="9.28515625" style="4" customWidth="1"/>
    <col min="9470" max="9707" width="9.140625" style="4"/>
    <col min="9708" max="9708" width="18.7109375" style="4" customWidth="1"/>
    <col min="9709" max="9709" width="25.140625" style="4" customWidth="1"/>
    <col min="9710" max="9712" width="7.5703125" style="4" customWidth="1"/>
    <col min="9713" max="9715" width="6.7109375" style="4" customWidth="1"/>
    <col min="9716" max="9719" width="7.5703125" style="4" customWidth="1"/>
    <col min="9720" max="9720" width="8.140625" style="4" customWidth="1"/>
    <col min="9721" max="9721" width="8.42578125" style="4" customWidth="1"/>
    <col min="9722" max="9722" width="9.28515625" style="4" customWidth="1"/>
    <col min="9723" max="9723" width="8.42578125" style="4" customWidth="1"/>
    <col min="9724" max="9724" width="11.28515625" style="4" customWidth="1"/>
    <col min="9725" max="9725" width="9.28515625" style="4" customWidth="1"/>
    <col min="9726" max="9963" width="9.140625" style="4"/>
    <col min="9964" max="9964" width="18.7109375" style="4" customWidth="1"/>
    <col min="9965" max="9965" width="25.140625" style="4" customWidth="1"/>
    <col min="9966" max="9968" width="7.5703125" style="4" customWidth="1"/>
    <col min="9969" max="9971" width="6.7109375" style="4" customWidth="1"/>
    <col min="9972" max="9975" width="7.5703125" style="4" customWidth="1"/>
    <col min="9976" max="9976" width="8.140625" style="4" customWidth="1"/>
    <col min="9977" max="9977" width="8.42578125" style="4" customWidth="1"/>
    <col min="9978" max="9978" width="9.28515625" style="4" customWidth="1"/>
    <col min="9979" max="9979" width="8.42578125" style="4" customWidth="1"/>
    <col min="9980" max="9980" width="11.28515625" style="4" customWidth="1"/>
    <col min="9981" max="9981" width="9.28515625" style="4" customWidth="1"/>
    <col min="9982" max="10219" width="9.140625" style="4"/>
    <col min="10220" max="10220" width="18.7109375" style="4" customWidth="1"/>
    <col min="10221" max="10221" width="25.140625" style="4" customWidth="1"/>
    <col min="10222" max="10224" width="7.5703125" style="4" customWidth="1"/>
    <col min="10225" max="10227" width="6.7109375" style="4" customWidth="1"/>
    <col min="10228" max="10231" width="7.5703125" style="4" customWidth="1"/>
    <col min="10232" max="10232" width="8.140625" style="4" customWidth="1"/>
    <col min="10233" max="10233" width="8.42578125" style="4" customWidth="1"/>
    <col min="10234" max="10234" width="9.28515625" style="4" customWidth="1"/>
    <col min="10235" max="10235" width="8.42578125" style="4" customWidth="1"/>
    <col min="10236" max="10236" width="11.28515625" style="4" customWidth="1"/>
    <col min="10237" max="10237" width="9.28515625" style="4" customWidth="1"/>
    <col min="10238" max="10475" width="9.140625" style="4"/>
    <col min="10476" max="10476" width="18.7109375" style="4" customWidth="1"/>
    <col min="10477" max="10477" width="25.140625" style="4" customWidth="1"/>
    <col min="10478" max="10480" width="7.5703125" style="4" customWidth="1"/>
    <col min="10481" max="10483" width="6.7109375" style="4" customWidth="1"/>
    <col min="10484" max="10487" width="7.5703125" style="4" customWidth="1"/>
    <col min="10488" max="10488" width="8.140625" style="4" customWidth="1"/>
    <col min="10489" max="10489" width="8.42578125" style="4" customWidth="1"/>
    <col min="10490" max="10490" width="9.28515625" style="4" customWidth="1"/>
    <col min="10491" max="10491" width="8.42578125" style="4" customWidth="1"/>
    <col min="10492" max="10492" width="11.28515625" style="4" customWidth="1"/>
    <col min="10493" max="10493" width="9.28515625" style="4" customWidth="1"/>
    <col min="10494" max="10731" width="9.140625" style="4"/>
    <col min="10732" max="10732" width="18.7109375" style="4" customWidth="1"/>
    <col min="10733" max="10733" width="25.140625" style="4" customWidth="1"/>
    <col min="10734" max="10736" width="7.5703125" style="4" customWidth="1"/>
    <col min="10737" max="10739" width="6.7109375" style="4" customWidth="1"/>
    <col min="10740" max="10743" width="7.5703125" style="4" customWidth="1"/>
    <col min="10744" max="10744" width="8.140625" style="4" customWidth="1"/>
    <col min="10745" max="10745" width="8.42578125" style="4" customWidth="1"/>
    <col min="10746" max="10746" width="9.28515625" style="4" customWidth="1"/>
    <col min="10747" max="10747" width="8.42578125" style="4" customWidth="1"/>
    <col min="10748" max="10748" width="11.28515625" style="4" customWidth="1"/>
    <col min="10749" max="10749" width="9.28515625" style="4" customWidth="1"/>
    <col min="10750" max="10987" width="9.140625" style="4"/>
    <col min="10988" max="10988" width="18.7109375" style="4" customWidth="1"/>
    <col min="10989" max="10989" width="25.140625" style="4" customWidth="1"/>
    <col min="10990" max="10992" width="7.5703125" style="4" customWidth="1"/>
    <col min="10993" max="10995" width="6.7109375" style="4" customWidth="1"/>
    <col min="10996" max="10999" width="7.5703125" style="4" customWidth="1"/>
    <col min="11000" max="11000" width="8.140625" style="4" customWidth="1"/>
    <col min="11001" max="11001" width="8.42578125" style="4" customWidth="1"/>
    <col min="11002" max="11002" width="9.28515625" style="4" customWidth="1"/>
    <col min="11003" max="11003" width="8.42578125" style="4" customWidth="1"/>
    <col min="11004" max="11004" width="11.28515625" style="4" customWidth="1"/>
    <col min="11005" max="11005" width="9.28515625" style="4" customWidth="1"/>
    <col min="11006" max="11243" width="9.140625" style="4"/>
    <col min="11244" max="11244" width="18.7109375" style="4" customWidth="1"/>
    <col min="11245" max="11245" width="25.140625" style="4" customWidth="1"/>
    <col min="11246" max="11248" width="7.5703125" style="4" customWidth="1"/>
    <col min="11249" max="11251" width="6.7109375" style="4" customWidth="1"/>
    <col min="11252" max="11255" width="7.5703125" style="4" customWidth="1"/>
    <col min="11256" max="11256" width="8.140625" style="4" customWidth="1"/>
    <col min="11257" max="11257" width="8.42578125" style="4" customWidth="1"/>
    <col min="11258" max="11258" width="9.28515625" style="4" customWidth="1"/>
    <col min="11259" max="11259" width="8.42578125" style="4" customWidth="1"/>
    <col min="11260" max="11260" width="11.28515625" style="4" customWidth="1"/>
    <col min="11261" max="11261" width="9.28515625" style="4" customWidth="1"/>
    <col min="11262" max="11499" width="9.140625" style="4"/>
    <col min="11500" max="11500" width="18.7109375" style="4" customWidth="1"/>
    <col min="11501" max="11501" width="25.140625" style="4" customWidth="1"/>
    <col min="11502" max="11504" width="7.5703125" style="4" customWidth="1"/>
    <col min="11505" max="11507" width="6.7109375" style="4" customWidth="1"/>
    <col min="11508" max="11511" width="7.5703125" style="4" customWidth="1"/>
    <col min="11512" max="11512" width="8.140625" style="4" customWidth="1"/>
    <col min="11513" max="11513" width="8.42578125" style="4" customWidth="1"/>
    <col min="11514" max="11514" width="9.28515625" style="4" customWidth="1"/>
    <col min="11515" max="11515" width="8.42578125" style="4" customWidth="1"/>
    <col min="11516" max="11516" width="11.28515625" style="4" customWidth="1"/>
    <col min="11517" max="11517" width="9.28515625" style="4" customWidth="1"/>
    <col min="11518" max="11755" width="9.140625" style="4"/>
    <col min="11756" max="11756" width="18.7109375" style="4" customWidth="1"/>
    <col min="11757" max="11757" width="25.140625" style="4" customWidth="1"/>
    <col min="11758" max="11760" width="7.5703125" style="4" customWidth="1"/>
    <col min="11761" max="11763" width="6.7109375" style="4" customWidth="1"/>
    <col min="11764" max="11767" width="7.5703125" style="4" customWidth="1"/>
    <col min="11768" max="11768" width="8.140625" style="4" customWidth="1"/>
    <col min="11769" max="11769" width="8.42578125" style="4" customWidth="1"/>
    <col min="11770" max="11770" width="9.28515625" style="4" customWidth="1"/>
    <col min="11771" max="11771" width="8.42578125" style="4" customWidth="1"/>
    <col min="11772" max="11772" width="11.28515625" style="4" customWidth="1"/>
    <col min="11773" max="11773" width="9.28515625" style="4" customWidth="1"/>
    <col min="11774" max="12011" width="9.140625" style="4"/>
    <col min="12012" max="12012" width="18.7109375" style="4" customWidth="1"/>
    <col min="12013" max="12013" width="25.140625" style="4" customWidth="1"/>
    <col min="12014" max="12016" width="7.5703125" style="4" customWidth="1"/>
    <col min="12017" max="12019" width="6.7109375" style="4" customWidth="1"/>
    <col min="12020" max="12023" width="7.5703125" style="4" customWidth="1"/>
    <col min="12024" max="12024" width="8.140625" style="4" customWidth="1"/>
    <col min="12025" max="12025" width="8.42578125" style="4" customWidth="1"/>
    <col min="12026" max="12026" width="9.28515625" style="4" customWidth="1"/>
    <col min="12027" max="12027" width="8.42578125" style="4" customWidth="1"/>
    <col min="12028" max="12028" width="11.28515625" style="4" customWidth="1"/>
    <col min="12029" max="12029" width="9.28515625" style="4" customWidth="1"/>
    <col min="12030" max="12267" width="9.140625" style="4"/>
    <col min="12268" max="12268" width="18.7109375" style="4" customWidth="1"/>
    <col min="12269" max="12269" width="25.140625" style="4" customWidth="1"/>
    <col min="12270" max="12272" width="7.5703125" style="4" customWidth="1"/>
    <col min="12273" max="12275" width="6.7109375" style="4" customWidth="1"/>
    <col min="12276" max="12279" width="7.5703125" style="4" customWidth="1"/>
    <col min="12280" max="12280" width="8.140625" style="4" customWidth="1"/>
    <col min="12281" max="12281" width="8.42578125" style="4" customWidth="1"/>
    <col min="12282" max="12282" width="9.28515625" style="4" customWidth="1"/>
    <col min="12283" max="12283" width="8.42578125" style="4" customWidth="1"/>
    <col min="12284" max="12284" width="11.28515625" style="4" customWidth="1"/>
    <col min="12285" max="12285" width="9.28515625" style="4" customWidth="1"/>
    <col min="12286" max="12523" width="9.140625" style="4"/>
    <col min="12524" max="12524" width="18.7109375" style="4" customWidth="1"/>
    <col min="12525" max="12525" width="25.140625" style="4" customWidth="1"/>
    <col min="12526" max="12528" width="7.5703125" style="4" customWidth="1"/>
    <col min="12529" max="12531" width="6.7109375" style="4" customWidth="1"/>
    <col min="12532" max="12535" width="7.5703125" style="4" customWidth="1"/>
    <col min="12536" max="12536" width="8.140625" style="4" customWidth="1"/>
    <col min="12537" max="12537" width="8.42578125" style="4" customWidth="1"/>
    <col min="12538" max="12538" width="9.28515625" style="4" customWidth="1"/>
    <col min="12539" max="12539" width="8.42578125" style="4" customWidth="1"/>
    <col min="12540" max="12540" width="11.28515625" style="4" customWidth="1"/>
    <col min="12541" max="12541" width="9.28515625" style="4" customWidth="1"/>
    <col min="12542" max="12779" width="9.140625" style="4"/>
    <col min="12780" max="12780" width="18.7109375" style="4" customWidth="1"/>
    <col min="12781" max="12781" width="25.140625" style="4" customWidth="1"/>
    <col min="12782" max="12784" width="7.5703125" style="4" customWidth="1"/>
    <col min="12785" max="12787" width="6.7109375" style="4" customWidth="1"/>
    <col min="12788" max="12791" width="7.5703125" style="4" customWidth="1"/>
    <col min="12792" max="12792" width="8.140625" style="4" customWidth="1"/>
    <col min="12793" max="12793" width="8.42578125" style="4" customWidth="1"/>
    <col min="12794" max="12794" width="9.28515625" style="4" customWidth="1"/>
    <col min="12795" max="12795" width="8.42578125" style="4" customWidth="1"/>
    <col min="12796" max="12796" width="11.28515625" style="4" customWidth="1"/>
    <col min="12797" max="12797" width="9.28515625" style="4" customWidth="1"/>
    <col min="12798" max="13035" width="9.140625" style="4"/>
    <col min="13036" max="13036" width="18.7109375" style="4" customWidth="1"/>
    <col min="13037" max="13037" width="25.140625" style="4" customWidth="1"/>
    <col min="13038" max="13040" width="7.5703125" style="4" customWidth="1"/>
    <col min="13041" max="13043" width="6.7109375" style="4" customWidth="1"/>
    <col min="13044" max="13047" width="7.5703125" style="4" customWidth="1"/>
    <col min="13048" max="13048" width="8.140625" style="4" customWidth="1"/>
    <col min="13049" max="13049" width="8.42578125" style="4" customWidth="1"/>
    <col min="13050" max="13050" width="9.28515625" style="4" customWidth="1"/>
    <col min="13051" max="13051" width="8.42578125" style="4" customWidth="1"/>
    <col min="13052" max="13052" width="11.28515625" style="4" customWidth="1"/>
    <col min="13053" max="13053" width="9.28515625" style="4" customWidth="1"/>
    <col min="13054" max="13291" width="9.140625" style="4"/>
    <col min="13292" max="13292" width="18.7109375" style="4" customWidth="1"/>
    <col min="13293" max="13293" width="25.140625" style="4" customWidth="1"/>
    <col min="13294" max="13296" width="7.5703125" style="4" customWidth="1"/>
    <col min="13297" max="13299" width="6.7109375" style="4" customWidth="1"/>
    <col min="13300" max="13303" width="7.5703125" style="4" customWidth="1"/>
    <col min="13304" max="13304" width="8.140625" style="4" customWidth="1"/>
    <col min="13305" max="13305" width="8.42578125" style="4" customWidth="1"/>
    <col min="13306" max="13306" width="9.28515625" style="4" customWidth="1"/>
    <col min="13307" max="13307" width="8.42578125" style="4" customWidth="1"/>
    <col min="13308" max="13308" width="11.28515625" style="4" customWidth="1"/>
    <col min="13309" max="13309" width="9.28515625" style="4" customWidth="1"/>
    <col min="13310" max="13547" width="9.140625" style="4"/>
    <col min="13548" max="13548" width="18.7109375" style="4" customWidth="1"/>
    <col min="13549" max="13549" width="25.140625" style="4" customWidth="1"/>
    <col min="13550" max="13552" width="7.5703125" style="4" customWidth="1"/>
    <col min="13553" max="13555" width="6.7109375" style="4" customWidth="1"/>
    <col min="13556" max="13559" width="7.5703125" style="4" customWidth="1"/>
    <col min="13560" max="13560" width="8.140625" style="4" customWidth="1"/>
    <col min="13561" max="13561" width="8.42578125" style="4" customWidth="1"/>
    <col min="13562" max="13562" width="9.28515625" style="4" customWidth="1"/>
    <col min="13563" max="13563" width="8.42578125" style="4" customWidth="1"/>
    <col min="13564" max="13564" width="11.28515625" style="4" customWidth="1"/>
    <col min="13565" max="13565" width="9.28515625" style="4" customWidth="1"/>
    <col min="13566" max="13803" width="9.140625" style="4"/>
    <col min="13804" max="13804" width="18.7109375" style="4" customWidth="1"/>
    <col min="13805" max="13805" width="25.140625" style="4" customWidth="1"/>
    <col min="13806" max="13808" width="7.5703125" style="4" customWidth="1"/>
    <col min="13809" max="13811" width="6.7109375" style="4" customWidth="1"/>
    <col min="13812" max="13815" width="7.5703125" style="4" customWidth="1"/>
    <col min="13816" max="13816" width="8.140625" style="4" customWidth="1"/>
    <col min="13817" max="13817" width="8.42578125" style="4" customWidth="1"/>
    <col min="13818" max="13818" width="9.28515625" style="4" customWidth="1"/>
    <col min="13819" max="13819" width="8.42578125" style="4" customWidth="1"/>
    <col min="13820" max="13820" width="11.28515625" style="4" customWidth="1"/>
    <col min="13821" max="13821" width="9.28515625" style="4" customWidth="1"/>
    <col min="13822" max="14059" width="9.140625" style="4"/>
    <col min="14060" max="14060" width="18.7109375" style="4" customWidth="1"/>
    <col min="14061" max="14061" width="25.140625" style="4" customWidth="1"/>
    <col min="14062" max="14064" width="7.5703125" style="4" customWidth="1"/>
    <col min="14065" max="14067" width="6.7109375" style="4" customWidth="1"/>
    <col min="14068" max="14071" width="7.5703125" style="4" customWidth="1"/>
    <col min="14072" max="14072" width="8.140625" style="4" customWidth="1"/>
    <col min="14073" max="14073" width="8.42578125" style="4" customWidth="1"/>
    <col min="14074" max="14074" width="9.28515625" style="4" customWidth="1"/>
    <col min="14075" max="14075" width="8.42578125" style="4" customWidth="1"/>
    <col min="14076" max="14076" width="11.28515625" style="4" customWidth="1"/>
    <col min="14077" max="14077" width="9.28515625" style="4" customWidth="1"/>
    <col min="14078" max="14315" width="9.140625" style="4"/>
    <col min="14316" max="14316" width="18.7109375" style="4" customWidth="1"/>
    <col min="14317" max="14317" width="25.140625" style="4" customWidth="1"/>
    <col min="14318" max="14320" width="7.5703125" style="4" customWidth="1"/>
    <col min="14321" max="14323" width="6.7109375" style="4" customWidth="1"/>
    <col min="14324" max="14327" width="7.5703125" style="4" customWidth="1"/>
    <col min="14328" max="14328" width="8.140625" style="4" customWidth="1"/>
    <col min="14329" max="14329" width="8.42578125" style="4" customWidth="1"/>
    <col min="14330" max="14330" width="9.28515625" style="4" customWidth="1"/>
    <col min="14331" max="14331" width="8.42578125" style="4" customWidth="1"/>
    <col min="14332" max="14332" width="11.28515625" style="4" customWidth="1"/>
    <col min="14333" max="14333" width="9.28515625" style="4" customWidth="1"/>
    <col min="14334" max="14571" width="9.140625" style="4"/>
    <col min="14572" max="14572" width="18.7109375" style="4" customWidth="1"/>
    <col min="14573" max="14573" width="25.140625" style="4" customWidth="1"/>
    <col min="14574" max="14576" width="7.5703125" style="4" customWidth="1"/>
    <col min="14577" max="14579" width="6.7109375" style="4" customWidth="1"/>
    <col min="14580" max="14583" width="7.5703125" style="4" customWidth="1"/>
    <col min="14584" max="14584" width="8.140625" style="4" customWidth="1"/>
    <col min="14585" max="14585" width="8.42578125" style="4" customWidth="1"/>
    <col min="14586" max="14586" width="9.28515625" style="4" customWidth="1"/>
    <col min="14587" max="14587" width="8.42578125" style="4" customWidth="1"/>
    <col min="14588" max="14588" width="11.28515625" style="4" customWidth="1"/>
    <col min="14589" max="14589" width="9.28515625" style="4" customWidth="1"/>
    <col min="14590" max="14827" width="9.140625" style="4"/>
    <col min="14828" max="14828" width="18.7109375" style="4" customWidth="1"/>
    <col min="14829" max="14829" width="25.140625" style="4" customWidth="1"/>
    <col min="14830" max="14832" width="7.5703125" style="4" customWidth="1"/>
    <col min="14833" max="14835" width="6.7109375" style="4" customWidth="1"/>
    <col min="14836" max="14839" width="7.5703125" style="4" customWidth="1"/>
    <col min="14840" max="14840" width="8.140625" style="4" customWidth="1"/>
    <col min="14841" max="14841" width="8.42578125" style="4" customWidth="1"/>
    <col min="14842" max="14842" width="9.28515625" style="4" customWidth="1"/>
    <col min="14843" max="14843" width="8.42578125" style="4" customWidth="1"/>
    <col min="14844" max="14844" width="11.28515625" style="4" customWidth="1"/>
    <col min="14845" max="14845" width="9.28515625" style="4" customWidth="1"/>
    <col min="14846" max="15083" width="9.140625" style="4"/>
    <col min="15084" max="15084" width="18.7109375" style="4" customWidth="1"/>
    <col min="15085" max="15085" width="25.140625" style="4" customWidth="1"/>
    <col min="15086" max="15088" width="7.5703125" style="4" customWidth="1"/>
    <col min="15089" max="15091" width="6.7109375" style="4" customWidth="1"/>
    <col min="15092" max="15095" width="7.5703125" style="4" customWidth="1"/>
    <col min="15096" max="15096" width="8.140625" style="4" customWidth="1"/>
    <col min="15097" max="15097" width="8.42578125" style="4" customWidth="1"/>
    <col min="15098" max="15098" width="9.28515625" style="4" customWidth="1"/>
    <col min="15099" max="15099" width="8.42578125" style="4" customWidth="1"/>
    <col min="15100" max="15100" width="11.28515625" style="4" customWidth="1"/>
    <col min="15101" max="15101" width="9.28515625" style="4" customWidth="1"/>
    <col min="15102" max="15339" width="9.140625" style="4"/>
    <col min="15340" max="15340" width="18.7109375" style="4" customWidth="1"/>
    <col min="15341" max="15341" width="25.140625" style="4" customWidth="1"/>
    <col min="15342" max="15344" width="7.5703125" style="4" customWidth="1"/>
    <col min="15345" max="15347" width="6.7109375" style="4" customWidth="1"/>
    <col min="15348" max="15351" width="7.5703125" style="4" customWidth="1"/>
    <col min="15352" max="15352" width="8.140625" style="4" customWidth="1"/>
    <col min="15353" max="15353" width="8.42578125" style="4" customWidth="1"/>
    <col min="15354" max="15354" width="9.28515625" style="4" customWidth="1"/>
    <col min="15355" max="15355" width="8.42578125" style="4" customWidth="1"/>
    <col min="15356" max="15356" width="11.28515625" style="4" customWidth="1"/>
    <col min="15357" max="15357" width="9.28515625" style="4" customWidth="1"/>
    <col min="15358" max="15595" width="9.140625" style="4"/>
    <col min="15596" max="15596" width="18.7109375" style="4" customWidth="1"/>
    <col min="15597" max="15597" width="25.140625" style="4" customWidth="1"/>
    <col min="15598" max="15600" width="7.5703125" style="4" customWidth="1"/>
    <col min="15601" max="15603" width="6.7109375" style="4" customWidth="1"/>
    <col min="15604" max="15607" width="7.5703125" style="4" customWidth="1"/>
    <col min="15608" max="15608" width="8.140625" style="4" customWidth="1"/>
    <col min="15609" max="15609" width="8.42578125" style="4" customWidth="1"/>
    <col min="15610" max="15610" width="9.28515625" style="4" customWidth="1"/>
    <col min="15611" max="15611" width="8.42578125" style="4" customWidth="1"/>
    <col min="15612" max="15612" width="11.28515625" style="4" customWidth="1"/>
    <col min="15613" max="15613" width="9.28515625" style="4" customWidth="1"/>
    <col min="15614" max="15851" width="9.140625" style="4"/>
    <col min="15852" max="15852" width="18.7109375" style="4" customWidth="1"/>
    <col min="15853" max="15853" width="25.140625" style="4" customWidth="1"/>
    <col min="15854" max="15856" width="7.5703125" style="4" customWidth="1"/>
    <col min="15857" max="15859" width="6.7109375" style="4" customWidth="1"/>
    <col min="15860" max="15863" width="7.5703125" style="4" customWidth="1"/>
    <col min="15864" max="15864" width="8.140625" style="4" customWidth="1"/>
    <col min="15865" max="15865" width="8.42578125" style="4" customWidth="1"/>
    <col min="15866" max="15866" width="9.28515625" style="4" customWidth="1"/>
    <col min="15867" max="15867" width="8.42578125" style="4" customWidth="1"/>
    <col min="15868" max="15868" width="11.28515625" style="4" customWidth="1"/>
    <col min="15869" max="15869" width="9.28515625" style="4" customWidth="1"/>
    <col min="15870" max="16107" width="9.140625" style="4"/>
    <col min="16108" max="16108" width="18.7109375" style="4" customWidth="1"/>
    <col min="16109" max="16109" width="25.140625" style="4" customWidth="1"/>
    <col min="16110" max="16112" width="7.5703125" style="4" customWidth="1"/>
    <col min="16113" max="16115" width="6.7109375" style="4" customWidth="1"/>
    <col min="16116" max="16119" width="7.5703125" style="4" customWidth="1"/>
    <col min="16120" max="16120" width="8.140625" style="4" customWidth="1"/>
    <col min="16121" max="16121" width="8.42578125" style="4" customWidth="1"/>
    <col min="16122" max="16122" width="9.28515625" style="4" customWidth="1"/>
    <col min="16123" max="16123" width="8.42578125" style="4" customWidth="1"/>
    <col min="16124" max="16124" width="11.28515625" style="4" customWidth="1"/>
    <col min="16125" max="16125" width="9.28515625" style="4" customWidth="1"/>
    <col min="16126" max="16384" width="9.140625" style="4"/>
  </cols>
  <sheetData>
    <row r="1" spans="1:6" s="16" customFormat="1" ht="15" customHeight="1" x14ac:dyDescent="0.2">
      <c r="A1" s="131"/>
      <c r="B1" s="129"/>
      <c r="C1" s="135" t="s">
        <v>124</v>
      </c>
      <c r="D1" s="117" t="str">
        <f>'Obra '!D1</f>
        <v>Porto Cerro</v>
      </c>
      <c r="E1" s="117"/>
      <c r="F1" s="903"/>
    </row>
    <row r="2" spans="1:6" s="67" customFormat="1" ht="15" customHeight="1" x14ac:dyDescent="0.2">
      <c r="B2" s="145"/>
      <c r="C2" s="135" t="s">
        <v>100</v>
      </c>
      <c r="D2" s="136" t="str">
        <f>'Obra '!D2</f>
        <v>XPCon Empreendimentos</v>
      </c>
      <c r="E2" s="136"/>
      <c r="F2" s="904"/>
    </row>
    <row r="3" spans="1:6" s="67" customFormat="1" ht="12.75" x14ac:dyDescent="0.2">
      <c r="B3" s="145"/>
      <c r="C3" s="135" t="s">
        <v>238</v>
      </c>
      <c r="D3" s="1189"/>
      <c r="E3" s="1189"/>
      <c r="F3" s="904"/>
    </row>
    <row r="4" spans="1:6" s="67" customFormat="1" ht="15" customHeight="1" x14ac:dyDescent="0.2">
      <c r="A4" s="147"/>
      <c r="B4" s="148"/>
      <c r="C4" s="135" t="s">
        <v>101</v>
      </c>
      <c r="D4" s="117" t="str">
        <f>'Obra '!D3</f>
        <v>R01 - 03/09/2025</v>
      </c>
      <c r="E4" s="117"/>
      <c r="F4" s="905"/>
    </row>
    <row r="5" spans="1:6" s="17" customFormat="1" ht="22.15" customHeight="1" x14ac:dyDescent="0.2">
      <c r="A5" s="1190" t="s">
        <v>149</v>
      </c>
      <c r="B5" s="1190"/>
      <c r="C5" s="1190"/>
      <c r="D5" s="1190"/>
      <c r="E5" s="1190"/>
      <c r="F5" s="1191"/>
    </row>
    <row r="6" spans="1:6" s="40" customFormat="1" ht="35.25" customHeight="1" x14ac:dyDescent="0.2">
      <c r="A6" s="767" t="s">
        <v>4884</v>
      </c>
      <c r="B6" s="766" t="s">
        <v>4885</v>
      </c>
      <c r="C6" s="766" t="s">
        <v>4239</v>
      </c>
      <c r="D6" s="766" t="s">
        <v>4237</v>
      </c>
      <c r="E6" s="766" t="s">
        <v>4238</v>
      </c>
      <c r="F6" s="766" t="s">
        <v>8</v>
      </c>
    </row>
    <row r="7" spans="1:6" s="43" customFormat="1" ht="16.149999999999999" customHeight="1" x14ac:dyDescent="0.2">
      <c r="A7" s="169" t="s">
        <v>4886</v>
      </c>
      <c r="B7" s="169"/>
      <c r="C7" s="169"/>
      <c r="D7" s="169"/>
      <c r="E7" s="169"/>
      <c r="F7" s="906"/>
    </row>
    <row r="8" spans="1:6" s="43" customFormat="1" ht="15" customHeight="1" x14ac:dyDescent="0.2">
      <c r="A8" s="907" t="s">
        <v>4904</v>
      </c>
      <c r="B8" s="232" t="s">
        <v>4902</v>
      </c>
      <c r="C8" s="232" t="s">
        <v>2</v>
      </c>
      <c r="D8" s="232">
        <v>2</v>
      </c>
      <c r="E8" s="232">
        <v>1</v>
      </c>
      <c r="F8" s="908">
        <f>E8*D8</f>
        <v>2</v>
      </c>
    </row>
    <row r="9" spans="1:6" s="43" customFormat="1" ht="15" customHeight="1" x14ac:dyDescent="0.2">
      <c r="A9" s="907" t="s">
        <v>4904</v>
      </c>
      <c r="B9" s="232" t="s">
        <v>4877</v>
      </c>
      <c r="C9" s="232" t="s">
        <v>2</v>
      </c>
      <c r="D9" s="232">
        <v>1</v>
      </c>
      <c r="E9" s="232">
        <v>1</v>
      </c>
      <c r="F9" s="908">
        <f>E9*D9</f>
        <v>1</v>
      </c>
    </row>
    <row r="10" spans="1:6" s="43" customFormat="1" ht="15" customHeight="1" x14ac:dyDescent="0.2">
      <c r="A10" s="907" t="s">
        <v>987</v>
      </c>
      <c r="B10" s="232" t="s">
        <v>4902</v>
      </c>
      <c r="C10" s="232" t="s">
        <v>2</v>
      </c>
      <c r="D10" s="232">
        <v>1</v>
      </c>
      <c r="E10" s="232">
        <v>1</v>
      </c>
      <c r="F10" s="908">
        <f>E10*D10</f>
        <v>1</v>
      </c>
    </row>
    <row r="11" spans="1:6" s="43" customFormat="1" ht="16.149999999999999" customHeight="1" x14ac:dyDescent="0.2">
      <c r="A11" s="169" t="s">
        <v>754</v>
      </c>
      <c r="B11" s="169"/>
      <c r="C11" s="169"/>
      <c r="D11" s="169"/>
      <c r="E11" s="169"/>
      <c r="F11" s="906"/>
    </row>
    <row r="12" spans="1:6" s="43" customFormat="1" ht="15" customHeight="1" x14ac:dyDescent="0.2">
      <c r="A12" s="907" t="s">
        <v>4905</v>
      </c>
      <c r="B12" s="232" t="s">
        <v>4893</v>
      </c>
      <c r="C12" s="232" t="s">
        <v>2</v>
      </c>
      <c r="D12" s="232">
        <v>1</v>
      </c>
      <c r="E12" s="232">
        <v>6</v>
      </c>
      <c r="F12" s="908">
        <f>E12*D12</f>
        <v>6</v>
      </c>
    </row>
    <row r="13" spans="1:6" s="43" customFormat="1" ht="15" customHeight="1" x14ac:dyDescent="0.2">
      <c r="A13" s="907" t="s">
        <v>4905</v>
      </c>
      <c r="B13" s="232" t="s">
        <v>4880</v>
      </c>
      <c r="C13" s="232" t="s">
        <v>2</v>
      </c>
      <c r="D13" s="232">
        <v>1</v>
      </c>
      <c r="E13" s="232">
        <v>6</v>
      </c>
      <c r="F13" s="908">
        <f t="shared" ref="F13:F20" si="0">E13*D13</f>
        <v>6</v>
      </c>
    </row>
    <row r="14" spans="1:6" s="43" customFormat="1" ht="15" customHeight="1" x14ac:dyDescent="0.2">
      <c r="A14" s="907" t="s">
        <v>4905</v>
      </c>
      <c r="B14" s="232" t="s">
        <v>4881</v>
      </c>
      <c r="C14" s="232" t="s">
        <v>2</v>
      </c>
      <c r="D14" s="232">
        <v>1</v>
      </c>
      <c r="E14" s="232">
        <v>6</v>
      </c>
      <c r="F14" s="908">
        <f t="shared" si="0"/>
        <v>6</v>
      </c>
    </row>
    <row r="15" spans="1:6" s="43" customFormat="1" ht="15" customHeight="1" x14ac:dyDescent="0.2">
      <c r="A15" s="907" t="s">
        <v>4905</v>
      </c>
      <c r="B15" s="232" t="s">
        <v>4882</v>
      </c>
      <c r="C15" s="232" t="s">
        <v>2</v>
      </c>
      <c r="D15" s="232">
        <v>2</v>
      </c>
      <c r="E15" s="232">
        <v>6</v>
      </c>
      <c r="F15" s="908">
        <f t="shared" si="0"/>
        <v>12</v>
      </c>
    </row>
    <row r="16" spans="1:6" s="43" customFormat="1" ht="15" customHeight="1" x14ac:dyDescent="0.2">
      <c r="A16" s="907" t="s">
        <v>4906</v>
      </c>
      <c r="B16" s="232" t="s">
        <v>4893</v>
      </c>
      <c r="C16" s="232" t="s">
        <v>2</v>
      </c>
      <c r="D16" s="232">
        <v>1</v>
      </c>
      <c r="E16" s="232">
        <v>3</v>
      </c>
      <c r="F16" s="908">
        <f t="shared" si="0"/>
        <v>3</v>
      </c>
    </row>
    <row r="17" spans="1:6" s="43" customFormat="1" ht="15" customHeight="1" x14ac:dyDescent="0.2">
      <c r="A17" s="907" t="s">
        <v>4906</v>
      </c>
      <c r="B17" s="232" t="s">
        <v>4880</v>
      </c>
      <c r="C17" s="232" t="s">
        <v>2</v>
      </c>
      <c r="D17" s="232">
        <v>1</v>
      </c>
      <c r="E17" s="232">
        <v>3</v>
      </c>
      <c r="F17" s="908">
        <f t="shared" si="0"/>
        <v>3</v>
      </c>
    </row>
    <row r="18" spans="1:6" s="43" customFormat="1" ht="15" customHeight="1" x14ac:dyDescent="0.2">
      <c r="A18" s="907" t="s">
        <v>4906</v>
      </c>
      <c r="B18" s="232" t="s">
        <v>4881</v>
      </c>
      <c r="C18" s="232" t="s">
        <v>2</v>
      </c>
      <c r="D18" s="232">
        <v>1</v>
      </c>
      <c r="E18" s="232">
        <v>3</v>
      </c>
      <c r="F18" s="908">
        <f t="shared" si="0"/>
        <v>3</v>
      </c>
    </row>
    <row r="19" spans="1:6" s="43" customFormat="1" ht="15" customHeight="1" x14ac:dyDescent="0.2">
      <c r="A19" s="907" t="s">
        <v>4906</v>
      </c>
      <c r="B19" s="232" t="s">
        <v>4882</v>
      </c>
      <c r="C19" s="232" t="s">
        <v>2</v>
      </c>
      <c r="D19" s="232">
        <v>2</v>
      </c>
      <c r="E19" s="232">
        <v>3</v>
      </c>
      <c r="F19" s="908">
        <f t="shared" si="0"/>
        <v>6</v>
      </c>
    </row>
    <row r="20" spans="1:6" s="43" customFormat="1" ht="15" customHeight="1" x14ac:dyDescent="0.2">
      <c r="A20" s="907" t="s">
        <v>4906</v>
      </c>
      <c r="B20" s="232" t="s">
        <v>4891</v>
      </c>
      <c r="C20" s="232" t="s">
        <v>2</v>
      </c>
      <c r="D20" s="232">
        <v>1</v>
      </c>
      <c r="E20" s="232">
        <v>3</v>
      </c>
      <c r="F20" s="908">
        <f t="shared" si="0"/>
        <v>3</v>
      </c>
    </row>
    <row r="21" spans="1:6" s="43" customFormat="1" ht="15" customHeight="1" x14ac:dyDescent="0.2">
      <c r="A21" s="907" t="s">
        <v>4906</v>
      </c>
      <c r="B21" s="232" t="s">
        <v>4892</v>
      </c>
      <c r="C21" s="232" t="s">
        <v>1</v>
      </c>
      <c r="D21" s="232">
        <f>0.9*0.6</f>
        <v>0.54</v>
      </c>
      <c r="E21" s="232">
        <v>3</v>
      </c>
      <c r="F21" s="908">
        <f>E21*D21</f>
        <v>1.62</v>
      </c>
    </row>
    <row r="22" spans="1:6" s="43" customFormat="1" ht="15" customHeight="1" x14ac:dyDescent="0.2">
      <c r="A22" s="907" t="s">
        <v>4906</v>
      </c>
      <c r="B22" s="232" t="s">
        <v>4890</v>
      </c>
      <c r="C22" s="232" t="s">
        <v>2</v>
      </c>
      <c r="D22" s="232">
        <v>1</v>
      </c>
      <c r="E22" s="232">
        <v>3</v>
      </c>
      <c r="F22" s="908">
        <f>E22*D22</f>
        <v>3</v>
      </c>
    </row>
    <row r="23" spans="1:6" s="43" customFormat="1" ht="15" customHeight="1" x14ac:dyDescent="0.2">
      <c r="A23" s="907" t="s">
        <v>4906</v>
      </c>
      <c r="B23" s="232" t="s">
        <v>4907</v>
      </c>
      <c r="C23" s="232" t="s">
        <v>2</v>
      </c>
      <c r="D23" s="232">
        <v>1</v>
      </c>
      <c r="E23" s="232">
        <v>3</v>
      </c>
      <c r="F23" s="908">
        <f>E23*D23</f>
        <v>3</v>
      </c>
    </row>
    <row r="24" spans="1:6" s="43" customFormat="1" ht="15" customHeight="1" x14ac:dyDescent="0.2">
      <c r="A24" s="907" t="s">
        <v>4906</v>
      </c>
      <c r="B24" s="232" t="s">
        <v>4879</v>
      </c>
      <c r="C24" s="232" t="s">
        <v>2</v>
      </c>
      <c r="D24" s="232">
        <v>1</v>
      </c>
      <c r="E24" s="232">
        <v>3</v>
      </c>
      <c r="F24" s="908">
        <f>E24*D24</f>
        <v>3</v>
      </c>
    </row>
    <row r="25" spans="1:6" s="43" customFormat="1" ht="15" customHeight="1" x14ac:dyDescent="0.2">
      <c r="A25" s="907" t="s">
        <v>4906</v>
      </c>
      <c r="B25" s="232" t="s">
        <v>4896</v>
      </c>
      <c r="C25" s="232" t="s">
        <v>2</v>
      </c>
      <c r="D25" s="232">
        <v>1</v>
      </c>
      <c r="E25" s="232">
        <v>3</v>
      </c>
      <c r="F25" s="908">
        <f t="shared" ref="F25:F30" si="1">E25*D25</f>
        <v>3</v>
      </c>
    </row>
    <row r="26" spans="1:6" s="43" customFormat="1" ht="15" customHeight="1" x14ac:dyDescent="0.2">
      <c r="A26" s="907" t="s">
        <v>4908</v>
      </c>
      <c r="B26" s="232" t="s">
        <v>4891</v>
      </c>
      <c r="C26" s="232" t="s">
        <v>2</v>
      </c>
      <c r="D26" s="232">
        <v>1</v>
      </c>
      <c r="E26" s="232">
        <v>3</v>
      </c>
      <c r="F26" s="908">
        <f t="shared" si="1"/>
        <v>3</v>
      </c>
    </row>
    <row r="27" spans="1:6" s="43" customFormat="1" ht="15" customHeight="1" x14ac:dyDescent="0.2">
      <c r="A27" s="907" t="s">
        <v>4908</v>
      </c>
      <c r="B27" s="232" t="s">
        <v>4892</v>
      </c>
      <c r="C27" s="232" t="s">
        <v>1</v>
      </c>
      <c r="D27" s="232">
        <f>1.53*0.6</f>
        <v>0.91799999999999993</v>
      </c>
      <c r="E27" s="232">
        <v>3</v>
      </c>
      <c r="F27" s="908">
        <f t="shared" si="1"/>
        <v>2.7539999999999996</v>
      </c>
    </row>
    <row r="28" spans="1:6" s="43" customFormat="1" ht="15" customHeight="1" x14ac:dyDescent="0.2">
      <c r="A28" s="907" t="s">
        <v>4908</v>
      </c>
      <c r="B28" s="232" t="s">
        <v>4890</v>
      </c>
      <c r="C28" s="232" t="s">
        <v>2</v>
      </c>
      <c r="D28" s="232">
        <v>1</v>
      </c>
      <c r="E28" s="232">
        <v>3</v>
      </c>
      <c r="F28" s="908">
        <f t="shared" si="1"/>
        <v>3</v>
      </c>
    </row>
    <row r="29" spans="1:6" s="43" customFormat="1" ht="15" customHeight="1" x14ac:dyDescent="0.2">
      <c r="A29" s="907" t="s">
        <v>4908</v>
      </c>
      <c r="B29" s="232" t="s">
        <v>4907</v>
      </c>
      <c r="C29" s="232" t="s">
        <v>2</v>
      </c>
      <c r="D29" s="232">
        <v>1</v>
      </c>
      <c r="E29" s="232">
        <v>3</v>
      </c>
      <c r="F29" s="908">
        <f t="shared" si="1"/>
        <v>3</v>
      </c>
    </row>
    <row r="30" spans="1:6" s="43" customFormat="1" ht="15" customHeight="1" x14ac:dyDescent="0.2">
      <c r="A30" s="907" t="s">
        <v>4908</v>
      </c>
      <c r="B30" s="232" t="s">
        <v>4879</v>
      </c>
      <c r="C30" s="232" t="s">
        <v>2</v>
      </c>
      <c r="D30" s="232">
        <v>1</v>
      </c>
      <c r="E30" s="232">
        <v>3</v>
      </c>
      <c r="F30" s="908">
        <f t="shared" si="1"/>
        <v>3</v>
      </c>
    </row>
    <row r="31" spans="1:6" s="43" customFormat="1" ht="15" customHeight="1" x14ac:dyDescent="0.2">
      <c r="A31" s="907" t="s">
        <v>4908</v>
      </c>
      <c r="B31" s="232" t="s">
        <v>4896</v>
      </c>
      <c r="C31" s="232" t="s">
        <v>2</v>
      </c>
      <c r="D31" s="232">
        <v>1</v>
      </c>
      <c r="E31" s="232">
        <v>3</v>
      </c>
      <c r="F31" s="908">
        <f>E31*D31</f>
        <v>3</v>
      </c>
    </row>
    <row r="32" spans="1:6" s="43" customFormat="1" ht="15" customHeight="1" x14ac:dyDescent="0.2">
      <c r="A32" s="907" t="s">
        <v>4910</v>
      </c>
      <c r="B32" s="232" t="s">
        <v>4888</v>
      </c>
      <c r="C32" s="232" t="s">
        <v>2</v>
      </c>
      <c r="D32" s="232">
        <v>1</v>
      </c>
      <c r="E32" s="232">
        <v>1</v>
      </c>
      <c r="F32" s="908">
        <f t="shared" ref="F32:F38" si="2">E32*D32</f>
        <v>1</v>
      </c>
    </row>
    <row r="33" spans="1:6" s="43" customFormat="1" ht="15" customHeight="1" x14ac:dyDescent="0.2">
      <c r="A33" s="907" t="s">
        <v>4910</v>
      </c>
      <c r="B33" s="232" t="s">
        <v>4883</v>
      </c>
      <c r="C33" s="232" t="s">
        <v>2</v>
      </c>
      <c r="D33" s="232">
        <v>1</v>
      </c>
      <c r="E33" s="232">
        <v>1</v>
      </c>
      <c r="F33" s="908">
        <f t="shared" si="2"/>
        <v>1</v>
      </c>
    </row>
    <row r="34" spans="1:6" s="43" customFormat="1" ht="15" customHeight="1" x14ac:dyDescent="0.2">
      <c r="A34" s="907" t="s">
        <v>4910</v>
      </c>
      <c r="B34" s="232" t="s">
        <v>4879</v>
      </c>
      <c r="C34" s="232" t="s">
        <v>2</v>
      </c>
      <c r="D34" s="232">
        <v>1</v>
      </c>
      <c r="E34" s="232">
        <v>1</v>
      </c>
      <c r="F34" s="908">
        <f t="shared" si="2"/>
        <v>1</v>
      </c>
    </row>
    <row r="35" spans="1:6" s="43" customFormat="1" ht="15" customHeight="1" x14ac:dyDescent="0.2">
      <c r="A35" s="907" t="s">
        <v>4910</v>
      </c>
      <c r="B35" s="232" t="s">
        <v>4878</v>
      </c>
      <c r="C35" s="232" t="s">
        <v>2</v>
      </c>
      <c r="D35" s="232">
        <v>2</v>
      </c>
      <c r="E35" s="232">
        <v>1</v>
      </c>
      <c r="F35" s="908">
        <f t="shared" si="2"/>
        <v>2</v>
      </c>
    </row>
    <row r="36" spans="1:6" s="43" customFormat="1" ht="15" customHeight="1" x14ac:dyDescent="0.2">
      <c r="A36" s="907" t="s">
        <v>4910</v>
      </c>
      <c r="B36" s="232" t="s">
        <v>4889</v>
      </c>
      <c r="C36" s="232" t="s">
        <v>2</v>
      </c>
      <c r="D36" s="232">
        <v>1</v>
      </c>
      <c r="E36" s="232">
        <v>1</v>
      </c>
      <c r="F36" s="908">
        <f t="shared" si="2"/>
        <v>1</v>
      </c>
    </row>
    <row r="37" spans="1:6" s="43" customFormat="1" ht="15" customHeight="1" x14ac:dyDescent="0.2">
      <c r="A37" s="907" t="s">
        <v>4910</v>
      </c>
      <c r="B37" s="232" t="s">
        <v>4887</v>
      </c>
      <c r="C37" s="232" t="s">
        <v>2</v>
      </c>
      <c r="D37" s="232">
        <v>1</v>
      </c>
      <c r="E37" s="232">
        <v>1</v>
      </c>
      <c r="F37" s="908">
        <f t="shared" si="2"/>
        <v>1</v>
      </c>
    </row>
    <row r="38" spans="1:6" s="43" customFormat="1" ht="15" customHeight="1" x14ac:dyDescent="0.2">
      <c r="A38" s="907" t="s">
        <v>4910</v>
      </c>
      <c r="B38" s="232" t="s">
        <v>4890</v>
      </c>
      <c r="C38" s="232" t="s">
        <v>2</v>
      </c>
      <c r="D38" s="232">
        <v>1</v>
      </c>
      <c r="E38" s="232">
        <v>1</v>
      </c>
      <c r="F38" s="908">
        <f t="shared" si="2"/>
        <v>1</v>
      </c>
    </row>
    <row r="39" spans="1:6" s="43" customFormat="1" ht="15" customHeight="1" x14ac:dyDescent="0.2">
      <c r="A39" s="907" t="s">
        <v>4910</v>
      </c>
      <c r="B39" s="232" t="s">
        <v>4880</v>
      </c>
      <c r="C39" s="232" t="s">
        <v>2</v>
      </c>
      <c r="D39" s="232">
        <v>1</v>
      </c>
      <c r="E39" s="232">
        <v>1</v>
      </c>
      <c r="F39" s="908">
        <f t="shared" ref="F39:F56" si="3">E39*D39</f>
        <v>1</v>
      </c>
    </row>
    <row r="40" spans="1:6" s="43" customFormat="1" ht="15" customHeight="1" x14ac:dyDescent="0.2">
      <c r="A40" s="907" t="s">
        <v>4910</v>
      </c>
      <c r="B40" s="232" t="s">
        <v>4881</v>
      </c>
      <c r="C40" s="232" t="s">
        <v>2</v>
      </c>
      <c r="D40" s="232">
        <v>1</v>
      </c>
      <c r="E40" s="232">
        <v>1</v>
      </c>
      <c r="F40" s="908">
        <f t="shared" si="3"/>
        <v>1</v>
      </c>
    </row>
    <row r="41" spans="1:6" s="43" customFormat="1" ht="15" customHeight="1" x14ac:dyDescent="0.2">
      <c r="A41" s="907" t="s">
        <v>4910</v>
      </c>
      <c r="B41" s="232" t="s">
        <v>4882</v>
      </c>
      <c r="C41" s="232" t="s">
        <v>2</v>
      </c>
      <c r="D41" s="232">
        <v>2</v>
      </c>
      <c r="E41" s="232">
        <v>1</v>
      </c>
      <c r="F41" s="908">
        <f t="shared" si="3"/>
        <v>2</v>
      </c>
    </row>
    <row r="42" spans="1:6" s="43" customFormat="1" ht="15" customHeight="1" x14ac:dyDescent="0.2">
      <c r="A42" s="907" t="s">
        <v>4911</v>
      </c>
      <c r="B42" s="232" t="s">
        <v>4897</v>
      </c>
      <c r="C42" s="232" t="s">
        <v>2</v>
      </c>
      <c r="D42" s="232">
        <v>1</v>
      </c>
      <c r="E42" s="232">
        <v>1</v>
      </c>
      <c r="F42" s="908">
        <f t="shared" si="3"/>
        <v>1</v>
      </c>
    </row>
    <row r="43" spans="1:6" s="43" customFormat="1" ht="15" customHeight="1" x14ac:dyDescent="0.2">
      <c r="A43" s="907" t="s">
        <v>4911</v>
      </c>
      <c r="B43" s="232" t="s">
        <v>4890</v>
      </c>
      <c r="C43" s="232" t="s">
        <v>2</v>
      </c>
      <c r="D43" s="232">
        <v>1</v>
      </c>
      <c r="E43" s="232">
        <v>1</v>
      </c>
      <c r="F43" s="908">
        <f t="shared" si="3"/>
        <v>1</v>
      </c>
    </row>
    <row r="44" spans="1:6" s="43" customFormat="1" ht="15" customHeight="1" x14ac:dyDescent="0.2">
      <c r="A44" s="907" t="s">
        <v>4911</v>
      </c>
      <c r="B44" s="232" t="s">
        <v>4879</v>
      </c>
      <c r="C44" s="232" t="s">
        <v>2</v>
      </c>
      <c r="D44" s="232">
        <v>1</v>
      </c>
      <c r="E44" s="232">
        <v>1</v>
      </c>
      <c r="F44" s="908">
        <f t="shared" si="3"/>
        <v>1</v>
      </c>
    </row>
    <row r="45" spans="1:6" s="43" customFormat="1" ht="15" customHeight="1" x14ac:dyDescent="0.2">
      <c r="A45" s="907" t="s">
        <v>4911</v>
      </c>
      <c r="B45" s="232" t="s">
        <v>4912</v>
      </c>
      <c r="C45" s="232" t="s">
        <v>2</v>
      </c>
      <c r="D45" s="232">
        <v>1</v>
      </c>
      <c r="E45" s="232">
        <v>1</v>
      </c>
      <c r="F45" s="908">
        <f t="shared" si="3"/>
        <v>1</v>
      </c>
    </row>
    <row r="46" spans="1:6" s="43" customFormat="1" ht="15" customHeight="1" x14ac:dyDescent="0.2">
      <c r="A46" s="907" t="s">
        <v>4911</v>
      </c>
      <c r="B46" s="232" t="s">
        <v>4892</v>
      </c>
      <c r="C46" s="232" t="s">
        <v>1</v>
      </c>
      <c r="D46" s="232">
        <f>3*0.8</f>
        <v>2.4000000000000004</v>
      </c>
      <c r="E46" s="232">
        <v>1</v>
      </c>
      <c r="F46" s="908">
        <f t="shared" si="3"/>
        <v>2.4000000000000004</v>
      </c>
    </row>
    <row r="47" spans="1:6" s="43" customFormat="1" ht="15" customHeight="1" x14ac:dyDescent="0.2">
      <c r="A47" s="907" t="s">
        <v>4913</v>
      </c>
      <c r="B47" s="232" t="s">
        <v>4897</v>
      </c>
      <c r="C47" s="232" t="s">
        <v>2</v>
      </c>
      <c r="D47" s="232">
        <v>1</v>
      </c>
      <c r="E47" s="232">
        <v>1</v>
      </c>
      <c r="F47" s="908">
        <f t="shared" si="3"/>
        <v>1</v>
      </c>
    </row>
    <row r="48" spans="1:6" s="43" customFormat="1" ht="15" customHeight="1" x14ac:dyDescent="0.2">
      <c r="A48" s="907" t="s">
        <v>4913</v>
      </c>
      <c r="B48" s="232" t="s">
        <v>4890</v>
      </c>
      <c r="C48" s="232" t="s">
        <v>2</v>
      </c>
      <c r="D48" s="232">
        <v>1</v>
      </c>
      <c r="E48" s="232">
        <v>1</v>
      </c>
      <c r="F48" s="908">
        <f t="shared" si="3"/>
        <v>1</v>
      </c>
    </row>
    <row r="49" spans="1:6" s="43" customFormat="1" ht="15" customHeight="1" x14ac:dyDescent="0.2">
      <c r="A49" s="907" t="s">
        <v>4913</v>
      </c>
      <c r="B49" s="232" t="s">
        <v>4879</v>
      </c>
      <c r="C49" s="232" t="s">
        <v>2</v>
      </c>
      <c r="D49" s="232">
        <v>1</v>
      </c>
      <c r="E49" s="232">
        <v>1</v>
      </c>
      <c r="F49" s="908">
        <f t="shared" si="3"/>
        <v>1</v>
      </c>
    </row>
    <row r="50" spans="1:6" s="43" customFormat="1" ht="15" customHeight="1" x14ac:dyDescent="0.2">
      <c r="A50" s="907" t="s">
        <v>4913</v>
      </c>
      <c r="B50" s="232" t="s">
        <v>4912</v>
      </c>
      <c r="C50" s="232" t="s">
        <v>2</v>
      </c>
      <c r="D50" s="232">
        <v>1</v>
      </c>
      <c r="E50" s="232">
        <v>1</v>
      </c>
      <c r="F50" s="908">
        <f t="shared" si="3"/>
        <v>1</v>
      </c>
    </row>
    <row r="51" spans="1:6" s="43" customFormat="1" ht="15" customHeight="1" x14ac:dyDescent="0.2">
      <c r="A51" s="907" t="s">
        <v>4913</v>
      </c>
      <c r="B51" s="232" t="s">
        <v>4892</v>
      </c>
      <c r="C51" s="232" t="s">
        <v>1</v>
      </c>
      <c r="D51" s="232">
        <f>2*0.8</f>
        <v>1.6</v>
      </c>
      <c r="E51" s="232">
        <v>1</v>
      </c>
      <c r="F51" s="908">
        <f t="shared" si="3"/>
        <v>1.6</v>
      </c>
    </row>
    <row r="52" spans="1:6" s="43" customFormat="1" ht="15" customHeight="1" x14ac:dyDescent="0.2">
      <c r="A52" s="907" t="s">
        <v>4914</v>
      </c>
      <c r="B52" s="232" t="s">
        <v>4897</v>
      </c>
      <c r="C52" s="232" t="s">
        <v>2</v>
      </c>
      <c r="D52" s="232">
        <v>1</v>
      </c>
      <c r="E52" s="232">
        <v>1</v>
      </c>
      <c r="F52" s="908">
        <f t="shared" si="3"/>
        <v>1</v>
      </c>
    </row>
    <row r="53" spans="1:6" s="43" customFormat="1" ht="15" customHeight="1" x14ac:dyDescent="0.2">
      <c r="A53" s="907" t="s">
        <v>4914</v>
      </c>
      <c r="B53" s="232" t="s">
        <v>4890</v>
      </c>
      <c r="C53" s="232" t="s">
        <v>2</v>
      </c>
      <c r="D53" s="232">
        <v>1</v>
      </c>
      <c r="E53" s="232">
        <v>1</v>
      </c>
      <c r="F53" s="908">
        <f t="shared" si="3"/>
        <v>1</v>
      </c>
    </row>
    <row r="54" spans="1:6" s="43" customFormat="1" ht="15" customHeight="1" x14ac:dyDescent="0.2">
      <c r="A54" s="907" t="s">
        <v>4914</v>
      </c>
      <c r="B54" s="232" t="s">
        <v>4879</v>
      </c>
      <c r="C54" s="232" t="s">
        <v>2</v>
      </c>
      <c r="D54" s="232">
        <v>1</v>
      </c>
      <c r="E54" s="232">
        <v>1</v>
      </c>
      <c r="F54" s="908">
        <f t="shared" si="3"/>
        <v>1</v>
      </c>
    </row>
    <row r="55" spans="1:6" s="43" customFormat="1" ht="15" customHeight="1" x14ac:dyDescent="0.2">
      <c r="A55" s="907" t="s">
        <v>4914</v>
      </c>
      <c r="B55" s="232" t="s">
        <v>4912</v>
      </c>
      <c r="C55" s="232" t="s">
        <v>2</v>
      </c>
      <c r="D55" s="232">
        <v>1</v>
      </c>
      <c r="E55" s="232">
        <v>1</v>
      </c>
      <c r="F55" s="908">
        <f t="shared" si="3"/>
        <v>1</v>
      </c>
    </row>
    <row r="56" spans="1:6" s="43" customFormat="1" ht="15" customHeight="1" x14ac:dyDescent="0.2">
      <c r="A56" s="907" t="s">
        <v>4914</v>
      </c>
      <c r="B56" s="232" t="s">
        <v>4892</v>
      </c>
      <c r="C56" s="232" t="s">
        <v>1</v>
      </c>
      <c r="D56" s="232">
        <f>3*0.8</f>
        <v>2.4000000000000004</v>
      </c>
      <c r="E56" s="232">
        <v>1</v>
      </c>
      <c r="F56" s="908">
        <f t="shared" si="3"/>
        <v>2.4000000000000004</v>
      </c>
    </row>
    <row r="57" spans="1:6" s="43" customFormat="1" ht="15" customHeight="1" x14ac:dyDescent="0.2">
      <c r="A57" s="169" t="s">
        <v>4909</v>
      </c>
      <c r="B57" s="169"/>
      <c r="C57" s="169"/>
      <c r="D57" s="169"/>
      <c r="E57" s="169"/>
      <c r="F57" s="906"/>
    </row>
    <row r="58" spans="1:6" s="43" customFormat="1" ht="15" customHeight="1" x14ac:dyDescent="0.2">
      <c r="A58" s="907" t="s">
        <v>4915</v>
      </c>
      <c r="B58" s="232" t="s">
        <v>4893</v>
      </c>
      <c r="C58" s="232" t="s">
        <v>2</v>
      </c>
      <c r="D58" s="232">
        <v>1</v>
      </c>
      <c r="E58" s="232">
        <f>16*13</f>
        <v>208</v>
      </c>
      <c r="F58" s="908">
        <f t="shared" ref="F58:F64" si="4">E58*D58</f>
        <v>208</v>
      </c>
    </row>
    <row r="59" spans="1:6" s="43" customFormat="1" ht="15" customHeight="1" x14ac:dyDescent="0.2">
      <c r="A59" s="907" t="s">
        <v>4915</v>
      </c>
      <c r="B59" s="232" t="s">
        <v>4880</v>
      </c>
      <c r="C59" s="232" t="s">
        <v>2</v>
      </c>
      <c r="D59" s="232">
        <v>1</v>
      </c>
      <c r="E59" s="232">
        <f>16*13</f>
        <v>208</v>
      </c>
      <c r="F59" s="908">
        <f t="shared" si="4"/>
        <v>208</v>
      </c>
    </row>
    <row r="60" spans="1:6" s="43" customFormat="1" ht="15" customHeight="1" x14ac:dyDescent="0.2">
      <c r="A60" s="907" t="s">
        <v>4915</v>
      </c>
      <c r="B60" s="232" t="s">
        <v>4881</v>
      </c>
      <c r="C60" s="232" t="s">
        <v>2</v>
      </c>
      <c r="D60" s="232">
        <v>1</v>
      </c>
      <c r="E60" s="232">
        <f>16*13</f>
        <v>208</v>
      </c>
      <c r="F60" s="908">
        <f t="shared" si="4"/>
        <v>208</v>
      </c>
    </row>
    <row r="61" spans="1:6" s="43" customFormat="1" ht="15" customHeight="1" x14ac:dyDescent="0.2">
      <c r="A61" s="907" t="s">
        <v>4915</v>
      </c>
      <c r="B61" s="232" t="s">
        <v>4882</v>
      </c>
      <c r="C61" s="232" t="s">
        <v>2</v>
      </c>
      <c r="D61" s="232">
        <v>2</v>
      </c>
      <c r="E61" s="232">
        <f>16*13</f>
        <v>208</v>
      </c>
      <c r="F61" s="908">
        <f t="shared" si="4"/>
        <v>416</v>
      </c>
    </row>
    <row r="62" spans="1:6" s="43" customFormat="1" ht="15" customHeight="1" x14ac:dyDescent="0.2">
      <c r="A62" s="907" t="s">
        <v>4915</v>
      </c>
      <c r="B62" s="232" t="s">
        <v>4890</v>
      </c>
      <c r="C62" s="232" t="s">
        <v>2</v>
      </c>
      <c r="D62" s="232">
        <v>1</v>
      </c>
      <c r="E62" s="232">
        <f>16*13</f>
        <v>208</v>
      </c>
      <c r="F62" s="908">
        <f t="shared" si="4"/>
        <v>208</v>
      </c>
    </row>
    <row r="63" spans="1:6" s="43" customFormat="1" ht="15" customHeight="1" x14ac:dyDescent="0.2">
      <c r="A63" s="907" t="s">
        <v>4894</v>
      </c>
      <c r="B63" s="232" t="s">
        <v>4890</v>
      </c>
      <c r="C63" s="232" t="s">
        <v>2</v>
      </c>
      <c r="D63" s="232">
        <v>2</v>
      </c>
      <c r="E63" s="232">
        <f>6*13</f>
        <v>78</v>
      </c>
      <c r="F63" s="908">
        <f t="shared" si="4"/>
        <v>156</v>
      </c>
    </row>
    <row r="64" spans="1:6" s="43" customFormat="1" ht="15" customHeight="1" x14ac:dyDescent="0.2">
      <c r="A64" s="907" t="s">
        <v>4895</v>
      </c>
      <c r="B64" s="232" t="s">
        <v>4890</v>
      </c>
      <c r="C64" s="232" t="s">
        <v>2</v>
      </c>
      <c r="D64" s="232">
        <v>1</v>
      </c>
      <c r="E64" s="232">
        <f>4*13</f>
        <v>52</v>
      </c>
      <c r="F64" s="908">
        <f t="shared" si="4"/>
        <v>52</v>
      </c>
    </row>
    <row r="65" spans="1:6" s="43" customFormat="1" ht="15" customHeight="1" x14ac:dyDescent="0.2">
      <c r="A65" s="169" t="s">
        <v>758</v>
      </c>
      <c r="B65" s="169"/>
      <c r="C65" s="169"/>
      <c r="D65" s="169"/>
      <c r="E65" s="169"/>
      <c r="F65" s="906"/>
    </row>
    <row r="66" spans="1:6" s="43" customFormat="1" ht="15" customHeight="1" x14ac:dyDescent="0.2">
      <c r="A66" s="907" t="s">
        <v>4915</v>
      </c>
      <c r="B66" s="232" t="s">
        <v>4893</v>
      </c>
      <c r="C66" s="232" t="s">
        <v>2</v>
      </c>
      <c r="D66" s="232">
        <v>1</v>
      </c>
      <c r="E66" s="232">
        <v>16</v>
      </c>
      <c r="F66" s="908">
        <f t="shared" ref="F66:F72" si="5">E66*D66</f>
        <v>16</v>
      </c>
    </row>
    <row r="67" spans="1:6" s="43" customFormat="1" ht="15" customHeight="1" x14ac:dyDescent="0.2">
      <c r="A67" s="907" t="s">
        <v>4915</v>
      </c>
      <c r="B67" s="232" t="s">
        <v>4880</v>
      </c>
      <c r="C67" s="232" t="s">
        <v>2</v>
      </c>
      <c r="D67" s="232">
        <v>1</v>
      </c>
      <c r="E67" s="232">
        <v>16</v>
      </c>
      <c r="F67" s="908">
        <f t="shared" si="5"/>
        <v>16</v>
      </c>
    </row>
    <row r="68" spans="1:6" s="43" customFormat="1" ht="15" customHeight="1" x14ac:dyDescent="0.2">
      <c r="A68" s="907" t="s">
        <v>4915</v>
      </c>
      <c r="B68" s="232" t="s">
        <v>4881</v>
      </c>
      <c r="C68" s="232" t="s">
        <v>2</v>
      </c>
      <c r="D68" s="232">
        <v>1</v>
      </c>
      <c r="E68" s="232">
        <v>16</v>
      </c>
      <c r="F68" s="908">
        <f t="shared" si="5"/>
        <v>16</v>
      </c>
    </row>
    <row r="69" spans="1:6" s="43" customFormat="1" ht="15" customHeight="1" x14ac:dyDescent="0.2">
      <c r="A69" s="907" t="s">
        <v>4915</v>
      </c>
      <c r="B69" s="232" t="s">
        <v>4882</v>
      </c>
      <c r="C69" s="232" t="s">
        <v>2</v>
      </c>
      <c r="D69" s="232">
        <v>2</v>
      </c>
      <c r="E69" s="232">
        <v>16</v>
      </c>
      <c r="F69" s="908">
        <f t="shared" si="5"/>
        <v>32</v>
      </c>
    </row>
    <row r="70" spans="1:6" s="43" customFormat="1" ht="15" customHeight="1" x14ac:dyDescent="0.2">
      <c r="A70" s="907" t="s">
        <v>4915</v>
      </c>
      <c r="B70" s="232" t="s">
        <v>4890</v>
      </c>
      <c r="C70" s="232" t="s">
        <v>2</v>
      </c>
      <c r="D70" s="232">
        <v>1</v>
      </c>
      <c r="E70" s="232">
        <v>16</v>
      </c>
      <c r="F70" s="908">
        <f t="shared" si="5"/>
        <v>16</v>
      </c>
    </row>
    <row r="71" spans="1:6" s="43" customFormat="1" ht="15" customHeight="1" x14ac:dyDescent="0.2">
      <c r="A71" s="907" t="s">
        <v>4894</v>
      </c>
      <c r="B71" s="232" t="s">
        <v>4890</v>
      </c>
      <c r="C71" s="232" t="s">
        <v>2</v>
      </c>
      <c r="D71" s="232">
        <v>2</v>
      </c>
      <c r="E71" s="232">
        <v>6</v>
      </c>
      <c r="F71" s="908">
        <f t="shared" si="5"/>
        <v>12</v>
      </c>
    </row>
    <row r="72" spans="1:6" s="43" customFormat="1" ht="15" customHeight="1" x14ac:dyDescent="0.2">
      <c r="A72" s="907" t="s">
        <v>4895</v>
      </c>
      <c r="B72" s="232" t="s">
        <v>4890</v>
      </c>
      <c r="C72" s="232" t="s">
        <v>2</v>
      </c>
      <c r="D72" s="232">
        <v>1</v>
      </c>
      <c r="E72" s="232">
        <v>4</v>
      </c>
      <c r="F72" s="908">
        <f t="shared" si="5"/>
        <v>4</v>
      </c>
    </row>
    <row r="73" spans="1:6" s="43" customFormat="1" ht="15" customHeight="1" x14ac:dyDescent="0.2">
      <c r="A73" s="169" t="s">
        <v>759</v>
      </c>
      <c r="B73" s="169"/>
      <c r="C73" s="169"/>
      <c r="D73" s="169"/>
      <c r="E73" s="169"/>
      <c r="F73" s="906"/>
    </row>
    <row r="74" spans="1:6" s="43" customFormat="1" ht="15" customHeight="1" x14ac:dyDescent="0.2">
      <c r="A74" s="907" t="s">
        <v>4915</v>
      </c>
      <c r="B74" s="232" t="s">
        <v>4893</v>
      </c>
      <c r="C74" s="232" t="s">
        <v>2</v>
      </c>
      <c r="D74" s="232">
        <v>1</v>
      </c>
      <c r="E74" s="232">
        <v>8</v>
      </c>
      <c r="F74" s="908">
        <f t="shared" ref="F74:F80" si="6">E74*D74</f>
        <v>8</v>
      </c>
    </row>
    <row r="75" spans="1:6" s="43" customFormat="1" ht="15" customHeight="1" x14ac:dyDescent="0.2">
      <c r="A75" s="907" t="s">
        <v>4915</v>
      </c>
      <c r="B75" s="232" t="s">
        <v>4880</v>
      </c>
      <c r="C75" s="232" t="s">
        <v>2</v>
      </c>
      <c r="D75" s="232">
        <v>1</v>
      </c>
      <c r="E75" s="232">
        <v>8</v>
      </c>
      <c r="F75" s="908">
        <f t="shared" si="6"/>
        <v>8</v>
      </c>
    </row>
    <row r="76" spans="1:6" s="43" customFormat="1" ht="15" customHeight="1" x14ac:dyDescent="0.2">
      <c r="A76" s="907" t="s">
        <v>4915</v>
      </c>
      <c r="B76" s="232" t="s">
        <v>4881</v>
      </c>
      <c r="C76" s="232" t="s">
        <v>2</v>
      </c>
      <c r="D76" s="232">
        <v>1</v>
      </c>
      <c r="E76" s="232">
        <v>8</v>
      </c>
      <c r="F76" s="908">
        <f t="shared" si="6"/>
        <v>8</v>
      </c>
    </row>
    <row r="77" spans="1:6" s="43" customFormat="1" ht="15" customHeight="1" x14ac:dyDescent="0.2">
      <c r="A77" s="907" t="s">
        <v>4915</v>
      </c>
      <c r="B77" s="232" t="s">
        <v>4882</v>
      </c>
      <c r="C77" s="232" t="s">
        <v>2</v>
      </c>
      <c r="D77" s="232">
        <v>2</v>
      </c>
      <c r="E77" s="232">
        <v>8</v>
      </c>
      <c r="F77" s="908">
        <f t="shared" si="6"/>
        <v>16</v>
      </c>
    </row>
    <row r="78" spans="1:6" s="43" customFormat="1" ht="15" customHeight="1" x14ac:dyDescent="0.2">
      <c r="A78" s="907" t="s">
        <v>4915</v>
      </c>
      <c r="B78" s="232" t="s">
        <v>4890</v>
      </c>
      <c r="C78" s="232" t="s">
        <v>2</v>
      </c>
      <c r="D78" s="232">
        <v>1</v>
      </c>
      <c r="E78" s="232">
        <v>8</v>
      </c>
      <c r="F78" s="908">
        <f t="shared" si="6"/>
        <v>8</v>
      </c>
    </row>
    <row r="79" spans="1:6" s="43" customFormat="1" ht="15" customHeight="1" x14ac:dyDescent="0.2">
      <c r="A79" s="907" t="s">
        <v>4894</v>
      </c>
      <c r="B79" s="232" t="s">
        <v>4890</v>
      </c>
      <c r="C79" s="232" t="s">
        <v>2</v>
      </c>
      <c r="D79" s="232">
        <v>2</v>
      </c>
      <c r="E79" s="232">
        <v>4</v>
      </c>
      <c r="F79" s="908">
        <f t="shared" si="6"/>
        <v>8</v>
      </c>
    </row>
    <row r="80" spans="1:6" s="43" customFormat="1" ht="15" customHeight="1" thickBot="1" x14ac:dyDescent="0.25">
      <c r="A80" s="907" t="s">
        <v>4895</v>
      </c>
      <c r="B80" s="232" t="s">
        <v>4890</v>
      </c>
      <c r="C80" s="232" t="s">
        <v>2</v>
      </c>
      <c r="D80" s="232">
        <v>1</v>
      </c>
      <c r="E80" s="232">
        <v>2</v>
      </c>
      <c r="F80" s="908">
        <f t="shared" si="6"/>
        <v>2</v>
      </c>
    </row>
    <row r="81" spans="1:6" ht="13.5" thickTop="1" thickBot="1" x14ac:dyDescent="0.25">
      <c r="A81" s="60"/>
      <c r="B81" s="60" t="s">
        <v>8</v>
      </c>
      <c r="C81" s="60"/>
      <c r="D81" s="60"/>
      <c r="E81" s="60"/>
      <c r="F81" s="60">
        <f>SUM(F8:F80)</f>
        <v>1739.7739999999999</v>
      </c>
    </row>
    <row r="82" spans="1:6" ht="12" thickTop="1" x14ac:dyDescent="0.2">
      <c r="A82" s="5"/>
      <c r="B82" s="5"/>
      <c r="C82" s="5"/>
      <c r="D82" s="5"/>
      <c r="E82" s="5"/>
    </row>
    <row r="83" spans="1:6" x14ac:dyDescent="0.2">
      <c r="A83" s="1188" t="s">
        <v>1100</v>
      </c>
      <c r="B83" s="1188"/>
      <c r="C83" s="1188"/>
      <c r="D83" s="1188"/>
      <c r="E83" s="1188"/>
      <c r="F83" s="1188"/>
    </row>
    <row r="84" spans="1:6" s="40" customFormat="1" ht="12" x14ac:dyDescent="0.2">
      <c r="A84" s="767" t="s">
        <v>9</v>
      </c>
      <c r="B84" s="766" t="s">
        <v>4885</v>
      </c>
      <c r="C84" s="766" t="s">
        <v>4239</v>
      </c>
      <c r="D84" s="766" t="s">
        <v>4237</v>
      </c>
      <c r="E84" s="766" t="s">
        <v>4898</v>
      </c>
      <c r="F84" s="766" t="s">
        <v>4899</v>
      </c>
    </row>
    <row r="85" spans="1:6" ht="12" x14ac:dyDescent="0.2">
      <c r="A85" s="907"/>
      <c r="B85" s="232" t="s">
        <v>4902</v>
      </c>
      <c r="C85" s="232" t="s">
        <v>2</v>
      </c>
      <c r="D85" s="232">
        <f>SUMIF($B$8:$B$10,B85,$F$8:$F$10)</f>
        <v>3</v>
      </c>
      <c r="E85" s="909">
        <v>55</v>
      </c>
      <c r="F85" s="909">
        <f>E85*D85</f>
        <v>165</v>
      </c>
    </row>
    <row r="86" spans="1:6" ht="12.75" thickBot="1" x14ac:dyDescent="0.25">
      <c r="A86" s="907"/>
      <c r="B86" s="232" t="s">
        <v>4877</v>
      </c>
      <c r="C86" s="232" t="s">
        <v>2</v>
      </c>
      <c r="D86" s="232">
        <f>SUMIF($B$8:$B$10,B86,$F$8:$F$10)</f>
        <v>1</v>
      </c>
      <c r="E86" s="909">
        <v>500</v>
      </c>
      <c r="F86" s="909">
        <f>E86*D86</f>
        <v>500</v>
      </c>
    </row>
    <row r="87" spans="1:6" ht="13.5" thickTop="1" thickBot="1" x14ac:dyDescent="0.25">
      <c r="A87" s="60"/>
      <c r="B87" s="60" t="s">
        <v>4916</v>
      </c>
      <c r="C87" s="60"/>
      <c r="D87" s="60"/>
      <c r="E87" s="60"/>
      <c r="F87" s="910">
        <f>SUM(F85:F86)</f>
        <v>665</v>
      </c>
    </row>
    <row r="88" spans="1:6" ht="24.75" customHeight="1" thickTop="1" x14ac:dyDescent="0.2">
      <c r="A88" s="5"/>
      <c r="B88" s="5"/>
      <c r="C88" s="5"/>
      <c r="D88" s="5"/>
      <c r="E88" s="5"/>
    </row>
    <row r="89" spans="1:6" x14ac:dyDescent="0.2">
      <c r="A89" s="1188" t="s">
        <v>754</v>
      </c>
      <c r="B89" s="1188"/>
      <c r="C89" s="1188"/>
      <c r="D89" s="1188"/>
      <c r="E89" s="1188"/>
      <c r="F89" s="1188"/>
    </row>
    <row r="90" spans="1:6" s="40" customFormat="1" ht="12" x14ac:dyDescent="0.2">
      <c r="A90" s="767" t="s">
        <v>9</v>
      </c>
      <c r="B90" s="766" t="s">
        <v>4885</v>
      </c>
      <c r="C90" s="766" t="s">
        <v>4239</v>
      </c>
      <c r="D90" s="766" t="s">
        <v>4237</v>
      </c>
      <c r="E90" s="766" t="s">
        <v>4898</v>
      </c>
      <c r="F90" s="766" t="s">
        <v>4899</v>
      </c>
    </row>
    <row r="91" spans="1:6" ht="12" x14ac:dyDescent="0.2">
      <c r="A91" s="907" t="s">
        <v>4900</v>
      </c>
      <c r="B91" s="232" t="s">
        <v>4897</v>
      </c>
      <c r="C91" s="232" t="s">
        <v>2</v>
      </c>
      <c r="D91" s="232">
        <f>SUMIF($B$11:$B$56,B91,$F$11:$F$56)</f>
        <v>3</v>
      </c>
      <c r="E91" s="909">
        <v>1222.18</v>
      </c>
      <c r="F91" s="909">
        <f>E91*D91</f>
        <v>3666.54</v>
      </c>
    </row>
    <row r="92" spans="1:6" ht="12" x14ac:dyDescent="0.2">
      <c r="A92" s="907"/>
      <c r="B92" s="232" t="s">
        <v>4891</v>
      </c>
      <c r="C92" s="232" t="s">
        <v>2</v>
      </c>
      <c r="D92" s="232">
        <f t="shared" ref="D92:D109" si="7">SUMIF($B$11:$B$56,B92,$F$11:$F$56)</f>
        <v>6</v>
      </c>
      <c r="E92" s="909">
        <v>1222.18</v>
      </c>
      <c r="F92" s="909">
        <f>E92*D92</f>
        <v>7333.08</v>
      </c>
    </row>
    <row r="93" spans="1:6" ht="12" x14ac:dyDescent="0.2">
      <c r="A93" s="907"/>
      <c r="B93" s="232" t="s">
        <v>4888</v>
      </c>
      <c r="C93" s="232" t="s">
        <v>2</v>
      </c>
      <c r="D93" s="232">
        <f t="shared" si="7"/>
        <v>1</v>
      </c>
      <c r="E93" s="909">
        <v>265.89999999999998</v>
      </c>
      <c r="F93" s="909">
        <f>E93*D93</f>
        <v>265.89999999999998</v>
      </c>
    </row>
    <row r="94" spans="1:6" ht="12" x14ac:dyDescent="0.2">
      <c r="A94" s="907"/>
      <c r="B94" s="232" t="s">
        <v>4893</v>
      </c>
      <c r="C94" s="232" t="s">
        <v>2</v>
      </c>
      <c r="D94" s="232">
        <f t="shared" si="7"/>
        <v>9</v>
      </c>
      <c r="E94" s="909">
        <v>1199.9000000000001</v>
      </c>
      <c r="F94" s="909">
        <f>E94*D94</f>
        <v>10799.1</v>
      </c>
    </row>
    <row r="95" spans="1:6" ht="12.75" thickBot="1" x14ac:dyDescent="0.25">
      <c r="A95" s="907"/>
      <c r="B95" s="232" t="s">
        <v>4887</v>
      </c>
      <c r="C95" s="232" t="s">
        <v>2</v>
      </c>
      <c r="D95" s="232">
        <f t="shared" si="7"/>
        <v>1</v>
      </c>
      <c r="E95" s="909">
        <v>1199.9000000000001</v>
      </c>
      <c r="F95" s="909">
        <f>E95*D95</f>
        <v>1199.9000000000001</v>
      </c>
    </row>
    <row r="96" spans="1:6" ht="13.5" thickTop="1" thickBot="1" x14ac:dyDescent="0.25">
      <c r="A96" s="60"/>
      <c r="B96" s="60" t="s">
        <v>4917</v>
      </c>
      <c r="C96" s="60"/>
      <c r="D96" s="60"/>
      <c r="E96" s="60"/>
      <c r="F96" s="910">
        <f>SUM(F91:F95)</f>
        <v>23264.52</v>
      </c>
    </row>
    <row r="97" spans="1:6" ht="12.75" thickTop="1" x14ac:dyDescent="0.2">
      <c r="A97" s="907" t="s">
        <v>4901</v>
      </c>
      <c r="B97" s="232" t="s">
        <v>4890</v>
      </c>
      <c r="C97" s="232" t="s">
        <v>2</v>
      </c>
      <c r="D97" s="232">
        <f t="shared" si="7"/>
        <v>10</v>
      </c>
      <c r="E97" s="909">
        <v>62.34</v>
      </c>
      <c r="F97" s="909">
        <f t="shared" ref="F97:F107" si="8">E97*D97</f>
        <v>623.40000000000009</v>
      </c>
    </row>
    <row r="98" spans="1:6" ht="12" x14ac:dyDescent="0.2">
      <c r="A98" s="907"/>
      <c r="B98" s="232" t="s">
        <v>4880</v>
      </c>
      <c r="C98" s="232" t="s">
        <v>2</v>
      </c>
      <c r="D98" s="232">
        <f t="shared" si="7"/>
        <v>10</v>
      </c>
      <c r="E98" s="909">
        <v>13.3</v>
      </c>
      <c r="F98" s="909">
        <f t="shared" si="8"/>
        <v>133</v>
      </c>
    </row>
    <row r="99" spans="1:6" ht="12" x14ac:dyDescent="0.2">
      <c r="A99" s="907"/>
      <c r="B99" s="232" t="s">
        <v>4878</v>
      </c>
      <c r="C99" s="232" t="s">
        <v>2</v>
      </c>
      <c r="D99" s="232">
        <f t="shared" si="7"/>
        <v>2</v>
      </c>
      <c r="E99" s="909">
        <v>518.66</v>
      </c>
      <c r="F99" s="909">
        <f t="shared" si="8"/>
        <v>1037.32</v>
      </c>
    </row>
    <row r="100" spans="1:6" ht="12" x14ac:dyDescent="0.2">
      <c r="A100" s="907"/>
      <c r="B100" s="232" t="s">
        <v>4881</v>
      </c>
      <c r="C100" s="232" t="s">
        <v>2</v>
      </c>
      <c r="D100" s="232">
        <f t="shared" si="7"/>
        <v>10</v>
      </c>
      <c r="E100" s="909">
        <v>14.75</v>
      </c>
      <c r="F100" s="909">
        <f t="shared" si="8"/>
        <v>147.5</v>
      </c>
    </row>
    <row r="101" spans="1:6" ht="12" x14ac:dyDescent="0.2">
      <c r="A101" s="907"/>
      <c r="B101" s="232" t="s">
        <v>4882</v>
      </c>
      <c r="C101" s="232" t="s">
        <v>2</v>
      </c>
      <c r="D101" s="232">
        <f t="shared" si="7"/>
        <v>20</v>
      </c>
      <c r="E101" s="909">
        <v>24.95</v>
      </c>
      <c r="F101" s="909">
        <f t="shared" si="8"/>
        <v>499</v>
      </c>
    </row>
    <row r="102" spans="1:6" ht="12" x14ac:dyDescent="0.2">
      <c r="A102" s="907"/>
      <c r="B102" s="232" t="s">
        <v>4879</v>
      </c>
      <c r="C102" s="232" t="s">
        <v>2</v>
      </c>
      <c r="D102" s="232">
        <f t="shared" si="7"/>
        <v>10</v>
      </c>
      <c r="E102" s="909">
        <v>13.9</v>
      </c>
      <c r="F102" s="909">
        <f t="shared" si="8"/>
        <v>139</v>
      </c>
    </row>
    <row r="103" spans="1:6" ht="12" x14ac:dyDescent="0.2">
      <c r="A103" s="907"/>
      <c r="B103" s="232" t="s">
        <v>4907</v>
      </c>
      <c r="C103" s="232" t="s">
        <v>2</v>
      </c>
      <c r="D103" s="232">
        <f t="shared" si="7"/>
        <v>6</v>
      </c>
      <c r="E103" s="909">
        <v>279</v>
      </c>
      <c r="F103" s="909">
        <f t="shared" si="8"/>
        <v>1674</v>
      </c>
    </row>
    <row r="104" spans="1:6" ht="12" x14ac:dyDescent="0.2">
      <c r="A104" s="907"/>
      <c r="B104" s="232" t="s">
        <v>4912</v>
      </c>
      <c r="C104" s="232" t="s">
        <v>2</v>
      </c>
      <c r="D104" s="232">
        <f t="shared" si="7"/>
        <v>3</v>
      </c>
      <c r="E104" s="909">
        <v>249</v>
      </c>
      <c r="F104" s="909">
        <f t="shared" si="8"/>
        <v>747</v>
      </c>
    </row>
    <row r="105" spans="1:6" ht="12" x14ac:dyDescent="0.2">
      <c r="A105" s="907"/>
      <c r="B105" s="232" t="s">
        <v>4889</v>
      </c>
      <c r="C105" s="232" t="s">
        <v>2</v>
      </c>
      <c r="D105" s="232">
        <f t="shared" si="7"/>
        <v>1</v>
      </c>
      <c r="E105" s="909">
        <v>229.9</v>
      </c>
      <c r="F105" s="909">
        <f t="shared" si="8"/>
        <v>229.9</v>
      </c>
    </row>
    <row r="106" spans="1:6" ht="12" x14ac:dyDescent="0.2">
      <c r="A106" s="907"/>
      <c r="B106" s="232" t="s">
        <v>4896</v>
      </c>
      <c r="C106" s="232" t="s">
        <v>2</v>
      </c>
      <c r="D106" s="232">
        <f t="shared" si="7"/>
        <v>6</v>
      </c>
      <c r="E106" s="909">
        <v>54.25</v>
      </c>
      <c r="F106" s="909">
        <f t="shared" si="8"/>
        <v>325.5</v>
      </c>
    </row>
    <row r="107" spans="1:6" ht="12.75" thickBot="1" x14ac:dyDescent="0.25">
      <c r="A107" s="907"/>
      <c r="B107" s="232" t="s">
        <v>4883</v>
      </c>
      <c r="C107" s="232" t="s">
        <v>2</v>
      </c>
      <c r="D107" s="232">
        <f t="shared" si="7"/>
        <v>1</v>
      </c>
      <c r="E107" s="909">
        <v>21.9</v>
      </c>
      <c r="F107" s="909">
        <f t="shared" si="8"/>
        <v>21.9</v>
      </c>
    </row>
    <row r="108" spans="1:6" ht="13.5" thickTop="1" thickBot="1" x14ac:dyDescent="0.25">
      <c r="A108" s="60"/>
      <c r="B108" s="60" t="s">
        <v>4916</v>
      </c>
      <c r="C108" s="60"/>
      <c r="D108" s="60"/>
      <c r="E108" s="60"/>
      <c r="F108" s="910">
        <f>SUM(F97:F107)</f>
        <v>5577.5199999999995</v>
      </c>
    </row>
    <row r="109" spans="1:6" ht="13.5" thickTop="1" thickBot="1" x14ac:dyDescent="0.25">
      <c r="A109" s="907" t="s">
        <v>4903</v>
      </c>
      <c r="B109" s="232" t="s">
        <v>4892</v>
      </c>
      <c r="C109" s="232" t="s">
        <v>1</v>
      </c>
      <c r="D109" s="232">
        <f t="shared" si="7"/>
        <v>10.774000000000001</v>
      </c>
      <c r="E109" s="909">
        <v>835</v>
      </c>
      <c r="F109" s="909">
        <f>E109*D109</f>
        <v>8996.2900000000009</v>
      </c>
    </row>
    <row r="110" spans="1:6" ht="13.5" thickTop="1" thickBot="1" x14ac:dyDescent="0.25">
      <c r="A110" s="60"/>
      <c r="B110" s="60" t="s">
        <v>4918</v>
      </c>
      <c r="C110" s="60"/>
      <c r="D110" s="60"/>
      <c r="E110" s="910"/>
      <c r="F110" s="910">
        <f>F109</f>
        <v>8996.2900000000009</v>
      </c>
    </row>
    <row r="111" spans="1:6" ht="12" thickTop="1" x14ac:dyDescent="0.2"/>
    <row r="112" spans="1:6" x14ac:dyDescent="0.2">
      <c r="A112" s="1188" t="s">
        <v>756</v>
      </c>
      <c r="B112" s="1188"/>
      <c r="C112" s="1188"/>
      <c r="D112" s="1188"/>
      <c r="E112" s="1188"/>
      <c r="F112" s="1188"/>
    </row>
    <row r="113" spans="1:6" s="40" customFormat="1" ht="12" x14ac:dyDescent="0.2">
      <c r="A113" s="767" t="s">
        <v>9</v>
      </c>
      <c r="B113" s="766" t="s">
        <v>4885</v>
      </c>
      <c r="C113" s="766" t="s">
        <v>4239</v>
      </c>
      <c r="D113" s="766" t="s">
        <v>4237</v>
      </c>
      <c r="E113" s="766" t="s">
        <v>4898</v>
      </c>
      <c r="F113" s="766" t="s">
        <v>4899</v>
      </c>
    </row>
    <row r="114" spans="1:6" ht="12.75" thickBot="1" x14ac:dyDescent="0.25">
      <c r="A114" s="907"/>
      <c r="B114" s="232" t="s">
        <v>4893</v>
      </c>
      <c r="C114" s="232" t="s">
        <v>2</v>
      </c>
      <c r="D114" s="232">
        <f t="shared" ref="D114:D119" si="9">SUMIF($B$58:$B$64,B114,$F$58:$F$64)</f>
        <v>208</v>
      </c>
      <c r="E114" s="909">
        <v>1199.9000000000001</v>
      </c>
      <c r="F114" s="909">
        <f>E114*D114</f>
        <v>249579.2</v>
      </c>
    </row>
    <row r="115" spans="1:6" ht="13.5" thickTop="1" thickBot="1" x14ac:dyDescent="0.25">
      <c r="A115" s="60"/>
      <c r="B115" s="60" t="s">
        <v>4917</v>
      </c>
      <c r="C115" s="60"/>
      <c r="D115" s="60"/>
      <c r="E115" s="60"/>
      <c r="F115" s="910">
        <f>SUM(F114:F114)</f>
        <v>249579.2</v>
      </c>
    </row>
    <row r="116" spans="1:6" ht="12.75" thickTop="1" x14ac:dyDescent="0.2">
      <c r="A116" s="907" t="s">
        <v>4901</v>
      </c>
      <c r="B116" s="232" t="s">
        <v>4890</v>
      </c>
      <c r="C116" s="232" t="s">
        <v>2</v>
      </c>
      <c r="D116" s="232">
        <f t="shared" si="9"/>
        <v>416</v>
      </c>
      <c r="E116" s="909">
        <v>62.34</v>
      </c>
      <c r="F116" s="909">
        <f>E116*D116</f>
        <v>25933.440000000002</v>
      </c>
    </row>
    <row r="117" spans="1:6" ht="12" x14ac:dyDescent="0.2">
      <c r="A117" s="907"/>
      <c r="B117" s="232" t="s">
        <v>4880</v>
      </c>
      <c r="C117" s="232" t="s">
        <v>2</v>
      </c>
      <c r="D117" s="232">
        <f t="shared" si="9"/>
        <v>208</v>
      </c>
      <c r="E117" s="909">
        <v>13.3</v>
      </c>
      <c r="F117" s="909">
        <f>E117*D117</f>
        <v>2766.4</v>
      </c>
    </row>
    <row r="118" spans="1:6" ht="12" x14ac:dyDescent="0.2">
      <c r="A118" s="907"/>
      <c r="B118" s="232" t="s">
        <v>4881</v>
      </c>
      <c r="C118" s="232" t="s">
        <v>2</v>
      </c>
      <c r="D118" s="232">
        <f t="shared" si="9"/>
        <v>208</v>
      </c>
      <c r="E118" s="909">
        <v>14.75</v>
      </c>
      <c r="F118" s="909">
        <f>E118*D118</f>
        <v>3068</v>
      </c>
    </row>
    <row r="119" spans="1:6" ht="12.75" thickBot="1" x14ac:dyDescent="0.25">
      <c r="A119" s="907"/>
      <c r="B119" s="232" t="s">
        <v>4882</v>
      </c>
      <c r="C119" s="232" t="s">
        <v>2</v>
      </c>
      <c r="D119" s="232">
        <f t="shared" si="9"/>
        <v>416</v>
      </c>
      <c r="E119" s="909">
        <v>24.95</v>
      </c>
      <c r="F119" s="909">
        <f>E119*D119</f>
        <v>10379.199999999999</v>
      </c>
    </row>
    <row r="120" spans="1:6" ht="13.5" thickTop="1" thickBot="1" x14ac:dyDescent="0.25">
      <c r="A120" s="60"/>
      <c r="B120" s="60" t="s">
        <v>4916</v>
      </c>
      <c r="C120" s="60"/>
      <c r="D120" s="60"/>
      <c r="E120" s="60"/>
      <c r="F120" s="910">
        <f>SUM(F116:F119)</f>
        <v>42147.040000000001</v>
      </c>
    </row>
    <row r="121" spans="1:6" ht="12" thickTop="1" x14ac:dyDescent="0.2"/>
    <row r="122" spans="1:6" x14ac:dyDescent="0.2">
      <c r="A122" s="1188" t="s">
        <v>758</v>
      </c>
      <c r="B122" s="1188"/>
      <c r="C122" s="1188"/>
      <c r="D122" s="1188"/>
      <c r="E122" s="1188"/>
      <c r="F122" s="1188"/>
    </row>
    <row r="123" spans="1:6" s="40" customFormat="1" ht="12" x14ac:dyDescent="0.2">
      <c r="A123" s="767" t="s">
        <v>9</v>
      </c>
      <c r="B123" s="766" t="s">
        <v>4885</v>
      </c>
      <c r="C123" s="766" t="s">
        <v>4239</v>
      </c>
      <c r="D123" s="766" t="s">
        <v>4237</v>
      </c>
      <c r="E123" s="766" t="s">
        <v>4898</v>
      </c>
      <c r="F123" s="766" t="s">
        <v>4899</v>
      </c>
    </row>
    <row r="124" spans="1:6" ht="12.75" thickBot="1" x14ac:dyDescent="0.25">
      <c r="A124" s="907"/>
      <c r="B124" s="232" t="s">
        <v>4893</v>
      </c>
      <c r="C124" s="232" t="s">
        <v>2</v>
      </c>
      <c r="D124" s="232">
        <f t="shared" ref="D124:D129" si="10">SUMIF($B$65:$B$72,B124,$F$65:$F$72)</f>
        <v>16</v>
      </c>
      <c r="E124" s="909">
        <v>1199.9000000000001</v>
      </c>
      <c r="F124" s="909">
        <f>E124*D124</f>
        <v>19198.400000000001</v>
      </c>
    </row>
    <row r="125" spans="1:6" ht="13.5" thickTop="1" thickBot="1" x14ac:dyDescent="0.25">
      <c r="A125" s="60"/>
      <c r="B125" s="60" t="s">
        <v>8</v>
      </c>
      <c r="C125" s="60"/>
      <c r="D125" s="60"/>
      <c r="E125" s="60"/>
      <c r="F125" s="910">
        <f>SUM(F124:F124)</f>
        <v>19198.400000000001</v>
      </c>
    </row>
    <row r="126" spans="1:6" ht="12.75" thickTop="1" x14ac:dyDescent="0.2">
      <c r="A126" s="907" t="s">
        <v>4901</v>
      </c>
      <c r="B126" s="232" t="s">
        <v>4890</v>
      </c>
      <c r="C126" s="232" t="s">
        <v>2</v>
      </c>
      <c r="D126" s="232">
        <f t="shared" si="10"/>
        <v>32</v>
      </c>
      <c r="E126" s="909">
        <v>62.34</v>
      </c>
      <c r="F126" s="909">
        <f>E126*D126</f>
        <v>1994.88</v>
      </c>
    </row>
    <row r="127" spans="1:6" ht="12" x14ac:dyDescent="0.2">
      <c r="A127" s="907"/>
      <c r="B127" s="232" t="s">
        <v>4880</v>
      </c>
      <c r="C127" s="232" t="s">
        <v>2</v>
      </c>
      <c r="D127" s="232">
        <f t="shared" si="10"/>
        <v>16</v>
      </c>
      <c r="E127" s="909">
        <v>13.3</v>
      </c>
      <c r="F127" s="909">
        <f>E127*D127</f>
        <v>212.8</v>
      </c>
    </row>
    <row r="128" spans="1:6" ht="12" x14ac:dyDescent="0.2">
      <c r="A128" s="907"/>
      <c r="B128" s="232" t="s">
        <v>4881</v>
      </c>
      <c r="C128" s="232" t="s">
        <v>2</v>
      </c>
      <c r="D128" s="232">
        <f t="shared" si="10"/>
        <v>16</v>
      </c>
      <c r="E128" s="909">
        <v>14.75</v>
      </c>
      <c r="F128" s="909">
        <f>E128*D128</f>
        <v>236</v>
      </c>
    </row>
    <row r="129" spans="1:6" ht="12.75" thickBot="1" x14ac:dyDescent="0.25">
      <c r="A129" s="907"/>
      <c r="B129" s="232" t="s">
        <v>4882</v>
      </c>
      <c r="C129" s="232" t="s">
        <v>2</v>
      </c>
      <c r="D129" s="232">
        <f t="shared" si="10"/>
        <v>32</v>
      </c>
      <c r="E129" s="909">
        <v>24.95</v>
      </c>
      <c r="F129" s="909">
        <f>E129*D129</f>
        <v>798.4</v>
      </c>
    </row>
    <row r="130" spans="1:6" ht="13.5" thickTop="1" thickBot="1" x14ac:dyDescent="0.25">
      <c r="A130" s="60"/>
      <c r="B130" s="60" t="s">
        <v>8</v>
      </c>
      <c r="C130" s="60"/>
      <c r="D130" s="60"/>
      <c r="E130" s="60"/>
      <c r="F130" s="910">
        <f>SUM(F126:F129)</f>
        <v>3242.0800000000004</v>
      </c>
    </row>
    <row r="131" spans="1:6" ht="12" thickTop="1" x14ac:dyDescent="0.2"/>
    <row r="132" spans="1:6" x14ac:dyDescent="0.2">
      <c r="A132" s="1188" t="s">
        <v>759</v>
      </c>
      <c r="B132" s="1188"/>
      <c r="C132" s="1188"/>
      <c r="D132" s="1188"/>
      <c r="E132" s="1188"/>
      <c r="F132" s="1188"/>
    </row>
    <row r="133" spans="1:6" s="40" customFormat="1" ht="12" x14ac:dyDescent="0.2">
      <c r="A133" s="767" t="s">
        <v>9</v>
      </c>
      <c r="B133" s="766" t="s">
        <v>4885</v>
      </c>
      <c r="C133" s="766" t="s">
        <v>4239</v>
      </c>
      <c r="D133" s="766" t="s">
        <v>4237</v>
      </c>
      <c r="E133" s="766" t="s">
        <v>4898</v>
      </c>
      <c r="F133" s="766" t="s">
        <v>4899</v>
      </c>
    </row>
    <row r="134" spans="1:6" ht="12.75" thickBot="1" x14ac:dyDescent="0.25">
      <c r="A134" s="907"/>
      <c r="B134" s="232" t="s">
        <v>4893</v>
      </c>
      <c r="C134" s="232" t="s">
        <v>2</v>
      </c>
      <c r="D134" s="232">
        <f t="shared" ref="D134:D139" si="11">SUMIF($B$73:$B$80,B134,$F$73:$F$80)</f>
        <v>8</v>
      </c>
      <c r="E134" s="909">
        <v>1199.9000000000001</v>
      </c>
      <c r="F134" s="909">
        <f>E134*D134</f>
        <v>9599.2000000000007</v>
      </c>
    </row>
    <row r="135" spans="1:6" ht="13.5" thickTop="1" thickBot="1" x14ac:dyDescent="0.25">
      <c r="A135" s="60"/>
      <c r="B135" s="60" t="s">
        <v>8</v>
      </c>
      <c r="C135" s="60"/>
      <c r="D135" s="60"/>
      <c r="E135" s="60"/>
      <c r="F135" s="910">
        <f>SUM(F134:F134)</f>
        <v>9599.2000000000007</v>
      </c>
    </row>
    <row r="136" spans="1:6" ht="12.75" thickTop="1" x14ac:dyDescent="0.2">
      <c r="A136" s="907" t="s">
        <v>4901</v>
      </c>
      <c r="B136" s="232" t="s">
        <v>4890</v>
      </c>
      <c r="C136" s="232" t="s">
        <v>2</v>
      </c>
      <c r="D136" s="232">
        <f t="shared" si="11"/>
        <v>18</v>
      </c>
      <c r="E136" s="909">
        <v>62.34</v>
      </c>
      <c r="F136" s="909">
        <f>E136*D136</f>
        <v>1122.1200000000001</v>
      </c>
    </row>
    <row r="137" spans="1:6" ht="12" x14ac:dyDescent="0.2">
      <c r="A137" s="907"/>
      <c r="B137" s="232" t="s">
        <v>4880</v>
      </c>
      <c r="C137" s="232" t="s">
        <v>2</v>
      </c>
      <c r="D137" s="232">
        <f t="shared" si="11"/>
        <v>8</v>
      </c>
      <c r="E137" s="909">
        <v>13.3</v>
      </c>
      <c r="F137" s="909">
        <f>E137*D137</f>
        <v>106.4</v>
      </c>
    </row>
    <row r="138" spans="1:6" ht="12" x14ac:dyDescent="0.2">
      <c r="A138" s="907"/>
      <c r="B138" s="232" t="s">
        <v>4881</v>
      </c>
      <c r="C138" s="232" t="s">
        <v>2</v>
      </c>
      <c r="D138" s="232">
        <f t="shared" si="11"/>
        <v>8</v>
      </c>
      <c r="E138" s="909">
        <v>14.75</v>
      </c>
      <c r="F138" s="909">
        <f>E138*D138</f>
        <v>118</v>
      </c>
    </row>
    <row r="139" spans="1:6" ht="12.75" thickBot="1" x14ac:dyDescent="0.25">
      <c r="A139" s="907"/>
      <c r="B139" s="232" t="s">
        <v>4882</v>
      </c>
      <c r="C139" s="232" t="s">
        <v>2</v>
      </c>
      <c r="D139" s="232">
        <f t="shared" si="11"/>
        <v>16</v>
      </c>
      <c r="E139" s="909">
        <v>24.95</v>
      </c>
      <c r="F139" s="909">
        <f>E139*D139</f>
        <v>399.2</v>
      </c>
    </row>
    <row r="140" spans="1:6" ht="13.5" thickTop="1" thickBot="1" x14ac:dyDescent="0.25">
      <c r="A140" s="60"/>
      <c r="B140" s="60" t="s">
        <v>8</v>
      </c>
      <c r="C140" s="60"/>
      <c r="D140" s="60"/>
      <c r="E140" s="60"/>
      <c r="F140" s="910">
        <f>SUM(F136:F139)</f>
        <v>1745.7200000000003</v>
      </c>
    </row>
    <row r="141" spans="1:6" ht="12" thickTop="1" x14ac:dyDescent="0.2"/>
  </sheetData>
  <mergeCells count="7">
    <mergeCell ref="A132:F132"/>
    <mergeCell ref="D3:E3"/>
    <mergeCell ref="A5:F5"/>
    <mergeCell ref="A83:F83"/>
    <mergeCell ref="A89:F89"/>
    <mergeCell ref="A112:F112"/>
    <mergeCell ref="A122:F122"/>
  </mergeCells>
  <printOptions horizontalCentered="1"/>
  <pageMargins left="0.39370078740157483" right="0" top="0.39370078740157483" bottom="0.39370078740157483" header="0.51181102362204722" footer="0.19685039370078741"/>
  <pageSetup paperSize="9" scale="40" orientation="portrait" verticalDpi="300" r:id="rId1"/>
  <headerFooter alignWithMargins="0">
    <oddFooter>&amp;L&amp;F - &amp;A&amp;R&amp;P / &amp;N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CB1CB-2084-49EB-A3B3-35C634A6CA10}">
  <sheetPr>
    <tabColor theme="0" tint="-0.34998626667073579"/>
  </sheetPr>
  <dimension ref="A1:L76"/>
  <sheetViews>
    <sheetView zoomScale="80" zoomScaleNormal="80" workbookViewId="0">
      <selection activeCell="A67" sqref="A61:A67"/>
    </sheetView>
  </sheetViews>
  <sheetFormatPr defaultColWidth="9.140625" defaultRowHeight="15" outlineLevelRow="2" x14ac:dyDescent="0.25"/>
  <cols>
    <col min="1" max="1" width="81" style="592" customWidth="1"/>
    <col min="2" max="2" width="15" style="592" bestFit="1" customWidth="1"/>
    <col min="3" max="3" width="13.140625" style="592" bestFit="1" customWidth="1"/>
    <col min="4" max="6" width="13.7109375" style="592" bestFit="1" customWidth="1"/>
    <col min="7" max="8" width="15" style="592" bestFit="1" customWidth="1"/>
    <col min="9" max="9" width="16.42578125" style="592" bestFit="1" customWidth="1"/>
    <col min="10" max="12" width="13.7109375" style="592" bestFit="1" customWidth="1"/>
    <col min="13" max="16384" width="9.140625" style="592"/>
  </cols>
  <sheetData>
    <row r="1" spans="1:12" ht="15.75" thickBot="1" x14ac:dyDescent="0.3">
      <c r="A1" s="592" t="s">
        <v>0</v>
      </c>
      <c r="B1" s="592" t="s">
        <v>861</v>
      </c>
    </row>
    <row r="2" spans="1:12" x14ac:dyDescent="0.25">
      <c r="A2" s="590" t="s">
        <v>807</v>
      </c>
      <c r="B2" s="591">
        <f>'Obra '!E15</f>
        <v>799.52</v>
      </c>
      <c r="C2" s="591"/>
      <c r="E2" s="592" t="s">
        <v>814</v>
      </c>
      <c r="I2" s="223" t="s">
        <v>259</v>
      </c>
      <c r="J2" s="221">
        <v>408.18</v>
      </c>
    </row>
    <row r="3" spans="1:12" x14ac:dyDescent="0.25">
      <c r="A3" s="593" t="s">
        <v>808</v>
      </c>
      <c r="B3" s="594">
        <f>'Obra '!E16+'Obra '!E17+'Obra '!E18</f>
        <v>2410.5</v>
      </c>
      <c r="C3" s="594"/>
      <c r="E3" s="592">
        <v>4174.83</v>
      </c>
      <c r="I3" s="223" t="s">
        <v>467</v>
      </c>
      <c r="J3" s="221">
        <v>416.94</v>
      </c>
    </row>
    <row r="4" spans="1:12" x14ac:dyDescent="0.25">
      <c r="A4" s="593" t="s">
        <v>753</v>
      </c>
      <c r="B4" s="594">
        <f>'Obra '!E19</f>
        <v>748.28</v>
      </c>
      <c r="C4" s="594"/>
      <c r="I4" s="223" t="s">
        <v>468</v>
      </c>
      <c r="J4" s="221">
        <v>416.98</v>
      </c>
    </row>
    <row r="5" spans="1:12" x14ac:dyDescent="0.25">
      <c r="A5" s="593" t="s">
        <v>809</v>
      </c>
      <c r="B5" s="594">
        <f>'Obra '!E20</f>
        <v>796.98</v>
      </c>
      <c r="C5" s="594"/>
      <c r="E5" s="592" t="s">
        <v>860</v>
      </c>
      <c r="I5" s="223" t="s">
        <v>858</v>
      </c>
      <c r="J5" s="221">
        <v>418.34</v>
      </c>
    </row>
    <row r="6" spans="1:12" x14ac:dyDescent="0.25">
      <c r="A6" s="593" t="s">
        <v>810</v>
      </c>
      <c r="B6" s="594">
        <f>'Obra '!E21</f>
        <v>7112.56</v>
      </c>
      <c r="C6" s="594"/>
      <c r="E6" s="592">
        <f>'Obra '!E9</f>
        <v>13188.75</v>
      </c>
      <c r="I6" s="223" t="s">
        <v>859</v>
      </c>
      <c r="J6" s="221">
        <v>2183.13</v>
      </c>
    </row>
    <row r="7" spans="1:12" x14ac:dyDescent="0.25">
      <c r="A7" s="593" t="s">
        <v>796</v>
      </c>
      <c r="B7" s="594">
        <f>'Obra '!E22</f>
        <v>547.12</v>
      </c>
      <c r="C7" s="594"/>
      <c r="I7" s="223" t="s">
        <v>399</v>
      </c>
      <c r="J7" s="221">
        <v>240.76</v>
      </c>
    </row>
    <row r="8" spans="1:12" x14ac:dyDescent="0.25">
      <c r="A8" s="593" t="s">
        <v>797</v>
      </c>
      <c r="B8" s="594">
        <f>'Obra '!E23</f>
        <v>466.11</v>
      </c>
      <c r="C8" s="594"/>
      <c r="E8" s="592" t="s">
        <v>876</v>
      </c>
      <c r="F8" s="616">
        <v>2907.85</v>
      </c>
      <c r="I8" s="223" t="s">
        <v>431</v>
      </c>
      <c r="J8" s="221">
        <f>22.79+34.64+33.07</f>
        <v>90.5</v>
      </c>
    </row>
    <row r="9" spans="1:12" ht="15.75" thickBot="1" x14ac:dyDescent="0.3">
      <c r="A9" s="595" t="s">
        <v>811</v>
      </c>
      <c r="B9" s="596">
        <f>'Obra '!E24+'Obra '!E25</f>
        <v>307.68</v>
      </c>
      <c r="C9" s="596"/>
      <c r="E9" s="592" t="s">
        <v>877</v>
      </c>
      <c r="F9" s="616">
        <v>2923.52</v>
      </c>
      <c r="G9" s="592">
        <f>F9/F8</f>
        <v>1.0053888611860997</v>
      </c>
    </row>
    <row r="11" spans="1:12" x14ac:dyDescent="0.25">
      <c r="A11" s="1194" t="s">
        <v>176</v>
      </c>
      <c r="B11" s="1195"/>
      <c r="C11" s="1195"/>
      <c r="D11" s="1195"/>
      <c r="E11" s="1195"/>
      <c r="F11" s="1195"/>
      <c r="G11" s="1195"/>
      <c r="H11" s="1195"/>
      <c r="I11" s="1195"/>
      <c r="J11" s="1195"/>
      <c r="K11" s="1195"/>
    </row>
    <row r="12" spans="1:12" ht="30" outlineLevel="1" x14ac:dyDescent="0.25">
      <c r="A12" s="609" t="s">
        <v>812</v>
      </c>
      <c r="B12" s="609" t="s">
        <v>813</v>
      </c>
      <c r="C12" s="609" t="s">
        <v>815</v>
      </c>
      <c r="D12" s="609" t="s">
        <v>807</v>
      </c>
      <c r="E12" s="609" t="s">
        <v>808</v>
      </c>
      <c r="F12" s="609" t="s">
        <v>753</v>
      </c>
      <c r="G12" s="609" t="s">
        <v>809</v>
      </c>
      <c r="H12" s="609" t="s">
        <v>810</v>
      </c>
      <c r="I12" s="609" t="s">
        <v>796</v>
      </c>
      <c r="J12" s="621" t="s">
        <v>797</v>
      </c>
      <c r="K12" s="609" t="s">
        <v>811</v>
      </c>
      <c r="L12" s="598"/>
    </row>
    <row r="13" spans="1:12" outlineLevel="2" x14ac:dyDescent="0.25">
      <c r="A13" s="617" t="s">
        <v>878</v>
      </c>
      <c r="B13" s="618">
        <v>18170.29</v>
      </c>
      <c r="C13" s="619">
        <f>B13/J2</f>
        <v>44.515385369199862</v>
      </c>
      <c r="D13" s="618">
        <f>C13*B2</f>
        <v>35590.940910382669</v>
      </c>
      <c r="E13" s="618"/>
      <c r="F13" s="618"/>
      <c r="G13" s="618"/>
      <c r="H13" s="618"/>
      <c r="I13" s="618"/>
      <c r="J13" s="622"/>
      <c r="K13" s="618"/>
      <c r="L13" s="625"/>
    </row>
    <row r="14" spans="1:12" outlineLevel="2" x14ac:dyDescent="0.25">
      <c r="A14" s="610" t="s">
        <v>879</v>
      </c>
      <c r="B14" s="614">
        <v>6875.88</v>
      </c>
      <c r="C14" s="612">
        <f>B14/J5</f>
        <v>16.436104603910696</v>
      </c>
      <c r="D14" s="615"/>
      <c r="E14" s="615"/>
      <c r="F14" s="615"/>
      <c r="G14" s="615">
        <f>C14*B5</f>
        <v>13099.246647224747</v>
      </c>
      <c r="H14" s="615"/>
      <c r="I14" s="615"/>
      <c r="J14" s="623"/>
      <c r="K14" s="615"/>
      <c r="L14" s="625"/>
    </row>
    <row r="15" spans="1:12" outlineLevel="2" x14ac:dyDescent="0.25">
      <c r="A15" s="617" t="s">
        <v>880</v>
      </c>
      <c r="B15" s="618">
        <v>3202.63</v>
      </c>
      <c r="C15" s="619">
        <f>B15/J7</f>
        <v>13.302168134241569</v>
      </c>
      <c r="D15" s="618"/>
      <c r="E15" s="618"/>
      <c r="F15" s="618"/>
      <c r="G15" s="618"/>
      <c r="H15" s="618"/>
      <c r="I15" s="618"/>
      <c r="J15" s="622">
        <f>C15*B8</f>
        <v>6200.2735890513377</v>
      </c>
      <c r="K15" s="618"/>
      <c r="L15" s="625"/>
    </row>
    <row r="16" spans="1:12" outlineLevel="2" x14ac:dyDescent="0.25">
      <c r="A16" s="610" t="s">
        <v>881</v>
      </c>
      <c r="B16" s="614">
        <v>1063.3399999999999</v>
      </c>
      <c r="C16" s="612">
        <f>B16/J4</f>
        <v>2.5500983260588033</v>
      </c>
      <c r="D16" s="615"/>
      <c r="E16" s="615">
        <f>C16*B3</f>
        <v>6147.0120149647455</v>
      </c>
      <c r="F16" s="615"/>
      <c r="G16" s="615"/>
      <c r="H16" s="615"/>
      <c r="I16" s="615"/>
      <c r="J16" s="623"/>
      <c r="K16" s="615"/>
      <c r="L16" s="625"/>
    </row>
    <row r="17" spans="1:12" outlineLevel="2" x14ac:dyDescent="0.25">
      <c r="A17" s="617" t="s">
        <v>882</v>
      </c>
      <c r="B17" s="618">
        <v>760.94</v>
      </c>
      <c r="C17" s="619">
        <f>B17/J3</f>
        <v>1.8250587614524874</v>
      </c>
      <c r="D17" s="618"/>
      <c r="E17" s="618"/>
      <c r="F17" s="618">
        <f>C17*B4</f>
        <v>1365.6549700196672</v>
      </c>
      <c r="G17" s="618"/>
      <c r="H17" s="618"/>
      <c r="I17" s="618"/>
      <c r="J17" s="622"/>
      <c r="K17" s="618"/>
      <c r="L17" s="625"/>
    </row>
    <row r="18" spans="1:12" outlineLevel="2" x14ac:dyDescent="0.25">
      <c r="A18" s="610" t="s">
        <v>883</v>
      </c>
      <c r="B18" s="614">
        <v>552.82000000000005</v>
      </c>
      <c r="C18" s="612">
        <f>B18/J8</f>
        <v>6.1085082872928185</v>
      </c>
      <c r="D18" s="615"/>
      <c r="E18" s="615"/>
      <c r="F18" s="615"/>
      <c r="G18" s="615"/>
      <c r="H18" s="615"/>
      <c r="I18" s="615"/>
      <c r="J18" s="623"/>
      <c r="K18" s="615">
        <f>C18*B9</f>
        <v>1879.4658298342545</v>
      </c>
      <c r="L18" s="625"/>
    </row>
    <row r="19" spans="1:12" outlineLevel="2" x14ac:dyDescent="0.25">
      <c r="A19" s="617" t="s">
        <v>884</v>
      </c>
      <c r="B19" s="618">
        <v>17314.45</v>
      </c>
      <c r="C19" s="619">
        <f>B19/J6</f>
        <v>7.9310210569228587</v>
      </c>
      <c r="D19" s="618"/>
      <c r="E19" s="618"/>
      <c r="F19" s="618"/>
      <c r="G19" s="618"/>
      <c r="H19" s="618">
        <f>C19*B6</f>
        <v>56409.86312862725</v>
      </c>
      <c r="I19" s="618">
        <f>C19*B7</f>
        <v>4339.2202406636343</v>
      </c>
      <c r="J19" s="622"/>
      <c r="K19" s="618"/>
      <c r="L19" s="625"/>
    </row>
    <row r="20" spans="1:12" outlineLevel="1" x14ac:dyDescent="0.25">
      <c r="A20" s="610"/>
      <c r="B20" s="614"/>
      <c r="C20" s="612"/>
      <c r="D20" s="615"/>
      <c r="E20" s="615"/>
      <c r="F20" s="615"/>
      <c r="G20" s="615"/>
      <c r="H20" s="615"/>
      <c r="I20" s="615"/>
      <c r="J20" s="623"/>
      <c r="K20" s="615"/>
      <c r="L20" s="625"/>
    </row>
    <row r="21" spans="1:12" outlineLevel="2" x14ac:dyDescent="0.25">
      <c r="A21" s="610" t="s">
        <v>885</v>
      </c>
      <c r="B21" s="614">
        <v>24097.439999999999</v>
      </c>
      <c r="C21" s="612">
        <f>B21/J2</f>
        <v>59.036307511392032</v>
      </c>
      <c r="D21" s="611">
        <f>C21*B2</f>
        <v>47200.708581508159</v>
      </c>
      <c r="E21" s="611"/>
      <c r="F21" s="611"/>
      <c r="G21" s="611"/>
      <c r="H21" s="611"/>
      <c r="I21" s="611"/>
      <c r="J21" s="624"/>
      <c r="K21" s="611"/>
      <c r="L21" s="606"/>
    </row>
    <row r="22" spans="1:12" outlineLevel="2" x14ac:dyDescent="0.25">
      <c r="A22" s="617" t="s">
        <v>886</v>
      </c>
      <c r="B22" s="618">
        <v>14902.66</v>
      </c>
      <c r="C22" s="619">
        <f>B22/J3</f>
        <v>35.742936633568377</v>
      </c>
      <c r="D22" s="618"/>
      <c r="E22" s="618">
        <f>C22*B3</f>
        <v>86158.348755216575</v>
      </c>
      <c r="F22" s="618"/>
      <c r="G22" s="618"/>
      <c r="H22" s="618"/>
      <c r="I22" s="618"/>
      <c r="J22" s="622"/>
      <c r="K22" s="618"/>
      <c r="L22" s="625"/>
    </row>
    <row r="23" spans="1:12" outlineLevel="2" x14ac:dyDescent="0.25">
      <c r="A23" s="610" t="s">
        <v>887</v>
      </c>
      <c r="B23" s="614">
        <v>11567.83</v>
      </c>
      <c r="C23" s="612">
        <f>B23/J4</f>
        <v>27.74193006858842</v>
      </c>
      <c r="D23" s="615"/>
      <c r="E23" s="615"/>
      <c r="F23" s="615">
        <f>C23*B4</f>
        <v>20758.731431723343</v>
      </c>
      <c r="G23" s="615"/>
      <c r="H23" s="615"/>
      <c r="I23" s="615"/>
      <c r="J23" s="623"/>
      <c r="K23" s="615"/>
      <c r="L23" s="625"/>
    </row>
    <row r="24" spans="1:12" outlineLevel="2" x14ac:dyDescent="0.25">
      <c r="A24" s="617" t="s">
        <v>888</v>
      </c>
      <c r="B24" s="618">
        <v>3872.59</v>
      </c>
      <c r="C24" s="619">
        <f>B24/J5</f>
        <v>9.2570397284505432</v>
      </c>
      <c r="D24" s="618"/>
      <c r="E24" s="618"/>
      <c r="F24" s="618"/>
      <c r="G24" s="618">
        <f>C24*B5</f>
        <v>7377.6755227805143</v>
      </c>
      <c r="H24" s="618"/>
      <c r="I24" s="618"/>
      <c r="J24" s="622"/>
      <c r="K24" s="618"/>
      <c r="L24" s="625"/>
    </row>
    <row r="25" spans="1:12" outlineLevel="2" x14ac:dyDescent="0.25">
      <c r="A25" s="610" t="s">
        <v>889</v>
      </c>
      <c r="B25" s="614">
        <v>882.49</v>
      </c>
      <c r="C25" s="612">
        <f>B25/J7</f>
        <v>3.6654344575510884</v>
      </c>
      <c r="D25" s="615"/>
      <c r="E25" s="615"/>
      <c r="F25" s="615"/>
      <c r="G25" s="615"/>
      <c r="H25" s="615"/>
      <c r="I25" s="615"/>
      <c r="J25" s="623">
        <f>C25*B8</f>
        <v>1708.4956550091379</v>
      </c>
      <c r="K25" s="615"/>
      <c r="L25" s="625"/>
    </row>
    <row r="26" spans="1:12" outlineLevel="2" x14ac:dyDescent="0.25">
      <c r="A26" s="617" t="s">
        <v>890</v>
      </c>
      <c r="B26" s="618">
        <v>45011.64</v>
      </c>
      <c r="C26" s="619">
        <f>B26/J6</f>
        <v>20.61793846449822</v>
      </c>
      <c r="D26" s="618"/>
      <c r="E26" s="618"/>
      <c r="F26" s="618"/>
      <c r="G26" s="618"/>
      <c r="H26" s="618">
        <f>C26*B6</f>
        <v>146646.32440505148</v>
      </c>
      <c r="I26" s="618">
        <f>C26*B7</f>
        <v>11280.486492696265</v>
      </c>
      <c r="J26" s="622"/>
      <c r="K26" s="618"/>
      <c r="L26" s="625"/>
    </row>
    <row r="27" spans="1:12" outlineLevel="2" x14ac:dyDescent="0.25">
      <c r="A27" s="610" t="s">
        <v>891</v>
      </c>
      <c r="B27" s="614">
        <v>25677.01</v>
      </c>
      <c r="C27" s="612">
        <f>B27/J2</f>
        <v>62.906095350090638</v>
      </c>
      <c r="D27" s="615">
        <f>C27*B2</f>
        <v>50294.681354304463</v>
      </c>
      <c r="E27" s="615"/>
      <c r="F27" s="615"/>
      <c r="G27" s="615"/>
      <c r="H27" s="615"/>
      <c r="I27" s="615"/>
      <c r="J27" s="623"/>
      <c r="K27" s="615"/>
      <c r="L27" s="625"/>
    </row>
    <row r="28" spans="1:12" outlineLevel="1" x14ac:dyDescent="0.25">
      <c r="A28" s="610"/>
      <c r="B28" s="612"/>
      <c r="C28" s="613"/>
      <c r="D28" s="611"/>
      <c r="E28" s="611"/>
      <c r="F28" s="611"/>
      <c r="G28" s="611"/>
      <c r="H28" s="611"/>
      <c r="I28" s="611"/>
      <c r="J28" s="624"/>
      <c r="K28" s="604"/>
      <c r="L28" s="599"/>
    </row>
    <row r="29" spans="1:12" outlineLevel="2" x14ac:dyDescent="0.25">
      <c r="A29" s="617" t="s">
        <v>892</v>
      </c>
      <c r="B29" s="618">
        <v>16841.03</v>
      </c>
      <c r="C29" s="619">
        <f>B29/J6</f>
        <v>7.7141672735934179</v>
      </c>
      <c r="D29" s="618"/>
      <c r="E29" s="618"/>
      <c r="F29" s="618"/>
      <c r="G29" s="618"/>
      <c r="H29" s="618">
        <f>C29*B6</f>
        <v>54867.477583469605</v>
      </c>
      <c r="I29" s="618">
        <f>C29*B7</f>
        <v>4220.5751987284311</v>
      </c>
      <c r="J29" s="622"/>
      <c r="K29" s="618"/>
      <c r="L29" s="625"/>
    </row>
    <row r="30" spans="1:12" outlineLevel="2" x14ac:dyDescent="0.25">
      <c r="A30" s="610" t="s">
        <v>893</v>
      </c>
      <c r="B30" s="614">
        <v>1836.45</v>
      </c>
      <c r="C30" s="612">
        <f>B30/J2</f>
        <v>4.4991180361605174</v>
      </c>
      <c r="D30" s="615">
        <f>C30*B2</f>
        <v>3597.1348522710568</v>
      </c>
      <c r="E30" s="615"/>
      <c r="F30" s="615"/>
      <c r="G30" s="615"/>
      <c r="H30" s="615"/>
      <c r="I30" s="615"/>
      <c r="J30" s="623"/>
      <c r="K30" s="615"/>
      <c r="L30" s="625"/>
    </row>
    <row r="31" spans="1:12" outlineLevel="2" x14ac:dyDescent="0.25">
      <c r="A31" s="617" t="s">
        <v>894</v>
      </c>
      <c r="B31" s="618">
        <v>1819.22</v>
      </c>
      <c r="C31" s="619">
        <f>B31/J7</f>
        <v>7.5561555075593958</v>
      </c>
      <c r="D31" s="618"/>
      <c r="E31" s="618"/>
      <c r="F31" s="618"/>
      <c r="G31" s="618"/>
      <c r="H31" s="618"/>
      <c r="I31" s="618"/>
      <c r="J31" s="622">
        <f>C31*B8</f>
        <v>3521.9996436285101</v>
      </c>
      <c r="K31" s="618"/>
      <c r="L31" s="625"/>
    </row>
    <row r="32" spans="1:12" outlineLevel="2" x14ac:dyDescent="0.25">
      <c r="A32" s="610" t="s">
        <v>895</v>
      </c>
      <c r="B32" s="614">
        <v>1101.76</v>
      </c>
      <c r="C32" s="612">
        <f>B32/J5</f>
        <v>2.6336472725534255</v>
      </c>
      <c r="D32" s="615"/>
      <c r="E32" s="615"/>
      <c r="F32" s="615"/>
      <c r="G32" s="615">
        <f>C32*B5</f>
        <v>2098.9642032796291</v>
      </c>
      <c r="H32" s="615"/>
      <c r="I32" s="615"/>
      <c r="J32" s="623"/>
      <c r="K32" s="615"/>
      <c r="L32" s="625"/>
    </row>
    <row r="33" spans="1:12" outlineLevel="2" x14ac:dyDescent="0.25">
      <c r="A33" s="617" t="s">
        <v>896</v>
      </c>
      <c r="B33" s="618">
        <v>893.66</v>
      </c>
      <c r="C33" s="619">
        <f>B33/J8</f>
        <v>9.874696132596684</v>
      </c>
      <c r="D33" s="618"/>
      <c r="E33" s="618"/>
      <c r="F33" s="618"/>
      <c r="G33" s="618"/>
      <c r="H33" s="618"/>
      <c r="I33" s="618"/>
      <c r="J33" s="622"/>
      <c r="K33" s="618">
        <f>C33*B9</f>
        <v>3038.2465060773479</v>
      </c>
      <c r="L33" s="625"/>
    </row>
    <row r="34" spans="1:12" outlineLevel="2" x14ac:dyDescent="0.25">
      <c r="A34" s="610" t="s">
        <v>897</v>
      </c>
      <c r="B34" s="614">
        <v>746.54</v>
      </c>
      <c r="C34" s="612">
        <f>B34/J3</f>
        <v>1.7905214179498248</v>
      </c>
      <c r="D34" s="615"/>
      <c r="E34" s="615">
        <f>C34*B3</f>
        <v>4316.0518779680524</v>
      </c>
      <c r="F34" s="615"/>
      <c r="G34" s="615"/>
      <c r="H34" s="615"/>
      <c r="I34" s="615"/>
      <c r="J34" s="623"/>
      <c r="K34" s="615"/>
      <c r="L34" s="625"/>
    </row>
    <row r="35" spans="1:12" outlineLevel="2" x14ac:dyDescent="0.25">
      <c r="A35" s="617" t="s">
        <v>898</v>
      </c>
      <c r="B35" s="618">
        <v>844.82</v>
      </c>
      <c r="C35" s="619">
        <f>B35/J4</f>
        <v>2.0260444146002206</v>
      </c>
      <c r="D35" s="618"/>
      <c r="E35" s="618"/>
      <c r="F35" s="618">
        <f>C35*B4</f>
        <v>1516.0485145570531</v>
      </c>
      <c r="G35" s="618"/>
      <c r="H35" s="618"/>
      <c r="I35" s="618"/>
      <c r="J35" s="622"/>
      <c r="K35" s="618"/>
      <c r="L35" s="625"/>
    </row>
    <row r="36" spans="1:12" outlineLevel="1" x14ac:dyDescent="0.25">
      <c r="A36" s="610"/>
      <c r="B36" s="614"/>
      <c r="C36" s="612"/>
      <c r="D36" s="615"/>
      <c r="E36" s="615"/>
      <c r="F36" s="615"/>
      <c r="G36" s="615"/>
      <c r="H36" s="615"/>
      <c r="I36" s="615"/>
      <c r="J36" s="623"/>
      <c r="K36" s="615"/>
      <c r="L36" s="625"/>
    </row>
    <row r="37" spans="1:12" outlineLevel="2" x14ac:dyDescent="0.25">
      <c r="A37" s="617" t="s">
        <v>899</v>
      </c>
      <c r="B37" s="618">
        <v>6776.99</v>
      </c>
      <c r="C37" s="619">
        <f>B37/J4</f>
        <v>16.252554079332342</v>
      </c>
      <c r="D37" s="618"/>
      <c r="E37" s="618">
        <f>C37*B3</f>
        <v>39176.781608230609</v>
      </c>
      <c r="F37" s="618"/>
      <c r="G37" s="618"/>
      <c r="H37" s="618"/>
      <c r="I37" s="618"/>
      <c r="J37" s="622"/>
      <c r="K37" s="618"/>
      <c r="L37" s="625"/>
    </row>
    <row r="38" spans="1:12" outlineLevel="2" x14ac:dyDescent="0.25">
      <c r="A38" s="610" t="s">
        <v>900</v>
      </c>
      <c r="B38" s="614">
        <v>6325.29</v>
      </c>
      <c r="C38" s="612">
        <f>B38/J2</f>
        <v>15.496325150668822</v>
      </c>
      <c r="D38" s="615">
        <f>C38*B2</f>
        <v>12389.621884462736</v>
      </c>
      <c r="E38" s="615"/>
      <c r="F38" s="615"/>
      <c r="G38" s="615"/>
      <c r="H38" s="615"/>
      <c r="I38" s="615"/>
      <c r="J38" s="623"/>
      <c r="K38" s="615"/>
      <c r="L38" s="625"/>
    </row>
    <row r="39" spans="1:12" outlineLevel="2" x14ac:dyDescent="0.25">
      <c r="A39" s="617" t="s">
        <v>901</v>
      </c>
      <c r="B39" s="618">
        <v>5592.41</v>
      </c>
      <c r="C39" s="619">
        <f>B39/J4</f>
        <v>13.411698402801093</v>
      </c>
      <c r="D39" s="618"/>
      <c r="E39" s="618"/>
      <c r="F39" s="618">
        <f>C39*B4</f>
        <v>10035.705680848001</v>
      </c>
      <c r="G39" s="618"/>
      <c r="H39" s="618"/>
      <c r="I39" s="618"/>
      <c r="J39" s="622"/>
      <c r="K39" s="618"/>
      <c r="L39" s="625"/>
    </row>
    <row r="40" spans="1:12" outlineLevel="2" x14ac:dyDescent="0.25">
      <c r="A40" s="610" t="s">
        <v>902</v>
      </c>
      <c r="B40" s="614">
        <v>2667.34</v>
      </c>
      <c r="C40" s="612">
        <f>B40/J8</f>
        <v>29.473370165745859</v>
      </c>
      <c r="D40" s="615"/>
      <c r="E40" s="615"/>
      <c r="F40" s="615"/>
      <c r="G40" s="615"/>
      <c r="H40" s="615"/>
      <c r="I40" s="615"/>
      <c r="J40" s="623"/>
      <c r="K40" s="615">
        <f>C40*B9</f>
        <v>9068.3665325966867</v>
      </c>
      <c r="L40" s="625"/>
    </row>
    <row r="41" spans="1:12" outlineLevel="2" x14ac:dyDescent="0.25">
      <c r="A41" s="617" t="s">
        <v>903</v>
      </c>
      <c r="B41" s="618">
        <v>90771.45</v>
      </c>
      <c r="C41" s="619">
        <f>B41/J6</f>
        <v>41.578582127495842</v>
      </c>
      <c r="D41" s="618"/>
      <c r="E41" s="618"/>
      <c r="F41" s="618"/>
      <c r="G41" s="618"/>
      <c r="H41" s="618">
        <f>C41*B6</f>
        <v>295730.16009674186</v>
      </c>
      <c r="I41" s="618">
        <f>C41*B7</f>
        <v>22748.473853595526</v>
      </c>
      <c r="J41" s="622"/>
      <c r="K41" s="618"/>
      <c r="L41" s="625"/>
    </row>
    <row r="42" spans="1:12" outlineLevel="2" x14ac:dyDescent="0.25">
      <c r="A42" s="610" t="s">
        <v>904</v>
      </c>
      <c r="B42" s="614">
        <v>11390.77</v>
      </c>
      <c r="C42" s="612">
        <f>B42/J5</f>
        <v>27.228498350623898</v>
      </c>
      <c r="D42" s="615"/>
      <c r="E42" s="615"/>
      <c r="F42" s="615"/>
      <c r="G42" s="615">
        <f>C42*B5</f>
        <v>21700.568615480235</v>
      </c>
      <c r="H42" s="615"/>
      <c r="I42" s="615"/>
      <c r="J42" s="623"/>
      <c r="K42" s="615"/>
      <c r="L42" s="625"/>
    </row>
    <row r="43" spans="1:12" outlineLevel="2" x14ac:dyDescent="0.25">
      <c r="A43" s="617" t="s">
        <v>905</v>
      </c>
      <c r="B43" s="618">
        <v>10002.14</v>
      </c>
      <c r="C43" s="619">
        <f>B43/J7</f>
        <v>41.544027247051005</v>
      </c>
      <c r="D43" s="618"/>
      <c r="E43" s="618"/>
      <c r="F43" s="618"/>
      <c r="G43" s="618"/>
      <c r="H43" s="618"/>
      <c r="I43" s="618"/>
      <c r="J43" s="622">
        <f>C43*B8</f>
        <v>19364.086540122946</v>
      </c>
      <c r="K43" s="618"/>
      <c r="L43" s="625"/>
    </row>
    <row r="44" spans="1:12" outlineLevel="1" x14ac:dyDescent="0.25">
      <c r="A44" s="610"/>
      <c r="B44" s="614"/>
      <c r="C44" s="612"/>
      <c r="D44" s="615"/>
      <c r="E44" s="615"/>
      <c r="F44" s="615"/>
      <c r="G44" s="615"/>
      <c r="H44" s="615"/>
      <c r="I44" s="615"/>
      <c r="J44" s="623"/>
      <c r="K44" s="615"/>
      <c r="L44" s="625"/>
    </row>
    <row r="45" spans="1:12" outlineLevel="2" x14ac:dyDescent="0.25">
      <c r="A45" s="617" t="s">
        <v>906</v>
      </c>
      <c r="B45" s="618">
        <v>6539.31</v>
      </c>
      <c r="C45" s="619">
        <f>B45/J6</f>
        <v>2.9953827761058665</v>
      </c>
      <c r="D45" s="618"/>
      <c r="E45" s="618"/>
      <c r="F45" s="618"/>
      <c r="G45" s="618"/>
      <c r="H45" s="618">
        <f>C45*B6</f>
        <v>21304.839718019542</v>
      </c>
      <c r="I45" s="618">
        <f>C45*B7</f>
        <v>1638.8338244630418</v>
      </c>
      <c r="J45" s="622"/>
      <c r="K45" s="618"/>
      <c r="L45" s="625"/>
    </row>
    <row r="46" spans="1:12" outlineLevel="2" x14ac:dyDescent="0.25">
      <c r="A46" s="610" t="s">
        <v>907</v>
      </c>
      <c r="B46" s="614">
        <v>1729.53</v>
      </c>
      <c r="C46" s="612">
        <f>B46/J5</f>
        <v>4.1342687765932018</v>
      </c>
      <c r="D46" s="615"/>
      <c r="E46" s="615"/>
      <c r="F46" s="615"/>
      <c r="G46" s="615">
        <f>C46*B5</f>
        <v>3294.92952956925</v>
      </c>
      <c r="H46" s="615"/>
      <c r="I46" s="615"/>
      <c r="J46" s="623"/>
      <c r="K46" s="615"/>
      <c r="L46" s="625"/>
    </row>
    <row r="47" spans="1:12" outlineLevel="2" x14ac:dyDescent="0.25">
      <c r="A47" s="617" t="s">
        <v>908</v>
      </c>
      <c r="B47" s="618">
        <v>1609.73</v>
      </c>
      <c r="C47" s="619">
        <f>B47/J7</f>
        <v>6.6860358863598606</v>
      </c>
      <c r="D47" s="618"/>
      <c r="E47" s="618"/>
      <c r="F47" s="618"/>
      <c r="G47" s="618"/>
      <c r="H47" s="618"/>
      <c r="I47" s="618"/>
      <c r="J47" s="622">
        <f>C47*B8</f>
        <v>3116.4281869911947</v>
      </c>
      <c r="K47" s="618"/>
      <c r="L47" s="625"/>
    </row>
    <row r="48" spans="1:12" outlineLevel="2" x14ac:dyDescent="0.25">
      <c r="A48" s="610" t="s">
        <v>909</v>
      </c>
      <c r="B48" s="614">
        <v>994.04</v>
      </c>
      <c r="C48" s="612">
        <f>B48/J2</f>
        <v>2.435298152775736</v>
      </c>
      <c r="D48" s="615">
        <f>C48*B2</f>
        <v>1947.0695791072565</v>
      </c>
      <c r="E48" s="615"/>
      <c r="F48" s="615"/>
      <c r="G48" s="615"/>
      <c r="H48" s="615"/>
      <c r="I48" s="615"/>
      <c r="J48" s="623"/>
      <c r="K48" s="615"/>
      <c r="L48" s="625"/>
    </row>
    <row r="49" spans="1:12" outlineLevel="2" x14ac:dyDescent="0.25">
      <c r="A49" s="617" t="s">
        <v>910</v>
      </c>
      <c r="B49" s="618">
        <v>994.04</v>
      </c>
      <c r="C49" s="619">
        <f>B49/J4</f>
        <v>2.3839033047148543</v>
      </c>
      <c r="D49" s="618"/>
      <c r="E49" s="618"/>
      <c r="F49" s="618">
        <f>C49*B4</f>
        <v>1783.827164852031</v>
      </c>
      <c r="G49" s="618"/>
      <c r="H49" s="618"/>
      <c r="I49" s="618"/>
      <c r="J49" s="622"/>
      <c r="K49" s="618"/>
      <c r="L49" s="625"/>
    </row>
    <row r="50" spans="1:12" outlineLevel="2" x14ac:dyDescent="0.25">
      <c r="A50" s="610" t="s">
        <v>911</v>
      </c>
      <c r="B50" s="614">
        <v>979.88</v>
      </c>
      <c r="C50" s="612">
        <f>B50/J8</f>
        <v>10.827403314917127</v>
      </c>
      <c r="D50" s="615"/>
      <c r="E50" s="615"/>
      <c r="F50" s="615"/>
      <c r="G50" s="615"/>
      <c r="H50" s="615"/>
      <c r="I50" s="615"/>
      <c r="J50" s="623"/>
      <c r="K50" s="615">
        <f>C50*B9</f>
        <v>3331.3754519337017</v>
      </c>
      <c r="L50" s="625"/>
    </row>
    <row r="51" spans="1:12" outlineLevel="2" x14ac:dyDescent="0.25">
      <c r="A51" s="617" t="s">
        <v>912</v>
      </c>
      <c r="B51" s="618">
        <v>957.15</v>
      </c>
      <c r="C51" s="619">
        <f>B51/J3</f>
        <v>2.2956540509425816</v>
      </c>
      <c r="D51" s="618"/>
      <c r="E51" s="618">
        <f>C51*B3</f>
        <v>5533.6740897970931</v>
      </c>
      <c r="F51" s="618"/>
      <c r="G51" s="618"/>
      <c r="H51" s="618"/>
      <c r="I51" s="618"/>
      <c r="J51" s="622"/>
      <c r="K51" s="618"/>
      <c r="L51" s="625"/>
    </row>
    <row r="52" spans="1:12" outlineLevel="1" x14ac:dyDescent="0.25">
      <c r="A52" s="610"/>
      <c r="B52" s="614"/>
      <c r="C52" s="612"/>
      <c r="D52" s="615"/>
      <c r="E52" s="615"/>
      <c r="F52" s="615"/>
      <c r="G52" s="615"/>
      <c r="H52" s="615"/>
      <c r="I52" s="615"/>
      <c r="J52" s="623"/>
      <c r="K52" s="615"/>
      <c r="L52" s="625"/>
    </row>
    <row r="53" spans="1:12" outlineLevel="2" x14ac:dyDescent="0.25">
      <c r="A53" s="617" t="s">
        <v>913</v>
      </c>
      <c r="B53" s="618">
        <v>934.86</v>
      </c>
      <c r="C53" s="619">
        <f>B53/J4</f>
        <v>2.2419780325195453</v>
      </c>
      <c r="D53" s="618"/>
      <c r="E53" s="618"/>
      <c r="F53" s="618">
        <f>C53*B4</f>
        <v>1677.6273221737254</v>
      </c>
      <c r="G53" s="618"/>
      <c r="H53" s="618"/>
      <c r="I53" s="618"/>
      <c r="J53" s="622"/>
      <c r="K53" s="618"/>
      <c r="L53" s="625"/>
    </row>
    <row r="54" spans="1:12" outlineLevel="2" x14ac:dyDescent="0.25">
      <c r="A54" s="610" t="s">
        <v>914</v>
      </c>
      <c r="B54" s="614">
        <v>756.38</v>
      </c>
      <c r="C54" s="612">
        <f>B54/J8</f>
        <v>8.3577900552486195</v>
      </c>
      <c r="D54" s="615"/>
      <c r="E54" s="615"/>
      <c r="F54" s="615"/>
      <c r="G54" s="615"/>
      <c r="H54" s="615"/>
      <c r="I54" s="615"/>
      <c r="J54" s="623"/>
      <c r="K54" s="615">
        <f>C54*B9</f>
        <v>2571.5248441988952</v>
      </c>
      <c r="L54" s="625"/>
    </row>
    <row r="55" spans="1:12" outlineLevel="2" x14ac:dyDescent="0.25">
      <c r="A55" s="617" t="s">
        <v>915</v>
      </c>
      <c r="B55" s="618">
        <v>630.1</v>
      </c>
      <c r="C55" s="619">
        <f>B55/J3</f>
        <v>1.5112486209046865</v>
      </c>
      <c r="D55" s="618"/>
      <c r="E55" s="618">
        <f>C55*B3</f>
        <v>3642.864800690747</v>
      </c>
      <c r="F55" s="618"/>
      <c r="G55" s="618"/>
      <c r="H55" s="618"/>
      <c r="I55" s="618"/>
      <c r="J55" s="622"/>
      <c r="K55" s="618"/>
      <c r="L55" s="625"/>
    </row>
    <row r="56" spans="1:12" outlineLevel="2" x14ac:dyDescent="0.25">
      <c r="A56" s="610" t="s">
        <v>916</v>
      </c>
      <c r="B56" s="614">
        <v>27865.71</v>
      </c>
      <c r="C56" s="612">
        <f>B56/J6</f>
        <v>12.764109329265779</v>
      </c>
      <c r="D56" s="615"/>
      <c r="E56" s="615"/>
      <c r="F56" s="615"/>
      <c r="G56" s="615"/>
      <c r="H56" s="615">
        <f>C56*B6</f>
        <v>90785.493450962618</v>
      </c>
      <c r="I56" s="615">
        <f>C56*B7</f>
        <v>6983.4994962278925</v>
      </c>
      <c r="J56" s="623"/>
      <c r="K56" s="615"/>
      <c r="L56" s="625"/>
    </row>
    <row r="57" spans="1:12" outlineLevel="2" x14ac:dyDescent="0.25">
      <c r="A57" s="617" t="s">
        <v>917</v>
      </c>
      <c r="B57" s="618">
        <v>4216.8900000000003</v>
      </c>
      <c r="C57" s="619">
        <f>B57/J5</f>
        <v>10.08005450112349</v>
      </c>
      <c r="D57" s="618"/>
      <c r="E57" s="618"/>
      <c r="F57" s="618"/>
      <c r="G57" s="618">
        <f>C57*B5</f>
        <v>8033.601836305399</v>
      </c>
      <c r="H57" s="618"/>
      <c r="I57" s="618"/>
      <c r="J57" s="622"/>
      <c r="K57" s="618"/>
      <c r="L57" s="625"/>
    </row>
    <row r="58" spans="1:12" outlineLevel="2" x14ac:dyDescent="0.25">
      <c r="A58" s="610" t="s">
        <v>918</v>
      </c>
      <c r="B58" s="614">
        <v>2234.17</v>
      </c>
      <c r="C58" s="612">
        <f>B58/J7</f>
        <v>9.279656089051338</v>
      </c>
      <c r="D58" s="615"/>
      <c r="E58" s="615"/>
      <c r="F58" s="615"/>
      <c r="G58" s="615"/>
      <c r="H58" s="615"/>
      <c r="I58" s="615"/>
      <c r="J58" s="623">
        <f>C58*B8</f>
        <v>4325.3404996677191</v>
      </c>
      <c r="K58" s="615"/>
      <c r="L58" s="625"/>
    </row>
    <row r="59" spans="1:12" outlineLevel="2" x14ac:dyDescent="0.25">
      <c r="A59" s="617" t="s">
        <v>919</v>
      </c>
      <c r="B59" s="618">
        <v>1537.58</v>
      </c>
      <c r="C59" s="619">
        <f>B59/J2</f>
        <v>3.7669165564211866</v>
      </c>
      <c r="D59" s="618">
        <f>C59*B2</f>
        <v>3011.725125189867</v>
      </c>
      <c r="E59" s="618"/>
      <c r="F59" s="618"/>
      <c r="G59" s="618"/>
      <c r="H59" s="618"/>
      <c r="I59" s="618"/>
      <c r="J59" s="622"/>
      <c r="K59" s="618"/>
      <c r="L59" s="625"/>
    </row>
    <row r="60" spans="1:12" outlineLevel="1" x14ac:dyDescent="0.25">
      <c r="A60" s="610"/>
      <c r="B60" s="614"/>
      <c r="C60" s="612"/>
      <c r="D60" s="615"/>
      <c r="E60" s="615"/>
      <c r="F60" s="615"/>
      <c r="G60" s="615"/>
      <c r="H60" s="615"/>
      <c r="I60" s="615"/>
      <c r="J60" s="623"/>
      <c r="K60" s="615"/>
      <c r="L60" s="625"/>
    </row>
    <row r="61" spans="1:12" outlineLevel="2" x14ac:dyDescent="0.25">
      <c r="A61" s="617" t="s">
        <v>920</v>
      </c>
      <c r="B61" s="618">
        <v>1212.3699999999999</v>
      </c>
      <c r="C61" s="619">
        <f>B61/J8</f>
        <v>13.396353591160219</v>
      </c>
      <c r="D61" s="618"/>
      <c r="E61" s="618"/>
      <c r="F61" s="618"/>
      <c r="G61" s="618"/>
      <c r="H61" s="618"/>
      <c r="I61" s="618"/>
      <c r="J61" s="622"/>
      <c r="K61" s="618">
        <f>C61*B9</f>
        <v>4121.7900729281764</v>
      </c>
      <c r="L61" s="625"/>
    </row>
    <row r="62" spans="1:12" outlineLevel="2" x14ac:dyDescent="0.25">
      <c r="A62" s="610" t="s">
        <v>921</v>
      </c>
      <c r="B62" s="614">
        <v>625.94000000000005</v>
      </c>
      <c r="C62" s="612">
        <f>B62/J4</f>
        <v>1.5011271523814091</v>
      </c>
      <c r="D62" s="615"/>
      <c r="E62" s="615">
        <f>C62*B3</f>
        <v>3618.4670008153867</v>
      </c>
      <c r="F62" s="615"/>
      <c r="G62" s="615"/>
      <c r="H62" s="615"/>
      <c r="I62" s="615"/>
      <c r="J62" s="623"/>
      <c r="K62" s="615"/>
      <c r="L62" s="625"/>
    </row>
    <row r="63" spans="1:12" outlineLevel="2" x14ac:dyDescent="0.25">
      <c r="A63" s="617" t="s">
        <v>922</v>
      </c>
      <c r="B63" s="618">
        <v>17095.5</v>
      </c>
      <c r="C63" s="619">
        <f>B63/J6</f>
        <v>7.8307292740239927</v>
      </c>
      <c r="D63" s="618"/>
      <c r="E63" s="618"/>
      <c r="F63" s="618"/>
      <c r="G63" s="618"/>
      <c r="H63" s="618">
        <f>C63*B6</f>
        <v>55696.531805252089</v>
      </c>
      <c r="I63" s="618">
        <f>C63*B7</f>
        <v>4284.3486004040069</v>
      </c>
      <c r="J63" s="622"/>
      <c r="K63" s="618"/>
      <c r="L63" s="625"/>
    </row>
    <row r="64" spans="1:12" outlineLevel="2" x14ac:dyDescent="0.25">
      <c r="A64" s="610" t="s">
        <v>923</v>
      </c>
      <c r="B64" s="614">
        <v>1757.48</v>
      </c>
      <c r="C64" s="612">
        <f>B64/J5</f>
        <v>4.2010804608691501</v>
      </c>
      <c r="D64" s="615"/>
      <c r="E64" s="615"/>
      <c r="F64" s="615"/>
      <c r="G64" s="615">
        <f>C64*B5</f>
        <v>3348.1771057034953</v>
      </c>
      <c r="H64" s="615"/>
      <c r="I64" s="615"/>
      <c r="J64" s="623"/>
      <c r="K64" s="615"/>
      <c r="L64" s="625"/>
    </row>
    <row r="65" spans="1:12" outlineLevel="2" x14ac:dyDescent="0.25">
      <c r="A65" s="617" t="s">
        <v>924</v>
      </c>
      <c r="B65" s="618">
        <v>1542.24</v>
      </c>
      <c r="C65" s="619">
        <f>B65/J2</f>
        <v>3.7783330883433779</v>
      </c>
      <c r="D65" s="618">
        <f>C65*B2</f>
        <v>3020.8528707922974</v>
      </c>
      <c r="E65" s="618"/>
      <c r="F65" s="618"/>
      <c r="G65" s="618"/>
      <c r="H65" s="618"/>
      <c r="I65" s="618"/>
      <c r="J65" s="622"/>
      <c r="K65" s="618"/>
      <c r="L65" s="625"/>
    </row>
    <row r="66" spans="1:12" outlineLevel="2" x14ac:dyDescent="0.25">
      <c r="A66" s="610" t="s">
        <v>925</v>
      </c>
      <c r="B66" s="614">
        <v>474.51</v>
      </c>
      <c r="C66" s="612">
        <f>B66/J4</f>
        <v>1.1379682478775959</v>
      </c>
      <c r="D66" s="615"/>
      <c r="E66" s="615"/>
      <c r="F66" s="615">
        <f>C66*B4</f>
        <v>851.51888052184745</v>
      </c>
      <c r="G66" s="615"/>
      <c r="H66" s="615"/>
      <c r="I66" s="615"/>
      <c r="J66" s="623"/>
      <c r="K66" s="615"/>
      <c r="L66" s="625"/>
    </row>
    <row r="67" spans="1:12" outlineLevel="2" x14ac:dyDescent="0.25">
      <c r="A67" s="617" t="s">
        <v>926</v>
      </c>
      <c r="B67" s="618">
        <v>1679.54</v>
      </c>
      <c r="C67" s="619">
        <f>B67/J7</f>
        <v>6.975992689815584</v>
      </c>
      <c r="D67" s="618"/>
      <c r="E67" s="618"/>
      <c r="F67" s="618"/>
      <c r="G67" s="618"/>
      <c r="H67" s="618"/>
      <c r="I67" s="618"/>
      <c r="J67" s="622">
        <f>C67*B8</f>
        <v>3251.5799526499418</v>
      </c>
      <c r="K67" s="618"/>
      <c r="L67" s="625"/>
    </row>
    <row r="68" spans="1:12" outlineLevel="1" x14ac:dyDescent="0.25">
      <c r="A68" s="610"/>
      <c r="B68" s="614"/>
      <c r="C68" s="612"/>
      <c r="D68" s="615"/>
      <c r="E68" s="615"/>
      <c r="F68" s="615"/>
      <c r="G68" s="615"/>
      <c r="H68" s="615"/>
      <c r="I68" s="615"/>
      <c r="J68" s="623"/>
      <c r="K68" s="615"/>
      <c r="L68" s="625"/>
    </row>
    <row r="69" spans="1:12" outlineLevel="2" x14ac:dyDescent="0.25">
      <c r="A69" s="617" t="s">
        <v>948</v>
      </c>
      <c r="B69" s="618">
        <v>135981</v>
      </c>
      <c r="C69" s="619">
        <f>B69/J6</f>
        <v>62.287174836129772</v>
      </c>
      <c r="D69" s="618"/>
      <c r="E69" s="618"/>
      <c r="F69" s="618"/>
      <c r="G69" s="618"/>
      <c r="H69" s="618">
        <f>C69*B6</f>
        <v>443021.2682524632</v>
      </c>
      <c r="I69" s="618">
        <f>C69*B7</f>
        <v>34078.559096343321</v>
      </c>
      <c r="J69" s="622">
        <f>C69*B8</f>
        <v>29032.675062868449</v>
      </c>
      <c r="K69" s="618"/>
      <c r="L69" s="625"/>
    </row>
    <row r="70" spans="1:12" outlineLevel="2" x14ac:dyDescent="0.25">
      <c r="A70" s="610" t="s">
        <v>950</v>
      </c>
      <c r="B70" s="614">
        <v>9065.4</v>
      </c>
      <c r="C70" s="612">
        <f>B70/J5</f>
        <v>21.669933546875747</v>
      </c>
      <c r="D70" s="615"/>
      <c r="E70" s="615"/>
      <c r="F70" s="615"/>
      <c r="G70" s="615"/>
      <c r="H70" s="615"/>
      <c r="I70" s="615"/>
      <c r="J70" s="623"/>
      <c r="K70" s="615"/>
      <c r="L70" s="625"/>
    </row>
    <row r="71" spans="1:12" outlineLevel="2" x14ac:dyDescent="0.25">
      <c r="A71" s="617" t="s">
        <v>949</v>
      </c>
      <c r="B71" s="618">
        <v>6043.6</v>
      </c>
      <c r="C71" s="619">
        <f>B71/J7</f>
        <v>25.102176441269318</v>
      </c>
      <c r="D71" s="618"/>
      <c r="E71" s="618"/>
      <c r="F71" s="618"/>
      <c r="G71" s="618">
        <f>C71*B5</f>
        <v>20005.932580162822</v>
      </c>
      <c r="H71" s="618"/>
      <c r="I71" s="618"/>
      <c r="J71" s="622"/>
      <c r="K71" s="618"/>
      <c r="L71" s="625"/>
    </row>
    <row r="72" spans="1:12" x14ac:dyDescent="0.25">
      <c r="A72" s="607"/>
      <c r="B72" s="620"/>
      <c r="C72" s="608"/>
      <c r="D72" s="620"/>
      <c r="E72" s="620"/>
      <c r="F72" s="620"/>
      <c r="G72" s="620"/>
      <c r="H72" s="620"/>
      <c r="I72" s="620"/>
      <c r="J72" s="620"/>
      <c r="K72" s="620"/>
      <c r="L72" s="620"/>
    </row>
    <row r="73" spans="1:12" x14ac:dyDescent="0.25">
      <c r="A73" s="1192" t="s">
        <v>185</v>
      </c>
      <c r="B73" s="1193"/>
      <c r="C73" s="1193"/>
      <c r="D73" s="1193"/>
      <c r="E73" s="1193"/>
      <c r="F73" s="1193"/>
      <c r="G73" s="1193"/>
      <c r="H73" s="1193"/>
      <c r="I73" s="1193"/>
      <c r="J73" s="1193"/>
      <c r="K73" s="1193"/>
      <c r="L73" s="1193"/>
    </row>
    <row r="74" spans="1:12" ht="30" outlineLevel="1" x14ac:dyDescent="0.25">
      <c r="A74" s="609" t="s">
        <v>812</v>
      </c>
      <c r="B74" s="609" t="s">
        <v>813</v>
      </c>
      <c r="C74" s="609" t="s">
        <v>815</v>
      </c>
      <c r="D74" s="609" t="s">
        <v>807</v>
      </c>
      <c r="E74" s="609" t="s">
        <v>808</v>
      </c>
      <c r="F74" s="609" t="s">
        <v>753</v>
      </c>
      <c r="G74" s="609" t="s">
        <v>809</v>
      </c>
      <c r="H74" s="609" t="s">
        <v>810</v>
      </c>
      <c r="I74" s="609" t="s">
        <v>796</v>
      </c>
      <c r="J74" s="609" t="s">
        <v>797</v>
      </c>
      <c r="K74" s="609" t="s">
        <v>811</v>
      </c>
      <c r="L74" s="609" t="s">
        <v>875</v>
      </c>
    </row>
    <row r="75" spans="1:12" outlineLevel="1" x14ac:dyDescent="0.25">
      <c r="A75" s="610" t="s">
        <v>927</v>
      </c>
      <c r="B75" s="627"/>
      <c r="C75" s="612"/>
      <c r="D75" s="626"/>
      <c r="E75" s="626"/>
      <c r="F75" s="626"/>
      <c r="G75" s="626"/>
      <c r="H75" s="626">
        <f>6*13</f>
        <v>78</v>
      </c>
      <c r="I75" s="626">
        <v>6</v>
      </c>
      <c r="J75" s="626">
        <v>4</v>
      </c>
      <c r="K75" s="626"/>
      <c r="L75" s="626"/>
    </row>
    <row r="76" spans="1:12" outlineLevel="1" x14ac:dyDescent="0.25">
      <c r="A76" s="610" t="s">
        <v>928</v>
      </c>
      <c r="B76" s="627"/>
      <c r="C76" s="612"/>
      <c r="D76" s="626"/>
      <c r="E76" s="626"/>
      <c r="F76" s="626"/>
      <c r="G76" s="626"/>
      <c r="H76" s="626">
        <f>4*2*13</f>
        <v>104</v>
      </c>
      <c r="I76" s="626">
        <v>8</v>
      </c>
      <c r="J76" s="626">
        <v>2</v>
      </c>
      <c r="K76" s="626"/>
      <c r="L76" s="626"/>
    </row>
  </sheetData>
  <mergeCells count="2">
    <mergeCell ref="A73:L73"/>
    <mergeCell ref="A11:K11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AD5F8-05D1-42D0-85F6-E88D91DAD558}">
  <sheetPr>
    <tabColor rgb="FFB4B4B4"/>
  </sheetPr>
  <dimension ref="A1:R99"/>
  <sheetViews>
    <sheetView topLeftCell="B73" workbookViewId="0">
      <selection activeCell="B97" sqref="B97"/>
    </sheetView>
  </sheetViews>
  <sheetFormatPr defaultRowHeight="12.75" x14ac:dyDescent="0.2"/>
  <cols>
    <col min="1" max="1" width="18.5703125" bestFit="1" customWidth="1"/>
    <col min="2" max="2" width="19.28515625" bestFit="1" customWidth="1"/>
    <col min="3" max="3" width="16" bestFit="1" customWidth="1"/>
    <col min="4" max="4" width="50.140625" customWidth="1"/>
    <col min="5" max="5" width="12.85546875" style="762" customWidth="1"/>
    <col min="6" max="6" width="11.5703125" style="762" customWidth="1"/>
    <col min="7" max="8" width="8.140625" style="762" customWidth="1"/>
    <col min="9" max="9" width="16" style="762" bestFit="1" customWidth="1"/>
    <col min="10" max="10" width="9.140625" style="762"/>
    <col min="11" max="11" width="18.28515625" style="764" bestFit="1" customWidth="1"/>
    <col min="12" max="12" width="15.85546875" style="750" bestFit="1" customWidth="1"/>
    <col min="13" max="13" width="13" bestFit="1" customWidth="1"/>
    <col min="14" max="14" width="12" bestFit="1" customWidth="1"/>
    <col min="16" max="16" width="59.5703125" bestFit="1" customWidth="1"/>
    <col min="17" max="17" width="7" hidden="1" customWidth="1"/>
  </cols>
  <sheetData>
    <row r="1" spans="1:18" x14ac:dyDescent="0.2">
      <c r="A1" s="760" t="s">
        <v>4234</v>
      </c>
      <c r="B1" s="760" t="s">
        <v>4235</v>
      </c>
      <c r="C1" s="760" t="s">
        <v>4236</v>
      </c>
      <c r="D1" s="760" t="s">
        <v>6</v>
      </c>
      <c r="E1" s="761" t="s">
        <v>4237</v>
      </c>
      <c r="F1" s="761" t="s">
        <v>4238</v>
      </c>
      <c r="G1" s="761" t="s">
        <v>8</v>
      </c>
      <c r="H1" s="761" t="s">
        <v>4301</v>
      </c>
      <c r="I1" s="761" t="s">
        <v>4302</v>
      </c>
      <c r="J1" s="761" t="s">
        <v>4239</v>
      </c>
      <c r="K1" s="765" t="s">
        <v>4257</v>
      </c>
      <c r="L1" s="765" t="s">
        <v>4258</v>
      </c>
      <c r="P1" s="763" t="s">
        <v>4259</v>
      </c>
      <c r="Q1" s="763">
        <v>88.14</v>
      </c>
      <c r="R1">
        <f>Q1*$R$51</f>
        <v>103.31909954189632</v>
      </c>
    </row>
    <row r="2" spans="1:18" x14ac:dyDescent="0.2">
      <c r="A2" t="s">
        <v>4240</v>
      </c>
      <c r="B2" t="s">
        <v>4241</v>
      </c>
      <c r="C2" t="s">
        <v>4242</v>
      </c>
      <c r="D2" t="s">
        <v>4259</v>
      </c>
      <c r="E2" s="762">
        <v>3</v>
      </c>
      <c r="F2" s="762">
        <v>1</v>
      </c>
      <c r="G2" s="762">
        <f>E2*F2</f>
        <v>3</v>
      </c>
      <c r="I2" s="762">
        <f t="shared" ref="I2:I16" si="0">G2*(1+H2)</f>
        <v>3</v>
      </c>
      <c r="J2" s="762" t="s">
        <v>4243</v>
      </c>
      <c r="K2" s="764">
        <f t="shared" ref="K2:K19" si="1">SUMIF(P:P,D2,R:R)</f>
        <v>103.31909954189632</v>
      </c>
      <c r="L2" s="750">
        <f>G2*K2</f>
        <v>309.95729862568896</v>
      </c>
      <c r="P2" t="s">
        <v>4260</v>
      </c>
      <c r="Q2">
        <v>109.15</v>
      </c>
      <c r="R2">
        <f t="shared" ref="R2:R18" si="2">Q2*$R$51</f>
        <v>127.94735324481488</v>
      </c>
    </row>
    <row r="3" spans="1:18" x14ac:dyDescent="0.2">
      <c r="A3" t="s">
        <v>4240</v>
      </c>
      <c r="B3" t="s">
        <v>4241</v>
      </c>
      <c r="C3" t="s">
        <v>4242</v>
      </c>
      <c r="D3" t="s">
        <v>4260</v>
      </c>
      <c r="E3" s="762">
        <v>2</v>
      </c>
      <c r="F3" s="762">
        <v>1</v>
      </c>
      <c r="G3" s="762">
        <f t="shared" ref="G3:G21" si="3">E3*F3</f>
        <v>2</v>
      </c>
      <c r="I3" s="762">
        <f t="shared" si="0"/>
        <v>2</v>
      </c>
      <c r="J3" s="762" t="s">
        <v>4243</v>
      </c>
      <c r="K3" s="764">
        <f t="shared" si="1"/>
        <v>127.94735324481488</v>
      </c>
      <c r="L3" s="750">
        <f t="shared" ref="L3:L87" si="4">G3*K3</f>
        <v>255.89470648962975</v>
      </c>
      <c r="P3" t="s">
        <v>4261</v>
      </c>
      <c r="Q3">
        <v>5.13</v>
      </c>
      <c r="R3">
        <f t="shared" si="2"/>
        <v>6.0134669917169061</v>
      </c>
    </row>
    <row r="4" spans="1:18" x14ac:dyDescent="0.2">
      <c r="A4" t="s">
        <v>4240</v>
      </c>
      <c r="B4" t="s">
        <v>4241</v>
      </c>
      <c r="C4" t="s">
        <v>4250</v>
      </c>
      <c r="D4" t="s">
        <v>4261</v>
      </c>
      <c r="E4" s="762">
        <v>1</v>
      </c>
      <c r="F4" s="762">
        <v>1</v>
      </c>
      <c r="G4" s="762">
        <f t="shared" si="3"/>
        <v>1</v>
      </c>
      <c r="I4" s="762">
        <f t="shared" si="0"/>
        <v>1</v>
      </c>
      <c r="J4" s="762" t="s">
        <v>4243</v>
      </c>
      <c r="K4" s="764">
        <f t="shared" si="1"/>
        <v>6.0134669917169061</v>
      </c>
      <c r="L4" s="750">
        <f t="shared" si="4"/>
        <v>6.0134669917169061</v>
      </c>
      <c r="P4" s="763" t="s">
        <v>4262</v>
      </c>
      <c r="Q4" s="763">
        <v>25.72</v>
      </c>
      <c r="R4" s="759">
        <v>25.72</v>
      </c>
    </row>
    <row r="5" spans="1:18" x14ac:dyDescent="0.2">
      <c r="A5" t="s">
        <v>4240</v>
      </c>
      <c r="B5" t="s">
        <v>4241</v>
      </c>
      <c r="C5" t="s">
        <v>4250</v>
      </c>
      <c r="D5" t="s">
        <v>4262</v>
      </c>
      <c r="E5" s="762">
        <v>3</v>
      </c>
      <c r="F5" s="762">
        <v>1</v>
      </c>
      <c r="G5" s="762">
        <f t="shared" si="3"/>
        <v>3</v>
      </c>
      <c r="I5" s="762">
        <f t="shared" si="0"/>
        <v>3</v>
      </c>
      <c r="J5" s="762" t="s">
        <v>4243</v>
      </c>
      <c r="K5" s="764">
        <f t="shared" si="1"/>
        <v>25.72</v>
      </c>
      <c r="L5" s="750">
        <f t="shared" si="4"/>
        <v>77.16</v>
      </c>
      <c r="P5" t="s">
        <v>4263</v>
      </c>
      <c r="Q5">
        <v>3.5</v>
      </c>
      <c r="R5">
        <f t="shared" si="2"/>
        <v>4.1027552575066615</v>
      </c>
    </row>
    <row r="6" spans="1:18" x14ac:dyDescent="0.2">
      <c r="A6" t="s">
        <v>4240</v>
      </c>
      <c r="B6" t="s">
        <v>4241</v>
      </c>
      <c r="C6" t="s">
        <v>4250</v>
      </c>
      <c r="D6" t="s">
        <v>4263</v>
      </c>
      <c r="E6" s="762">
        <v>1</v>
      </c>
      <c r="F6" s="762">
        <v>1</v>
      </c>
      <c r="G6" s="762">
        <f t="shared" si="3"/>
        <v>1</v>
      </c>
      <c r="I6" s="762">
        <f t="shared" si="0"/>
        <v>1</v>
      </c>
      <c r="J6" s="762" t="s">
        <v>4243</v>
      </c>
      <c r="K6" s="764">
        <f t="shared" si="1"/>
        <v>4.1027552575066615</v>
      </c>
      <c r="L6" s="750">
        <f t="shared" si="4"/>
        <v>4.1027552575066615</v>
      </c>
      <c r="P6" s="763" t="s">
        <v>4264</v>
      </c>
      <c r="Q6" s="763">
        <v>8.4</v>
      </c>
      <c r="R6">
        <f t="shared" si="2"/>
        <v>9.8466126180159872</v>
      </c>
    </row>
    <row r="7" spans="1:18" x14ac:dyDescent="0.2">
      <c r="A7" t="s">
        <v>4240</v>
      </c>
      <c r="B7" t="s">
        <v>4241</v>
      </c>
      <c r="C7" t="s">
        <v>4250</v>
      </c>
      <c r="D7" t="s">
        <v>4264</v>
      </c>
      <c r="E7" s="762">
        <v>4</v>
      </c>
      <c r="F7" s="762">
        <v>1</v>
      </c>
      <c r="G7" s="762">
        <f t="shared" si="3"/>
        <v>4</v>
      </c>
      <c r="I7" s="762">
        <f t="shared" si="0"/>
        <v>4</v>
      </c>
      <c r="J7" s="762" t="s">
        <v>4243</v>
      </c>
      <c r="K7" s="764">
        <f t="shared" si="1"/>
        <v>9.8466126180159872</v>
      </c>
      <c r="L7" s="750">
        <f t="shared" si="4"/>
        <v>39.386450472063949</v>
      </c>
      <c r="P7" t="s">
        <v>4265</v>
      </c>
      <c r="Q7">
        <v>7.71</v>
      </c>
      <c r="R7">
        <f t="shared" si="2"/>
        <v>9.0377837243932451</v>
      </c>
    </row>
    <row r="8" spans="1:18" x14ac:dyDescent="0.2">
      <c r="A8" t="s">
        <v>4240</v>
      </c>
      <c r="B8" t="s">
        <v>4241</v>
      </c>
      <c r="C8" t="s">
        <v>4250</v>
      </c>
      <c r="D8" t="s">
        <v>4265</v>
      </c>
      <c r="E8" s="762">
        <v>1</v>
      </c>
      <c r="F8" s="762">
        <v>1</v>
      </c>
      <c r="G8" s="762">
        <f t="shared" si="3"/>
        <v>1</v>
      </c>
      <c r="I8" s="762">
        <f t="shared" si="0"/>
        <v>1</v>
      </c>
      <c r="J8" s="762" t="s">
        <v>4243</v>
      </c>
      <c r="K8" s="764">
        <f t="shared" si="1"/>
        <v>9.0377837243932451</v>
      </c>
      <c r="L8" s="750">
        <f t="shared" si="4"/>
        <v>9.0377837243932451</v>
      </c>
      <c r="P8" s="763" t="s">
        <v>4266</v>
      </c>
      <c r="Q8" s="763">
        <v>13.94</v>
      </c>
      <c r="R8" s="759">
        <v>13.94</v>
      </c>
    </row>
    <row r="9" spans="1:18" x14ac:dyDescent="0.2">
      <c r="A9" t="s">
        <v>4240</v>
      </c>
      <c r="B9" t="s">
        <v>4241</v>
      </c>
      <c r="C9" t="s">
        <v>4250</v>
      </c>
      <c r="D9" t="s">
        <v>4266</v>
      </c>
      <c r="E9" s="762">
        <v>3</v>
      </c>
      <c r="F9" s="762">
        <v>1</v>
      </c>
      <c r="G9" s="762">
        <f t="shared" si="3"/>
        <v>3</v>
      </c>
      <c r="I9" s="762">
        <f t="shared" si="0"/>
        <v>3</v>
      </c>
      <c r="J9" s="762" t="s">
        <v>4243</v>
      </c>
      <c r="K9" s="764">
        <f t="shared" si="1"/>
        <v>13.94</v>
      </c>
      <c r="L9" s="750">
        <f t="shared" si="4"/>
        <v>41.82</v>
      </c>
      <c r="P9" s="763" t="s">
        <v>4267</v>
      </c>
      <c r="Q9" s="763">
        <v>24.95</v>
      </c>
      <c r="R9">
        <f t="shared" si="2"/>
        <v>29.246783907083199</v>
      </c>
    </row>
    <row r="10" spans="1:18" x14ac:dyDescent="0.2">
      <c r="A10" t="s">
        <v>4240</v>
      </c>
      <c r="B10" t="s">
        <v>4241</v>
      </c>
      <c r="C10" t="s">
        <v>4250</v>
      </c>
      <c r="D10" t="s">
        <v>4267</v>
      </c>
      <c r="E10" s="762">
        <v>1</v>
      </c>
      <c r="F10" s="762">
        <v>1</v>
      </c>
      <c r="G10" s="762">
        <f t="shared" si="3"/>
        <v>1</v>
      </c>
      <c r="I10" s="762">
        <f t="shared" si="0"/>
        <v>1</v>
      </c>
      <c r="J10" s="762" t="s">
        <v>4243</v>
      </c>
      <c r="K10" s="764">
        <f t="shared" si="1"/>
        <v>29.246783907083199</v>
      </c>
      <c r="L10" s="750">
        <f t="shared" si="4"/>
        <v>29.246783907083199</v>
      </c>
      <c r="P10" s="763" t="s">
        <v>4268</v>
      </c>
      <c r="Q10" s="763">
        <v>13.21</v>
      </c>
      <c r="R10" s="759">
        <v>13.21</v>
      </c>
    </row>
    <row r="11" spans="1:18" x14ac:dyDescent="0.2">
      <c r="A11" t="s">
        <v>4240</v>
      </c>
      <c r="B11" t="s">
        <v>4241</v>
      </c>
      <c r="C11" t="s">
        <v>4250</v>
      </c>
      <c r="D11" t="s">
        <v>4268</v>
      </c>
      <c r="E11" s="762">
        <v>1</v>
      </c>
      <c r="F11" s="762">
        <v>1</v>
      </c>
      <c r="G11" s="762">
        <f t="shared" si="3"/>
        <v>1</v>
      </c>
      <c r="I11" s="762">
        <f t="shared" si="0"/>
        <v>1</v>
      </c>
      <c r="J11" s="762" t="s">
        <v>4243</v>
      </c>
      <c r="K11" s="764">
        <f t="shared" si="1"/>
        <v>13.21</v>
      </c>
      <c r="L11" s="750">
        <f t="shared" si="4"/>
        <v>13.21</v>
      </c>
      <c r="P11" s="763" t="s">
        <v>4269</v>
      </c>
      <c r="Q11" s="763">
        <v>6.93</v>
      </c>
      <c r="R11">
        <f t="shared" si="2"/>
        <v>8.1234554098631886</v>
      </c>
    </row>
    <row r="12" spans="1:18" x14ac:dyDescent="0.2">
      <c r="A12" t="s">
        <v>4240</v>
      </c>
      <c r="B12" t="s">
        <v>4241</v>
      </c>
      <c r="C12" t="s">
        <v>4250</v>
      </c>
      <c r="D12" t="s">
        <v>4269</v>
      </c>
      <c r="E12" s="762">
        <v>6</v>
      </c>
      <c r="F12" s="762">
        <v>1</v>
      </c>
      <c r="G12" s="762">
        <f t="shared" si="3"/>
        <v>6</v>
      </c>
      <c r="I12" s="762">
        <f t="shared" si="0"/>
        <v>6</v>
      </c>
      <c r="J12" s="762" t="s">
        <v>4243</v>
      </c>
      <c r="K12" s="764">
        <f t="shared" si="1"/>
        <v>8.1234554098631886</v>
      </c>
      <c r="L12" s="750">
        <f t="shared" si="4"/>
        <v>48.740732459179128</v>
      </c>
      <c r="P12" s="763" t="s">
        <v>4270</v>
      </c>
      <c r="Q12" s="763">
        <v>9.2799999999999994</v>
      </c>
      <c r="R12">
        <f t="shared" si="2"/>
        <v>10.878162511331945</v>
      </c>
    </row>
    <row r="13" spans="1:18" x14ac:dyDescent="0.2">
      <c r="A13" t="s">
        <v>4240</v>
      </c>
      <c r="B13" t="s">
        <v>4241</v>
      </c>
      <c r="C13" t="s">
        <v>4250</v>
      </c>
      <c r="D13" t="s">
        <v>4270</v>
      </c>
      <c r="E13" s="762">
        <v>3</v>
      </c>
      <c r="F13" s="762">
        <v>1</v>
      </c>
      <c r="G13" s="762">
        <f t="shared" si="3"/>
        <v>3</v>
      </c>
      <c r="I13" s="762">
        <f t="shared" si="0"/>
        <v>3</v>
      </c>
      <c r="J13" s="762" t="s">
        <v>4243</v>
      </c>
      <c r="K13" s="764">
        <f t="shared" si="1"/>
        <v>10.878162511331945</v>
      </c>
      <c r="L13" s="750">
        <f t="shared" si="4"/>
        <v>32.634487533995838</v>
      </c>
      <c r="P13" t="s">
        <v>4271</v>
      </c>
      <c r="Q13">
        <v>55.77</v>
      </c>
      <c r="R13">
        <f t="shared" si="2"/>
        <v>65.374474488898997</v>
      </c>
    </row>
    <row r="14" spans="1:18" x14ac:dyDescent="0.2">
      <c r="A14" t="s">
        <v>4240</v>
      </c>
      <c r="B14" t="s">
        <v>4241</v>
      </c>
      <c r="C14" t="s">
        <v>4250</v>
      </c>
      <c r="D14" t="s">
        <v>4271</v>
      </c>
      <c r="E14" s="762">
        <v>2</v>
      </c>
      <c r="F14" s="762">
        <v>1</v>
      </c>
      <c r="G14" s="762">
        <f t="shared" si="3"/>
        <v>2</v>
      </c>
      <c r="I14" s="762">
        <f t="shared" si="0"/>
        <v>2</v>
      </c>
      <c r="J14" s="762" t="s">
        <v>4243</v>
      </c>
      <c r="K14" s="764">
        <f t="shared" si="1"/>
        <v>65.374474488898997</v>
      </c>
      <c r="L14" s="750">
        <f t="shared" si="4"/>
        <v>130.74894897779799</v>
      </c>
      <c r="P14" t="s">
        <v>4272</v>
      </c>
      <c r="Q14">
        <v>27.46</v>
      </c>
      <c r="R14">
        <f t="shared" si="2"/>
        <v>32.189045534609406</v>
      </c>
    </row>
    <row r="15" spans="1:18" x14ac:dyDescent="0.2">
      <c r="A15" t="s">
        <v>4240</v>
      </c>
      <c r="B15" t="s">
        <v>4241</v>
      </c>
      <c r="C15" t="s">
        <v>4250</v>
      </c>
      <c r="D15" t="s">
        <v>4272</v>
      </c>
      <c r="E15" s="762">
        <v>3</v>
      </c>
      <c r="F15" s="762">
        <v>1</v>
      </c>
      <c r="G15" s="762">
        <f t="shared" si="3"/>
        <v>3</v>
      </c>
      <c r="I15" s="762">
        <f t="shared" si="0"/>
        <v>3</v>
      </c>
      <c r="J15" s="762" t="s">
        <v>4243</v>
      </c>
      <c r="K15" s="764">
        <f t="shared" si="1"/>
        <v>32.189045534609406</v>
      </c>
      <c r="L15" s="750">
        <f t="shared" si="4"/>
        <v>96.567136603828217</v>
      </c>
      <c r="P15" s="763" t="s">
        <v>4273</v>
      </c>
      <c r="Q15" s="763">
        <v>93.24</v>
      </c>
      <c r="R15">
        <f t="shared" si="2"/>
        <v>109.29740005997745</v>
      </c>
    </row>
    <row r="16" spans="1:18" x14ac:dyDescent="0.2">
      <c r="A16" t="s">
        <v>4240</v>
      </c>
      <c r="B16" t="s">
        <v>4241</v>
      </c>
      <c r="C16" t="s">
        <v>4250</v>
      </c>
      <c r="D16" t="s">
        <v>4273</v>
      </c>
      <c r="E16" s="762">
        <v>1</v>
      </c>
      <c r="F16" s="762">
        <v>1</v>
      </c>
      <c r="G16" s="762">
        <f t="shared" si="3"/>
        <v>1</v>
      </c>
      <c r="I16" s="762">
        <f t="shared" si="0"/>
        <v>1</v>
      </c>
      <c r="J16" s="762" t="s">
        <v>4243</v>
      </c>
      <c r="K16" s="764">
        <f t="shared" si="1"/>
        <v>109.29740005997745</v>
      </c>
      <c r="L16" s="750">
        <f t="shared" si="4"/>
        <v>109.29740005997745</v>
      </c>
      <c r="P16" t="s">
        <v>4274</v>
      </c>
      <c r="Q16">
        <v>22.22</v>
      </c>
      <c r="R16">
        <f t="shared" si="2"/>
        <v>26.046634806228003</v>
      </c>
    </row>
    <row r="17" spans="1:18" x14ac:dyDescent="0.2">
      <c r="A17" t="s">
        <v>4240</v>
      </c>
      <c r="B17" t="s">
        <v>4241</v>
      </c>
      <c r="C17" t="s">
        <v>4250</v>
      </c>
      <c r="D17" t="s">
        <v>4274</v>
      </c>
      <c r="E17" s="762">
        <v>2.2999999999999998</v>
      </c>
      <c r="F17" s="762">
        <v>1</v>
      </c>
      <c r="G17" s="762">
        <f t="shared" si="3"/>
        <v>2.2999999999999998</v>
      </c>
      <c r="H17" s="784">
        <v>0.1</v>
      </c>
      <c r="I17" s="762">
        <f>G17*(1+H17)</f>
        <v>2.5299999999999998</v>
      </c>
      <c r="J17" s="762" t="s">
        <v>3</v>
      </c>
      <c r="K17" s="764">
        <f t="shared" si="1"/>
        <v>26.046634806228003</v>
      </c>
      <c r="L17" s="750">
        <f t="shared" si="4"/>
        <v>59.907260054324404</v>
      </c>
      <c r="P17" s="763" t="s">
        <v>4275</v>
      </c>
      <c r="Q17" s="763">
        <v>47.5</v>
      </c>
      <c r="R17" s="759">
        <v>47.5</v>
      </c>
    </row>
    <row r="18" spans="1:18" x14ac:dyDescent="0.2">
      <c r="A18" t="s">
        <v>4240</v>
      </c>
      <c r="B18" t="s">
        <v>4241</v>
      </c>
      <c r="C18" t="s">
        <v>4250</v>
      </c>
      <c r="D18" t="s">
        <v>4275</v>
      </c>
      <c r="E18" s="762">
        <v>24.23</v>
      </c>
      <c r="F18" s="762">
        <v>1</v>
      </c>
      <c r="G18" s="762">
        <f t="shared" si="3"/>
        <v>24.23</v>
      </c>
      <c r="H18" s="784">
        <v>0.1</v>
      </c>
      <c r="I18" s="762">
        <f t="shared" ref="I18:I94" si="5">G18*(1+H18)</f>
        <v>26.653000000000002</v>
      </c>
      <c r="J18" s="762" t="s">
        <v>3</v>
      </c>
      <c r="K18" s="764">
        <f t="shared" si="1"/>
        <v>47.5</v>
      </c>
      <c r="L18" s="750">
        <f t="shared" si="4"/>
        <v>1150.925</v>
      </c>
      <c r="P18" t="s">
        <v>4276</v>
      </c>
      <c r="Q18">
        <v>26.9</v>
      </c>
      <c r="R18">
        <f t="shared" si="2"/>
        <v>31.532604693408334</v>
      </c>
    </row>
    <row r="19" spans="1:18" x14ac:dyDescent="0.2">
      <c r="A19" t="s">
        <v>4306</v>
      </c>
      <c r="B19" t="s">
        <v>4241</v>
      </c>
      <c r="C19" t="s">
        <v>4307</v>
      </c>
      <c r="D19" t="s">
        <v>4308</v>
      </c>
      <c r="E19" s="762">
        <v>3</v>
      </c>
      <c r="F19" s="762">
        <v>1</v>
      </c>
      <c r="G19" s="762">
        <f t="shared" si="3"/>
        <v>3</v>
      </c>
      <c r="I19" s="762">
        <f t="shared" si="5"/>
        <v>3</v>
      </c>
      <c r="J19" s="784" t="s">
        <v>4243</v>
      </c>
      <c r="K19" s="764">
        <f t="shared" si="1"/>
        <v>3700</v>
      </c>
      <c r="L19" s="750">
        <f t="shared" si="4"/>
        <v>11100</v>
      </c>
      <c r="P19" s="763" t="s">
        <v>4308</v>
      </c>
      <c r="R19" s="790">
        <v>3700</v>
      </c>
    </row>
    <row r="20" spans="1:18" x14ac:dyDescent="0.2">
      <c r="A20" s="818" t="s">
        <v>4306</v>
      </c>
      <c r="B20" s="804" t="s">
        <v>4241</v>
      </c>
      <c r="C20" s="804" t="s">
        <v>4307</v>
      </c>
      <c r="D20" s="817" t="s">
        <v>4351</v>
      </c>
      <c r="E20" s="805">
        <v>3</v>
      </c>
      <c r="F20" s="805">
        <v>1</v>
      </c>
      <c r="G20" s="805">
        <v>3</v>
      </c>
      <c r="H20" s="803"/>
      <c r="I20" s="762">
        <f t="shared" si="5"/>
        <v>3</v>
      </c>
      <c r="J20" s="803" t="s">
        <v>4243</v>
      </c>
      <c r="K20" s="764">
        <v>78.900000000000006</v>
      </c>
      <c r="L20" s="750">
        <f t="shared" si="4"/>
        <v>236.70000000000002</v>
      </c>
      <c r="P20" s="763"/>
      <c r="R20" s="790"/>
    </row>
    <row r="21" spans="1:18" x14ac:dyDescent="0.2">
      <c r="A21" t="s">
        <v>4306</v>
      </c>
      <c r="B21" t="s">
        <v>4241</v>
      </c>
      <c r="C21" t="s">
        <v>4307</v>
      </c>
      <c r="D21" t="s">
        <v>4309</v>
      </c>
      <c r="E21" s="762">
        <v>1</v>
      </c>
      <c r="F21" s="762">
        <v>1</v>
      </c>
      <c r="G21" s="762">
        <f t="shared" si="3"/>
        <v>1</v>
      </c>
      <c r="I21" s="762">
        <f t="shared" si="5"/>
        <v>1</v>
      </c>
      <c r="J21" s="784" t="s">
        <v>4243</v>
      </c>
      <c r="K21" s="764">
        <f>SUMIF(P:P,D21,R:R)</f>
        <v>336.4</v>
      </c>
      <c r="L21" s="750">
        <f t="shared" si="4"/>
        <v>336.4</v>
      </c>
      <c r="P21" s="763" t="s">
        <v>4309</v>
      </c>
      <c r="R21" s="790">
        <v>336.4</v>
      </c>
    </row>
    <row r="22" spans="1:18" x14ac:dyDescent="0.2">
      <c r="A22" t="s">
        <v>4306</v>
      </c>
      <c r="B22" t="s">
        <v>4241</v>
      </c>
      <c r="C22" t="s">
        <v>4307</v>
      </c>
      <c r="D22" t="s">
        <v>4317</v>
      </c>
      <c r="E22" s="762">
        <v>1</v>
      </c>
      <c r="F22" s="762">
        <v>1</v>
      </c>
      <c r="G22" s="762">
        <v>1</v>
      </c>
      <c r="I22" s="762">
        <f t="shared" si="5"/>
        <v>1</v>
      </c>
      <c r="J22" s="762" t="s">
        <v>4243</v>
      </c>
      <c r="K22" s="764">
        <v>25</v>
      </c>
      <c r="L22" s="750">
        <f t="shared" si="4"/>
        <v>25</v>
      </c>
      <c r="P22" s="763" t="s">
        <v>4310</v>
      </c>
      <c r="R22" s="790">
        <v>554.6</v>
      </c>
    </row>
    <row r="23" spans="1:18" x14ac:dyDescent="0.2">
      <c r="A23" t="s">
        <v>4306</v>
      </c>
      <c r="B23" t="s">
        <v>4241</v>
      </c>
      <c r="C23" t="s">
        <v>4307</v>
      </c>
      <c r="D23" t="s">
        <v>4318</v>
      </c>
      <c r="E23" s="762">
        <v>1</v>
      </c>
      <c r="F23" s="762">
        <v>1</v>
      </c>
      <c r="G23" s="762">
        <v>1</v>
      </c>
      <c r="I23" s="762">
        <f t="shared" si="5"/>
        <v>1</v>
      </c>
      <c r="J23" s="762" t="s">
        <v>4243</v>
      </c>
      <c r="K23" s="764">
        <v>25</v>
      </c>
      <c r="L23" s="750">
        <f t="shared" si="4"/>
        <v>25</v>
      </c>
      <c r="P23" s="763" t="s">
        <v>4311</v>
      </c>
      <c r="R23" s="790">
        <v>529.88</v>
      </c>
    </row>
    <row r="24" spans="1:18" x14ac:dyDescent="0.2">
      <c r="A24" s="785"/>
      <c r="B24" s="785"/>
      <c r="C24" s="785"/>
      <c r="D24" s="785"/>
      <c r="E24" s="786"/>
      <c r="F24" s="786"/>
      <c r="G24" s="786"/>
      <c r="H24" s="787"/>
      <c r="I24" s="786"/>
      <c r="J24" s="786"/>
      <c r="K24" s="789" t="s">
        <v>4324</v>
      </c>
      <c r="L24" s="788">
        <f>SUM(L2:L23)</f>
        <v>14137.750211157187</v>
      </c>
      <c r="P24" t="s">
        <v>4312</v>
      </c>
      <c r="R24" s="790"/>
    </row>
    <row r="25" spans="1:18" x14ac:dyDescent="0.2">
      <c r="A25" s="759"/>
      <c r="B25" s="759"/>
      <c r="C25" s="759"/>
      <c r="D25" s="759"/>
      <c r="E25" s="794"/>
      <c r="F25" s="794"/>
      <c r="G25" s="794"/>
      <c r="H25" s="795"/>
      <c r="I25" s="794"/>
      <c r="J25" s="794"/>
      <c r="K25" s="796" t="s">
        <v>4325</v>
      </c>
      <c r="L25" s="797">
        <f>L98/L97*L24</f>
        <v>10209.973373749264</v>
      </c>
      <c r="R25" s="790"/>
    </row>
    <row r="26" spans="1:18" x14ac:dyDescent="0.2">
      <c r="A26" t="s">
        <v>4240</v>
      </c>
      <c r="B26" t="s">
        <v>4251</v>
      </c>
      <c r="C26" t="s">
        <v>4250</v>
      </c>
      <c r="D26" t="s">
        <v>4275</v>
      </c>
      <c r="E26" s="762">
        <v>2.9</v>
      </c>
      <c r="F26" s="762">
        <v>1</v>
      </c>
      <c r="G26" s="762">
        <f>F26*E26</f>
        <v>2.9</v>
      </c>
      <c r="H26" s="784">
        <v>0.1</v>
      </c>
      <c r="I26" s="762">
        <f t="shared" si="5"/>
        <v>3.19</v>
      </c>
      <c r="J26" s="762" t="s">
        <v>3</v>
      </c>
      <c r="K26" s="764">
        <f>SUMIF(P:P,D26,R:R)</f>
        <v>47.5</v>
      </c>
      <c r="L26" s="750">
        <f t="shared" si="4"/>
        <v>137.75</v>
      </c>
      <c r="P26" s="763" t="s">
        <v>4277</v>
      </c>
      <c r="Q26" s="763">
        <v>24.17</v>
      </c>
      <c r="R26">
        <f>Q26*$R$51</f>
        <v>28.332455592553146</v>
      </c>
    </row>
    <row r="27" spans="1:18" x14ac:dyDescent="0.2">
      <c r="A27" t="s">
        <v>4240</v>
      </c>
      <c r="B27" t="s">
        <v>4252</v>
      </c>
      <c r="C27" t="s">
        <v>4250</v>
      </c>
      <c r="D27" t="s">
        <v>4275</v>
      </c>
      <c r="E27" s="762">
        <v>2.88</v>
      </c>
      <c r="F27" s="762">
        <v>1</v>
      </c>
      <c r="G27" s="762">
        <f>F27*E27</f>
        <v>2.88</v>
      </c>
      <c r="H27" s="784">
        <v>0.1</v>
      </c>
      <c r="I27" s="762">
        <f t="shared" si="5"/>
        <v>3.1680000000000001</v>
      </c>
      <c r="J27" s="762" t="s">
        <v>3</v>
      </c>
      <c r="K27" s="764">
        <f>SUMIF(P:P,D27,R:R)</f>
        <v>47.5</v>
      </c>
      <c r="L27" s="750">
        <f t="shared" si="4"/>
        <v>136.79999999999998</v>
      </c>
      <c r="P27" t="s">
        <v>4278</v>
      </c>
      <c r="Q27">
        <v>6.89</v>
      </c>
      <c r="R27">
        <f>Q27*$R$51</f>
        <v>8.0765667783488269</v>
      </c>
    </row>
    <row r="28" spans="1:18" x14ac:dyDescent="0.2">
      <c r="A28" t="s">
        <v>4240</v>
      </c>
      <c r="B28" t="s">
        <v>4253</v>
      </c>
      <c r="C28" t="s">
        <v>4250</v>
      </c>
      <c r="D28" t="s">
        <v>4275</v>
      </c>
      <c r="E28" s="762">
        <v>3.24</v>
      </c>
      <c r="F28" s="762">
        <v>1</v>
      </c>
      <c r="G28" s="762">
        <f>F28*E28</f>
        <v>3.24</v>
      </c>
      <c r="H28" s="784">
        <v>0.1</v>
      </c>
      <c r="I28" s="762">
        <f t="shared" si="5"/>
        <v>3.5640000000000005</v>
      </c>
      <c r="J28" s="762" t="s">
        <v>3</v>
      </c>
      <c r="K28" s="764">
        <f>SUMIF(P:P,D28,R:R)</f>
        <v>47.5</v>
      </c>
      <c r="L28" s="750">
        <f t="shared" si="4"/>
        <v>153.9</v>
      </c>
      <c r="P28" s="763" t="s">
        <v>4279</v>
      </c>
      <c r="Q28" s="763">
        <v>55.77</v>
      </c>
      <c r="R28">
        <f>Q28*$R$51</f>
        <v>65.374474488898997</v>
      </c>
    </row>
    <row r="29" spans="1:18" x14ac:dyDescent="0.2">
      <c r="A29" t="s">
        <v>4240</v>
      </c>
      <c r="B29" t="s">
        <v>4254</v>
      </c>
      <c r="C29" t="s">
        <v>4250</v>
      </c>
      <c r="D29" t="s">
        <v>4275</v>
      </c>
      <c r="E29" s="762">
        <v>3.07</v>
      </c>
      <c r="F29" s="762">
        <v>1</v>
      </c>
      <c r="G29" s="762">
        <f>F29*E29</f>
        <v>3.07</v>
      </c>
      <c r="H29" s="784">
        <v>0.1</v>
      </c>
      <c r="I29" s="762">
        <f t="shared" si="5"/>
        <v>3.3770000000000002</v>
      </c>
      <c r="J29" s="762" t="s">
        <v>3</v>
      </c>
      <c r="K29" s="764">
        <f>SUMIF(P:P,D29,R:R)</f>
        <v>47.5</v>
      </c>
      <c r="L29" s="750">
        <f t="shared" si="4"/>
        <v>145.82499999999999</v>
      </c>
      <c r="P29" t="s">
        <v>4280</v>
      </c>
      <c r="Q29">
        <v>19.12</v>
      </c>
      <c r="R29">
        <f>Q29*$R$51</f>
        <v>22.412765863864962</v>
      </c>
    </row>
    <row r="30" spans="1:18" x14ac:dyDescent="0.2">
      <c r="A30" s="785"/>
      <c r="B30" s="785"/>
      <c r="C30" s="785"/>
      <c r="D30" s="785"/>
      <c r="E30" s="786"/>
      <c r="F30" s="786"/>
      <c r="G30" s="786"/>
      <c r="H30" s="787"/>
      <c r="I30" s="786"/>
      <c r="J30" s="786"/>
      <c r="K30" s="789" t="s">
        <v>4303</v>
      </c>
      <c r="L30" s="788">
        <f>SUM(L26:L29)</f>
        <v>574.27499999999986</v>
      </c>
      <c r="P30" s="763" t="s">
        <v>4313</v>
      </c>
      <c r="R30" s="790">
        <v>725.6</v>
      </c>
    </row>
    <row r="31" spans="1:18" x14ac:dyDescent="0.2">
      <c r="A31" s="759"/>
      <c r="B31" s="759"/>
      <c r="C31" s="759"/>
      <c r="D31" s="759"/>
      <c r="E31" s="794"/>
      <c r="F31" s="794"/>
      <c r="G31" s="794"/>
      <c r="H31" s="795"/>
      <c r="I31" s="794"/>
      <c r="J31" s="794"/>
      <c r="K31" s="796" t="s">
        <v>4326</v>
      </c>
      <c r="L31" s="797">
        <f>L98/L97*L30</f>
        <v>414.72881976530113</v>
      </c>
      <c r="R31" s="790"/>
    </row>
    <row r="32" spans="1:18" x14ac:dyDescent="0.2">
      <c r="A32" t="s">
        <v>4240</v>
      </c>
      <c r="B32" t="s">
        <v>4244</v>
      </c>
      <c r="C32" t="s">
        <v>4242</v>
      </c>
      <c r="D32" t="s">
        <v>4276</v>
      </c>
      <c r="E32" s="762">
        <v>4</v>
      </c>
      <c r="F32" s="762">
        <v>1</v>
      </c>
      <c r="G32" s="762">
        <f>F32*E32</f>
        <v>4</v>
      </c>
      <c r="I32" s="762">
        <f t="shared" si="5"/>
        <v>4</v>
      </c>
      <c r="J32" s="762" t="s">
        <v>4243</v>
      </c>
      <c r="K32" s="764">
        <f t="shared" ref="K32:K43" si="6">SUMIF(P:P,D32,R:R)</f>
        <v>31.532604693408334</v>
      </c>
      <c r="L32" s="750">
        <f t="shared" si="4"/>
        <v>126.13041877363334</v>
      </c>
      <c r="P32" t="s">
        <v>4281</v>
      </c>
      <c r="Q32">
        <v>23.9</v>
      </c>
      <c r="R32">
        <f>Q32*$R$51</f>
        <v>28.015957329831199</v>
      </c>
    </row>
    <row r="33" spans="1:18" x14ac:dyDescent="0.2">
      <c r="A33" t="s">
        <v>4240</v>
      </c>
      <c r="B33" t="s">
        <v>4244</v>
      </c>
      <c r="C33" t="s">
        <v>4249</v>
      </c>
      <c r="D33" t="s">
        <v>4277</v>
      </c>
      <c r="E33" s="762">
        <v>1</v>
      </c>
      <c r="F33" s="762">
        <v>1</v>
      </c>
      <c r="G33" s="762">
        <f t="shared" ref="G33:G43" si="7">F33*E33</f>
        <v>1</v>
      </c>
      <c r="I33" s="762">
        <f t="shared" si="5"/>
        <v>1</v>
      </c>
      <c r="J33" s="762" t="s">
        <v>4243</v>
      </c>
      <c r="K33" s="764">
        <f t="shared" si="6"/>
        <v>28.332455592553146</v>
      </c>
      <c r="L33" s="750">
        <f t="shared" si="4"/>
        <v>28.332455592553146</v>
      </c>
      <c r="P33" t="s">
        <v>4282</v>
      </c>
      <c r="Q33">
        <v>9.2799999999999994</v>
      </c>
      <c r="R33">
        <f>Q33*$R$51</f>
        <v>10.878162511331945</v>
      </c>
    </row>
    <row r="34" spans="1:18" x14ac:dyDescent="0.2">
      <c r="A34" t="s">
        <v>4240</v>
      </c>
      <c r="B34" t="s">
        <v>4244</v>
      </c>
      <c r="C34" t="s">
        <v>4250</v>
      </c>
      <c r="D34" t="s">
        <v>4261</v>
      </c>
      <c r="E34" s="762">
        <v>1</v>
      </c>
      <c r="F34" s="762">
        <v>1</v>
      </c>
      <c r="G34" s="762">
        <f t="shared" si="7"/>
        <v>1</v>
      </c>
      <c r="I34" s="762">
        <f t="shared" si="5"/>
        <v>1</v>
      </c>
      <c r="J34" s="762" t="s">
        <v>4243</v>
      </c>
      <c r="K34" s="764">
        <f t="shared" si="6"/>
        <v>6.0134669917169061</v>
      </c>
      <c r="L34" s="750">
        <f t="shared" si="4"/>
        <v>6.0134669917169061</v>
      </c>
      <c r="P34" t="s">
        <v>4283</v>
      </c>
      <c r="Q34">
        <v>11.37</v>
      </c>
      <c r="R34">
        <f>Q34*$R$51</f>
        <v>13.328093507957352</v>
      </c>
    </row>
    <row r="35" spans="1:18" x14ac:dyDescent="0.2">
      <c r="A35" t="s">
        <v>4240</v>
      </c>
      <c r="B35" t="s">
        <v>4244</v>
      </c>
      <c r="C35" t="s">
        <v>4250</v>
      </c>
      <c r="D35" t="s">
        <v>4278</v>
      </c>
      <c r="E35" s="762">
        <v>1</v>
      </c>
      <c r="F35" s="762">
        <v>1</v>
      </c>
      <c r="G35" s="762">
        <f t="shared" si="7"/>
        <v>1</v>
      </c>
      <c r="I35" s="762">
        <f t="shared" si="5"/>
        <v>1</v>
      </c>
      <c r="J35" s="762" t="s">
        <v>4243</v>
      </c>
      <c r="K35" s="764">
        <f t="shared" si="6"/>
        <v>8.0765667783488269</v>
      </c>
      <c r="L35" s="750">
        <f t="shared" si="4"/>
        <v>8.0765667783488269</v>
      </c>
      <c r="P35" t="s">
        <v>4284</v>
      </c>
      <c r="Q35">
        <v>22.9</v>
      </c>
      <c r="R35">
        <f>Q35*$R$51</f>
        <v>26.84374154197215</v>
      </c>
    </row>
    <row r="36" spans="1:18" x14ac:dyDescent="0.2">
      <c r="A36" t="s">
        <v>4240</v>
      </c>
      <c r="B36" t="s">
        <v>4244</v>
      </c>
      <c r="C36" t="s">
        <v>4250</v>
      </c>
      <c r="D36" t="s">
        <v>4279</v>
      </c>
      <c r="E36" s="762">
        <v>1</v>
      </c>
      <c r="F36" s="762">
        <v>1</v>
      </c>
      <c r="G36" s="762">
        <f t="shared" si="7"/>
        <v>1</v>
      </c>
      <c r="I36" s="762">
        <f t="shared" si="5"/>
        <v>1</v>
      </c>
      <c r="J36" s="762" t="s">
        <v>4243</v>
      </c>
      <c r="K36" s="764">
        <f t="shared" si="6"/>
        <v>65.374474488898997</v>
      </c>
      <c r="L36" s="750">
        <f t="shared" si="4"/>
        <v>65.374474488898997</v>
      </c>
      <c r="P36" s="763" t="s">
        <v>4285</v>
      </c>
      <c r="Q36" s="763">
        <v>36.700000000000003</v>
      </c>
      <c r="R36" s="759">
        <v>36.700000000000003</v>
      </c>
    </row>
    <row r="37" spans="1:18" x14ac:dyDescent="0.2">
      <c r="A37" t="s">
        <v>4240</v>
      </c>
      <c r="B37" t="s">
        <v>4244</v>
      </c>
      <c r="C37" t="s">
        <v>4255</v>
      </c>
      <c r="D37" t="s">
        <v>4280</v>
      </c>
      <c r="E37" s="762">
        <v>5</v>
      </c>
      <c r="F37" s="762">
        <v>1</v>
      </c>
      <c r="G37" s="762">
        <f t="shared" si="7"/>
        <v>5</v>
      </c>
      <c r="I37" s="762">
        <f t="shared" si="5"/>
        <v>5</v>
      </c>
      <c r="J37" s="762" t="s">
        <v>4243</v>
      </c>
      <c r="K37" s="764">
        <f t="shared" si="6"/>
        <v>22.412765863864962</v>
      </c>
      <c r="L37" s="750">
        <f t="shared" si="4"/>
        <v>112.06382931932481</v>
      </c>
      <c r="P37" t="s">
        <v>4286</v>
      </c>
      <c r="Q37">
        <v>31.17</v>
      </c>
      <c r="R37">
        <f>Q37*$R$51</f>
        <v>36.537966107566469</v>
      </c>
    </row>
    <row r="38" spans="1:18" x14ac:dyDescent="0.2">
      <c r="A38" t="s">
        <v>4240</v>
      </c>
      <c r="B38" t="s">
        <v>4244</v>
      </c>
      <c r="C38" t="s">
        <v>4255</v>
      </c>
      <c r="D38" t="s">
        <v>4281</v>
      </c>
      <c r="E38" s="762">
        <v>4</v>
      </c>
      <c r="F38" s="762">
        <v>1</v>
      </c>
      <c r="G38" s="762">
        <f t="shared" si="7"/>
        <v>4</v>
      </c>
      <c r="I38" s="762">
        <f t="shared" si="5"/>
        <v>4</v>
      </c>
      <c r="J38" s="762" t="s">
        <v>4243</v>
      </c>
      <c r="K38" s="764">
        <f t="shared" si="6"/>
        <v>28.015957329831199</v>
      </c>
      <c r="L38" s="750">
        <f t="shared" si="4"/>
        <v>112.0638293193248</v>
      </c>
      <c r="P38" t="s">
        <v>4287</v>
      </c>
      <c r="Q38">
        <v>9.8699999999999992</v>
      </c>
      <c r="R38" s="759">
        <v>9.8699999999999992</v>
      </c>
    </row>
    <row r="39" spans="1:18" x14ac:dyDescent="0.2">
      <c r="A39" t="s">
        <v>4240</v>
      </c>
      <c r="B39" t="s">
        <v>4244</v>
      </c>
      <c r="C39" t="s">
        <v>4255</v>
      </c>
      <c r="D39" t="s">
        <v>4282</v>
      </c>
      <c r="E39" s="762">
        <v>3</v>
      </c>
      <c r="F39" s="762">
        <v>1</v>
      </c>
      <c r="G39" s="762">
        <f t="shared" si="7"/>
        <v>3</v>
      </c>
      <c r="I39" s="762">
        <f t="shared" si="5"/>
        <v>3</v>
      </c>
      <c r="J39" s="762" t="s">
        <v>4243</v>
      </c>
      <c r="K39" s="764">
        <f t="shared" si="6"/>
        <v>10.878162511331945</v>
      </c>
      <c r="L39" s="750">
        <f t="shared" si="4"/>
        <v>32.634487533995838</v>
      </c>
      <c r="P39" t="s">
        <v>4288</v>
      </c>
      <c r="Q39">
        <v>24.95</v>
      </c>
      <c r="R39">
        <f>Q39*$R$51</f>
        <v>29.246783907083199</v>
      </c>
    </row>
    <row r="40" spans="1:18" x14ac:dyDescent="0.2">
      <c r="A40" t="s">
        <v>4240</v>
      </c>
      <c r="B40" t="s">
        <v>4244</v>
      </c>
      <c r="C40" t="s">
        <v>4250</v>
      </c>
      <c r="D40" t="s">
        <v>4275</v>
      </c>
      <c r="E40" s="762">
        <v>3.52</v>
      </c>
      <c r="F40" s="762">
        <v>1</v>
      </c>
      <c r="G40" s="762">
        <f t="shared" si="7"/>
        <v>3.52</v>
      </c>
      <c r="H40" s="784">
        <v>0.1</v>
      </c>
      <c r="I40" s="762">
        <f t="shared" si="5"/>
        <v>3.8720000000000003</v>
      </c>
      <c r="J40" s="762" t="s">
        <v>3</v>
      </c>
      <c r="K40" s="764">
        <f t="shared" si="6"/>
        <v>47.5</v>
      </c>
      <c r="L40" s="750">
        <f t="shared" si="4"/>
        <v>167.2</v>
      </c>
      <c r="P40" t="s">
        <v>4289</v>
      </c>
      <c r="Q40">
        <v>327.63</v>
      </c>
      <c r="R40" s="759">
        <v>327.63</v>
      </c>
    </row>
    <row r="41" spans="1:18" x14ac:dyDescent="0.2">
      <c r="A41" t="s">
        <v>4240</v>
      </c>
      <c r="B41" t="s">
        <v>4244</v>
      </c>
      <c r="C41" t="s">
        <v>4256</v>
      </c>
      <c r="D41" t="s">
        <v>4283</v>
      </c>
      <c r="E41" s="762">
        <v>58.43</v>
      </c>
      <c r="F41" s="762">
        <v>1</v>
      </c>
      <c r="G41" s="762">
        <f t="shared" si="7"/>
        <v>58.43</v>
      </c>
      <c r="H41" s="784">
        <v>0.1</v>
      </c>
      <c r="I41" s="762">
        <f t="shared" si="5"/>
        <v>64.27300000000001</v>
      </c>
      <c r="J41" s="762" t="s">
        <v>3</v>
      </c>
      <c r="K41" s="764">
        <f t="shared" si="6"/>
        <v>13.328093507957352</v>
      </c>
      <c r="L41" s="750">
        <f t="shared" si="4"/>
        <v>778.76050366994809</v>
      </c>
      <c r="P41" s="763" t="s">
        <v>4314</v>
      </c>
      <c r="R41" s="790">
        <v>396.2</v>
      </c>
    </row>
    <row r="42" spans="1:18" x14ac:dyDescent="0.2">
      <c r="A42" t="s">
        <v>4306</v>
      </c>
      <c r="B42" t="s">
        <v>4244</v>
      </c>
      <c r="C42" t="s">
        <v>4307</v>
      </c>
      <c r="D42" t="s">
        <v>4310</v>
      </c>
      <c r="E42" s="762">
        <v>1</v>
      </c>
      <c r="F42" s="762">
        <v>1</v>
      </c>
      <c r="G42" s="762">
        <f t="shared" si="7"/>
        <v>1</v>
      </c>
      <c r="H42" s="784"/>
      <c r="I42" s="762">
        <f t="shared" si="5"/>
        <v>1</v>
      </c>
      <c r="J42" s="762" t="s">
        <v>4243</v>
      </c>
      <c r="K42" s="764">
        <f t="shared" si="6"/>
        <v>554.6</v>
      </c>
      <c r="L42" s="750">
        <f t="shared" si="4"/>
        <v>554.6</v>
      </c>
      <c r="P42" t="s">
        <v>4315</v>
      </c>
      <c r="R42" s="790"/>
    </row>
    <row r="43" spans="1:18" x14ac:dyDescent="0.2">
      <c r="A43" t="s">
        <v>4306</v>
      </c>
      <c r="B43" t="s">
        <v>4244</v>
      </c>
      <c r="C43" t="s">
        <v>4307</v>
      </c>
      <c r="D43" t="s">
        <v>4311</v>
      </c>
      <c r="E43" s="762">
        <v>1</v>
      </c>
      <c r="F43" s="762">
        <v>1</v>
      </c>
      <c r="G43" s="762">
        <f t="shared" si="7"/>
        <v>1</v>
      </c>
      <c r="H43" s="784"/>
      <c r="I43" s="762">
        <f t="shared" si="5"/>
        <v>1</v>
      </c>
      <c r="J43" s="762" t="s">
        <v>4243</v>
      </c>
      <c r="K43" s="764">
        <f t="shared" si="6"/>
        <v>529.88</v>
      </c>
      <c r="L43" s="750">
        <f t="shared" si="4"/>
        <v>529.88</v>
      </c>
      <c r="P43" t="s">
        <v>4316</v>
      </c>
      <c r="R43" s="790">
        <v>620.1</v>
      </c>
    </row>
    <row r="44" spans="1:18" x14ac:dyDescent="0.2">
      <c r="A44" s="785"/>
      <c r="B44" s="785"/>
      <c r="C44" s="785"/>
      <c r="D44" s="785"/>
      <c r="E44" s="786"/>
      <c r="F44" s="786"/>
      <c r="G44" s="786"/>
      <c r="H44" s="787"/>
      <c r="I44" s="786"/>
      <c r="J44" s="786"/>
      <c r="K44" s="789" t="s">
        <v>4304</v>
      </c>
      <c r="L44" s="788">
        <f>SUM(L32:L43)</f>
        <v>2521.130032467745</v>
      </c>
    </row>
    <row r="45" spans="1:18" x14ac:dyDescent="0.2">
      <c r="A45" s="759"/>
      <c r="B45" s="759"/>
      <c r="C45" s="759"/>
      <c r="D45" s="759"/>
      <c r="E45" s="794"/>
      <c r="F45" s="794"/>
      <c r="G45" s="794"/>
      <c r="H45" s="795"/>
      <c r="I45" s="794"/>
      <c r="J45" s="794"/>
      <c r="K45" s="796" t="s">
        <v>4327</v>
      </c>
      <c r="L45" s="797">
        <f>L98/L97*L44</f>
        <v>1820.7048588920004</v>
      </c>
      <c r="R45" s="790"/>
    </row>
    <row r="46" spans="1:18" x14ac:dyDescent="0.2">
      <c r="A46" t="s">
        <v>4240</v>
      </c>
      <c r="B46" t="s">
        <v>4245</v>
      </c>
      <c r="C46" t="s">
        <v>4242</v>
      </c>
      <c r="D46" t="s">
        <v>4276</v>
      </c>
      <c r="E46" s="762">
        <v>6</v>
      </c>
      <c r="F46" s="762">
        <v>13</v>
      </c>
      <c r="G46" s="762">
        <f>F46*E46</f>
        <v>78</v>
      </c>
      <c r="I46" s="762">
        <f t="shared" si="5"/>
        <v>78</v>
      </c>
      <c r="J46" s="762" t="s">
        <v>4243</v>
      </c>
      <c r="K46" s="764">
        <f t="shared" ref="K46:K59" si="8">SUMIF(P:P,D46,R:R)</f>
        <v>31.532604693408334</v>
      </c>
      <c r="L46" s="750">
        <f t="shared" si="4"/>
        <v>2459.5431660858499</v>
      </c>
    </row>
    <row r="47" spans="1:18" x14ac:dyDescent="0.2">
      <c r="A47" t="s">
        <v>4240</v>
      </c>
      <c r="B47" t="s">
        <v>4245</v>
      </c>
      <c r="C47" t="s">
        <v>4249</v>
      </c>
      <c r="D47" t="s">
        <v>4277</v>
      </c>
      <c r="E47" s="762">
        <v>6</v>
      </c>
      <c r="F47" s="762">
        <v>13</v>
      </c>
      <c r="G47" s="762">
        <f t="shared" ref="G47:G59" si="9">F47*E47</f>
        <v>78</v>
      </c>
      <c r="I47" s="762">
        <f t="shared" si="5"/>
        <v>78</v>
      </c>
      <c r="J47" s="762" t="s">
        <v>4243</v>
      </c>
      <c r="K47" s="764">
        <f t="shared" si="8"/>
        <v>28.332455592553146</v>
      </c>
      <c r="L47" s="750">
        <f t="shared" si="4"/>
        <v>2209.9315362191455</v>
      </c>
    </row>
    <row r="48" spans="1:18" x14ac:dyDescent="0.2">
      <c r="A48" t="s">
        <v>4240</v>
      </c>
      <c r="B48" t="s">
        <v>4245</v>
      </c>
      <c r="C48" t="s">
        <v>4250</v>
      </c>
      <c r="D48" t="s">
        <v>4261</v>
      </c>
      <c r="E48" s="762">
        <v>6</v>
      </c>
      <c r="F48" s="762">
        <v>13</v>
      </c>
      <c r="G48" s="762">
        <f t="shared" si="9"/>
        <v>78</v>
      </c>
      <c r="I48" s="762">
        <f t="shared" si="5"/>
        <v>78</v>
      </c>
      <c r="J48" s="762" t="s">
        <v>4243</v>
      </c>
      <c r="K48" s="764">
        <f t="shared" si="8"/>
        <v>6.0134669917169061</v>
      </c>
      <c r="L48" s="750">
        <f t="shared" si="4"/>
        <v>469.05042535391868</v>
      </c>
      <c r="P48" s="763" t="s">
        <v>4319</v>
      </c>
      <c r="Q48" s="763"/>
    </row>
    <row r="49" spans="1:18" x14ac:dyDescent="0.2">
      <c r="A49" t="s">
        <v>4240</v>
      </c>
      <c r="B49" t="s">
        <v>4245</v>
      </c>
      <c r="C49" t="s">
        <v>4250</v>
      </c>
      <c r="D49" t="s">
        <v>4278</v>
      </c>
      <c r="E49" s="762">
        <v>2</v>
      </c>
      <c r="F49" s="762">
        <v>13</v>
      </c>
      <c r="G49" s="762">
        <f t="shared" si="9"/>
        <v>26</v>
      </c>
      <c r="I49" s="762">
        <f t="shared" si="5"/>
        <v>26</v>
      </c>
      <c r="J49" s="762" t="s">
        <v>4243</v>
      </c>
      <c r="K49" s="764">
        <f t="shared" si="8"/>
        <v>8.0765667783488269</v>
      </c>
      <c r="L49" s="750">
        <f t="shared" si="4"/>
        <v>209.99073623706948</v>
      </c>
      <c r="P49" s="763" t="s">
        <v>4320</v>
      </c>
      <c r="Q49" s="763"/>
      <c r="R49" s="791">
        <v>2901.09</v>
      </c>
    </row>
    <row r="50" spans="1:18" x14ac:dyDescent="0.2">
      <c r="A50" t="s">
        <v>4240</v>
      </c>
      <c r="B50" t="s">
        <v>4245</v>
      </c>
      <c r="C50" t="s">
        <v>4250</v>
      </c>
      <c r="D50" t="s">
        <v>4284</v>
      </c>
      <c r="E50" s="762">
        <v>1</v>
      </c>
      <c r="F50" s="762">
        <v>13</v>
      </c>
      <c r="G50" s="762">
        <f t="shared" si="9"/>
        <v>13</v>
      </c>
      <c r="I50" s="762">
        <f t="shared" si="5"/>
        <v>13</v>
      </c>
      <c r="J50" s="762" t="s">
        <v>4243</v>
      </c>
      <c r="K50" s="764">
        <f t="shared" si="8"/>
        <v>26.84374154197215</v>
      </c>
      <c r="L50" s="750">
        <f t="shared" si="4"/>
        <v>348.96864004563793</v>
      </c>
      <c r="P50" s="763" t="s">
        <v>4321</v>
      </c>
      <c r="Q50" s="763"/>
      <c r="R50" s="791">
        <v>2965.54</v>
      </c>
    </row>
    <row r="51" spans="1:18" x14ac:dyDescent="0.2">
      <c r="A51" t="s">
        <v>4240</v>
      </c>
      <c r="B51" t="s">
        <v>4245</v>
      </c>
      <c r="C51" t="s">
        <v>4250</v>
      </c>
      <c r="D51" t="s">
        <v>4279</v>
      </c>
      <c r="E51" s="762">
        <v>6</v>
      </c>
      <c r="F51" s="762">
        <v>13</v>
      </c>
      <c r="G51" s="762">
        <f t="shared" si="9"/>
        <v>78</v>
      </c>
      <c r="I51" s="762">
        <f t="shared" si="5"/>
        <v>78</v>
      </c>
      <c r="J51" s="762" t="s">
        <v>4243</v>
      </c>
      <c r="K51" s="764">
        <f t="shared" si="8"/>
        <v>65.374474488898997</v>
      </c>
      <c r="L51" s="750">
        <f t="shared" si="4"/>
        <v>5099.2090101341219</v>
      </c>
      <c r="P51" s="763" t="s">
        <v>4322</v>
      </c>
      <c r="Q51" s="763"/>
      <c r="R51">
        <f>(R50/R49)+0.15</f>
        <v>1.172215787859046</v>
      </c>
    </row>
    <row r="52" spans="1:18" x14ac:dyDescent="0.2">
      <c r="A52" t="s">
        <v>4240</v>
      </c>
      <c r="B52" t="s">
        <v>4245</v>
      </c>
      <c r="C52" t="s">
        <v>4250</v>
      </c>
      <c r="D52" t="s">
        <v>4285</v>
      </c>
      <c r="E52" s="762">
        <v>1</v>
      </c>
      <c r="F52" s="762">
        <v>13</v>
      </c>
      <c r="G52" s="762">
        <f t="shared" si="9"/>
        <v>13</v>
      </c>
      <c r="I52" s="762">
        <f t="shared" si="5"/>
        <v>13</v>
      </c>
      <c r="J52" s="762" t="s">
        <v>4243</v>
      </c>
      <c r="K52" s="764">
        <f t="shared" si="8"/>
        <v>36.700000000000003</v>
      </c>
      <c r="L52" s="750">
        <f t="shared" si="4"/>
        <v>477.1</v>
      </c>
    </row>
    <row r="53" spans="1:18" x14ac:dyDescent="0.2">
      <c r="A53" t="s">
        <v>4240</v>
      </c>
      <c r="B53" t="s">
        <v>4245</v>
      </c>
      <c r="C53" t="s">
        <v>4255</v>
      </c>
      <c r="D53" t="s">
        <v>4280</v>
      </c>
      <c r="E53" s="762">
        <v>12</v>
      </c>
      <c r="F53" s="762">
        <v>13</v>
      </c>
      <c r="G53" s="762">
        <f t="shared" si="9"/>
        <v>156</v>
      </c>
      <c r="I53" s="762">
        <f t="shared" si="5"/>
        <v>156</v>
      </c>
      <c r="J53" s="762" t="s">
        <v>4243</v>
      </c>
      <c r="K53" s="764">
        <f t="shared" si="8"/>
        <v>22.412765863864962</v>
      </c>
      <c r="L53" s="750">
        <f t="shared" si="4"/>
        <v>3496.3914747629342</v>
      </c>
    </row>
    <row r="54" spans="1:18" x14ac:dyDescent="0.2">
      <c r="A54" t="s">
        <v>4240</v>
      </c>
      <c r="B54" t="s">
        <v>4245</v>
      </c>
      <c r="C54" t="s">
        <v>4255</v>
      </c>
      <c r="D54" t="s">
        <v>4281</v>
      </c>
      <c r="E54" s="762">
        <v>6</v>
      </c>
      <c r="F54" s="762">
        <v>13</v>
      </c>
      <c r="G54" s="762">
        <f t="shared" si="9"/>
        <v>78</v>
      </c>
      <c r="I54" s="762">
        <f t="shared" si="5"/>
        <v>78</v>
      </c>
      <c r="J54" s="762" t="s">
        <v>4243</v>
      </c>
      <c r="K54" s="764">
        <f t="shared" si="8"/>
        <v>28.015957329831199</v>
      </c>
      <c r="L54" s="750">
        <f t="shared" si="4"/>
        <v>2185.2446717268335</v>
      </c>
    </row>
    <row r="55" spans="1:18" x14ac:dyDescent="0.2">
      <c r="A55" t="s">
        <v>4240</v>
      </c>
      <c r="B55" t="s">
        <v>4245</v>
      </c>
      <c r="C55" t="s">
        <v>4250</v>
      </c>
      <c r="D55" t="s">
        <v>4286</v>
      </c>
      <c r="E55" s="762">
        <v>0.57999999999999996</v>
      </c>
      <c r="F55" s="762">
        <v>13</v>
      </c>
      <c r="G55" s="762">
        <f t="shared" si="9"/>
        <v>7.5399999999999991</v>
      </c>
      <c r="H55" s="784">
        <v>0.1</v>
      </c>
      <c r="I55" s="762">
        <f t="shared" si="5"/>
        <v>8.2940000000000005</v>
      </c>
      <c r="J55" s="762" t="s">
        <v>3</v>
      </c>
      <c r="K55" s="764">
        <f t="shared" si="8"/>
        <v>36.537966107566469</v>
      </c>
      <c r="L55" s="750">
        <f t="shared" si="4"/>
        <v>275.49626445105116</v>
      </c>
    </row>
    <row r="56" spans="1:18" x14ac:dyDescent="0.2">
      <c r="A56" t="s">
        <v>4240</v>
      </c>
      <c r="B56" t="s">
        <v>4245</v>
      </c>
      <c r="C56" t="s">
        <v>4250</v>
      </c>
      <c r="D56" t="s">
        <v>4275</v>
      </c>
      <c r="E56" s="762">
        <v>2.84</v>
      </c>
      <c r="F56" s="762">
        <v>13</v>
      </c>
      <c r="G56" s="762">
        <f t="shared" si="9"/>
        <v>36.92</v>
      </c>
      <c r="H56" s="784">
        <v>0.1</v>
      </c>
      <c r="I56" s="762">
        <f t="shared" si="5"/>
        <v>40.612000000000002</v>
      </c>
      <c r="J56" s="762" t="s">
        <v>3</v>
      </c>
      <c r="K56" s="764">
        <f t="shared" si="8"/>
        <v>47.5</v>
      </c>
      <c r="L56" s="750">
        <f t="shared" si="4"/>
        <v>1753.7</v>
      </c>
    </row>
    <row r="57" spans="1:18" x14ac:dyDescent="0.2">
      <c r="A57" t="s">
        <v>4240</v>
      </c>
      <c r="B57" t="s">
        <v>4245</v>
      </c>
      <c r="C57" t="s">
        <v>4256</v>
      </c>
      <c r="D57" t="s">
        <v>4283</v>
      </c>
      <c r="E57" s="762">
        <v>86.01</v>
      </c>
      <c r="F57" s="762">
        <v>13</v>
      </c>
      <c r="G57" s="762">
        <f t="shared" si="9"/>
        <v>1118.1300000000001</v>
      </c>
      <c r="H57" s="784">
        <v>0.1</v>
      </c>
      <c r="I57" s="762">
        <f t="shared" si="5"/>
        <v>1229.9430000000002</v>
      </c>
      <c r="J57" s="762" t="s">
        <v>3</v>
      </c>
      <c r="K57" s="764">
        <f t="shared" si="8"/>
        <v>13.328093507957352</v>
      </c>
      <c r="L57" s="750">
        <f t="shared" si="4"/>
        <v>14902.541194052355</v>
      </c>
    </row>
    <row r="58" spans="1:18" x14ac:dyDescent="0.2">
      <c r="A58" t="s">
        <v>4306</v>
      </c>
      <c r="B58" t="s">
        <v>4245</v>
      </c>
      <c r="C58" t="s">
        <v>4307</v>
      </c>
      <c r="D58" t="s">
        <v>4313</v>
      </c>
      <c r="E58" s="762">
        <v>1</v>
      </c>
      <c r="F58" s="762">
        <v>13</v>
      </c>
      <c r="G58" s="762">
        <f t="shared" si="9"/>
        <v>13</v>
      </c>
      <c r="H58" s="784"/>
      <c r="I58" s="762">
        <f t="shared" si="5"/>
        <v>13</v>
      </c>
      <c r="J58" s="762" t="s">
        <v>4243</v>
      </c>
      <c r="K58" s="764">
        <f t="shared" si="8"/>
        <v>725.6</v>
      </c>
      <c r="L58" s="750">
        <f t="shared" si="4"/>
        <v>9432.8000000000011</v>
      </c>
    </row>
    <row r="59" spans="1:18" x14ac:dyDescent="0.2">
      <c r="A59" t="s">
        <v>4306</v>
      </c>
      <c r="B59" t="s">
        <v>4245</v>
      </c>
      <c r="C59" t="s">
        <v>4307</v>
      </c>
      <c r="D59" t="s">
        <v>4314</v>
      </c>
      <c r="E59" s="762">
        <v>6</v>
      </c>
      <c r="F59" s="762">
        <v>13</v>
      </c>
      <c r="G59" s="762">
        <f t="shared" si="9"/>
        <v>78</v>
      </c>
      <c r="H59" s="784"/>
      <c r="I59" s="762">
        <f t="shared" si="5"/>
        <v>78</v>
      </c>
      <c r="J59" s="762" t="s">
        <v>4243</v>
      </c>
      <c r="K59" s="764">
        <f t="shared" si="8"/>
        <v>396.2</v>
      </c>
      <c r="L59" s="750">
        <f t="shared" si="4"/>
        <v>30903.599999999999</v>
      </c>
    </row>
    <row r="60" spans="1:18" x14ac:dyDescent="0.2">
      <c r="A60" s="785"/>
      <c r="B60" s="785"/>
      <c r="C60" s="785"/>
      <c r="D60" s="785"/>
      <c r="E60" s="786"/>
      <c r="F60" s="786"/>
      <c r="G60" s="786"/>
      <c r="H60" s="787"/>
      <c r="I60" s="786"/>
      <c r="J60" s="786"/>
      <c r="K60" s="789" t="s">
        <v>810</v>
      </c>
      <c r="L60" s="788">
        <f>SUM(L46:L59)</f>
        <v>74223.567119068917</v>
      </c>
    </row>
    <row r="61" spans="1:18" x14ac:dyDescent="0.2">
      <c r="A61" s="759"/>
      <c r="B61" s="759"/>
      <c r="C61" s="759"/>
      <c r="D61" s="759"/>
      <c r="E61" s="794"/>
      <c r="F61" s="794"/>
      <c r="G61" s="794"/>
      <c r="H61" s="795"/>
      <c r="I61" s="794"/>
      <c r="J61" s="794"/>
      <c r="K61" s="796" t="s">
        <v>4328</v>
      </c>
      <c r="L61" s="797">
        <f>L98/L97*L60</f>
        <v>53602.633564167118</v>
      </c>
      <c r="R61" s="790"/>
    </row>
    <row r="62" spans="1:18" x14ac:dyDescent="0.2">
      <c r="A62" t="s">
        <v>4240</v>
      </c>
      <c r="B62" t="s">
        <v>4246</v>
      </c>
      <c r="C62" t="s">
        <v>4242</v>
      </c>
      <c r="D62" t="s">
        <v>4276</v>
      </c>
      <c r="E62" s="762">
        <v>4</v>
      </c>
      <c r="F62" s="762">
        <v>1</v>
      </c>
      <c r="G62" s="762">
        <v>4</v>
      </c>
      <c r="I62" s="762">
        <f t="shared" si="5"/>
        <v>4</v>
      </c>
      <c r="J62" s="762" t="s">
        <v>4243</v>
      </c>
      <c r="K62" s="764">
        <f t="shared" ref="K62:K75" si="10">SUMIF(P:P,D62,R:R)</f>
        <v>31.532604693408334</v>
      </c>
      <c r="L62" s="750">
        <f t="shared" si="4"/>
        <v>126.13041877363334</v>
      </c>
    </row>
    <row r="63" spans="1:18" x14ac:dyDescent="0.2">
      <c r="A63" t="s">
        <v>4240</v>
      </c>
      <c r="B63" t="s">
        <v>4246</v>
      </c>
      <c r="C63" t="s">
        <v>4249</v>
      </c>
      <c r="D63" t="s">
        <v>4277</v>
      </c>
      <c r="E63" s="762">
        <v>4</v>
      </c>
      <c r="F63" s="762">
        <v>1</v>
      </c>
      <c r="G63" s="762">
        <v>4</v>
      </c>
      <c r="I63" s="762">
        <f t="shared" si="5"/>
        <v>4</v>
      </c>
      <c r="J63" s="762" t="s">
        <v>4243</v>
      </c>
      <c r="K63" s="764">
        <f t="shared" si="10"/>
        <v>28.332455592553146</v>
      </c>
      <c r="L63" s="750">
        <f t="shared" si="4"/>
        <v>113.32982237021258</v>
      </c>
    </row>
    <row r="64" spans="1:18" x14ac:dyDescent="0.2">
      <c r="A64" t="s">
        <v>4240</v>
      </c>
      <c r="B64" t="s">
        <v>4246</v>
      </c>
      <c r="C64" t="s">
        <v>4250</v>
      </c>
      <c r="D64" t="s">
        <v>4261</v>
      </c>
      <c r="E64" s="762">
        <v>4</v>
      </c>
      <c r="F64" s="762">
        <v>1</v>
      </c>
      <c r="G64" s="762">
        <v>4</v>
      </c>
      <c r="I64" s="762">
        <f t="shared" si="5"/>
        <v>4</v>
      </c>
      <c r="J64" s="762" t="s">
        <v>4243</v>
      </c>
      <c r="K64" s="764">
        <f t="shared" si="10"/>
        <v>6.0134669917169061</v>
      </c>
      <c r="L64" s="750">
        <f t="shared" si="4"/>
        <v>24.053867966867625</v>
      </c>
    </row>
    <row r="65" spans="1:18" x14ac:dyDescent="0.2">
      <c r="A65" t="s">
        <v>4240</v>
      </c>
      <c r="B65" t="s">
        <v>4246</v>
      </c>
      <c r="C65" t="s">
        <v>4250</v>
      </c>
      <c r="D65" t="s">
        <v>4278</v>
      </c>
      <c r="E65" s="762">
        <v>1</v>
      </c>
      <c r="F65" s="762">
        <v>1</v>
      </c>
      <c r="G65" s="762">
        <v>1</v>
      </c>
      <c r="I65" s="762">
        <f t="shared" si="5"/>
        <v>1</v>
      </c>
      <c r="J65" s="762" t="s">
        <v>4243</v>
      </c>
      <c r="K65" s="764">
        <f t="shared" si="10"/>
        <v>8.0765667783488269</v>
      </c>
      <c r="L65" s="750">
        <f t="shared" si="4"/>
        <v>8.0765667783488269</v>
      </c>
    </row>
    <row r="66" spans="1:18" x14ac:dyDescent="0.2">
      <c r="A66" t="s">
        <v>4240</v>
      </c>
      <c r="B66" t="s">
        <v>4246</v>
      </c>
      <c r="C66" t="s">
        <v>4250</v>
      </c>
      <c r="D66" t="s">
        <v>4287</v>
      </c>
      <c r="E66" s="762">
        <v>1</v>
      </c>
      <c r="F66" s="762">
        <v>1</v>
      </c>
      <c r="G66" s="762">
        <v>1</v>
      </c>
      <c r="I66" s="762">
        <f t="shared" si="5"/>
        <v>1</v>
      </c>
      <c r="J66" s="762" t="s">
        <v>4243</v>
      </c>
      <c r="K66" s="764">
        <f t="shared" si="10"/>
        <v>9.8699999999999992</v>
      </c>
      <c r="L66" s="750">
        <f t="shared" si="4"/>
        <v>9.8699999999999992</v>
      </c>
    </row>
    <row r="67" spans="1:18" x14ac:dyDescent="0.2">
      <c r="A67" t="s">
        <v>4240</v>
      </c>
      <c r="B67" t="s">
        <v>4246</v>
      </c>
      <c r="C67" t="s">
        <v>4250</v>
      </c>
      <c r="D67" t="s">
        <v>4279</v>
      </c>
      <c r="E67" s="762">
        <v>4</v>
      </c>
      <c r="F67" s="762">
        <v>1</v>
      </c>
      <c r="G67" s="762">
        <v>4</v>
      </c>
      <c r="I67" s="762">
        <f t="shared" si="5"/>
        <v>4</v>
      </c>
      <c r="J67" s="762" t="s">
        <v>4243</v>
      </c>
      <c r="K67" s="764">
        <f t="shared" si="10"/>
        <v>65.374474488898997</v>
      </c>
      <c r="L67" s="750">
        <f t="shared" si="4"/>
        <v>261.49789795559599</v>
      </c>
    </row>
    <row r="68" spans="1:18" x14ac:dyDescent="0.2">
      <c r="A68" t="s">
        <v>4240</v>
      </c>
      <c r="B68" t="s">
        <v>4246</v>
      </c>
      <c r="C68" t="s">
        <v>4250</v>
      </c>
      <c r="D68" t="s">
        <v>4285</v>
      </c>
      <c r="E68" s="762">
        <v>1</v>
      </c>
      <c r="F68" s="762">
        <v>1</v>
      </c>
      <c r="G68" s="762">
        <v>1</v>
      </c>
      <c r="I68" s="762">
        <f t="shared" si="5"/>
        <v>1</v>
      </c>
      <c r="J68" s="762" t="s">
        <v>4243</v>
      </c>
      <c r="K68" s="764">
        <f t="shared" si="10"/>
        <v>36.700000000000003</v>
      </c>
      <c r="L68" s="750">
        <f t="shared" si="4"/>
        <v>36.700000000000003</v>
      </c>
    </row>
    <row r="69" spans="1:18" x14ac:dyDescent="0.2">
      <c r="A69" t="s">
        <v>4240</v>
      </c>
      <c r="B69" t="s">
        <v>4246</v>
      </c>
      <c r="C69" t="s">
        <v>4255</v>
      </c>
      <c r="D69" t="s">
        <v>4280</v>
      </c>
      <c r="E69" s="762">
        <v>8</v>
      </c>
      <c r="F69" s="762">
        <v>1</v>
      </c>
      <c r="G69" s="762">
        <v>8</v>
      </c>
      <c r="I69" s="762">
        <f t="shared" si="5"/>
        <v>8</v>
      </c>
      <c r="J69" s="762" t="s">
        <v>4243</v>
      </c>
      <c r="K69" s="764">
        <f t="shared" si="10"/>
        <v>22.412765863864962</v>
      </c>
      <c r="L69" s="750">
        <f t="shared" si="4"/>
        <v>179.3021269109197</v>
      </c>
    </row>
    <row r="70" spans="1:18" x14ac:dyDescent="0.2">
      <c r="A70" t="s">
        <v>4240</v>
      </c>
      <c r="B70" t="s">
        <v>4246</v>
      </c>
      <c r="C70" t="s">
        <v>4255</v>
      </c>
      <c r="D70" t="s">
        <v>4281</v>
      </c>
      <c r="E70" s="762">
        <v>4</v>
      </c>
      <c r="F70" s="762">
        <v>1</v>
      </c>
      <c r="G70" s="762">
        <v>4</v>
      </c>
      <c r="I70" s="762">
        <f t="shared" si="5"/>
        <v>4</v>
      </c>
      <c r="J70" s="762" t="s">
        <v>4243</v>
      </c>
      <c r="K70" s="764">
        <f t="shared" si="10"/>
        <v>28.015957329831199</v>
      </c>
      <c r="L70" s="750">
        <f t="shared" si="4"/>
        <v>112.0638293193248</v>
      </c>
    </row>
    <row r="71" spans="1:18" x14ac:dyDescent="0.2">
      <c r="A71" t="s">
        <v>4240</v>
      </c>
      <c r="B71" t="s">
        <v>4246</v>
      </c>
      <c r="C71" t="s">
        <v>4250</v>
      </c>
      <c r="D71" t="s">
        <v>4286</v>
      </c>
      <c r="E71" s="762">
        <v>0.63</v>
      </c>
      <c r="F71" s="762">
        <v>1</v>
      </c>
      <c r="G71" s="762">
        <v>0.63</v>
      </c>
      <c r="H71" s="784">
        <v>0.1</v>
      </c>
      <c r="I71" s="762">
        <f t="shared" si="5"/>
        <v>0.69300000000000006</v>
      </c>
      <c r="J71" s="762" t="s">
        <v>3</v>
      </c>
      <c r="K71" s="764">
        <f t="shared" si="10"/>
        <v>36.537966107566469</v>
      </c>
      <c r="L71" s="750">
        <f t="shared" si="4"/>
        <v>23.018918647766874</v>
      </c>
    </row>
    <row r="72" spans="1:18" x14ac:dyDescent="0.2">
      <c r="A72" t="s">
        <v>4240</v>
      </c>
      <c r="B72" t="s">
        <v>4246</v>
      </c>
      <c r="C72" t="s">
        <v>4250</v>
      </c>
      <c r="D72" t="s">
        <v>4275</v>
      </c>
      <c r="E72" s="762">
        <v>2.98</v>
      </c>
      <c r="F72" s="762">
        <v>1</v>
      </c>
      <c r="G72" s="762">
        <v>2.98</v>
      </c>
      <c r="H72" s="784">
        <v>0.1</v>
      </c>
      <c r="I72" s="762">
        <f t="shared" si="5"/>
        <v>3.278</v>
      </c>
      <c r="J72" s="762" t="s">
        <v>3</v>
      </c>
      <c r="K72" s="764">
        <f t="shared" si="10"/>
        <v>47.5</v>
      </c>
      <c r="L72" s="750">
        <f t="shared" si="4"/>
        <v>141.55000000000001</v>
      </c>
    </row>
    <row r="73" spans="1:18" x14ac:dyDescent="0.2">
      <c r="A73" t="s">
        <v>4240</v>
      </c>
      <c r="B73" t="s">
        <v>4246</v>
      </c>
      <c r="C73" t="s">
        <v>4256</v>
      </c>
      <c r="D73" t="s">
        <v>4283</v>
      </c>
      <c r="E73" s="762">
        <v>62.41</v>
      </c>
      <c r="F73" s="762">
        <v>1</v>
      </c>
      <c r="G73" s="762">
        <v>62.41</v>
      </c>
      <c r="H73" s="784">
        <v>0.1</v>
      </c>
      <c r="I73" s="762">
        <f t="shared" si="5"/>
        <v>68.650999999999996</v>
      </c>
      <c r="J73" s="762" t="s">
        <v>3</v>
      </c>
      <c r="K73" s="764">
        <f t="shared" si="10"/>
        <v>13.328093507957352</v>
      </c>
      <c r="L73" s="750">
        <f t="shared" si="4"/>
        <v>831.80631583161824</v>
      </c>
    </row>
    <row r="74" spans="1:18" x14ac:dyDescent="0.2">
      <c r="A74" t="s">
        <v>4306</v>
      </c>
      <c r="B74" t="s">
        <v>4246</v>
      </c>
      <c r="C74" t="s">
        <v>4307</v>
      </c>
      <c r="D74" t="s">
        <v>4316</v>
      </c>
      <c r="E74" s="762">
        <v>1</v>
      </c>
      <c r="F74" s="762">
        <v>1</v>
      </c>
      <c r="G74" s="762">
        <v>1</v>
      </c>
      <c r="H74" s="784"/>
      <c r="I74" s="762">
        <f t="shared" si="5"/>
        <v>1</v>
      </c>
      <c r="J74" s="762" t="s">
        <v>4243</v>
      </c>
      <c r="K74" s="764">
        <f t="shared" si="10"/>
        <v>620.1</v>
      </c>
      <c r="L74" s="750">
        <f t="shared" si="4"/>
        <v>620.1</v>
      </c>
    </row>
    <row r="75" spans="1:18" x14ac:dyDescent="0.2">
      <c r="A75" t="s">
        <v>4306</v>
      </c>
      <c r="B75" t="s">
        <v>4246</v>
      </c>
      <c r="C75" t="s">
        <v>4307</v>
      </c>
      <c r="D75" t="s">
        <v>4314</v>
      </c>
      <c r="E75" s="762">
        <v>4</v>
      </c>
      <c r="F75" s="762">
        <v>1</v>
      </c>
      <c r="G75" s="762">
        <v>4</v>
      </c>
      <c r="H75" s="784"/>
      <c r="I75" s="762">
        <f t="shared" si="5"/>
        <v>4</v>
      </c>
      <c r="J75" s="762" t="s">
        <v>4243</v>
      </c>
      <c r="K75" s="764">
        <f t="shared" si="10"/>
        <v>396.2</v>
      </c>
      <c r="L75" s="750">
        <f t="shared" si="4"/>
        <v>1584.8</v>
      </c>
    </row>
    <row r="76" spans="1:18" x14ac:dyDescent="0.2">
      <c r="A76" s="785"/>
      <c r="B76" s="785"/>
      <c r="C76" s="785"/>
      <c r="D76" s="785"/>
      <c r="E76" s="786"/>
      <c r="F76" s="786"/>
      <c r="G76" s="786"/>
      <c r="H76" s="787"/>
      <c r="I76" s="786"/>
      <c r="J76" s="786"/>
      <c r="K76" s="789" t="s">
        <v>796</v>
      </c>
      <c r="L76" s="788">
        <f>SUM(L62:L75)</f>
        <v>4072.2997645542882</v>
      </c>
    </row>
    <row r="77" spans="1:18" x14ac:dyDescent="0.2">
      <c r="A77" s="759"/>
      <c r="B77" s="759"/>
      <c r="C77" s="759"/>
      <c r="D77" s="759"/>
      <c r="E77" s="794"/>
      <c r="F77" s="794"/>
      <c r="G77" s="794"/>
      <c r="H77" s="795"/>
      <c r="I77" s="794"/>
      <c r="J77" s="794"/>
      <c r="K77" s="796" t="s">
        <v>4329</v>
      </c>
      <c r="L77" s="797">
        <f>L98/L97*L76</f>
        <v>2940.9256455254263</v>
      </c>
      <c r="R77" s="790"/>
    </row>
    <row r="78" spans="1:18" x14ac:dyDescent="0.2">
      <c r="A78" t="s">
        <v>4240</v>
      </c>
      <c r="B78" t="s">
        <v>4247</v>
      </c>
      <c r="C78" t="s">
        <v>4242</v>
      </c>
      <c r="D78" t="s">
        <v>4276</v>
      </c>
      <c r="E78" s="762">
        <v>4</v>
      </c>
      <c r="F78" s="762">
        <v>1</v>
      </c>
      <c r="G78" s="762">
        <v>4</v>
      </c>
      <c r="I78" s="762">
        <f t="shared" si="5"/>
        <v>4</v>
      </c>
      <c r="J78" s="762" t="s">
        <v>4243</v>
      </c>
      <c r="K78" s="764">
        <f t="shared" ref="K78:K91" si="11">SUMIF(P:P,D78,R:R)</f>
        <v>31.532604693408334</v>
      </c>
      <c r="L78" s="750">
        <f t="shared" si="4"/>
        <v>126.13041877363334</v>
      </c>
    </row>
    <row r="79" spans="1:18" x14ac:dyDescent="0.2">
      <c r="A79" t="s">
        <v>4240</v>
      </c>
      <c r="B79" t="s">
        <v>4247</v>
      </c>
      <c r="C79" t="s">
        <v>4249</v>
      </c>
      <c r="D79" t="s">
        <v>4277</v>
      </c>
      <c r="E79" s="762">
        <v>4</v>
      </c>
      <c r="F79" s="762">
        <v>1</v>
      </c>
      <c r="G79" s="762">
        <v>4</v>
      </c>
      <c r="I79" s="762">
        <f t="shared" si="5"/>
        <v>4</v>
      </c>
      <c r="J79" s="762" t="s">
        <v>4243</v>
      </c>
      <c r="K79" s="764">
        <f t="shared" si="11"/>
        <v>28.332455592553146</v>
      </c>
      <c r="L79" s="750">
        <f t="shared" si="4"/>
        <v>113.32982237021258</v>
      </c>
    </row>
    <row r="80" spans="1:18" x14ac:dyDescent="0.2">
      <c r="A80" t="s">
        <v>4240</v>
      </c>
      <c r="B80" t="s">
        <v>4247</v>
      </c>
      <c r="C80" t="s">
        <v>4250</v>
      </c>
      <c r="D80" t="s">
        <v>4261</v>
      </c>
      <c r="E80" s="762">
        <v>4</v>
      </c>
      <c r="F80" s="762">
        <v>1</v>
      </c>
      <c r="G80" s="762">
        <v>4</v>
      </c>
      <c r="I80" s="762">
        <f t="shared" si="5"/>
        <v>4</v>
      </c>
      <c r="J80" s="762" t="s">
        <v>4243</v>
      </c>
      <c r="K80" s="764">
        <f t="shared" si="11"/>
        <v>6.0134669917169061</v>
      </c>
      <c r="L80" s="750">
        <f t="shared" si="4"/>
        <v>24.053867966867625</v>
      </c>
    </row>
    <row r="81" spans="1:18" x14ac:dyDescent="0.2">
      <c r="A81" t="s">
        <v>4240</v>
      </c>
      <c r="B81" t="s">
        <v>4247</v>
      </c>
      <c r="C81" t="s">
        <v>4250</v>
      </c>
      <c r="D81" t="s">
        <v>4278</v>
      </c>
      <c r="E81" s="762">
        <v>1</v>
      </c>
      <c r="F81" s="762">
        <v>1</v>
      </c>
      <c r="G81" s="762">
        <v>1</v>
      </c>
      <c r="I81" s="762">
        <f t="shared" si="5"/>
        <v>1</v>
      </c>
      <c r="J81" s="762" t="s">
        <v>4243</v>
      </c>
      <c r="K81" s="764">
        <f t="shared" si="11"/>
        <v>8.0765667783488269</v>
      </c>
      <c r="L81" s="750">
        <f t="shared" si="4"/>
        <v>8.0765667783488269</v>
      </c>
    </row>
    <row r="82" spans="1:18" x14ac:dyDescent="0.2">
      <c r="A82" t="s">
        <v>4240</v>
      </c>
      <c r="B82" t="s">
        <v>4247</v>
      </c>
      <c r="C82" t="s">
        <v>4250</v>
      </c>
      <c r="D82" t="s">
        <v>4287</v>
      </c>
      <c r="E82" s="762">
        <v>2</v>
      </c>
      <c r="F82" s="762">
        <v>1</v>
      </c>
      <c r="G82" s="762">
        <v>2</v>
      </c>
      <c r="I82" s="762">
        <f t="shared" si="5"/>
        <v>2</v>
      </c>
      <c r="J82" s="762" t="s">
        <v>4243</v>
      </c>
      <c r="K82" s="764">
        <f t="shared" si="11"/>
        <v>9.8699999999999992</v>
      </c>
      <c r="L82" s="750">
        <f t="shared" si="4"/>
        <v>19.739999999999998</v>
      </c>
    </row>
    <row r="83" spans="1:18" x14ac:dyDescent="0.2">
      <c r="A83" t="s">
        <v>4240</v>
      </c>
      <c r="B83" t="s">
        <v>4247</v>
      </c>
      <c r="C83" t="s">
        <v>4250</v>
      </c>
      <c r="D83" t="s">
        <v>4288</v>
      </c>
      <c r="E83" s="762">
        <v>1</v>
      </c>
      <c r="F83" s="762">
        <v>1</v>
      </c>
      <c r="G83" s="762">
        <v>1</v>
      </c>
      <c r="I83" s="762">
        <f t="shared" si="5"/>
        <v>1</v>
      </c>
      <c r="J83" s="762" t="s">
        <v>4243</v>
      </c>
      <c r="K83" s="764">
        <f t="shared" si="11"/>
        <v>29.246783907083199</v>
      </c>
      <c r="L83" s="750">
        <f t="shared" si="4"/>
        <v>29.246783907083199</v>
      </c>
    </row>
    <row r="84" spans="1:18" x14ac:dyDescent="0.2">
      <c r="A84" t="s">
        <v>4240</v>
      </c>
      <c r="B84" t="s">
        <v>4247</v>
      </c>
      <c r="C84" t="s">
        <v>4250</v>
      </c>
      <c r="D84" t="s">
        <v>4279</v>
      </c>
      <c r="E84" s="762">
        <v>4</v>
      </c>
      <c r="F84" s="762">
        <v>1</v>
      </c>
      <c r="G84" s="762">
        <v>4</v>
      </c>
      <c r="I84" s="762">
        <f t="shared" si="5"/>
        <v>4</v>
      </c>
      <c r="J84" s="762" t="s">
        <v>4243</v>
      </c>
      <c r="K84" s="764">
        <f t="shared" si="11"/>
        <v>65.374474488898997</v>
      </c>
      <c r="L84" s="750">
        <f t="shared" si="4"/>
        <v>261.49789795559599</v>
      </c>
    </row>
    <row r="85" spans="1:18" x14ac:dyDescent="0.2">
      <c r="A85" t="s">
        <v>4240</v>
      </c>
      <c r="B85" t="s">
        <v>4247</v>
      </c>
      <c r="C85" t="s">
        <v>4255</v>
      </c>
      <c r="D85" t="s">
        <v>4280</v>
      </c>
      <c r="E85" s="762">
        <v>8</v>
      </c>
      <c r="F85" s="762">
        <v>1</v>
      </c>
      <c r="G85" s="762">
        <v>8</v>
      </c>
      <c r="I85" s="762">
        <f t="shared" si="5"/>
        <v>8</v>
      </c>
      <c r="J85" s="762" t="s">
        <v>4243</v>
      </c>
      <c r="K85" s="764">
        <f t="shared" si="11"/>
        <v>22.412765863864962</v>
      </c>
      <c r="L85" s="750">
        <f t="shared" si="4"/>
        <v>179.3021269109197</v>
      </c>
    </row>
    <row r="86" spans="1:18" x14ac:dyDescent="0.2">
      <c r="A86" t="s">
        <v>4240</v>
      </c>
      <c r="B86" t="s">
        <v>4247</v>
      </c>
      <c r="C86" t="s">
        <v>4255</v>
      </c>
      <c r="D86" t="s">
        <v>4281</v>
      </c>
      <c r="E86" s="762">
        <v>4</v>
      </c>
      <c r="F86" s="762">
        <v>1</v>
      </c>
      <c r="G86" s="762">
        <v>4</v>
      </c>
      <c r="I86" s="762">
        <f t="shared" si="5"/>
        <v>4</v>
      </c>
      <c r="J86" s="762" t="s">
        <v>4243</v>
      </c>
      <c r="K86" s="764">
        <f t="shared" si="11"/>
        <v>28.015957329831199</v>
      </c>
      <c r="L86" s="750">
        <f t="shared" si="4"/>
        <v>112.0638293193248</v>
      </c>
    </row>
    <row r="87" spans="1:18" x14ac:dyDescent="0.2">
      <c r="A87" t="s">
        <v>4240</v>
      </c>
      <c r="B87" t="s">
        <v>4247</v>
      </c>
      <c r="C87" t="s">
        <v>4250</v>
      </c>
      <c r="D87" t="s">
        <v>4286</v>
      </c>
      <c r="E87" s="762">
        <v>0.63</v>
      </c>
      <c r="F87" s="762">
        <v>1</v>
      </c>
      <c r="G87" s="762">
        <v>0.63</v>
      </c>
      <c r="H87" s="784">
        <v>0.1</v>
      </c>
      <c r="I87" s="762">
        <f t="shared" si="5"/>
        <v>0.69300000000000006</v>
      </c>
      <c r="J87" s="762" t="s">
        <v>3</v>
      </c>
      <c r="K87" s="764">
        <f t="shared" si="11"/>
        <v>36.537966107566469</v>
      </c>
      <c r="L87" s="750">
        <f t="shared" si="4"/>
        <v>23.018918647766874</v>
      </c>
    </row>
    <row r="88" spans="1:18" x14ac:dyDescent="0.2">
      <c r="A88" t="s">
        <v>4240</v>
      </c>
      <c r="B88" t="s">
        <v>4247</v>
      </c>
      <c r="C88" t="s">
        <v>4250</v>
      </c>
      <c r="D88" t="s">
        <v>4275</v>
      </c>
      <c r="E88" s="762">
        <v>0.62</v>
      </c>
      <c r="F88" s="762">
        <v>1</v>
      </c>
      <c r="G88" s="762">
        <v>0.62</v>
      </c>
      <c r="H88" s="784">
        <v>0.1</v>
      </c>
      <c r="I88" s="762">
        <f t="shared" si="5"/>
        <v>0.68200000000000005</v>
      </c>
      <c r="J88" s="762" t="s">
        <v>3</v>
      </c>
      <c r="K88" s="764">
        <f t="shared" si="11"/>
        <v>47.5</v>
      </c>
      <c r="L88" s="750">
        <f t="shared" ref="L88:L94" si="12">G88*K88</f>
        <v>29.45</v>
      </c>
    </row>
    <row r="89" spans="1:18" x14ac:dyDescent="0.2">
      <c r="A89" t="s">
        <v>4240</v>
      </c>
      <c r="B89" t="s">
        <v>4247</v>
      </c>
      <c r="C89" t="s">
        <v>4256</v>
      </c>
      <c r="D89" t="s">
        <v>4283</v>
      </c>
      <c r="E89" s="762">
        <v>54.44</v>
      </c>
      <c r="F89" s="762">
        <v>1</v>
      </c>
      <c r="G89" s="762">
        <v>54.44</v>
      </c>
      <c r="H89" s="784">
        <v>0.1</v>
      </c>
      <c r="I89" s="762">
        <f t="shared" si="5"/>
        <v>59.884</v>
      </c>
      <c r="J89" s="762" t="s">
        <v>3</v>
      </c>
      <c r="K89" s="764">
        <f t="shared" si="11"/>
        <v>13.328093507957352</v>
      </c>
      <c r="L89" s="750">
        <f t="shared" si="12"/>
        <v>725.58141057319824</v>
      </c>
    </row>
    <row r="90" spans="1:18" x14ac:dyDescent="0.2">
      <c r="A90" t="s">
        <v>4306</v>
      </c>
      <c r="B90" t="s">
        <v>4247</v>
      </c>
      <c r="C90" t="s">
        <v>4307</v>
      </c>
      <c r="D90" t="s">
        <v>4316</v>
      </c>
      <c r="E90" s="762">
        <v>1</v>
      </c>
      <c r="F90" s="762">
        <v>1</v>
      </c>
      <c r="G90" s="762">
        <v>1</v>
      </c>
      <c r="I90" s="762">
        <f t="shared" si="5"/>
        <v>1</v>
      </c>
      <c r="J90" s="784" t="s">
        <v>4243</v>
      </c>
      <c r="K90" s="764">
        <f t="shared" si="11"/>
        <v>620.1</v>
      </c>
      <c r="L90" s="750">
        <f t="shared" si="12"/>
        <v>620.1</v>
      </c>
    </row>
    <row r="91" spans="1:18" x14ac:dyDescent="0.2">
      <c r="A91" t="s">
        <v>4306</v>
      </c>
      <c r="B91" t="s">
        <v>4247</v>
      </c>
      <c r="C91" t="s">
        <v>4307</v>
      </c>
      <c r="D91" t="s">
        <v>4314</v>
      </c>
      <c r="E91" s="762">
        <v>4</v>
      </c>
      <c r="F91" s="762">
        <v>1</v>
      </c>
      <c r="G91" s="762">
        <v>4</v>
      </c>
      <c r="I91" s="762">
        <f t="shared" si="5"/>
        <v>4</v>
      </c>
      <c r="J91" s="784" t="s">
        <v>4243</v>
      </c>
      <c r="K91" s="764">
        <f t="shared" si="11"/>
        <v>396.2</v>
      </c>
      <c r="L91" s="750">
        <f t="shared" si="12"/>
        <v>1584.8</v>
      </c>
    </row>
    <row r="92" spans="1:18" x14ac:dyDescent="0.2">
      <c r="A92" s="785"/>
      <c r="B92" s="785"/>
      <c r="C92" s="785"/>
      <c r="D92" s="785"/>
      <c r="E92" s="786"/>
      <c r="F92" s="786"/>
      <c r="G92" s="786"/>
      <c r="H92" s="787"/>
      <c r="I92" s="786"/>
      <c r="J92" s="786"/>
      <c r="K92" s="789" t="s">
        <v>4330</v>
      </c>
      <c r="L92" s="788">
        <f>SUM(L78:L91)</f>
        <v>3856.3916432029509</v>
      </c>
    </row>
    <row r="93" spans="1:18" x14ac:dyDescent="0.2">
      <c r="A93" s="759"/>
      <c r="B93" s="759"/>
      <c r="C93" s="759"/>
      <c r="D93" s="759"/>
      <c r="E93" s="794"/>
      <c r="F93" s="794"/>
      <c r="G93" s="794"/>
      <c r="H93" s="795"/>
      <c r="I93" s="794"/>
      <c r="J93" s="794"/>
      <c r="K93" s="796" t="s">
        <v>4331</v>
      </c>
      <c r="L93" s="797">
        <f>L98/L97*L92</f>
        <v>2785.0015319112458</v>
      </c>
      <c r="R93" s="790"/>
    </row>
    <row r="94" spans="1:18" x14ac:dyDescent="0.2">
      <c r="A94" t="s">
        <v>4240</v>
      </c>
      <c r="B94" t="s">
        <v>4248</v>
      </c>
      <c r="C94" t="s">
        <v>4242</v>
      </c>
      <c r="D94" t="s">
        <v>4289</v>
      </c>
      <c r="E94" s="762">
        <v>1</v>
      </c>
      <c r="F94" s="762">
        <v>1</v>
      </c>
      <c r="G94" s="762">
        <v>1</v>
      </c>
      <c r="I94" s="762">
        <f t="shared" si="5"/>
        <v>1</v>
      </c>
      <c r="J94" s="762" t="s">
        <v>4243</v>
      </c>
      <c r="K94" s="764">
        <f>SUMIF(P:P,D94,R:R)</f>
        <v>327.63</v>
      </c>
      <c r="L94" s="750">
        <f t="shared" si="12"/>
        <v>327.63</v>
      </c>
    </row>
    <row r="95" spans="1:18" x14ac:dyDescent="0.2">
      <c r="A95" s="785"/>
      <c r="B95" s="785"/>
      <c r="C95" s="785"/>
      <c r="D95" s="785"/>
      <c r="E95" s="786"/>
      <c r="F95" s="786"/>
      <c r="G95" s="786"/>
      <c r="H95" s="787"/>
      <c r="I95" s="786"/>
      <c r="J95" s="786"/>
      <c r="K95" s="789" t="s">
        <v>431</v>
      </c>
      <c r="L95" s="788">
        <f>L94</f>
        <v>327.63</v>
      </c>
      <c r="M95" s="757"/>
    </row>
    <row r="96" spans="1:18" x14ac:dyDescent="0.2">
      <c r="A96" s="759"/>
      <c r="B96" s="759"/>
      <c r="C96" s="759"/>
      <c r="D96" s="759"/>
      <c r="E96" s="794"/>
      <c r="F96" s="794"/>
      <c r="G96" s="794"/>
      <c r="H96" s="795"/>
      <c r="I96" s="794"/>
      <c r="J96" s="794"/>
      <c r="K96" s="796" t="s">
        <v>4331</v>
      </c>
      <c r="L96" s="797">
        <f>L98/L97*L95</f>
        <v>236.60720598964895</v>
      </c>
      <c r="R96" s="790"/>
    </row>
    <row r="97" spans="11:13" x14ac:dyDescent="0.2">
      <c r="K97" s="792" t="s">
        <v>4305</v>
      </c>
      <c r="L97" s="793">
        <f>SUM(L95,L92,L76,L60,L44,L30,L24)</f>
        <v>99713.04377045107</v>
      </c>
      <c r="M97" s="757"/>
    </row>
    <row r="98" spans="11:13" x14ac:dyDescent="0.2">
      <c r="K98" s="792" t="s">
        <v>4323</v>
      </c>
      <c r="L98" s="793">
        <f>5.46*'Obra '!E9</f>
        <v>72010.574999999997</v>
      </c>
      <c r="M98" s="757"/>
    </row>
    <row r="99" spans="11:13" x14ac:dyDescent="0.2">
      <c r="K99" s="798" t="s">
        <v>12</v>
      </c>
      <c r="L99" s="799">
        <f>L97+L98</f>
        <v>171723.61877045105</v>
      </c>
      <c r="M99" s="757">
        <f>L99/'Obra '!E9</f>
        <v>13.020462043063297</v>
      </c>
    </row>
  </sheetData>
  <sortState xmlns:xlrd2="http://schemas.microsoft.com/office/spreadsheetml/2017/richdata2" ref="A2:J170">
    <sortCondition ref="B1:B170"/>
  </sortState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4D1B1-ED07-4B4C-9554-C510B794341A}">
  <sheetPr>
    <tabColor rgb="FFB4B4B4"/>
  </sheetPr>
  <dimension ref="A1:P52"/>
  <sheetViews>
    <sheetView topLeftCell="B1" workbookViewId="0">
      <selection activeCell="B97" sqref="B97"/>
    </sheetView>
  </sheetViews>
  <sheetFormatPr defaultRowHeight="12.75" x14ac:dyDescent="0.2"/>
  <cols>
    <col min="1" max="1" width="17.28515625" bestFit="1" customWidth="1"/>
    <col min="2" max="2" width="19.28515625" bestFit="1" customWidth="1"/>
    <col min="3" max="3" width="16" bestFit="1" customWidth="1"/>
    <col min="4" max="4" width="51.7109375" bestFit="1" customWidth="1"/>
    <col min="5" max="5" width="13.140625" customWidth="1"/>
    <col min="6" max="6" width="10.7109375" customWidth="1"/>
    <col min="7" max="7" width="6.5703125" customWidth="1"/>
    <col min="8" max="9" width="9.140625" customWidth="1"/>
    <col min="10" max="10" width="13.28515625" bestFit="1" customWidth="1"/>
    <col min="11" max="12" width="13.28515625" style="750" bestFit="1" customWidth="1"/>
    <col min="13" max="13" width="13.28515625" style="750" customWidth="1"/>
    <col min="14" max="14" width="51.7109375" bestFit="1" customWidth="1"/>
  </cols>
  <sheetData>
    <row r="1" spans="1:15" ht="15" x14ac:dyDescent="0.25">
      <c r="A1" s="800" t="s">
        <v>4234</v>
      </c>
      <c r="B1" s="801" t="s">
        <v>4235</v>
      </c>
      <c r="C1" s="801" t="s">
        <v>4236</v>
      </c>
      <c r="D1" s="801" t="s">
        <v>4344</v>
      </c>
      <c r="E1" s="800" t="s">
        <v>4237</v>
      </c>
      <c r="F1" s="800" t="s">
        <v>4238</v>
      </c>
      <c r="G1" s="802" t="s">
        <v>8</v>
      </c>
      <c r="H1" s="800" t="s">
        <v>4239</v>
      </c>
      <c r="I1" s="800" t="s">
        <v>4345</v>
      </c>
      <c r="J1" s="800" t="s">
        <v>4346</v>
      </c>
      <c r="K1" s="807" t="s">
        <v>4347</v>
      </c>
      <c r="L1" s="807" t="s">
        <v>4348</v>
      </c>
      <c r="M1" s="809"/>
      <c r="N1" s="763" t="s">
        <v>4334</v>
      </c>
      <c r="O1">
        <v>960.6</v>
      </c>
    </row>
    <row r="2" spans="1:15" x14ac:dyDescent="0.2">
      <c r="A2" s="803" t="s">
        <v>4333</v>
      </c>
      <c r="B2" s="804" t="s">
        <v>4241</v>
      </c>
      <c r="C2" s="804" t="s">
        <v>4242</v>
      </c>
      <c r="D2" s="804" t="s">
        <v>4334</v>
      </c>
      <c r="E2" s="805">
        <v>1</v>
      </c>
      <c r="F2" s="805">
        <v>1</v>
      </c>
      <c r="G2" s="805">
        <f>F2*E2</f>
        <v>1</v>
      </c>
      <c r="H2" s="803" t="s">
        <v>4243</v>
      </c>
      <c r="I2" s="803"/>
      <c r="J2" s="803">
        <f>G2*(1+I2)</f>
        <v>1</v>
      </c>
      <c r="K2" s="808">
        <f>_xlfn.XLOOKUP(D2,N:N,O:O,,0)</f>
        <v>960.6</v>
      </c>
      <c r="L2" s="808">
        <f>K2*J2</f>
        <v>960.6</v>
      </c>
      <c r="M2" s="808"/>
      <c r="N2" s="763" t="s">
        <v>4339</v>
      </c>
      <c r="O2">
        <v>62.53</v>
      </c>
    </row>
    <row r="3" spans="1:15" x14ac:dyDescent="0.2">
      <c r="A3" s="803" t="s">
        <v>4333</v>
      </c>
      <c r="B3" s="804" t="s">
        <v>4241</v>
      </c>
      <c r="C3" s="804" t="s">
        <v>4250</v>
      </c>
      <c r="D3" s="804" t="s">
        <v>4339</v>
      </c>
      <c r="E3" s="805">
        <v>9</v>
      </c>
      <c r="F3" s="805">
        <v>1</v>
      </c>
      <c r="G3" s="805">
        <f>F3*E3</f>
        <v>9</v>
      </c>
      <c r="H3" s="803" t="s">
        <v>4243</v>
      </c>
      <c r="I3" s="803"/>
      <c r="J3" s="803">
        <f t="shared" ref="J3:J49" si="0">G3*(1+I3)</f>
        <v>9</v>
      </c>
      <c r="K3" s="808">
        <f>_xlfn.XLOOKUP(D3,N:N,O:O,,0)</f>
        <v>62.53</v>
      </c>
      <c r="L3" s="808">
        <f t="shared" ref="L3:L49" si="1">K3*J3</f>
        <v>562.77</v>
      </c>
      <c r="M3" s="808"/>
      <c r="N3" s="763" t="s">
        <v>4340</v>
      </c>
      <c r="O3">
        <v>79.03</v>
      </c>
    </row>
    <row r="4" spans="1:15" x14ac:dyDescent="0.2">
      <c r="A4" s="803" t="s">
        <v>4333</v>
      </c>
      <c r="B4" s="804" t="s">
        <v>4241</v>
      </c>
      <c r="C4" s="804" t="s">
        <v>4250</v>
      </c>
      <c r="D4" s="804" t="s">
        <v>4340</v>
      </c>
      <c r="E4" s="805">
        <v>2</v>
      </c>
      <c r="F4" s="805">
        <v>1</v>
      </c>
      <c r="G4" s="805">
        <f>F4*E4</f>
        <v>2</v>
      </c>
      <c r="H4" s="803" t="s">
        <v>4243</v>
      </c>
      <c r="I4" s="803"/>
      <c r="J4" s="803">
        <f t="shared" si="0"/>
        <v>2</v>
      </c>
      <c r="K4" s="808">
        <f>_xlfn.XLOOKUP(D4,N:N,O:O,,0)</f>
        <v>79.03</v>
      </c>
      <c r="L4" s="808">
        <f t="shared" si="1"/>
        <v>158.06</v>
      </c>
      <c r="M4" s="808"/>
      <c r="N4" s="763" t="s">
        <v>4343</v>
      </c>
      <c r="O4">
        <v>107.3</v>
      </c>
    </row>
    <row r="5" spans="1:15" x14ac:dyDescent="0.2">
      <c r="A5" s="803" t="s">
        <v>4333</v>
      </c>
      <c r="B5" s="804" t="s">
        <v>4241</v>
      </c>
      <c r="C5" s="804" t="s">
        <v>4250</v>
      </c>
      <c r="D5" s="804" t="s">
        <v>4343</v>
      </c>
      <c r="E5" s="803">
        <v>36.450000000000003</v>
      </c>
      <c r="F5" s="805">
        <v>1</v>
      </c>
      <c r="G5" s="805">
        <f>F5*E5</f>
        <v>36.450000000000003</v>
      </c>
      <c r="H5" s="803" t="s">
        <v>3</v>
      </c>
      <c r="I5" s="806">
        <v>0.1</v>
      </c>
      <c r="J5" s="803">
        <f t="shared" si="0"/>
        <v>40.095000000000006</v>
      </c>
      <c r="K5" s="808">
        <f>_xlfn.XLOOKUP(D5,N:N,O:O,,0)</f>
        <v>107.3</v>
      </c>
      <c r="L5" s="808">
        <f t="shared" si="1"/>
        <v>4302.1935000000003</v>
      </c>
      <c r="M5" s="808"/>
      <c r="N5" s="763" t="s">
        <v>4335</v>
      </c>
      <c r="O5">
        <v>569.9</v>
      </c>
    </row>
    <row r="6" spans="1:15" x14ac:dyDescent="0.2">
      <c r="A6" s="810"/>
      <c r="B6" s="811"/>
      <c r="C6" s="811"/>
      <c r="D6" s="811"/>
      <c r="E6" s="810"/>
      <c r="F6" s="812"/>
      <c r="G6" s="812"/>
      <c r="H6" s="810"/>
      <c r="I6" s="813"/>
      <c r="J6" s="810"/>
      <c r="K6" s="815" t="s">
        <v>4305</v>
      </c>
      <c r="L6" s="814">
        <f>SUM(L2:L5)</f>
        <v>5983.6234999999997</v>
      </c>
      <c r="M6" s="808"/>
      <c r="N6" s="763"/>
    </row>
    <row r="7" spans="1:15" x14ac:dyDescent="0.2">
      <c r="A7" s="810"/>
      <c r="B7" s="811"/>
      <c r="C7" s="811"/>
      <c r="D7" s="811"/>
      <c r="E7" s="810"/>
      <c r="F7" s="812"/>
      <c r="G7" s="812"/>
      <c r="H7" s="810"/>
      <c r="I7" s="813"/>
      <c r="J7" s="810"/>
      <c r="K7" s="815" t="s">
        <v>4349</v>
      </c>
      <c r="L7" s="814"/>
      <c r="M7" s="808"/>
      <c r="N7" s="763"/>
    </row>
    <row r="8" spans="1:15" x14ac:dyDescent="0.2">
      <c r="A8" s="803" t="s">
        <v>4333</v>
      </c>
      <c r="B8" s="804" t="s">
        <v>4251</v>
      </c>
      <c r="C8" s="804" t="s">
        <v>4250</v>
      </c>
      <c r="D8" s="804" t="s">
        <v>4340</v>
      </c>
      <c r="E8" s="803">
        <v>1</v>
      </c>
      <c r="F8" s="805">
        <v>1</v>
      </c>
      <c r="G8" s="805">
        <f t="shared" ref="G8:G16" si="2">F8*E8</f>
        <v>1</v>
      </c>
      <c r="H8" s="803" t="s">
        <v>4243</v>
      </c>
      <c r="I8" s="803"/>
      <c r="J8" s="803">
        <f t="shared" si="0"/>
        <v>1</v>
      </c>
      <c r="K8" s="808">
        <f t="shared" ref="K8:K16" si="3">_xlfn.SINGLE(_xlfn.XLOOKUP(D8,N:N,O:O,,0))</f>
        <v>79.03</v>
      </c>
      <c r="L8" s="808">
        <f t="shared" si="1"/>
        <v>79.03</v>
      </c>
      <c r="M8" s="808"/>
      <c r="N8" s="763" t="s">
        <v>4337</v>
      </c>
      <c r="O8">
        <v>137.79</v>
      </c>
    </row>
    <row r="9" spans="1:15" x14ac:dyDescent="0.2">
      <c r="A9" s="803" t="s">
        <v>4333</v>
      </c>
      <c r="B9" s="804" t="s">
        <v>4251</v>
      </c>
      <c r="C9" s="804" t="s">
        <v>4250</v>
      </c>
      <c r="D9" s="804" t="s">
        <v>4343</v>
      </c>
      <c r="E9" s="803">
        <v>2.82</v>
      </c>
      <c r="F9" s="805">
        <v>1</v>
      </c>
      <c r="G9" s="805">
        <f t="shared" si="2"/>
        <v>2.82</v>
      </c>
      <c r="H9" s="803" t="s">
        <v>3</v>
      </c>
      <c r="I9" s="806">
        <v>0.1</v>
      </c>
      <c r="J9" s="803">
        <f t="shared" si="0"/>
        <v>3.1019999999999999</v>
      </c>
      <c r="K9" s="808">
        <f t="shared" si="3"/>
        <v>107.3</v>
      </c>
      <c r="L9" s="808">
        <f t="shared" si="1"/>
        <v>332.84459999999996</v>
      </c>
      <c r="M9" s="808"/>
      <c r="N9" s="763" t="s">
        <v>4338</v>
      </c>
      <c r="O9">
        <v>12.99</v>
      </c>
    </row>
    <row r="10" spans="1:15" x14ac:dyDescent="0.2">
      <c r="A10" s="803" t="s">
        <v>4333</v>
      </c>
      <c r="B10" s="804" t="s">
        <v>4252</v>
      </c>
      <c r="C10" s="804" t="s">
        <v>4250</v>
      </c>
      <c r="D10" s="804" t="s">
        <v>4340</v>
      </c>
      <c r="E10" s="805">
        <v>1</v>
      </c>
      <c r="F10" s="805">
        <v>1</v>
      </c>
      <c r="G10" s="805">
        <f t="shared" si="2"/>
        <v>1</v>
      </c>
      <c r="H10" s="803" t="s">
        <v>4243</v>
      </c>
      <c r="I10" s="803"/>
      <c r="J10" s="803">
        <f t="shared" si="0"/>
        <v>1</v>
      </c>
      <c r="K10" s="808">
        <f t="shared" si="3"/>
        <v>79.03</v>
      </c>
      <c r="L10" s="808">
        <f t="shared" si="1"/>
        <v>79.03</v>
      </c>
      <c r="M10" s="808"/>
      <c r="N10" s="763" t="s">
        <v>4341</v>
      </c>
      <c r="O10">
        <v>47.73</v>
      </c>
    </row>
    <row r="11" spans="1:15" x14ac:dyDescent="0.2">
      <c r="A11" s="803" t="s">
        <v>4333</v>
      </c>
      <c r="B11" s="804" t="s">
        <v>4252</v>
      </c>
      <c r="C11" s="804" t="s">
        <v>4250</v>
      </c>
      <c r="D11" s="804" t="s">
        <v>4343</v>
      </c>
      <c r="E11" s="803">
        <v>2.96</v>
      </c>
      <c r="F11" s="805">
        <v>1</v>
      </c>
      <c r="G11" s="805">
        <f t="shared" si="2"/>
        <v>2.96</v>
      </c>
      <c r="H11" s="803" t="s">
        <v>3</v>
      </c>
      <c r="I11" s="806">
        <v>0.1</v>
      </c>
      <c r="J11" s="803">
        <f t="shared" si="0"/>
        <v>3.2560000000000002</v>
      </c>
      <c r="K11" s="808">
        <f t="shared" si="3"/>
        <v>107.3</v>
      </c>
      <c r="L11" s="808">
        <f t="shared" si="1"/>
        <v>349.36880000000002</v>
      </c>
      <c r="M11" s="808"/>
      <c r="N11" s="763" t="s">
        <v>4342</v>
      </c>
      <c r="O11">
        <v>91.66</v>
      </c>
    </row>
    <row r="12" spans="1:15" x14ac:dyDescent="0.2">
      <c r="A12" s="803" t="s">
        <v>4333</v>
      </c>
      <c r="B12" s="804" t="s">
        <v>4253</v>
      </c>
      <c r="C12" s="804" t="s">
        <v>4250</v>
      </c>
      <c r="D12" s="804" t="s">
        <v>4340</v>
      </c>
      <c r="E12" s="805">
        <v>1</v>
      </c>
      <c r="F12" s="805">
        <v>1</v>
      </c>
      <c r="G12" s="805">
        <f t="shared" si="2"/>
        <v>1</v>
      </c>
      <c r="H12" s="803" t="s">
        <v>4243</v>
      </c>
      <c r="I12" s="803"/>
      <c r="J12" s="803">
        <f t="shared" si="0"/>
        <v>1</v>
      </c>
      <c r="K12" s="808">
        <f t="shared" si="3"/>
        <v>79.03</v>
      </c>
      <c r="L12" s="808">
        <f t="shared" si="1"/>
        <v>79.03</v>
      </c>
      <c r="M12" s="808"/>
    </row>
    <row r="13" spans="1:15" x14ac:dyDescent="0.2">
      <c r="A13" s="803" t="s">
        <v>4333</v>
      </c>
      <c r="B13" s="804" t="s">
        <v>4253</v>
      </c>
      <c r="C13" s="804" t="s">
        <v>4250</v>
      </c>
      <c r="D13" s="804" t="s">
        <v>4343</v>
      </c>
      <c r="E13" s="803">
        <v>3.3</v>
      </c>
      <c r="F13" s="805">
        <v>1</v>
      </c>
      <c r="G13" s="805">
        <f t="shared" si="2"/>
        <v>3.3</v>
      </c>
      <c r="H13" s="803" t="s">
        <v>3</v>
      </c>
      <c r="I13" s="806">
        <v>0.1</v>
      </c>
      <c r="J13" s="803">
        <f t="shared" si="0"/>
        <v>3.63</v>
      </c>
      <c r="K13" s="808">
        <f t="shared" si="3"/>
        <v>107.3</v>
      </c>
      <c r="L13" s="808">
        <f t="shared" si="1"/>
        <v>389.49899999999997</v>
      </c>
      <c r="M13" s="808"/>
    </row>
    <row r="14" spans="1:15" x14ac:dyDescent="0.2">
      <c r="A14" s="803" t="s">
        <v>4333</v>
      </c>
      <c r="B14" s="804" t="s">
        <v>4254</v>
      </c>
      <c r="C14" s="804" t="s">
        <v>4250</v>
      </c>
      <c r="D14" s="804" t="s">
        <v>4339</v>
      </c>
      <c r="E14" s="805">
        <v>2</v>
      </c>
      <c r="F14" s="805">
        <v>1</v>
      </c>
      <c r="G14" s="805">
        <f t="shared" si="2"/>
        <v>2</v>
      </c>
      <c r="H14" s="803" t="s">
        <v>4243</v>
      </c>
      <c r="I14" s="803"/>
      <c r="J14" s="803">
        <f t="shared" si="0"/>
        <v>2</v>
      </c>
      <c r="K14" s="808">
        <f t="shared" si="3"/>
        <v>62.53</v>
      </c>
      <c r="L14" s="808">
        <f t="shared" si="1"/>
        <v>125.06</v>
      </c>
      <c r="M14" s="808"/>
    </row>
    <row r="15" spans="1:15" x14ac:dyDescent="0.2">
      <c r="A15" s="803" t="s">
        <v>4333</v>
      </c>
      <c r="B15" s="804" t="s">
        <v>4254</v>
      </c>
      <c r="C15" s="804" t="s">
        <v>4250</v>
      </c>
      <c r="D15" s="804" t="s">
        <v>4340</v>
      </c>
      <c r="E15" s="805">
        <v>1</v>
      </c>
      <c r="F15" s="805">
        <v>1</v>
      </c>
      <c r="G15" s="805">
        <f t="shared" si="2"/>
        <v>1</v>
      </c>
      <c r="H15" s="803" t="s">
        <v>4243</v>
      </c>
      <c r="I15" s="803"/>
      <c r="J15" s="803">
        <f t="shared" si="0"/>
        <v>1</v>
      </c>
      <c r="K15" s="808">
        <f t="shared" si="3"/>
        <v>79.03</v>
      </c>
      <c r="L15" s="808">
        <f t="shared" si="1"/>
        <v>79.03</v>
      </c>
      <c r="M15" s="808"/>
    </row>
    <row r="16" spans="1:15" x14ac:dyDescent="0.2">
      <c r="A16" s="803" t="s">
        <v>4333</v>
      </c>
      <c r="B16" s="804" t="s">
        <v>4254</v>
      </c>
      <c r="C16" s="804" t="s">
        <v>4250</v>
      </c>
      <c r="D16" s="804" t="s">
        <v>4343</v>
      </c>
      <c r="E16" s="803">
        <v>3.27</v>
      </c>
      <c r="F16" s="805">
        <v>1</v>
      </c>
      <c r="G16" s="805">
        <f t="shared" si="2"/>
        <v>3.27</v>
      </c>
      <c r="H16" s="803" t="s">
        <v>3</v>
      </c>
      <c r="I16" s="806">
        <v>0.1</v>
      </c>
      <c r="J16" s="803">
        <f t="shared" si="0"/>
        <v>3.5970000000000004</v>
      </c>
      <c r="K16" s="808">
        <f t="shared" si="3"/>
        <v>107.3</v>
      </c>
      <c r="L16" s="808">
        <f t="shared" si="1"/>
        <v>385.95810000000006</v>
      </c>
      <c r="M16" s="808"/>
    </row>
    <row r="17" spans="1:16" x14ac:dyDescent="0.2">
      <c r="A17" s="810"/>
      <c r="B17" s="811"/>
      <c r="C17" s="811"/>
      <c r="D17" s="811"/>
      <c r="E17" s="810"/>
      <c r="F17" s="812"/>
      <c r="G17" s="812"/>
      <c r="H17" s="810"/>
      <c r="I17" s="813"/>
      <c r="J17" s="810"/>
      <c r="K17" s="815" t="s">
        <v>4305</v>
      </c>
      <c r="L17" s="814">
        <f>SUM(L8:L16)</f>
        <v>1898.8505</v>
      </c>
      <c r="M17" s="808"/>
      <c r="N17" s="763"/>
    </row>
    <row r="18" spans="1:16" x14ac:dyDescent="0.2">
      <c r="A18" s="810"/>
      <c r="B18" s="811"/>
      <c r="C18" s="811"/>
      <c r="D18" s="811"/>
      <c r="E18" s="810"/>
      <c r="F18" s="812"/>
      <c r="G18" s="812"/>
      <c r="H18" s="810"/>
      <c r="I18" s="813"/>
      <c r="J18" s="810"/>
      <c r="K18" s="815" t="s">
        <v>4349</v>
      </c>
      <c r="L18" s="814"/>
      <c r="M18" s="808"/>
      <c r="N18" s="763"/>
    </row>
    <row r="19" spans="1:16" x14ac:dyDescent="0.2">
      <c r="A19" s="803" t="s">
        <v>4333</v>
      </c>
      <c r="B19" s="804" t="s">
        <v>4244</v>
      </c>
      <c r="C19" s="804" t="s">
        <v>4250</v>
      </c>
      <c r="D19" s="804" t="s">
        <v>4339</v>
      </c>
      <c r="E19" s="805">
        <v>2</v>
      </c>
      <c r="F19" s="805">
        <v>1</v>
      </c>
      <c r="G19" s="805">
        <f>F19*E19</f>
        <v>2</v>
      </c>
      <c r="H19" s="803" t="s">
        <v>4243</v>
      </c>
      <c r="I19" s="803"/>
      <c r="J19" s="803">
        <f t="shared" si="0"/>
        <v>2</v>
      </c>
      <c r="K19" s="808">
        <f>_xlfn.XLOOKUP(D19,N:N,O:O,,0)</f>
        <v>62.53</v>
      </c>
      <c r="L19" s="808">
        <f t="shared" si="1"/>
        <v>125.06</v>
      </c>
      <c r="M19" s="808"/>
      <c r="N19" s="763"/>
      <c r="O19" s="763"/>
    </row>
    <row r="20" spans="1:16" x14ac:dyDescent="0.2">
      <c r="A20" s="803" t="s">
        <v>4333</v>
      </c>
      <c r="B20" s="804" t="s">
        <v>4244</v>
      </c>
      <c r="C20" s="804" t="s">
        <v>4250</v>
      </c>
      <c r="D20" s="804" t="s">
        <v>4340</v>
      </c>
      <c r="E20" s="803">
        <v>1</v>
      </c>
      <c r="F20" s="805">
        <v>1</v>
      </c>
      <c r="G20" s="805">
        <f>F20*E20</f>
        <v>1</v>
      </c>
      <c r="H20" s="803" t="s">
        <v>4243</v>
      </c>
      <c r="I20" s="803"/>
      <c r="J20" s="803">
        <f t="shared" si="0"/>
        <v>1</v>
      </c>
      <c r="K20" s="808">
        <f>_xlfn.XLOOKUP(D20,N:N,O:O,,0)</f>
        <v>79.03</v>
      </c>
      <c r="L20" s="808">
        <f t="shared" si="1"/>
        <v>79.03</v>
      </c>
      <c r="M20" s="808"/>
      <c r="N20" s="763"/>
      <c r="O20" s="763"/>
      <c r="P20" s="791"/>
    </row>
    <row r="21" spans="1:16" x14ac:dyDescent="0.2">
      <c r="A21" s="803" t="s">
        <v>4333</v>
      </c>
      <c r="B21" s="804" t="s">
        <v>4244</v>
      </c>
      <c r="C21" s="804" t="s">
        <v>4250</v>
      </c>
      <c r="D21" s="804" t="s">
        <v>4343</v>
      </c>
      <c r="E21" s="803">
        <v>4.8499999999999996</v>
      </c>
      <c r="F21" s="805">
        <v>1</v>
      </c>
      <c r="G21" s="805">
        <f>F21*E21</f>
        <v>4.8499999999999996</v>
      </c>
      <c r="H21" s="803" t="s">
        <v>3</v>
      </c>
      <c r="I21" s="806">
        <v>0.1</v>
      </c>
      <c r="J21" s="803">
        <f t="shared" si="0"/>
        <v>5.335</v>
      </c>
      <c r="K21" s="808">
        <f>_xlfn.XLOOKUP(D21,N:N,O:O,,0)</f>
        <v>107.3</v>
      </c>
      <c r="L21" s="808">
        <f t="shared" si="1"/>
        <v>572.44549999999992</v>
      </c>
      <c r="M21" s="808"/>
      <c r="N21" s="763"/>
      <c r="O21" s="763"/>
      <c r="P21" s="791"/>
    </row>
    <row r="22" spans="1:16" x14ac:dyDescent="0.2">
      <c r="A22" s="810"/>
      <c r="B22" s="811"/>
      <c r="C22" s="811"/>
      <c r="D22" s="811"/>
      <c r="E22" s="810"/>
      <c r="F22" s="812"/>
      <c r="G22" s="812"/>
      <c r="H22" s="810"/>
      <c r="I22" s="813"/>
      <c r="J22" s="810"/>
      <c r="K22" s="815" t="s">
        <v>4305</v>
      </c>
      <c r="L22" s="814">
        <f>SUM(L19:L21)</f>
        <v>776.53549999999996</v>
      </c>
      <c r="M22" s="808"/>
      <c r="N22" s="763"/>
    </row>
    <row r="23" spans="1:16" x14ac:dyDescent="0.2">
      <c r="A23" s="810"/>
      <c r="B23" s="811"/>
      <c r="C23" s="811"/>
      <c r="D23" s="811"/>
      <c r="E23" s="810"/>
      <c r="F23" s="812"/>
      <c r="G23" s="812"/>
      <c r="H23" s="810"/>
      <c r="I23" s="813"/>
      <c r="J23" s="810"/>
      <c r="K23" s="815" t="s">
        <v>4349</v>
      </c>
      <c r="L23" s="814"/>
      <c r="M23" s="808"/>
      <c r="N23" s="763"/>
    </row>
    <row r="24" spans="1:16" x14ac:dyDescent="0.2">
      <c r="A24" s="803" t="s">
        <v>4333</v>
      </c>
      <c r="B24" s="804" t="s">
        <v>4245</v>
      </c>
      <c r="C24" s="804" t="s">
        <v>4250</v>
      </c>
      <c r="D24" s="804" t="s">
        <v>4340</v>
      </c>
      <c r="E24" s="805">
        <v>1</v>
      </c>
      <c r="F24" s="805">
        <v>13</v>
      </c>
      <c r="G24" s="805">
        <f>F24*E24</f>
        <v>13</v>
      </c>
      <c r="H24" s="803" t="s">
        <v>4243</v>
      </c>
      <c r="I24" s="803"/>
      <c r="J24" s="803">
        <f t="shared" si="0"/>
        <v>13</v>
      </c>
      <c r="K24" s="808">
        <f>_xlfn.XLOOKUP(D24,N:N,O:O,,0)</f>
        <v>79.03</v>
      </c>
      <c r="L24" s="808">
        <f t="shared" si="1"/>
        <v>1027.3900000000001</v>
      </c>
      <c r="M24" s="808"/>
      <c r="N24" s="763"/>
      <c r="O24" s="763"/>
    </row>
    <row r="25" spans="1:16" x14ac:dyDescent="0.2">
      <c r="A25" s="803" t="s">
        <v>4333</v>
      </c>
      <c r="B25" s="804" t="s">
        <v>4245</v>
      </c>
      <c r="C25" s="804" t="s">
        <v>4250</v>
      </c>
      <c r="D25" s="804" t="s">
        <v>4343</v>
      </c>
      <c r="E25" s="803">
        <v>2.87</v>
      </c>
      <c r="F25" s="805">
        <v>13</v>
      </c>
      <c r="G25" s="805">
        <f>F25*E25</f>
        <v>37.31</v>
      </c>
      <c r="H25" s="803" t="s">
        <v>3</v>
      </c>
      <c r="I25" s="806">
        <v>0.1</v>
      </c>
      <c r="J25" s="803">
        <f t="shared" si="0"/>
        <v>41.041000000000004</v>
      </c>
      <c r="K25" s="808">
        <f>_xlfn.XLOOKUP(D25,N:N,O:O,,0)</f>
        <v>107.3</v>
      </c>
      <c r="L25" s="808">
        <f t="shared" si="1"/>
        <v>4403.6993000000002</v>
      </c>
      <c r="M25" s="808"/>
    </row>
    <row r="26" spans="1:16" x14ac:dyDescent="0.2">
      <c r="A26" s="810"/>
      <c r="B26" s="811"/>
      <c r="C26" s="811"/>
      <c r="D26" s="811"/>
      <c r="E26" s="810"/>
      <c r="F26" s="812"/>
      <c r="G26" s="812"/>
      <c r="H26" s="810"/>
      <c r="I26" s="813"/>
      <c r="J26" s="810"/>
      <c r="K26" s="815" t="s">
        <v>4305</v>
      </c>
      <c r="L26" s="814">
        <f>SUM(L24:L25)</f>
        <v>5431.0893000000005</v>
      </c>
      <c r="M26" s="808"/>
      <c r="N26" s="763"/>
    </row>
    <row r="27" spans="1:16" x14ac:dyDescent="0.2">
      <c r="A27" s="810"/>
      <c r="B27" s="811"/>
      <c r="C27" s="811"/>
      <c r="D27" s="811"/>
      <c r="E27" s="810"/>
      <c r="F27" s="812"/>
      <c r="G27" s="812"/>
      <c r="H27" s="810"/>
      <c r="I27" s="813"/>
      <c r="J27" s="810"/>
      <c r="K27" s="815" t="s">
        <v>4349</v>
      </c>
      <c r="L27" s="814"/>
      <c r="M27" s="808"/>
      <c r="N27" s="763"/>
    </row>
    <row r="28" spans="1:16" x14ac:dyDescent="0.2">
      <c r="A28" s="803" t="s">
        <v>4333</v>
      </c>
      <c r="B28" s="804" t="s">
        <v>4246</v>
      </c>
      <c r="C28" s="804" t="s">
        <v>4250</v>
      </c>
      <c r="D28" s="804" t="s">
        <v>4340</v>
      </c>
      <c r="E28" s="805">
        <v>1</v>
      </c>
      <c r="F28" s="805">
        <v>1</v>
      </c>
      <c r="G28" s="805">
        <f>F28*E28</f>
        <v>1</v>
      </c>
      <c r="H28" s="803" t="s">
        <v>4243</v>
      </c>
      <c r="I28" s="803"/>
      <c r="J28" s="803">
        <f t="shared" si="0"/>
        <v>1</v>
      </c>
      <c r="K28" s="808">
        <f>_xlfn.XLOOKUP(D28,N:N,O:O,,0)</f>
        <v>79.03</v>
      </c>
      <c r="L28" s="808">
        <f t="shared" si="1"/>
        <v>79.03</v>
      </c>
      <c r="M28" s="808"/>
    </row>
    <row r="29" spans="1:16" x14ac:dyDescent="0.2">
      <c r="A29" s="803" t="s">
        <v>4333</v>
      </c>
      <c r="B29" s="804" t="s">
        <v>4246</v>
      </c>
      <c r="C29" s="804" t="s">
        <v>4250</v>
      </c>
      <c r="D29" s="804" t="s">
        <v>4343</v>
      </c>
      <c r="E29" s="803">
        <v>3.01</v>
      </c>
      <c r="F29" s="805">
        <v>1</v>
      </c>
      <c r="G29" s="805">
        <f>F29*E29</f>
        <v>3.01</v>
      </c>
      <c r="H29" s="803" t="s">
        <v>3</v>
      </c>
      <c r="I29" s="806">
        <v>0.1</v>
      </c>
      <c r="J29" s="803">
        <f t="shared" si="0"/>
        <v>3.3109999999999999</v>
      </c>
      <c r="K29" s="808">
        <f>_xlfn.XLOOKUP(D29,N:N,O:O,,0)</f>
        <v>107.3</v>
      </c>
      <c r="L29" s="808">
        <f t="shared" si="1"/>
        <v>355.27029999999996</v>
      </c>
      <c r="M29" s="808"/>
    </row>
    <row r="30" spans="1:16" x14ac:dyDescent="0.2">
      <c r="A30" s="810"/>
      <c r="B30" s="811"/>
      <c r="C30" s="811"/>
      <c r="D30" s="811"/>
      <c r="E30" s="810"/>
      <c r="F30" s="812"/>
      <c r="G30" s="812"/>
      <c r="H30" s="810"/>
      <c r="I30" s="813"/>
      <c r="J30" s="810"/>
      <c r="K30" s="815" t="s">
        <v>4305</v>
      </c>
      <c r="L30" s="814">
        <f>SUM(L28:L29)</f>
        <v>434.30029999999999</v>
      </c>
      <c r="M30" s="808"/>
      <c r="N30" s="763"/>
    </row>
    <row r="31" spans="1:16" x14ac:dyDescent="0.2">
      <c r="A31" s="810"/>
      <c r="B31" s="811"/>
      <c r="C31" s="811"/>
      <c r="D31" s="811"/>
      <c r="E31" s="810"/>
      <c r="F31" s="812"/>
      <c r="G31" s="812"/>
      <c r="H31" s="810"/>
      <c r="I31" s="813"/>
      <c r="J31" s="810"/>
      <c r="K31" s="815" t="s">
        <v>4349</v>
      </c>
      <c r="L31" s="814"/>
      <c r="M31" s="808"/>
      <c r="N31" s="763"/>
    </row>
    <row r="32" spans="1:16" x14ac:dyDescent="0.2">
      <c r="A32" s="803" t="s">
        <v>4333</v>
      </c>
      <c r="B32" s="804" t="s">
        <v>4247</v>
      </c>
      <c r="C32" s="804" t="s">
        <v>4250</v>
      </c>
      <c r="D32" s="804" t="s">
        <v>4340</v>
      </c>
      <c r="E32" s="805">
        <v>1</v>
      </c>
      <c r="F32" s="805">
        <v>1</v>
      </c>
      <c r="G32" s="805">
        <f>F32*E32</f>
        <v>1</v>
      </c>
      <c r="H32" s="803" t="s">
        <v>4243</v>
      </c>
      <c r="I32" s="803"/>
      <c r="J32" s="803">
        <f t="shared" si="0"/>
        <v>1</v>
      </c>
      <c r="K32" s="808">
        <f>_xlfn.XLOOKUP(D32,N:N,O:O,,0)</f>
        <v>79.03</v>
      </c>
      <c r="L32" s="808">
        <f t="shared" si="1"/>
        <v>79.03</v>
      </c>
      <c r="M32" s="808"/>
    </row>
    <row r="33" spans="1:14" x14ac:dyDescent="0.2">
      <c r="A33" s="803" t="s">
        <v>4333</v>
      </c>
      <c r="B33" s="804" t="s">
        <v>4247</v>
      </c>
      <c r="C33" s="804" t="s">
        <v>4250</v>
      </c>
      <c r="D33" s="804" t="s">
        <v>4343</v>
      </c>
      <c r="E33" s="803">
        <v>3.2</v>
      </c>
      <c r="F33" s="805">
        <v>1</v>
      </c>
      <c r="G33" s="805">
        <f>F33*E33</f>
        <v>3.2</v>
      </c>
      <c r="H33" s="803" t="s">
        <v>3</v>
      </c>
      <c r="I33" s="806">
        <v>0.1</v>
      </c>
      <c r="J33" s="803">
        <f t="shared" si="0"/>
        <v>3.5200000000000005</v>
      </c>
      <c r="K33" s="808">
        <f>_xlfn.XLOOKUP(D33,N:N,O:O,,0)</f>
        <v>107.3</v>
      </c>
      <c r="L33" s="808">
        <f t="shared" si="1"/>
        <v>377.69600000000003</v>
      </c>
      <c r="M33" s="808"/>
    </row>
    <row r="34" spans="1:14" x14ac:dyDescent="0.2">
      <c r="A34" s="810"/>
      <c r="B34" s="811"/>
      <c r="C34" s="811"/>
      <c r="D34" s="811"/>
      <c r="E34" s="810"/>
      <c r="F34" s="812"/>
      <c r="G34" s="812"/>
      <c r="H34" s="810"/>
      <c r="I34" s="813"/>
      <c r="J34" s="810"/>
      <c r="K34" s="815" t="s">
        <v>4305</v>
      </c>
      <c r="L34" s="814">
        <f>SUM(L32:L33)</f>
        <v>456.726</v>
      </c>
      <c r="M34" s="808"/>
      <c r="N34" s="763"/>
    </row>
    <row r="35" spans="1:14" x14ac:dyDescent="0.2">
      <c r="A35" s="810"/>
      <c r="B35" s="811"/>
      <c r="C35" s="811"/>
      <c r="D35" s="811"/>
      <c r="E35" s="810"/>
      <c r="F35" s="812"/>
      <c r="G35" s="812"/>
      <c r="H35" s="810"/>
      <c r="I35" s="813"/>
      <c r="J35" s="810"/>
      <c r="K35" s="815" t="s">
        <v>4349</v>
      </c>
      <c r="L35" s="814"/>
      <c r="M35" s="808"/>
      <c r="N35" s="763"/>
    </row>
    <row r="36" spans="1:14" x14ac:dyDescent="0.2">
      <c r="A36" s="803" t="s">
        <v>4333</v>
      </c>
      <c r="B36" s="804" t="s">
        <v>4248</v>
      </c>
      <c r="C36" s="804" t="s">
        <v>4242</v>
      </c>
      <c r="D36" s="804" t="s">
        <v>4335</v>
      </c>
      <c r="E36" s="805">
        <v>1</v>
      </c>
      <c r="F36" s="805">
        <v>1</v>
      </c>
      <c r="G36" s="805">
        <f t="shared" ref="G36:G48" si="4">F36*E36</f>
        <v>1</v>
      </c>
      <c r="H36" s="803" t="s">
        <v>4243</v>
      </c>
      <c r="I36" s="803"/>
      <c r="J36" s="803">
        <f t="shared" si="0"/>
        <v>1</v>
      </c>
      <c r="K36" s="808">
        <f t="shared" ref="K36:K48" si="5">_xlfn.SINGLE(_xlfn.XLOOKUP(D36,N:N,O:O,,0))</f>
        <v>569.9</v>
      </c>
      <c r="L36" s="808">
        <f t="shared" si="1"/>
        <v>569.9</v>
      </c>
      <c r="M36" s="808"/>
    </row>
    <row r="37" spans="1:14" x14ac:dyDescent="0.2">
      <c r="A37" s="803" t="s">
        <v>4333</v>
      </c>
      <c r="B37" s="804" t="s">
        <v>4248</v>
      </c>
      <c r="C37" s="804" t="s">
        <v>4250</v>
      </c>
      <c r="D37" s="804" t="s">
        <v>4339</v>
      </c>
      <c r="E37" s="805">
        <v>10</v>
      </c>
      <c r="F37" s="805">
        <v>1</v>
      </c>
      <c r="G37" s="805">
        <f t="shared" si="4"/>
        <v>10</v>
      </c>
      <c r="H37" s="803" t="s">
        <v>4243</v>
      </c>
      <c r="I37" s="803"/>
      <c r="J37" s="803">
        <f t="shared" si="0"/>
        <v>10</v>
      </c>
      <c r="K37" s="808">
        <f t="shared" si="5"/>
        <v>62.53</v>
      </c>
      <c r="L37" s="808">
        <f t="shared" si="1"/>
        <v>625.29999999999995</v>
      </c>
      <c r="M37" s="808"/>
    </row>
    <row r="38" spans="1:14" x14ac:dyDescent="0.2">
      <c r="A38" s="803" t="s">
        <v>4333</v>
      </c>
      <c r="B38" s="804" t="s">
        <v>4248</v>
      </c>
      <c r="C38" s="804" t="s">
        <v>4250</v>
      </c>
      <c r="D38" s="804" t="s">
        <v>4340</v>
      </c>
      <c r="E38" s="805">
        <v>2</v>
      </c>
      <c r="F38" s="805">
        <v>1</v>
      </c>
      <c r="G38" s="805">
        <f t="shared" si="4"/>
        <v>2</v>
      </c>
      <c r="H38" s="803" t="s">
        <v>4243</v>
      </c>
      <c r="I38" s="803"/>
      <c r="J38" s="803">
        <f t="shared" si="0"/>
        <v>2</v>
      </c>
      <c r="K38" s="808">
        <f t="shared" si="5"/>
        <v>79.03</v>
      </c>
      <c r="L38" s="808">
        <f t="shared" si="1"/>
        <v>158.06</v>
      </c>
      <c r="M38" s="808"/>
    </row>
    <row r="39" spans="1:14" x14ac:dyDescent="0.2">
      <c r="A39" s="803" t="s">
        <v>4333</v>
      </c>
      <c r="B39" s="804" t="s">
        <v>4248</v>
      </c>
      <c r="C39" s="804" t="s">
        <v>4250</v>
      </c>
      <c r="D39" s="804" t="s">
        <v>4343</v>
      </c>
      <c r="E39" s="803">
        <v>16.690000000000001</v>
      </c>
      <c r="F39" s="805">
        <v>1</v>
      </c>
      <c r="G39" s="805">
        <f t="shared" si="4"/>
        <v>16.690000000000001</v>
      </c>
      <c r="H39" s="803" t="s">
        <v>3</v>
      </c>
      <c r="I39" s="806">
        <v>0.1</v>
      </c>
      <c r="J39" s="803">
        <f t="shared" si="0"/>
        <v>18.359000000000002</v>
      </c>
      <c r="K39" s="808">
        <f t="shared" si="5"/>
        <v>107.3</v>
      </c>
      <c r="L39" s="808">
        <f t="shared" si="1"/>
        <v>1969.9207000000001</v>
      </c>
      <c r="M39" s="808"/>
    </row>
    <row r="40" spans="1:14" x14ac:dyDescent="0.2">
      <c r="A40" s="803" t="s">
        <v>4333</v>
      </c>
      <c r="B40" s="804" t="s">
        <v>4336</v>
      </c>
      <c r="C40" s="804" t="s">
        <v>4242</v>
      </c>
      <c r="D40" s="804" t="s">
        <v>4335</v>
      </c>
      <c r="E40" s="805">
        <v>2</v>
      </c>
      <c r="F40" s="805">
        <v>1</v>
      </c>
      <c r="G40" s="805">
        <f t="shared" si="4"/>
        <v>2</v>
      </c>
      <c r="H40" s="803" t="s">
        <v>4243</v>
      </c>
      <c r="I40" s="803"/>
      <c r="J40" s="803">
        <f t="shared" si="0"/>
        <v>2</v>
      </c>
      <c r="K40" s="808">
        <f t="shared" si="5"/>
        <v>569.9</v>
      </c>
      <c r="L40" s="808">
        <f t="shared" si="1"/>
        <v>1139.8</v>
      </c>
      <c r="M40" s="808"/>
    </row>
    <row r="41" spans="1:14" x14ac:dyDescent="0.2">
      <c r="A41" s="803" t="s">
        <v>4333</v>
      </c>
      <c r="B41" s="804" t="s">
        <v>4336</v>
      </c>
      <c r="C41" s="804" t="s">
        <v>4250</v>
      </c>
      <c r="D41" s="804" t="s">
        <v>4337</v>
      </c>
      <c r="E41" s="805">
        <v>4</v>
      </c>
      <c r="F41" s="805">
        <v>1</v>
      </c>
      <c r="G41" s="805">
        <f t="shared" si="4"/>
        <v>4</v>
      </c>
      <c r="H41" s="803" t="s">
        <v>4243</v>
      </c>
      <c r="I41" s="803"/>
      <c r="J41" s="803">
        <f t="shared" si="0"/>
        <v>4</v>
      </c>
      <c r="K41" s="808">
        <f t="shared" si="5"/>
        <v>137.79</v>
      </c>
      <c r="L41" s="808">
        <f t="shared" si="1"/>
        <v>551.16</v>
      </c>
      <c r="M41" s="808"/>
    </row>
    <row r="42" spans="1:14" x14ac:dyDescent="0.2">
      <c r="A42" s="803" t="s">
        <v>4333</v>
      </c>
      <c r="B42" s="804" t="s">
        <v>4336</v>
      </c>
      <c r="C42" s="804" t="s">
        <v>4250</v>
      </c>
      <c r="D42" s="804" t="s">
        <v>4338</v>
      </c>
      <c r="E42" s="805">
        <v>4</v>
      </c>
      <c r="F42" s="805">
        <v>1</v>
      </c>
      <c r="G42" s="805">
        <f t="shared" si="4"/>
        <v>4</v>
      </c>
      <c r="H42" s="803" t="s">
        <v>4243</v>
      </c>
      <c r="I42" s="803"/>
      <c r="J42" s="803">
        <f t="shared" si="0"/>
        <v>4</v>
      </c>
      <c r="K42" s="808">
        <f t="shared" si="5"/>
        <v>12.99</v>
      </c>
      <c r="L42" s="808">
        <f t="shared" si="1"/>
        <v>51.96</v>
      </c>
      <c r="M42" s="808"/>
    </row>
    <row r="43" spans="1:14" x14ac:dyDescent="0.2">
      <c r="A43" s="803" t="s">
        <v>4333</v>
      </c>
      <c r="B43" s="804" t="s">
        <v>4336</v>
      </c>
      <c r="C43" s="804" t="s">
        <v>4250</v>
      </c>
      <c r="D43" s="804" t="s">
        <v>4339</v>
      </c>
      <c r="E43" s="803">
        <v>2</v>
      </c>
      <c r="F43" s="805">
        <v>1</v>
      </c>
      <c r="G43" s="805">
        <f t="shared" si="4"/>
        <v>2</v>
      </c>
      <c r="H43" s="803" t="s">
        <v>4243</v>
      </c>
      <c r="I43" s="803"/>
      <c r="J43" s="803">
        <f t="shared" si="0"/>
        <v>2</v>
      </c>
      <c r="K43" s="808">
        <f t="shared" si="5"/>
        <v>62.53</v>
      </c>
      <c r="L43" s="808">
        <f t="shared" si="1"/>
        <v>125.06</v>
      </c>
      <c r="M43" s="808"/>
    </row>
    <row r="44" spans="1:14" x14ac:dyDescent="0.2">
      <c r="A44" s="803" t="s">
        <v>4333</v>
      </c>
      <c r="B44" s="804" t="s">
        <v>4336</v>
      </c>
      <c r="C44" s="804" t="s">
        <v>4250</v>
      </c>
      <c r="D44" s="804" t="s">
        <v>4338</v>
      </c>
      <c r="E44" s="805">
        <v>2</v>
      </c>
      <c r="F44" s="805">
        <v>1</v>
      </c>
      <c r="G44" s="805">
        <f t="shared" si="4"/>
        <v>2</v>
      </c>
      <c r="H44" s="803" t="s">
        <v>4243</v>
      </c>
      <c r="I44" s="803"/>
      <c r="J44" s="803">
        <f t="shared" si="0"/>
        <v>2</v>
      </c>
      <c r="K44" s="808">
        <f t="shared" si="5"/>
        <v>12.99</v>
      </c>
      <c r="L44" s="808">
        <f t="shared" si="1"/>
        <v>25.98</v>
      </c>
      <c r="M44" s="808"/>
    </row>
    <row r="45" spans="1:14" x14ac:dyDescent="0.2">
      <c r="A45" s="803" t="s">
        <v>4333</v>
      </c>
      <c r="B45" s="804" t="s">
        <v>4336</v>
      </c>
      <c r="C45" s="804" t="s">
        <v>4250</v>
      </c>
      <c r="D45" s="804" t="s">
        <v>4340</v>
      </c>
      <c r="E45" s="805">
        <v>1</v>
      </c>
      <c r="F45" s="805">
        <v>1</v>
      </c>
      <c r="G45" s="805">
        <f t="shared" si="4"/>
        <v>1</v>
      </c>
      <c r="H45" s="803" t="s">
        <v>4243</v>
      </c>
      <c r="I45" s="803"/>
      <c r="J45" s="803">
        <f t="shared" si="0"/>
        <v>1</v>
      </c>
      <c r="K45" s="808">
        <f t="shared" si="5"/>
        <v>79.03</v>
      </c>
      <c r="L45" s="808">
        <f t="shared" si="1"/>
        <v>79.03</v>
      </c>
      <c r="M45" s="808"/>
    </row>
    <row r="46" spans="1:14" x14ac:dyDescent="0.2">
      <c r="A46" s="803" t="s">
        <v>4333</v>
      </c>
      <c r="B46" s="804" t="s">
        <v>4336</v>
      </c>
      <c r="C46" s="804" t="s">
        <v>4250</v>
      </c>
      <c r="D46" s="804" t="s">
        <v>4341</v>
      </c>
      <c r="E46" s="805">
        <v>4</v>
      </c>
      <c r="F46" s="805">
        <v>1</v>
      </c>
      <c r="G46" s="805">
        <f t="shared" si="4"/>
        <v>4</v>
      </c>
      <c r="H46" s="803" t="s">
        <v>4243</v>
      </c>
      <c r="I46" s="803"/>
      <c r="J46" s="803">
        <f t="shared" si="0"/>
        <v>4</v>
      </c>
      <c r="K46" s="808">
        <f t="shared" si="5"/>
        <v>47.73</v>
      </c>
      <c r="L46" s="808">
        <f t="shared" si="1"/>
        <v>190.92</v>
      </c>
      <c r="M46" s="808"/>
    </row>
    <row r="47" spans="1:14" x14ac:dyDescent="0.2">
      <c r="A47" s="803" t="s">
        <v>4333</v>
      </c>
      <c r="B47" s="804" t="s">
        <v>4336</v>
      </c>
      <c r="C47" s="804" t="s">
        <v>1099</v>
      </c>
      <c r="D47" s="804" t="s">
        <v>4342</v>
      </c>
      <c r="E47" s="803">
        <v>0.4</v>
      </c>
      <c r="F47" s="805">
        <v>1</v>
      </c>
      <c r="G47" s="805">
        <f t="shared" si="4"/>
        <v>0.4</v>
      </c>
      <c r="H47" s="803" t="s">
        <v>3</v>
      </c>
      <c r="I47" s="806">
        <v>0.1</v>
      </c>
      <c r="J47" s="803">
        <f t="shared" si="0"/>
        <v>0.44000000000000006</v>
      </c>
      <c r="K47" s="808">
        <f t="shared" si="5"/>
        <v>91.66</v>
      </c>
      <c r="L47" s="808">
        <f t="shared" si="1"/>
        <v>40.330400000000004</v>
      </c>
      <c r="M47" s="808"/>
    </row>
    <row r="48" spans="1:14" x14ac:dyDescent="0.2">
      <c r="A48" s="803" t="s">
        <v>4333</v>
      </c>
      <c r="B48" s="804" t="s">
        <v>4336</v>
      </c>
      <c r="C48" s="804" t="s">
        <v>4250</v>
      </c>
      <c r="D48" s="804" t="s">
        <v>4343</v>
      </c>
      <c r="E48" s="803">
        <v>0.44</v>
      </c>
      <c r="F48" s="805">
        <v>1</v>
      </c>
      <c r="G48" s="805">
        <f t="shared" si="4"/>
        <v>0.44</v>
      </c>
      <c r="H48" s="803" t="s">
        <v>3</v>
      </c>
      <c r="I48" s="806">
        <v>0.1</v>
      </c>
      <c r="J48" s="803">
        <f t="shared" si="0"/>
        <v>0.48400000000000004</v>
      </c>
      <c r="K48" s="808">
        <f t="shared" si="5"/>
        <v>107.3</v>
      </c>
      <c r="L48" s="808">
        <f t="shared" si="1"/>
        <v>51.933200000000006</v>
      </c>
      <c r="M48" s="808"/>
    </row>
    <row r="49" spans="1:14" x14ac:dyDescent="0.2">
      <c r="A49" s="803" t="s">
        <v>4306</v>
      </c>
      <c r="B49" s="804" t="s">
        <v>4248</v>
      </c>
      <c r="C49" s="804" t="s">
        <v>4307</v>
      </c>
      <c r="D49" s="804" t="s">
        <v>4356</v>
      </c>
      <c r="E49" s="805">
        <v>1</v>
      </c>
      <c r="F49" s="805">
        <v>1</v>
      </c>
      <c r="G49" s="805">
        <v>1</v>
      </c>
      <c r="H49" s="803" t="s">
        <v>4243</v>
      </c>
      <c r="I49" s="808"/>
      <c r="J49" s="803">
        <f t="shared" si="0"/>
        <v>1</v>
      </c>
      <c r="K49" s="808">
        <v>19478</v>
      </c>
      <c r="L49" s="808">
        <f t="shared" si="1"/>
        <v>19478</v>
      </c>
      <c r="M49" s="808"/>
    </row>
    <row r="50" spans="1:14" x14ac:dyDescent="0.2">
      <c r="A50" s="810"/>
      <c r="B50" s="811"/>
      <c r="C50" s="811"/>
      <c r="D50" s="811"/>
      <c r="E50" s="810"/>
      <c r="F50" s="812"/>
      <c r="G50" s="812"/>
      <c r="H50" s="810"/>
      <c r="I50" s="813"/>
      <c r="J50" s="810"/>
      <c r="K50" s="815" t="s">
        <v>4305</v>
      </c>
      <c r="L50" s="814">
        <f>SUM(L36:L49)</f>
        <v>25057.354299999999</v>
      </c>
      <c r="M50" s="808"/>
      <c r="N50" s="763"/>
    </row>
    <row r="51" spans="1:14" x14ac:dyDescent="0.2">
      <c r="A51" s="810"/>
      <c r="B51" s="811"/>
      <c r="C51" s="811"/>
      <c r="D51" s="811"/>
      <c r="E51" s="810"/>
      <c r="F51" s="812"/>
      <c r="G51" s="812"/>
      <c r="H51" s="810"/>
      <c r="I51" s="813"/>
      <c r="J51" s="810"/>
      <c r="K51" s="815" t="s">
        <v>4349</v>
      </c>
      <c r="L51" s="814"/>
      <c r="M51" s="808"/>
      <c r="N51" s="763"/>
    </row>
    <row r="52" spans="1:14" x14ac:dyDescent="0.2">
      <c r="K52" s="768" t="s">
        <v>4305</v>
      </c>
      <c r="L52" s="750">
        <f>L50+L34+L30+L26+L22+L17+L6</f>
        <v>40038.479399999997</v>
      </c>
    </row>
  </sheetData>
  <sortState xmlns:xlrd2="http://schemas.microsoft.com/office/spreadsheetml/2017/richdata2" ref="A2:H48">
    <sortCondition ref="B2:B48"/>
  </sortState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7068A-4052-49F5-B83E-FD56E39E348F}">
  <sheetPr>
    <tabColor rgb="FFB4B4B4"/>
  </sheetPr>
  <dimension ref="A1:P77"/>
  <sheetViews>
    <sheetView topLeftCell="D27" workbookViewId="0">
      <selection activeCell="B97" sqref="B97"/>
    </sheetView>
  </sheetViews>
  <sheetFormatPr defaultRowHeight="12.75" x14ac:dyDescent="0.2"/>
  <cols>
    <col min="1" max="1" width="17.28515625" bestFit="1" customWidth="1"/>
    <col min="2" max="2" width="17.7109375" customWidth="1"/>
    <col min="3" max="3" width="10.85546875" bestFit="1" customWidth="1"/>
    <col min="4" max="4" width="109.140625" bestFit="1" customWidth="1"/>
    <col min="5" max="5" width="13.140625" customWidth="1"/>
    <col min="6" max="6" width="10.7109375" style="762" customWidth="1"/>
    <col min="7" max="7" width="6.5703125" bestFit="1" customWidth="1"/>
    <col min="8" max="8" width="9.28515625" style="762" bestFit="1" customWidth="1"/>
    <col min="9" max="9" width="12.5703125" customWidth="1"/>
    <col min="10" max="10" width="13.7109375" bestFit="1" customWidth="1"/>
    <col min="15" max="15" width="90.140625" bestFit="1" customWidth="1"/>
  </cols>
  <sheetData>
    <row r="1" spans="1:16" x14ac:dyDescent="0.2">
      <c r="A1" s="1196" t="s">
        <v>4357</v>
      </c>
      <c r="B1" s="1197"/>
      <c r="C1" s="1197"/>
      <c r="D1" s="1197"/>
      <c r="E1" s="1197"/>
      <c r="F1" s="1197"/>
      <c r="G1" s="1197"/>
      <c r="H1" s="1197"/>
      <c r="I1" s="1197"/>
      <c r="J1" s="1197"/>
    </row>
    <row r="2" spans="1:16" ht="15" x14ac:dyDescent="0.25">
      <c r="A2" s="800" t="s">
        <v>4234</v>
      </c>
      <c r="B2" s="801" t="s">
        <v>4235</v>
      </c>
      <c r="C2" s="801" t="s">
        <v>4236</v>
      </c>
      <c r="D2" s="801" t="s">
        <v>6</v>
      </c>
      <c r="E2" s="800" t="s">
        <v>4237</v>
      </c>
      <c r="F2" s="800" t="s">
        <v>4238</v>
      </c>
      <c r="G2" s="802" t="s">
        <v>8</v>
      </c>
      <c r="H2" s="800" t="s">
        <v>4239</v>
      </c>
      <c r="I2" s="800" t="s">
        <v>4257</v>
      </c>
      <c r="J2" s="800" t="s">
        <v>4258</v>
      </c>
      <c r="O2" s="804" t="s">
        <v>4350</v>
      </c>
      <c r="P2">
        <f>369*1.12</f>
        <v>413.28000000000003</v>
      </c>
    </row>
    <row r="3" spans="1:16" x14ac:dyDescent="0.2">
      <c r="A3" s="803" t="s">
        <v>4306</v>
      </c>
      <c r="B3" s="804" t="s">
        <v>4241</v>
      </c>
      <c r="C3" s="804" t="s">
        <v>4307</v>
      </c>
      <c r="D3" s="804" t="s">
        <v>4350</v>
      </c>
      <c r="E3" s="805">
        <v>1</v>
      </c>
      <c r="F3" s="805">
        <v>1</v>
      </c>
      <c r="G3" s="805">
        <v>1</v>
      </c>
      <c r="H3" s="803" t="s">
        <v>4243</v>
      </c>
      <c r="I3" s="808">
        <f>_xlfn.XLOOKUP(D3,O:O,P:P,,0)</f>
        <v>413.28000000000003</v>
      </c>
      <c r="J3" s="808">
        <f>I3*G3</f>
        <v>413.28000000000003</v>
      </c>
      <c r="O3" s="804" t="s">
        <v>4352</v>
      </c>
      <c r="P3">
        <v>149.99</v>
      </c>
    </row>
    <row r="4" spans="1:16" x14ac:dyDescent="0.2">
      <c r="A4" s="803" t="s">
        <v>4306</v>
      </c>
      <c r="B4" s="804" t="s">
        <v>4241</v>
      </c>
      <c r="C4" s="804" t="s">
        <v>4307</v>
      </c>
      <c r="D4" s="804" t="s">
        <v>4352</v>
      </c>
      <c r="E4" s="805">
        <v>4</v>
      </c>
      <c r="F4" s="805">
        <v>1</v>
      </c>
      <c r="G4" s="805">
        <v>4</v>
      </c>
      <c r="H4" s="803" t="s">
        <v>4243</v>
      </c>
      <c r="I4" s="808">
        <f>_xlfn.XLOOKUP(D4,O:O,P:P,,0)</f>
        <v>149.99</v>
      </c>
      <c r="J4" s="808">
        <f t="shared" ref="J4:J30" si="0">I4*G4</f>
        <v>599.96</v>
      </c>
      <c r="O4" s="804" t="s">
        <v>4353</v>
      </c>
      <c r="P4">
        <v>12.35</v>
      </c>
    </row>
    <row r="5" spans="1:16" x14ac:dyDescent="0.2">
      <c r="A5" s="803" t="s">
        <v>4306</v>
      </c>
      <c r="B5" s="804" t="s">
        <v>4241</v>
      </c>
      <c r="C5" s="804" t="s">
        <v>4307</v>
      </c>
      <c r="D5" s="804" t="s">
        <v>4353</v>
      </c>
      <c r="E5" s="805">
        <v>1</v>
      </c>
      <c r="F5" s="805">
        <v>1</v>
      </c>
      <c r="G5" s="805">
        <v>1</v>
      </c>
      <c r="H5" s="803" t="s">
        <v>4243</v>
      </c>
      <c r="I5" s="808">
        <f>_xlfn.XLOOKUP(D5,O:O,P:P,,0)</f>
        <v>12.35</v>
      </c>
      <c r="J5" s="808">
        <f t="shared" si="0"/>
        <v>12.35</v>
      </c>
      <c r="O5" s="804" t="s">
        <v>4354</v>
      </c>
      <c r="P5">
        <v>715</v>
      </c>
    </row>
    <row r="6" spans="1:16" x14ac:dyDescent="0.2">
      <c r="A6" s="803" t="s">
        <v>4306</v>
      </c>
      <c r="B6" s="804" t="s">
        <v>4241</v>
      </c>
      <c r="C6" s="804" t="s">
        <v>4307</v>
      </c>
      <c r="D6" s="804" t="s">
        <v>4354</v>
      </c>
      <c r="E6" s="805">
        <v>2</v>
      </c>
      <c r="F6" s="805">
        <v>1</v>
      </c>
      <c r="G6" s="805">
        <v>2</v>
      </c>
      <c r="H6" s="803" t="s">
        <v>4243</v>
      </c>
      <c r="I6" s="808">
        <f>_xlfn.XLOOKUP(D6,O:O,P:P,,0)</f>
        <v>715</v>
      </c>
      <c r="J6" s="808">
        <f t="shared" si="0"/>
        <v>1430</v>
      </c>
      <c r="O6" s="804" t="s">
        <v>4355</v>
      </c>
      <c r="P6">
        <v>544.9</v>
      </c>
    </row>
    <row r="7" spans="1:16" x14ac:dyDescent="0.2">
      <c r="A7" s="810"/>
      <c r="B7" s="811"/>
      <c r="C7" s="811"/>
      <c r="D7" s="811"/>
      <c r="E7" s="812"/>
      <c r="F7" s="812"/>
      <c r="G7" s="812"/>
      <c r="H7" s="810"/>
      <c r="I7" s="814"/>
      <c r="J7" s="814">
        <f>SUM(J3:J6)</f>
        <v>2455.59</v>
      </c>
      <c r="K7">
        <f>J7/J32</f>
        <v>0.16086417351075893</v>
      </c>
      <c r="O7" s="804"/>
    </row>
    <row r="8" spans="1:16" x14ac:dyDescent="0.2">
      <c r="A8" s="803" t="s">
        <v>4306</v>
      </c>
      <c r="B8" s="804" t="s">
        <v>4251</v>
      </c>
      <c r="C8" s="804" t="s">
        <v>4307</v>
      </c>
      <c r="D8" s="804" t="s">
        <v>4352</v>
      </c>
      <c r="E8" s="805">
        <v>2</v>
      </c>
      <c r="F8" s="805">
        <v>1</v>
      </c>
      <c r="G8" s="805">
        <v>2</v>
      </c>
      <c r="H8" s="803" t="s">
        <v>4243</v>
      </c>
      <c r="I8" s="808">
        <f t="shared" ref="I8:I15" si="1">_xlfn.SINGLE(_xlfn.XLOOKUP(D8,O:O,P:P,,0))</f>
        <v>149.99</v>
      </c>
      <c r="J8" s="808">
        <f t="shared" si="0"/>
        <v>299.98</v>
      </c>
      <c r="O8" s="817" t="s">
        <v>4356</v>
      </c>
      <c r="P8">
        <v>19478</v>
      </c>
    </row>
    <row r="9" spans="1:16" x14ac:dyDescent="0.2">
      <c r="A9" s="803" t="s">
        <v>4306</v>
      </c>
      <c r="B9" s="804" t="s">
        <v>4251</v>
      </c>
      <c r="C9" s="804" t="s">
        <v>4307</v>
      </c>
      <c r="D9" s="804" t="s">
        <v>4354</v>
      </c>
      <c r="E9" s="805">
        <v>1</v>
      </c>
      <c r="F9" s="805">
        <v>1</v>
      </c>
      <c r="G9" s="805">
        <v>1</v>
      </c>
      <c r="H9" s="803" t="s">
        <v>4243</v>
      </c>
      <c r="I9" s="808">
        <f t="shared" si="1"/>
        <v>715</v>
      </c>
      <c r="J9" s="808">
        <f t="shared" si="0"/>
        <v>715</v>
      </c>
    </row>
    <row r="10" spans="1:16" x14ac:dyDescent="0.2">
      <c r="A10" s="803" t="s">
        <v>4306</v>
      </c>
      <c r="B10" s="804" t="s">
        <v>4252</v>
      </c>
      <c r="C10" s="804" t="s">
        <v>4307</v>
      </c>
      <c r="D10" s="804" t="s">
        <v>4352</v>
      </c>
      <c r="E10" s="805">
        <v>2</v>
      </c>
      <c r="F10" s="805">
        <v>1</v>
      </c>
      <c r="G10" s="805">
        <v>2</v>
      </c>
      <c r="H10" s="803" t="s">
        <v>4243</v>
      </c>
      <c r="I10" s="808">
        <f t="shared" si="1"/>
        <v>149.99</v>
      </c>
      <c r="J10" s="808">
        <f t="shared" si="0"/>
        <v>299.98</v>
      </c>
    </row>
    <row r="11" spans="1:16" x14ac:dyDescent="0.2">
      <c r="A11" s="803" t="s">
        <v>4306</v>
      </c>
      <c r="B11" s="804" t="s">
        <v>4252</v>
      </c>
      <c r="C11" s="804" t="s">
        <v>4307</v>
      </c>
      <c r="D11" s="804" t="s">
        <v>4354</v>
      </c>
      <c r="E11" s="805">
        <v>1</v>
      </c>
      <c r="F11" s="805">
        <v>1</v>
      </c>
      <c r="G11" s="805">
        <v>1</v>
      </c>
      <c r="H11" s="803" t="s">
        <v>4243</v>
      </c>
      <c r="I11" s="808">
        <f t="shared" si="1"/>
        <v>715</v>
      </c>
      <c r="J11" s="808">
        <f t="shared" si="0"/>
        <v>715</v>
      </c>
    </row>
    <row r="12" spans="1:16" x14ac:dyDescent="0.2">
      <c r="A12" s="803" t="s">
        <v>4306</v>
      </c>
      <c r="B12" s="804" t="s">
        <v>4253</v>
      </c>
      <c r="C12" s="804" t="s">
        <v>4307</v>
      </c>
      <c r="D12" s="804" t="s">
        <v>4352</v>
      </c>
      <c r="E12" s="805">
        <v>2</v>
      </c>
      <c r="F12" s="805">
        <v>1</v>
      </c>
      <c r="G12" s="805">
        <v>2</v>
      </c>
      <c r="H12" s="803" t="s">
        <v>4243</v>
      </c>
      <c r="I12" s="808">
        <f t="shared" si="1"/>
        <v>149.99</v>
      </c>
      <c r="J12" s="808">
        <f t="shared" si="0"/>
        <v>299.98</v>
      </c>
    </row>
    <row r="13" spans="1:16" x14ac:dyDescent="0.2">
      <c r="A13" s="803" t="s">
        <v>4306</v>
      </c>
      <c r="B13" s="804" t="s">
        <v>4253</v>
      </c>
      <c r="C13" s="804" t="s">
        <v>4307</v>
      </c>
      <c r="D13" s="804" t="s">
        <v>4354</v>
      </c>
      <c r="E13" s="805">
        <v>1</v>
      </c>
      <c r="F13" s="805">
        <v>1</v>
      </c>
      <c r="G13" s="805">
        <v>1</v>
      </c>
      <c r="H13" s="803" t="s">
        <v>4243</v>
      </c>
      <c r="I13" s="808">
        <f t="shared" si="1"/>
        <v>715</v>
      </c>
      <c r="J13" s="808">
        <f t="shared" si="0"/>
        <v>715</v>
      </c>
    </row>
    <row r="14" spans="1:16" x14ac:dyDescent="0.2">
      <c r="A14" s="803" t="s">
        <v>4306</v>
      </c>
      <c r="B14" s="804" t="s">
        <v>4254</v>
      </c>
      <c r="C14" s="804" t="s">
        <v>4307</v>
      </c>
      <c r="D14" s="804" t="s">
        <v>4352</v>
      </c>
      <c r="E14" s="805">
        <v>2</v>
      </c>
      <c r="F14" s="805">
        <v>1</v>
      </c>
      <c r="G14" s="805">
        <v>2</v>
      </c>
      <c r="H14" s="803" t="s">
        <v>4243</v>
      </c>
      <c r="I14" s="808">
        <f t="shared" si="1"/>
        <v>149.99</v>
      </c>
      <c r="J14" s="808">
        <f t="shared" si="0"/>
        <v>299.98</v>
      </c>
    </row>
    <row r="15" spans="1:16" x14ac:dyDescent="0.2">
      <c r="A15" s="803" t="s">
        <v>4306</v>
      </c>
      <c r="B15" s="804" t="s">
        <v>4254</v>
      </c>
      <c r="C15" s="804" t="s">
        <v>4307</v>
      </c>
      <c r="D15" s="804" t="s">
        <v>4354</v>
      </c>
      <c r="E15" s="805">
        <v>1</v>
      </c>
      <c r="F15" s="805">
        <v>1</v>
      </c>
      <c r="G15" s="805">
        <v>1</v>
      </c>
      <c r="H15" s="803" t="s">
        <v>4243</v>
      </c>
      <c r="I15" s="808">
        <f t="shared" si="1"/>
        <v>715</v>
      </c>
      <c r="J15" s="808">
        <f t="shared" si="0"/>
        <v>715</v>
      </c>
    </row>
    <row r="16" spans="1:16" x14ac:dyDescent="0.2">
      <c r="A16" s="810"/>
      <c r="B16" s="811"/>
      <c r="C16" s="811"/>
      <c r="D16" s="811"/>
      <c r="E16" s="812"/>
      <c r="F16" s="812"/>
      <c r="G16" s="812"/>
      <c r="H16" s="810"/>
      <c r="I16" s="814"/>
      <c r="J16" s="814">
        <f>SUM(J8:J15)</f>
        <v>4059.92</v>
      </c>
      <c r="K16">
        <f>J16/J32</f>
        <v>0.26596283390948833</v>
      </c>
    </row>
    <row r="17" spans="1:11" x14ac:dyDescent="0.2">
      <c r="A17" s="803" t="s">
        <v>4306</v>
      </c>
      <c r="B17" s="804" t="s">
        <v>4244</v>
      </c>
      <c r="C17" s="804" t="s">
        <v>4307</v>
      </c>
      <c r="D17" s="804" t="s">
        <v>4355</v>
      </c>
      <c r="E17" s="805">
        <v>1</v>
      </c>
      <c r="F17" s="805">
        <v>1</v>
      </c>
      <c r="G17" s="805">
        <v>1</v>
      </c>
      <c r="H17" s="803" t="s">
        <v>4243</v>
      </c>
      <c r="I17" s="808">
        <f>_xlfn.XLOOKUP(D17,O:O,P:P,,0)</f>
        <v>544.9</v>
      </c>
      <c r="J17" s="808">
        <f t="shared" si="0"/>
        <v>544.9</v>
      </c>
    </row>
    <row r="18" spans="1:11" x14ac:dyDescent="0.2">
      <c r="A18" s="803" t="s">
        <v>4306</v>
      </c>
      <c r="B18" s="804" t="s">
        <v>4244</v>
      </c>
      <c r="C18" s="804" t="s">
        <v>4307</v>
      </c>
      <c r="D18" s="804" t="s">
        <v>4352</v>
      </c>
      <c r="E18" s="805">
        <v>2</v>
      </c>
      <c r="F18" s="805">
        <v>1</v>
      </c>
      <c r="G18" s="805">
        <v>2</v>
      </c>
      <c r="H18" s="803" t="s">
        <v>4243</v>
      </c>
      <c r="I18" s="808">
        <f>_xlfn.XLOOKUP(D18,O:O,P:P,,0)</f>
        <v>149.99</v>
      </c>
      <c r="J18" s="808">
        <f t="shared" si="0"/>
        <v>299.98</v>
      </c>
    </row>
    <row r="19" spans="1:11" x14ac:dyDescent="0.2">
      <c r="A19" s="803" t="s">
        <v>4306</v>
      </c>
      <c r="B19" s="804" t="s">
        <v>4244</v>
      </c>
      <c r="C19" s="804" t="s">
        <v>4307</v>
      </c>
      <c r="D19" s="816" t="s">
        <v>4354</v>
      </c>
      <c r="E19" s="805">
        <v>1</v>
      </c>
      <c r="F19" s="805">
        <v>1</v>
      </c>
      <c r="G19" s="805">
        <v>1</v>
      </c>
      <c r="H19" s="803" t="s">
        <v>4243</v>
      </c>
      <c r="I19" s="808">
        <f>_xlfn.XLOOKUP(D19,O:O,P:P,,0)</f>
        <v>715</v>
      </c>
      <c r="J19" s="808">
        <f t="shared" si="0"/>
        <v>715</v>
      </c>
    </row>
    <row r="20" spans="1:11" x14ac:dyDescent="0.2">
      <c r="A20" s="810"/>
      <c r="B20" s="811"/>
      <c r="C20" s="811"/>
      <c r="D20" s="811"/>
      <c r="E20" s="812"/>
      <c r="F20" s="812"/>
      <c r="G20" s="812"/>
      <c r="H20" s="810"/>
      <c r="I20" s="814"/>
      <c r="J20" s="814">
        <f>SUM(J17:J19)</f>
        <v>1559.88</v>
      </c>
      <c r="K20">
        <f>J20/J32</f>
        <v>0.10218676854685134</v>
      </c>
    </row>
    <row r="21" spans="1:11" x14ac:dyDescent="0.2">
      <c r="A21" s="803" t="s">
        <v>4306</v>
      </c>
      <c r="B21" s="804" t="s">
        <v>4245</v>
      </c>
      <c r="C21" s="804" t="s">
        <v>4307</v>
      </c>
      <c r="D21" s="816" t="s">
        <v>4352</v>
      </c>
      <c r="E21" s="805">
        <v>2</v>
      </c>
      <c r="F21" s="805">
        <v>13</v>
      </c>
      <c r="G21" s="805">
        <v>26</v>
      </c>
      <c r="H21" s="803" t="s">
        <v>4243</v>
      </c>
      <c r="I21" s="808">
        <f>_xlfn.XLOOKUP(D21,O:O,P:P,,0)</f>
        <v>149.99</v>
      </c>
      <c r="J21" s="808">
        <f t="shared" si="0"/>
        <v>3899.7400000000002</v>
      </c>
    </row>
    <row r="22" spans="1:11" x14ac:dyDescent="0.2">
      <c r="A22" s="803" t="s">
        <v>4306</v>
      </c>
      <c r="B22" s="804" t="s">
        <v>4245</v>
      </c>
      <c r="C22" s="804" t="s">
        <v>4307</v>
      </c>
      <c r="D22" s="804" t="s">
        <v>4354</v>
      </c>
      <c r="E22" s="805">
        <v>1</v>
      </c>
      <c r="F22" s="805">
        <v>1</v>
      </c>
      <c r="G22" s="805">
        <v>1</v>
      </c>
      <c r="H22" s="803" t="s">
        <v>4243</v>
      </c>
      <c r="I22" s="808">
        <f>_xlfn.XLOOKUP(D22,O:O,P:P,,0)</f>
        <v>715</v>
      </c>
      <c r="J22" s="808">
        <f t="shared" si="0"/>
        <v>715</v>
      </c>
    </row>
    <row r="23" spans="1:11" x14ac:dyDescent="0.2">
      <c r="A23" s="810"/>
      <c r="B23" s="811"/>
      <c r="C23" s="811"/>
      <c r="D23" s="811"/>
      <c r="E23" s="812"/>
      <c r="F23" s="812"/>
      <c r="G23" s="812"/>
      <c r="H23" s="810"/>
      <c r="I23" s="814"/>
      <c r="J23" s="814">
        <f>SUM(J21:J22)</f>
        <v>4614.74</v>
      </c>
      <c r="K23">
        <f>J23/J32</f>
        <v>0.30230874700867799</v>
      </c>
    </row>
    <row r="24" spans="1:11" x14ac:dyDescent="0.2">
      <c r="A24" s="803" t="s">
        <v>4306</v>
      </c>
      <c r="B24" s="804" t="s">
        <v>4246</v>
      </c>
      <c r="C24" s="804" t="s">
        <v>4307</v>
      </c>
      <c r="D24" s="804" t="s">
        <v>4352</v>
      </c>
      <c r="E24" s="803">
        <v>2</v>
      </c>
      <c r="F24" s="805">
        <v>1</v>
      </c>
      <c r="G24" s="805">
        <v>2</v>
      </c>
      <c r="H24" s="803" t="s">
        <v>4243</v>
      </c>
      <c r="I24" s="808">
        <f>_xlfn.XLOOKUP(D24,O:O,P:P,,0)</f>
        <v>149.99</v>
      </c>
      <c r="J24" s="808">
        <f t="shared" si="0"/>
        <v>299.98</v>
      </c>
    </row>
    <row r="25" spans="1:11" x14ac:dyDescent="0.2">
      <c r="A25" s="803" t="s">
        <v>4306</v>
      </c>
      <c r="B25" s="804" t="s">
        <v>4246</v>
      </c>
      <c r="C25" s="804" t="s">
        <v>4307</v>
      </c>
      <c r="D25" s="804" t="s">
        <v>4354</v>
      </c>
      <c r="E25" s="803">
        <v>1</v>
      </c>
      <c r="F25" s="805">
        <v>1</v>
      </c>
      <c r="G25" s="805">
        <v>1</v>
      </c>
      <c r="H25" s="803" t="s">
        <v>4243</v>
      </c>
      <c r="I25" s="808">
        <f>_xlfn.XLOOKUP(D25,O:O,P:P,,0)</f>
        <v>715</v>
      </c>
      <c r="J25" s="808">
        <f t="shared" si="0"/>
        <v>715</v>
      </c>
    </row>
    <row r="26" spans="1:11" x14ac:dyDescent="0.2">
      <c r="A26" s="810"/>
      <c r="B26" s="811"/>
      <c r="C26" s="811"/>
      <c r="D26" s="811"/>
      <c r="E26" s="812"/>
      <c r="F26" s="812"/>
      <c r="G26" s="812"/>
      <c r="H26" s="810"/>
      <c r="I26" s="814"/>
      <c r="J26" s="814">
        <f>SUM(J24:J25)</f>
        <v>1014.98</v>
      </c>
      <c r="K26">
        <f>J26/J32</f>
        <v>6.6490708477372082E-2</v>
      </c>
    </row>
    <row r="27" spans="1:11" x14ac:dyDescent="0.2">
      <c r="A27" s="803" t="s">
        <v>4306</v>
      </c>
      <c r="B27" s="804" t="s">
        <v>4247</v>
      </c>
      <c r="C27" s="804" t="s">
        <v>4307</v>
      </c>
      <c r="D27" s="804" t="s">
        <v>4352</v>
      </c>
      <c r="E27" s="805">
        <v>2</v>
      </c>
      <c r="F27" s="805">
        <v>1</v>
      </c>
      <c r="G27" s="805">
        <v>2</v>
      </c>
      <c r="H27" s="803" t="s">
        <v>4243</v>
      </c>
      <c r="I27" s="808">
        <f>_xlfn.XLOOKUP(D27,O:O,P:P,,0)</f>
        <v>149.99</v>
      </c>
      <c r="J27" s="808">
        <f t="shared" si="0"/>
        <v>299.98</v>
      </c>
    </row>
    <row r="28" spans="1:11" x14ac:dyDescent="0.2">
      <c r="A28" s="803" t="s">
        <v>4306</v>
      </c>
      <c r="B28" s="804" t="s">
        <v>4247</v>
      </c>
      <c r="C28" s="804" t="s">
        <v>4307</v>
      </c>
      <c r="D28" s="804" t="s">
        <v>4354</v>
      </c>
      <c r="E28" s="805">
        <v>1</v>
      </c>
      <c r="F28" s="805">
        <v>1</v>
      </c>
      <c r="G28" s="805">
        <v>1</v>
      </c>
      <c r="H28" s="803" t="s">
        <v>4243</v>
      </c>
      <c r="I28" s="808">
        <f>_xlfn.XLOOKUP(D28,O:O,P:P,,0)</f>
        <v>715</v>
      </c>
      <c r="J28" s="808">
        <f t="shared" si="0"/>
        <v>715</v>
      </c>
    </row>
    <row r="29" spans="1:11" x14ac:dyDescent="0.2">
      <c r="A29" s="810"/>
      <c r="B29" s="811"/>
      <c r="C29" s="811"/>
      <c r="D29" s="811"/>
      <c r="E29" s="812"/>
      <c r="F29" s="812"/>
      <c r="G29" s="812"/>
      <c r="H29" s="810"/>
      <c r="I29" s="814"/>
      <c r="J29" s="814">
        <f>SUM(J27:J28)</f>
        <v>1014.98</v>
      </c>
      <c r="K29">
        <f>J29/J32</f>
        <v>6.6490708477372082E-2</v>
      </c>
    </row>
    <row r="30" spans="1:11" x14ac:dyDescent="0.2">
      <c r="A30" s="803" t="s">
        <v>4306</v>
      </c>
      <c r="B30" s="804" t="s">
        <v>4248</v>
      </c>
      <c r="C30" s="804" t="s">
        <v>4307</v>
      </c>
      <c r="D30" s="804" t="s">
        <v>4355</v>
      </c>
      <c r="E30" s="805">
        <v>1</v>
      </c>
      <c r="F30" s="805">
        <v>1</v>
      </c>
      <c r="G30" s="805">
        <v>1</v>
      </c>
      <c r="H30" s="803" t="s">
        <v>4243</v>
      </c>
      <c r="I30" s="808">
        <f>_xlfn.XLOOKUP(D30,O:O,P:P,,0)</f>
        <v>544.9</v>
      </c>
      <c r="J30" s="808">
        <f t="shared" si="0"/>
        <v>544.9</v>
      </c>
    </row>
    <row r="31" spans="1:11" x14ac:dyDescent="0.2">
      <c r="A31" s="810"/>
      <c r="B31" s="811"/>
      <c r="C31" s="811"/>
      <c r="D31" s="811"/>
      <c r="E31" s="812"/>
      <c r="F31" s="812"/>
      <c r="G31" s="812"/>
      <c r="H31" s="810"/>
      <c r="I31" s="814"/>
      <c r="J31" s="814">
        <f>SUM(J30:J30)</f>
        <v>544.9</v>
      </c>
      <c r="K31">
        <f>J31/J32</f>
        <v>3.5696060069479243E-2</v>
      </c>
    </row>
    <row r="32" spans="1:11" x14ac:dyDescent="0.2">
      <c r="J32" s="757">
        <f>J31+J29+J26+J23+J20+J16+J7</f>
        <v>15264.99</v>
      </c>
    </row>
    <row r="34" spans="1:10" x14ac:dyDescent="0.2">
      <c r="A34" s="1196" t="s">
        <v>4358</v>
      </c>
      <c r="B34" s="1197"/>
      <c r="C34" s="1197"/>
      <c r="D34" s="1197"/>
      <c r="E34" s="1197"/>
      <c r="F34" s="1197"/>
      <c r="G34" s="1197"/>
      <c r="H34" s="1197"/>
      <c r="I34" s="1197"/>
      <c r="J34" s="1197"/>
    </row>
    <row r="35" spans="1:10" ht="15" x14ac:dyDescent="0.25">
      <c r="A35" s="800" t="s">
        <v>4234</v>
      </c>
      <c r="B35" s="801" t="s">
        <v>4235</v>
      </c>
      <c r="C35" s="801" t="s">
        <v>4236</v>
      </c>
      <c r="D35" s="801" t="s">
        <v>6</v>
      </c>
      <c r="E35" s="800" t="s">
        <v>4237</v>
      </c>
      <c r="F35" s="800" t="s">
        <v>4301</v>
      </c>
      <c r="G35" s="802" t="s">
        <v>8</v>
      </c>
      <c r="H35" s="800" t="s">
        <v>4239</v>
      </c>
      <c r="I35" s="807" t="s">
        <v>4257</v>
      </c>
      <c r="J35" s="800" t="s">
        <v>4258</v>
      </c>
    </row>
    <row r="36" spans="1:10" x14ac:dyDescent="0.2">
      <c r="A36" s="763" t="s">
        <v>4359</v>
      </c>
      <c r="D36" s="763" t="s">
        <v>4360</v>
      </c>
      <c r="E36">
        <v>11</v>
      </c>
      <c r="G36">
        <f t="shared" ref="G36:G69" si="2">E36*(1+F36)</f>
        <v>11</v>
      </c>
      <c r="H36" s="762" t="s">
        <v>4243</v>
      </c>
      <c r="I36" s="764">
        <v>5.52</v>
      </c>
      <c r="J36" s="750">
        <f>I36*G36</f>
        <v>60.72</v>
      </c>
    </row>
    <row r="37" spans="1:10" x14ac:dyDescent="0.2">
      <c r="A37" s="763" t="s">
        <v>4359</v>
      </c>
      <c r="D37" s="763" t="s">
        <v>4361</v>
      </c>
      <c r="E37">
        <v>38</v>
      </c>
      <c r="G37">
        <f t="shared" si="2"/>
        <v>38</v>
      </c>
      <c r="H37" s="762" t="s">
        <v>4243</v>
      </c>
      <c r="I37" s="764">
        <v>8.9499999999999993</v>
      </c>
      <c r="J37" s="750">
        <f t="shared" ref="J37:J69" si="3">I37*G37</f>
        <v>340.09999999999997</v>
      </c>
    </row>
    <row r="38" spans="1:10" x14ac:dyDescent="0.2">
      <c r="A38" s="763" t="s">
        <v>4359</v>
      </c>
      <c r="D38" t="s">
        <v>4362</v>
      </c>
      <c r="E38">
        <v>58</v>
      </c>
      <c r="G38">
        <f t="shared" si="2"/>
        <v>58</v>
      </c>
      <c r="H38" s="762" t="s">
        <v>4243</v>
      </c>
      <c r="I38" s="764">
        <v>1.5423</v>
      </c>
      <c r="J38" s="750">
        <f t="shared" si="3"/>
        <v>89.453400000000002</v>
      </c>
    </row>
    <row r="39" spans="1:10" x14ac:dyDescent="0.2">
      <c r="A39" s="763" t="s">
        <v>4359</v>
      </c>
      <c r="D39" t="s">
        <v>4363</v>
      </c>
      <c r="E39">
        <v>1</v>
      </c>
      <c r="G39">
        <f t="shared" si="2"/>
        <v>1</v>
      </c>
      <c r="H39" s="762" t="s">
        <v>4243</v>
      </c>
      <c r="I39" s="764">
        <v>2.4700000000000002</v>
      </c>
      <c r="J39" s="750">
        <f t="shared" si="3"/>
        <v>2.4700000000000002</v>
      </c>
    </row>
    <row r="40" spans="1:10" x14ac:dyDescent="0.2">
      <c r="A40" s="763" t="s">
        <v>4359</v>
      </c>
      <c r="D40" s="763" t="s">
        <v>4364</v>
      </c>
      <c r="E40">
        <v>36</v>
      </c>
      <c r="G40">
        <f t="shared" si="2"/>
        <v>36</v>
      </c>
      <c r="H40" s="762" t="s">
        <v>4243</v>
      </c>
      <c r="I40" s="764">
        <v>3.06</v>
      </c>
      <c r="J40" s="750">
        <f t="shared" si="3"/>
        <v>110.16</v>
      </c>
    </row>
    <row r="41" spans="1:10" x14ac:dyDescent="0.2">
      <c r="A41" s="763" t="s">
        <v>4359</v>
      </c>
      <c r="D41" t="s">
        <v>4365</v>
      </c>
      <c r="E41">
        <v>1</v>
      </c>
      <c r="G41">
        <f t="shared" si="2"/>
        <v>1</v>
      </c>
      <c r="H41" s="762" t="s">
        <v>4243</v>
      </c>
      <c r="I41" s="764">
        <v>7894.63</v>
      </c>
      <c r="J41" s="750">
        <f t="shared" si="3"/>
        <v>7894.63</v>
      </c>
    </row>
    <row r="42" spans="1:10" x14ac:dyDescent="0.2">
      <c r="A42" s="763" t="s">
        <v>4359</v>
      </c>
      <c r="D42" s="763" t="s">
        <v>4366</v>
      </c>
      <c r="E42">
        <v>1</v>
      </c>
      <c r="G42">
        <f t="shared" si="2"/>
        <v>1</v>
      </c>
      <c r="H42" s="762" t="s">
        <v>4243</v>
      </c>
      <c r="I42" s="764">
        <v>759.99</v>
      </c>
      <c r="J42" s="750">
        <f t="shared" si="3"/>
        <v>759.99</v>
      </c>
    </row>
    <row r="43" spans="1:10" x14ac:dyDescent="0.2">
      <c r="A43" s="763" t="s">
        <v>4359</v>
      </c>
      <c r="D43" t="s">
        <v>4367</v>
      </c>
      <c r="E43">
        <v>57</v>
      </c>
      <c r="G43">
        <f t="shared" si="2"/>
        <v>57</v>
      </c>
      <c r="H43" s="762" t="s">
        <v>4243</v>
      </c>
      <c r="I43" s="764">
        <v>3.74</v>
      </c>
      <c r="J43" s="750">
        <f t="shared" si="3"/>
        <v>213.18</v>
      </c>
    </row>
    <row r="44" spans="1:10" x14ac:dyDescent="0.2">
      <c r="A44" s="763" t="s">
        <v>4359</v>
      </c>
      <c r="D44" s="763" t="s">
        <v>4392</v>
      </c>
      <c r="E44">
        <v>57</v>
      </c>
      <c r="G44">
        <f t="shared" si="2"/>
        <v>57</v>
      </c>
      <c r="H44" s="762" t="s">
        <v>4243</v>
      </c>
      <c r="I44" s="750">
        <v>0</v>
      </c>
      <c r="J44" s="750">
        <f t="shared" si="3"/>
        <v>0</v>
      </c>
    </row>
    <row r="45" spans="1:10" x14ac:dyDescent="0.2">
      <c r="A45" s="763" t="s">
        <v>4359</v>
      </c>
      <c r="D45" s="763" t="s">
        <v>4391</v>
      </c>
      <c r="E45">
        <v>29</v>
      </c>
      <c r="G45">
        <f t="shared" si="2"/>
        <v>29</v>
      </c>
      <c r="H45" s="762" t="s">
        <v>4243</v>
      </c>
      <c r="I45" s="750">
        <v>6.81</v>
      </c>
      <c r="J45" s="750">
        <f t="shared" si="3"/>
        <v>197.48999999999998</v>
      </c>
    </row>
    <row r="46" spans="1:10" x14ac:dyDescent="0.2">
      <c r="A46" s="763" t="s">
        <v>4359</v>
      </c>
      <c r="D46" s="763" t="s">
        <v>4369</v>
      </c>
      <c r="E46">
        <v>114</v>
      </c>
      <c r="G46">
        <f t="shared" si="2"/>
        <v>114</v>
      </c>
      <c r="H46" s="762" t="s">
        <v>4243</v>
      </c>
      <c r="I46" s="764">
        <v>0.49</v>
      </c>
      <c r="J46" s="750">
        <f t="shared" si="3"/>
        <v>55.86</v>
      </c>
    </row>
    <row r="47" spans="1:10" x14ac:dyDescent="0.2">
      <c r="A47" s="763" t="s">
        <v>4359</v>
      </c>
      <c r="D47" s="763" t="s">
        <v>4370</v>
      </c>
      <c r="E47">
        <v>1</v>
      </c>
      <c r="G47">
        <f t="shared" si="2"/>
        <v>1</v>
      </c>
      <c r="H47" s="762" t="s">
        <v>4243</v>
      </c>
      <c r="I47" s="750">
        <v>449.9</v>
      </c>
      <c r="J47" s="750">
        <f t="shared" si="3"/>
        <v>449.9</v>
      </c>
    </row>
    <row r="48" spans="1:10" x14ac:dyDescent="0.2">
      <c r="A48" s="763" t="s">
        <v>4359</v>
      </c>
      <c r="D48" s="763" t="s">
        <v>4371</v>
      </c>
      <c r="E48">
        <v>10</v>
      </c>
      <c r="G48">
        <f t="shared" si="2"/>
        <v>10</v>
      </c>
      <c r="H48" s="762" t="s">
        <v>4243</v>
      </c>
      <c r="I48" s="750">
        <v>74.22</v>
      </c>
      <c r="J48" s="750">
        <f t="shared" si="3"/>
        <v>742.2</v>
      </c>
    </row>
    <row r="49" spans="1:10" x14ac:dyDescent="0.2">
      <c r="A49" s="763" t="s">
        <v>4359</v>
      </c>
      <c r="D49" t="s">
        <v>4372</v>
      </c>
      <c r="E49">
        <v>1</v>
      </c>
      <c r="G49">
        <f t="shared" si="2"/>
        <v>1</v>
      </c>
      <c r="H49" s="762" t="s">
        <v>4243</v>
      </c>
      <c r="I49" s="750">
        <v>2500</v>
      </c>
      <c r="J49" s="750">
        <f t="shared" si="3"/>
        <v>2500</v>
      </c>
    </row>
    <row r="50" spans="1:10" x14ac:dyDescent="0.2">
      <c r="A50" s="763" t="s">
        <v>4359</v>
      </c>
      <c r="D50" t="s">
        <v>4373</v>
      </c>
      <c r="E50">
        <v>10</v>
      </c>
      <c r="G50">
        <f t="shared" si="2"/>
        <v>10</v>
      </c>
      <c r="H50" s="762" t="s">
        <v>4243</v>
      </c>
      <c r="I50" s="750">
        <v>188.47</v>
      </c>
      <c r="J50" s="750">
        <f t="shared" si="3"/>
        <v>1884.7</v>
      </c>
    </row>
    <row r="51" spans="1:10" x14ac:dyDescent="0.2">
      <c r="A51" s="763" t="s">
        <v>4359</v>
      </c>
      <c r="D51" t="s">
        <v>4374</v>
      </c>
      <c r="E51">
        <v>28</v>
      </c>
      <c r="G51">
        <f t="shared" si="2"/>
        <v>28</v>
      </c>
      <c r="H51" s="762" t="s">
        <v>4243</v>
      </c>
      <c r="I51" s="750">
        <v>171.02</v>
      </c>
      <c r="J51" s="750">
        <f t="shared" si="3"/>
        <v>4788.5600000000004</v>
      </c>
    </row>
    <row r="52" spans="1:10" x14ac:dyDescent="0.2">
      <c r="A52" s="763" t="s">
        <v>4359</v>
      </c>
      <c r="D52" t="s">
        <v>4375</v>
      </c>
      <c r="E52">
        <v>59</v>
      </c>
      <c r="G52">
        <f t="shared" si="2"/>
        <v>59</v>
      </c>
      <c r="H52" s="762" t="s">
        <v>4243</v>
      </c>
      <c r="I52" s="750">
        <v>171.02</v>
      </c>
      <c r="J52" s="750">
        <f t="shared" si="3"/>
        <v>10090.18</v>
      </c>
    </row>
    <row r="53" spans="1:10" x14ac:dyDescent="0.2">
      <c r="A53" s="763" t="s">
        <v>4359</v>
      </c>
      <c r="D53" s="763" t="s">
        <v>4376</v>
      </c>
      <c r="E53">
        <v>7</v>
      </c>
      <c r="G53">
        <f t="shared" si="2"/>
        <v>7</v>
      </c>
      <c r="H53" s="762" t="s">
        <v>4243</v>
      </c>
      <c r="I53" s="750">
        <v>17.89</v>
      </c>
      <c r="J53" s="750">
        <f t="shared" si="3"/>
        <v>125.23</v>
      </c>
    </row>
    <row r="54" spans="1:10" x14ac:dyDescent="0.2">
      <c r="A54" s="763" t="s">
        <v>4359</v>
      </c>
      <c r="D54" t="s">
        <v>4377</v>
      </c>
      <c r="E54">
        <v>2</v>
      </c>
      <c r="G54">
        <f t="shared" si="2"/>
        <v>2</v>
      </c>
      <c r="H54" s="762" t="s">
        <v>4243</v>
      </c>
      <c r="I54" s="750">
        <v>16.920000000000002</v>
      </c>
      <c r="J54" s="750">
        <f t="shared" si="3"/>
        <v>33.840000000000003</v>
      </c>
    </row>
    <row r="55" spans="1:10" x14ac:dyDescent="0.2">
      <c r="A55" s="763" t="s">
        <v>4359</v>
      </c>
      <c r="D55" t="s">
        <v>4378</v>
      </c>
      <c r="E55">
        <v>74.75</v>
      </c>
      <c r="F55" s="784">
        <v>0.1</v>
      </c>
      <c r="G55">
        <f t="shared" si="2"/>
        <v>82.225000000000009</v>
      </c>
      <c r="H55" s="762" t="s">
        <v>3</v>
      </c>
      <c r="I55" s="750">
        <v>63.71</v>
      </c>
      <c r="J55" s="750">
        <f t="shared" si="3"/>
        <v>5238.5547500000002</v>
      </c>
    </row>
    <row r="56" spans="1:10" x14ac:dyDescent="0.2">
      <c r="A56" s="763" t="s">
        <v>4359</v>
      </c>
      <c r="D56" t="s">
        <v>4379</v>
      </c>
      <c r="E56">
        <v>7</v>
      </c>
      <c r="G56">
        <f t="shared" si="2"/>
        <v>7</v>
      </c>
      <c r="H56" s="762" t="s">
        <v>4243</v>
      </c>
      <c r="I56" s="750">
        <v>11.48</v>
      </c>
      <c r="J56" s="750">
        <f t="shared" si="3"/>
        <v>80.36</v>
      </c>
    </row>
    <row r="57" spans="1:10" x14ac:dyDescent="0.2">
      <c r="A57" s="763" t="s">
        <v>4359</v>
      </c>
      <c r="D57" t="s">
        <v>4380</v>
      </c>
      <c r="E57">
        <v>2</v>
      </c>
      <c r="G57">
        <f t="shared" si="2"/>
        <v>2</v>
      </c>
      <c r="H57" s="762" t="s">
        <v>4243</v>
      </c>
      <c r="I57" s="750">
        <v>4.25</v>
      </c>
      <c r="J57" s="750">
        <f t="shared" si="3"/>
        <v>8.5</v>
      </c>
    </row>
    <row r="58" spans="1:10" x14ac:dyDescent="0.2">
      <c r="A58" s="763" t="s">
        <v>4359</v>
      </c>
      <c r="D58" t="s">
        <v>4381</v>
      </c>
      <c r="E58">
        <v>74.75</v>
      </c>
      <c r="G58">
        <f t="shared" si="2"/>
        <v>74.75</v>
      </c>
      <c r="H58" s="762" t="s">
        <v>3</v>
      </c>
      <c r="I58" s="750">
        <v>20.78</v>
      </c>
      <c r="J58" s="750">
        <f t="shared" si="3"/>
        <v>1553.3050000000001</v>
      </c>
    </row>
    <row r="59" spans="1:10" x14ac:dyDescent="0.2">
      <c r="A59" s="763" t="s">
        <v>4359</v>
      </c>
      <c r="D59" s="763" t="s">
        <v>4382</v>
      </c>
      <c r="E59">
        <v>91</v>
      </c>
      <c r="G59">
        <f t="shared" si="2"/>
        <v>91</v>
      </c>
      <c r="H59" s="762" t="s">
        <v>4243</v>
      </c>
      <c r="I59" s="750">
        <f>88.25/100</f>
        <v>0.88249999999999995</v>
      </c>
      <c r="J59" s="750">
        <f t="shared" si="3"/>
        <v>80.30749999999999</v>
      </c>
    </row>
    <row r="60" spans="1:10" x14ac:dyDescent="0.2">
      <c r="A60" s="763" t="s">
        <v>4359</v>
      </c>
      <c r="D60" s="763" t="s">
        <v>4383</v>
      </c>
      <c r="E60">
        <v>86.72</v>
      </c>
      <c r="F60" s="784">
        <v>0.2</v>
      </c>
      <c r="G60">
        <f t="shared" si="2"/>
        <v>104.06399999999999</v>
      </c>
      <c r="H60" s="762" t="s">
        <v>3</v>
      </c>
      <c r="I60" s="750">
        <v>1.0137779999999998</v>
      </c>
      <c r="J60" s="750">
        <f t="shared" si="3"/>
        <v>105.49779379199998</v>
      </c>
    </row>
    <row r="61" spans="1:10" x14ac:dyDescent="0.2">
      <c r="A61" s="763" t="s">
        <v>4359</v>
      </c>
      <c r="D61" s="763" t="s">
        <v>4384</v>
      </c>
      <c r="E61">
        <v>90.6</v>
      </c>
      <c r="F61" s="784">
        <v>0.2</v>
      </c>
      <c r="G61">
        <f t="shared" si="2"/>
        <v>108.71999999999998</v>
      </c>
      <c r="H61" s="762" t="s">
        <v>3</v>
      </c>
      <c r="I61" s="750">
        <v>1.00908</v>
      </c>
      <c r="J61" s="750">
        <f t="shared" si="3"/>
        <v>109.70717759999998</v>
      </c>
    </row>
    <row r="62" spans="1:10" x14ac:dyDescent="0.2">
      <c r="A62" s="763" t="s">
        <v>4359</v>
      </c>
      <c r="D62" s="763" t="s">
        <v>4385</v>
      </c>
      <c r="E62">
        <v>278.2</v>
      </c>
      <c r="F62" s="784">
        <v>0.2</v>
      </c>
      <c r="G62">
        <f t="shared" si="2"/>
        <v>333.84</v>
      </c>
      <c r="H62" s="762" t="s">
        <v>3</v>
      </c>
      <c r="I62" s="750">
        <f>82.45/50</f>
        <v>1.649</v>
      </c>
      <c r="J62" s="750">
        <f t="shared" si="3"/>
        <v>550.50216</v>
      </c>
    </row>
    <row r="63" spans="1:10" x14ac:dyDescent="0.2">
      <c r="A63" s="763" t="s">
        <v>4359</v>
      </c>
      <c r="D63" s="763" t="s">
        <v>4386</v>
      </c>
      <c r="E63">
        <v>73.06</v>
      </c>
      <c r="F63" s="784">
        <v>0.2</v>
      </c>
      <c r="G63">
        <f t="shared" si="2"/>
        <v>87.671999999999997</v>
      </c>
      <c r="H63" s="762" t="s">
        <v>3</v>
      </c>
      <c r="I63" s="750">
        <v>1.65</v>
      </c>
      <c r="J63" s="750">
        <f t="shared" si="3"/>
        <v>144.65879999999999</v>
      </c>
    </row>
    <row r="64" spans="1:10" x14ac:dyDescent="0.2">
      <c r="A64" s="763" t="s">
        <v>4359</v>
      </c>
      <c r="D64" s="763" t="s">
        <v>4387</v>
      </c>
      <c r="E64">
        <v>2.0699999999999998</v>
      </c>
      <c r="F64" s="784">
        <v>0.2</v>
      </c>
      <c r="G64">
        <f t="shared" si="2"/>
        <v>2.4839999999999995</v>
      </c>
      <c r="H64" s="762" t="s">
        <v>3</v>
      </c>
      <c r="I64" s="750">
        <v>1.65</v>
      </c>
      <c r="J64" s="750">
        <f t="shared" si="3"/>
        <v>4.0985999999999994</v>
      </c>
    </row>
    <row r="65" spans="1:10" x14ac:dyDescent="0.2">
      <c r="A65" s="763" t="s">
        <v>4359</v>
      </c>
      <c r="D65" t="s">
        <v>4388</v>
      </c>
      <c r="E65">
        <v>67.099999999999994</v>
      </c>
      <c r="F65" s="784">
        <v>0.2</v>
      </c>
      <c r="G65">
        <f t="shared" si="2"/>
        <v>80.52</v>
      </c>
      <c r="H65" s="762" t="s">
        <v>3</v>
      </c>
      <c r="I65" s="750">
        <v>1.65</v>
      </c>
      <c r="J65" s="750">
        <f t="shared" si="3"/>
        <v>132.85799999999998</v>
      </c>
    </row>
    <row r="66" spans="1:10" x14ac:dyDescent="0.2">
      <c r="A66" s="763" t="s">
        <v>4359</v>
      </c>
      <c r="D66" t="s">
        <v>4389</v>
      </c>
      <c r="E66">
        <v>57</v>
      </c>
      <c r="G66">
        <f t="shared" si="2"/>
        <v>57</v>
      </c>
      <c r="H66" s="762" t="s">
        <v>4243</v>
      </c>
      <c r="I66" s="750">
        <v>5.61</v>
      </c>
      <c r="J66" s="750">
        <f t="shared" si="3"/>
        <v>319.77000000000004</v>
      </c>
    </row>
    <row r="67" spans="1:10" x14ac:dyDescent="0.2">
      <c r="A67" s="763" t="s">
        <v>4359</v>
      </c>
      <c r="D67" t="s">
        <v>4390</v>
      </c>
      <c r="E67">
        <v>29</v>
      </c>
      <c r="G67">
        <f t="shared" si="2"/>
        <v>29</v>
      </c>
      <c r="H67" s="762" t="s">
        <v>4243</v>
      </c>
      <c r="I67" s="750">
        <v>5.61</v>
      </c>
      <c r="J67" s="750">
        <f t="shared" si="3"/>
        <v>162.69</v>
      </c>
    </row>
    <row r="68" spans="1:10" x14ac:dyDescent="0.2">
      <c r="A68" s="763"/>
      <c r="D68" s="763" t="s">
        <v>4590</v>
      </c>
      <c r="E68">
        <v>31</v>
      </c>
      <c r="G68">
        <f t="shared" si="2"/>
        <v>31</v>
      </c>
      <c r="H68" s="762" t="s">
        <v>4243</v>
      </c>
      <c r="I68" s="750">
        <v>80.180000000000007</v>
      </c>
      <c r="J68" s="750">
        <f t="shared" si="3"/>
        <v>2485.5800000000004</v>
      </c>
    </row>
    <row r="69" spans="1:10" x14ac:dyDescent="0.2">
      <c r="A69" s="763"/>
      <c r="D69" s="763" t="s">
        <v>4591</v>
      </c>
      <c r="E69">
        <v>22</v>
      </c>
      <c r="G69">
        <f t="shared" si="2"/>
        <v>22</v>
      </c>
      <c r="H69" s="762" t="s">
        <v>4243</v>
      </c>
      <c r="I69" s="750">
        <v>80.180000000000007</v>
      </c>
      <c r="J69" s="750">
        <f t="shared" si="3"/>
        <v>1763.96</v>
      </c>
    </row>
    <row r="70" spans="1:10" x14ac:dyDescent="0.2">
      <c r="A70" s="821"/>
      <c r="B70" s="821"/>
      <c r="C70" s="821"/>
      <c r="D70" s="821"/>
      <c r="E70" s="821"/>
      <c r="F70" s="819"/>
      <c r="G70" s="821"/>
      <c r="H70" s="819"/>
      <c r="I70" s="823" t="s">
        <v>4393</v>
      </c>
      <c r="J70" s="824">
        <f>SUM(J36:J69)</f>
        <v>43079.013181392002</v>
      </c>
    </row>
    <row r="71" spans="1:10" x14ac:dyDescent="0.2">
      <c r="A71" s="821"/>
      <c r="B71" s="821"/>
      <c r="C71" s="821"/>
      <c r="D71" s="821"/>
      <c r="E71" s="821"/>
      <c r="F71" s="819"/>
      <c r="G71" s="821"/>
      <c r="H71" s="819"/>
      <c r="I71" s="820" t="s">
        <v>259</v>
      </c>
      <c r="J71" s="822">
        <f>J70*K7</f>
        <v>6929.8698510837139</v>
      </c>
    </row>
    <row r="72" spans="1:10" x14ac:dyDescent="0.2">
      <c r="A72" s="821"/>
      <c r="B72" s="821"/>
      <c r="C72" s="821"/>
      <c r="D72" s="821"/>
      <c r="E72" s="821"/>
      <c r="F72" s="819"/>
      <c r="G72" s="821"/>
      <c r="H72" s="819"/>
      <c r="I72" s="820" t="s">
        <v>4394</v>
      </c>
      <c r="J72" s="822">
        <f>J70*K16</f>
        <v>11457.416427747219</v>
      </c>
    </row>
    <row r="73" spans="1:10" x14ac:dyDescent="0.2">
      <c r="A73" s="821"/>
      <c r="B73" s="821"/>
      <c r="C73" s="821"/>
      <c r="D73" s="821"/>
      <c r="E73" s="821"/>
      <c r="F73" s="819"/>
      <c r="G73" s="821"/>
      <c r="H73" s="819"/>
      <c r="I73" s="820" t="s">
        <v>4395</v>
      </c>
      <c r="J73" s="822">
        <f>J70*K20</f>
        <v>4402.1051491936623</v>
      </c>
    </row>
    <row r="74" spans="1:10" x14ac:dyDescent="0.2">
      <c r="A74" s="821"/>
      <c r="B74" s="821"/>
      <c r="C74" s="821"/>
      <c r="D74" s="821"/>
      <c r="E74" s="821"/>
      <c r="F74" s="819"/>
      <c r="G74" s="821"/>
      <c r="H74" s="819"/>
      <c r="I74" s="820" t="s">
        <v>810</v>
      </c>
      <c r="J74" s="822">
        <f>J70*K23</f>
        <v>13023.162497236939</v>
      </c>
    </row>
    <row r="75" spans="1:10" x14ac:dyDescent="0.2">
      <c r="A75" s="821"/>
      <c r="B75" s="821"/>
      <c r="C75" s="821"/>
      <c r="D75" s="821"/>
      <c r="E75" s="821"/>
      <c r="F75" s="819"/>
      <c r="G75" s="821"/>
      <c r="H75" s="819"/>
      <c r="I75" s="820" t="s">
        <v>4396</v>
      </c>
      <c r="J75" s="822">
        <f>J70*K26</f>
        <v>2864.3541069368048</v>
      </c>
    </row>
    <row r="76" spans="1:10" x14ac:dyDescent="0.2">
      <c r="A76" s="821"/>
      <c r="B76" s="821"/>
      <c r="C76" s="821"/>
      <c r="D76" s="821"/>
      <c r="E76" s="821"/>
      <c r="F76" s="819"/>
      <c r="G76" s="821"/>
      <c r="H76" s="819"/>
      <c r="I76" s="820" t="s">
        <v>4397</v>
      </c>
      <c r="J76" s="822">
        <f>J70*K29</f>
        <v>2864.3541069368048</v>
      </c>
    </row>
    <row r="77" spans="1:10" x14ac:dyDescent="0.2">
      <c r="A77" s="821"/>
      <c r="B77" s="821"/>
      <c r="C77" s="821"/>
      <c r="D77" s="821"/>
      <c r="E77" s="821"/>
      <c r="F77" s="819"/>
      <c r="G77" s="821"/>
      <c r="H77" s="819"/>
      <c r="I77" s="820" t="s">
        <v>811</v>
      </c>
      <c r="J77" s="822">
        <f>J70*K31</f>
        <v>1537.7510422568571</v>
      </c>
    </row>
  </sheetData>
  <mergeCells count="2">
    <mergeCell ref="A1:J1"/>
    <mergeCell ref="A34:J34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7D679-BF6A-4783-802D-8A709E0021F0}">
  <sheetPr>
    <tabColor rgb="FFB4B4B4"/>
  </sheetPr>
  <dimension ref="A1:I20"/>
  <sheetViews>
    <sheetView workbookViewId="0">
      <selection activeCell="B97" sqref="B97"/>
    </sheetView>
  </sheetViews>
  <sheetFormatPr defaultColWidth="9.140625" defaultRowHeight="12.75" x14ac:dyDescent="0.2"/>
  <cols>
    <col min="1" max="1" width="65.140625" style="827" customWidth="1"/>
    <col min="2" max="2" width="28.85546875" style="827" bestFit="1" customWidth="1"/>
    <col min="3" max="4" width="9.140625" style="835"/>
    <col min="5" max="5" width="9.140625" style="836"/>
    <col min="6" max="6" width="9.140625" style="837"/>
    <col min="7" max="7" width="11.42578125" style="837" bestFit="1" customWidth="1"/>
    <col min="8" max="8" width="12.85546875" style="837" bestFit="1" customWidth="1"/>
    <col min="9" max="16384" width="9.140625" style="827"/>
  </cols>
  <sheetData>
    <row r="1" spans="1:9" ht="25.5" x14ac:dyDescent="0.2">
      <c r="A1" s="825" t="s">
        <v>0</v>
      </c>
      <c r="B1" s="825" t="s">
        <v>15</v>
      </c>
      <c r="C1" s="825" t="s">
        <v>49</v>
      </c>
      <c r="D1" s="825" t="s">
        <v>46</v>
      </c>
      <c r="E1" s="826" t="s">
        <v>4345</v>
      </c>
      <c r="F1" s="828" t="s">
        <v>12</v>
      </c>
      <c r="G1" s="828" t="s">
        <v>4415</v>
      </c>
      <c r="H1" s="828" t="s">
        <v>4348</v>
      </c>
    </row>
    <row r="2" spans="1:9" ht="25.5" x14ac:dyDescent="0.2">
      <c r="A2" s="829" t="s">
        <v>4398</v>
      </c>
      <c r="B2" s="829" t="s">
        <v>4399</v>
      </c>
      <c r="C2" s="830">
        <v>4</v>
      </c>
      <c r="D2" s="830" t="s">
        <v>4243</v>
      </c>
      <c r="E2" s="831"/>
      <c r="F2" s="832">
        <f>C2*(1+E2)</f>
        <v>4</v>
      </c>
      <c r="G2" s="843">
        <v>286.95</v>
      </c>
      <c r="H2" s="843">
        <f>G2*F2</f>
        <v>1147.8</v>
      </c>
    </row>
    <row r="3" spans="1:9" ht="25.5" x14ac:dyDescent="0.2">
      <c r="A3" s="829" t="s">
        <v>4400</v>
      </c>
      <c r="B3" s="829" t="s">
        <v>4401</v>
      </c>
      <c r="C3" s="830">
        <v>10</v>
      </c>
      <c r="D3" s="833" t="s">
        <v>4243</v>
      </c>
      <c r="E3" s="834"/>
      <c r="F3" s="832">
        <f t="shared" ref="F3:F10" si="0">C3*(1+E3)</f>
        <v>10</v>
      </c>
      <c r="G3" s="843">
        <v>68.14</v>
      </c>
      <c r="H3" s="843">
        <f t="shared" ref="H3:H12" si="1">G3*F3</f>
        <v>681.4</v>
      </c>
    </row>
    <row r="4" spans="1:9" x14ac:dyDescent="0.2">
      <c r="A4" s="829" t="s">
        <v>4402</v>
      </c>
      <c r="B4" s="829" t="s">
        <v>4403</v>
      </c>
      <c r="C4" s="830">
        <v>12</v>
      </c>
      <c r="D4" s="830" t="s">
        <v>4243</v>
      </c>
      <c r="E4" s="831"/>
      <c r="F4" s="832">
        <f t="shared" si="0"/>
        <v>12</v>
      </c>
      <c r="G4" s="843">
        <v>10.83</v>
      </c>
      <c r="H4" s="843">
        <f t="shared" si="1"/>
        <v>129.96</v>
      </c>
    </row>
    <row r="5" spans="1:9" x14ac:dyDescent="0.2">
      <c r="A5" s="829" t="s">
        <v>4404</v>
      </c>
      <c r="B5" s="829" t="s">
        <v>4405</v>
      </c>
      <c r="C5" s="830">
        <v>314</v>
      </c>
      <c r="D5" s="830" t="s">
        <v>3</v>
      </c>
      <c r="E5" s="831">
        <v>0.05</v>
      </c>
      <c r="F5" s="832">
        <f t="shared" si="0"/>
        <v>329.7</v>
      </c>
      <c r="G5" s="843">
        <v>2.2666666666666666</v>
      </c>
      <c r="H5" s="843">
        <f t="shared" si="1"/>
        <v>747.31999999999994</v>
      </c>
    </row>
    <row r="6" spans="1:9" x14ac:dyDescent="0.2">
      <c r="A6" s="829" t="s">
        <v>4404</v>
      </c>
      <c r="B6" s="829" t="s">
        <v>4406</v>
      </c>
      <c r="C6" s="830">
        <v>105</v>
      </c>
      <c r="D6" s="833" t="s">
        <v>3</v>
      </c>
      <c r="E6" s="834">
        <v>0.05</v>
      </c>
      <c r="F6" s="832">
        <f t="shared" si="0"/>
        <v>110.25</v>
      </c>
      <c r="G6" s="843">
        <v>3.5433333333333334</v>
      </c>
      <c r="H6" s="843">
        <f t="shared" si="1"/>
        <v>390.65250000000003</v>
      </c>
    </row>
    <row r="7" spans="1:9" x14ac:dyDescent="0.2">
      <c r="A7" s="829" t="s">
        <v>4407</v>
      </c>
      <c r="B7" s="829" t="s">
        <v>4408</v>
      </c>
      <c r="C7" s="830">
        <v>314</v>
      </c>
      <c r="D7" s="830" t="s">
        <v>3</v>
      </c>
      <c r="E7" s="831">
        <v>0.3</v>
      </c>
      <c r="F7" s="832">
        <f t="shared" si="0"/>
        <v>408.2</v>
      </c>
      <c r="G7" s="843">
        <v>25.1</v>
      </c>
      <c r="H7" s="843">
        <f t="shared" si="1"/>
        <v>10245.82</v>
      </c>
    </row>
    <row r="8" spans="1:9" x14ac:dyDescent="0.2">
      <c r="A8" s="829" t="s">
        <v>4409</v>
      </c>
      <c r="B8" s="829" t="s">
        <v>4410</v>
      </c>
      <c r="C8" s="830">
        <v>105</v>
      </c>
      <c r="D8" s="833" t="s">
        <v>3</v>
      </c>
      <c r="E8" s="834">
        <v>0.3</v>
      </c>
      <c r="F8" s="832">
        <f t="shared" si="0"/>
        <v>136.5</v>
      </c>
      <c r="G8" s="843">
        <v>40.5</v>
      </c>
      <c r="H8" s="843">
        <f t="shared" si="1"/>
        <v>5528.25</v>
      </c>
    </row>
    <row r="9" spans="1:9" x14ac:dyDescent="0.2">
      <c r="A9" s="829" t="s">
        <v>4411</v>
      </c>
      <c r="B9" s="829" t="s">
        <v>4412</v>
      </c>
      <c r="C9" s="830">
        <v>825</v>
      </c>
      <c r="D9" s="830" t="s">
        <v>3</v>
      </c>
      <c r="E9" s="831">
        <v>0.15</v>
      </c>
      <c r="F9" s="832">
        <f t="shared" si="0"/>
        <v>948.74999999999989</v>
      </c>
      <c r="G9" s="843">
        <v>15.25</v>
      </c>
      <c r="H9" s="843">
        <f t="shared" si="1"/>
        <v>14468.437499999998</v>
      </c>
    </row>
    <row r="10" spans="1:9" ht="25.5" x14ac:dyDescent="0.2">
      <c r="A10" s="829" t="s">
        <v>4413</v>
      </c>
      <c r="B10" s="829" t="s">
        <v>4414</v>
      </c>
      <c r="C10" s="830">
        <v>195</v>
      </c>
      <c r="D10" s="833" t="s">
        <v>3</v>
      </c>
      <c r="E10" s="834">
        <v>0.05</v>
      </c>
      <c r="F10" s="832">
        <f t="shared" si="0"/>
        <v>204.75</v>
      </c>
      <c r="G10" s="843">
        <v>11.5</v>
      </c>
      <c r="H10" s="843">
        <f t="shared" si="1"/>
        <v>2354.625</v>
      </c>
    </row>
    <row r="11" spans="1:9" ht="25.5" x14ac:dyDescent="0.2">
      <c r="A11" s="829" t="s">
        <v>4524</v>
      </c>
      <c r="B11" s="829"/>
      <c r="C11" s="830">
        <v>7</v>
      </c>
      <c r="D11" s="833" t="s">
        <v>4243</v>
      </c>
      <c r="E11" s="834"/>
      <c r="F11" s="832">
        <v>7</v>
      </c>
      <c r="G11" s="843">
        <v>104.9</v>
      </c>
      <c r="H11" s="843">
        <f t="shared" si="1"/>
        <v>734.30000000000007</v>
      </c>
    </row>
    <row r="12" spans="1:9" x14ac:dyDescent="0.2">
      <c r="A12" s="864" t="s">
        <v>4522</v>
      </c>
      <c r="B12" s="865"/>
      <c r="C12" s="865">
        <v>1</v>
      </c>
      <c r="D12" s="833" t="s">
        <v>4243</v>
      </c>
      <c r="E12" s="867"/>
      <c r="F12" s="832">
        <f>C12*(1+E12)</f>
        <v>1</v>
      </c>
      <c r="G12" s="843">
        <v>70</v>
      </c>
      <c r="H12" s="843">
        <f t="shared" si="1"/>
        <v>70</v>
      </c>
    </row>
    <row r="13" spans="1:9" x14ac:dyDescent="0.2">
      <c r="G13" s="838" t="s">
        <v>12</v>
      </c>
      <c r="H13" s="839">
        <f>SUM(H2:H12)</f>
        <v>36498.565000000002</v>
      </c>
    </row>
    <row r="14" spans="1:9" x14ac:dyDescent="0.2">
      <c r="G14" s="840" t="s">
        <v>259</v>
      </c>
      <c r="H14" s="841">
        <f>I14*$H$13</f>
        <v>2212.5927543398734</v>
      </c>
      <c r="I14" s="842">
        <f>'Obra '!E15/'Obra '!E9</f>
        <v>6.0621362903990145E-2</v>
      </c>
    </row>
    <row r="15" spans="1:9" x14ac:dyDescent="0.2">
      <c r="G15" s="840" t="s">
        <v>4416</v>
      </c>
      <c r="H15" s="841">
        <f t="shared" ref="H15:H20" si="2">I15*$H$13</f>
        <v>8741.6121429779159</v>
      </c>
      <c r="I15" s="842">
        <f>SUM('Obra '!E16:E19)/'Obra '!E9</f>
        <v>0.23950563927589799</v>
      </c>
    </row>
    <row r="16" spans="1:9" x14ac:dyDescent="0.2">
      <c r="G16" s="840" t="s">
        <v>4395</v>
      </c>
      <c r="H16" s="841">
        <f t="shared" si="2"/>
        <v>2205.5635548251353</v>
      </c>
      <c r="I16" s="842">
        <f>'Obra '!E20/'Obra '!E9</f>
        <v>6.0428774523741825E-2</v>
      </c>
    </row>
    <row r="17" spans="7:9" x14ac:dyDescent="0.2">
      <c r="G17" s="840" t="s">
        <v>810</v>
      </c>
      <c r="H17" s="841">
        <f t="shared" si="2"/>
        <v>19683.308386041135</v>
      </c>
      <c r="I17" s="842">
        <f>'Obra '!E21/'Obra '!E9</f>
        <v>0.53928992512558049</v>
      </c>
    </row>
    <row r="18" spans="7:9" x14ac:dyDescent="0.2">
      <c r="G18" s="840" t="s">
        <v>4417</v>
      </c>
      <c r="H18" s="841">
        <f t="shared" si="2"/>
        <v>1514.1006450800874</v>
      </c>
      <c r="I18" s="842">
        <f>'Obra '!E22/'Obra '!E9</f>
        <v>4.1483840394275426E-2</v>
      </c>
    </row>
    <row r="19" spans="7:9" x14ac:dyDescent="0.2">
      <c r="G19" s="840" t="s">
        <v>4418</v>
      </c>
      <c r="H19" s="841">
        <f t="shared" si="2"/>
        <v>1289.9134589820871</v>
      </c>
      <c r="I19" s="842">
        <f>'Obra '!E23/'Obra '!E9</f>
        <v>3.5341484219505261E-2</v>
      </c>
    </row>
    <row r="20" spans="7:9" x14ac:dyDescent="0.2">
      <c r="G20" s="840" t="s">
        <v>431</v>
      </c>
      <c r="H20" s="841">
        <f t="shared" si="2"/>
        <v>851.4740577537674</v>
      </c>
      <c r="I20" s="842">
        <f>('Obra '!E24+'Obra '!E25)/'Obra '!E9</f>
        <v>2.3328973557008813E-2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D7D73-9A5D-4327-8EA5-BDC2B2E90AB1}">
  <sheetPr>
    <tabColor rgb="FFB4B4B4"/>
  </sheetPr>
  <dimension ref="A1:R91"/>
  <sheetViews>
    <sheetView topLeftCell="A54" workbookViewId="0">
      <selection activeCell="L75" activeCellId="4" sqref="L7 L26 L44 L61 L75"/>
    </sheetView>
  </sheetViews>
  <sheetFormatPr defaultRowHeight="12.75" x14ac:dyDescent="0.2"/>
  <cols>
    <col min="1" max="1" width="25.5703125" bestFit="1" customWidth="1"/>
    <col min="2" max="2" width="18.28515625" customWidth="1"/>
    <col min="3" max="3" width="46.85546875" bestFit="1" customWidth="1"/>
    <col min="4" max="4" width="13.140625" customWidth="1"/>
    <col min="5" max="5" width="10.7109375" customWidth="1"/>
    <col min="6" max="6" width="8" customWidth="1"/>
    <col min="7" max="8" width="9.28515625" customWidth="1"/>
    <col min="9" max="9" width="15.140625" bestFit="1" customWidth="1"/>
    <col min="10" max="10" width="9.28515625" bestFit="1" customWidth="1"/>
    <col min="11" max="12" width="15.140625" style="750" bestFit="1" customWidth="1"/>
    <col min="14" max="14" width="11.5703125" bestFit="1" customWidth="1"/>
    <col min="15" max="15" width="13.28515625" bestFit="1" customWidth="1"/>
    <col min="17" max="17" width="55.7109375" hidden="1" customWidth="1"/>
    <col min="18" max="18" width="10" style="750" hidden="1" customWidth="1"/>
    <col min="19" max="19" width="9.140625" customWidth="1"/>
  </cols>
  <sheetData>
    <row r="1" spans="1:18" ht="15" x14ac:dyDescent="0.25">
      <c r="A1" s="801" t="s">
        <v>4235</v>
      </c>
      <c r="B1" s="801" t="s">
        <v>4236</v>
      </c>
      <c r="C1" s="844" t="s">
        <v>6</v>
      </c>
      <c r="D1" s="800" t="s">
        <v>4419</v>
      </c>
      <c r="E1" s="800" t="s">
        <v>4237</v>
      </c>
      <c r="F1" s="800" t="s">
        <v>4238</v>
      </c>
      <c r="G1" s="800" t="s">
        <v>8</v>
      </c>
      <c r="H1" s="800" t="s">
        <v>4301</v>
      </c>
      <c r="I1" s="845" t="s">
        <v>4477</v>
      </c>
      <c r="J1" s="800" t="s">
        <v>4239</v>
      </c>
      <c r="K1" s="807" t="s">
        <v>4257</v>
      </c>
      <c r="L1" s="807" t="s">
        <v>4257</v>
      </c>
      <c r="Q1" t="s">
        <v>4448</v>
      </c>
      <c r="R1" s="750">
        <f>19.7*1.12</f>
        <v>22.064</v>
      </c>
    </row>
    <row r="2" spans="1:18" x14ac:dyDescent="0.2">
      <c r="A2" s="804" t="s">
        <v>4443</v>
      </c>
      <c r="B2" s="804" t="s">
        <v>4420</v>
      </c>
      <c r="C2" s="803" t="s">
        <v>4448</v>
      </c>
      <c r="D2" s="803" t="s">
        <v>4421</v>
      </c>
      <c r="E2" s="803">
        <v>5.14</v>
      </c>
      <c r="F2" s="803">
        <v>1</v>
      </c>
      <c r="G2" s="803">
        <v>5.14</v>
      </c>
      <c r="H2" s="806">
        <v>0.1</v>
      </c>
      <c r="I2" s="846">
        <f>G2*(1+H2)</f>
        <v>5.6539999999999999</v>
      </c>
      <c r="J2" s="803" t="s">
        <v>3</v>
      </c>
      <c r="K2" s="808">
        <f>_xlfn.XLOOKUP(C2,Q:Q,R:R,,0)</f>
        <v>22.064</v>
      </c>
      <c r="L2" s="808">
        <f>K2*I2</f>
        <v>124.74985599999999</v>
      </c>
      <c r="Q2" t="s">
        <v>4449</v>
      </c>
      <c r="R2" s="750">
        <f>28*1.12</f>
        <v>31.360000000000003</v>
      </c>
    </row>
    <row r="3" spans="1:18" x14ac:dyDescent="0.2">
      <c r="A3" s="804" t="s">
        <v>4443</v>
      </c>
      <c r="B3" s="804" t="s">
        <v>4420</v>
      </c>
      <c r="C3" s="803" t="s">
        <v>4449</v>
      </c>
      <c r="D3" s="803" t="s">
        <v>4422</v>
      </c>
      <c r="E3" s="803">
        <v>5.14</v>
      </c>
      <c r="F3" s="803">
        <v>1</v>
      </c>
      <c r="G3" s="803">
        <v>5.14</v>
      </c>
      <c r="H3" s="806">
        <v>0.1</v>
      </c>
      <c r="I3" s="846">
        <f t="shared" ref="I3:I64" si="0">G3*(1+H3)</f>
        <v>5.6539999999999999</v>
      </c>
      <c r="J3" s="803" t="s">
        <v>3</v>
      </c>
      <c r="K3" s="808">
        <f>_xlfn.XLOOKUP(C3,Q:Q,R:R,,0)</f>
        <v>31.360000000000003</v>
      </c>
      <c r="L3" s="808">
        <f t="shared" ref="L3:L64" si="1">K3*I3</f>
        <v>177.30944000000002</v>
      </c>
      <c r="Q3" t="s">
        <v>4450</v>
      </c>
      <c r="R3" s="750">
        <f>3.38*1.12</f>
        <v>3.7856000000000001</v>
      </c>
    </row>
    <row r="4" spans="1:18" x14ac:dyDescent="0.2">
      <c r="A4" s="804" t="s">
        <v>4443</v>
      </c>
      <c r="B4" s="804" t="s">
        <v>4420</v>
      </c>
      <c r="C4" s="803" t="s">
        <v>4450</v>
      </c>
      <c r="D4" s="803" t="s">
        <v>4405</v>
      </c>
      <c r="E4" s="803">
        <v>5.14</v>
      </c>
      <c r="F4" s="803">
        <v>1</v>
      </c>
      <c r="G4" s="803">
        <v>5.14</v>
      </c>
      <c r="H4" s="806">
        <v>0.2</v>
      </c>
      <c r="I4" s="846">
        <f t="shared" si="0"/>
        <v>6.1679999999999993</v>
      </c>
      <c r="J4" s="803" t="s">
        <v>3</v>
      </c>
      <c r="K4" s="808">
        <f>_xlfn.XLOOKUP(C4,Q:Q,R:R,,0)</f>
        <v>3.7856000000000001</v>
      </c>
      <c r="L4" s="808">
        <f t="shared" si="1"/>
        <v>23.349580799999998</v>
      </c>
      <c r="Q4" t="s">
        <v>4451</v>
      </c>
      <c r="R4" s="750">
        <v>1.55</v>
      </c>
    </row>
    <row r="5" spans="1:18" x14ac:dyDescent="0.2">
      <c r="A5" s="804" t="s">
        <v>4443</v>
      </c>
      <c r="B5" s="804" t="s">
        <v>4420</v>
      </c>
      <c r="C5" s="803" t="s">
        <v>4451</v>
      </c>
      <c r="D5" s="803" t="s">
        <v>4423</v>
      </c>
      <c r="E5" s="803">
        <v>5.14</v>
      </c>
      <c r="F5" s="803">
        <v>1</v>
      </c>
      <c r="G5" s="803">
        <v>5.14</v>
      </c>
      <c r="H5" s="803"/>
      <c r="I5" s="846">
        <f t="shared" si="0"/>
        <v>5.14</v>
      </c>
      <c r="J5" s="803" t="s">
        <v>3</v>
      </c>
      <c r="K5" s="808">
        <f>_xlfn.XLOOKUP(C5,Q:Q,R:R,,0)</f>
        <v>1.55</v>
      </c>
      <c r="L5" s="808">
        <f t="shared" si="1"/>
        <v>7.9669999999999996</v>
      </c>
      <c r="Q5" t="s">
        <v>4452</v>
      </c>
      <c r="R5" s="750">
        <v>1.8</v>
      </c>
    </row>
    <row r="6" spans="1:18" x14ac:dyDescent="0.2">
      <c r="A6" s="804" t="s">
        <v>4443</v>
      </c>
      <c r="B6" s="804" t="s">
        <v>4420</v>
      </c>
      <c r="C6" s="803" t="s">
        <v>4452</v>
      </c>
      <c r="D6" s="803" t="s">
        <v>4424</v>
      </c>
      <c r="E6" s="803">
        <v>5.14</v>
      </c>
      <c r="F6" s="803">
        <v>1</v>
      </c>
      <c r="G6" s="803">
        <v>5.14</v>
      </c>
      <c r="H6" s="803"/>
      <c r="I6" s="846">
        <f t="shared" si="0"/>
        <v>5.14</v>
      </c>
      <c r="J6" s="803" t="s">
        <v>3</v>
      </c>
      <c r="K6" s="808">
        <f>_xlfn.XLOOKUP(C6,Q:Q,R:R,,0)</f>
        <v>1.8</v>
      </c>
      <c r="L6" s="808">
        <f t="shared" si="1"/>
        <v>9.2519999999999989</v>
      </c>
      <c r="N6" s="1198" t="s">
        <v>4486</v>
      </c>
      <c r="O6" s="1199"/>
      <c r="Q6" t="s">
        <v>4453</v>
      </c>
      <c r="R6" s="750">
        <f>7.92*1.12</f>
        <v>8.8704000000000001</v>
      </c>
    </row>
    <row r="7" spans="1:18" x14ac:dyDescent="0.2">
      <c r="A7" s="847"/>
      <c r="B7" s="847"/>
      <c r="C7" s="848"/>
      <c r="D7" s="848"/>
      <c r="E7" s="848"/>
      <c r="F7" s="848"/>
      <c r="G7" s="848"/>
      <c r="H7" s="848"/>
      <c r="I7" s="849"/>
      <c r="J7" s="848"/>
      <c r="K7" s="851" t="s">
        <v>4478</v>
      </c>
      <c r="L7" s="850">
        <f>SUM(L2:L6)</f>
        <v>342.62787680000002</v>
      </c>
      <c r="N7" s="854" t="s">
        <v>4485</v>
      </c>
      <c r="O7" s="854" t="s">
        <v>8</v>
      </c>
    </row>
    <row r="8" spans="1:18" x14ac:dyDescent="0.2">
      <c r="A8" s="804" t="s">
        <v>4444</v>
      </c>
      <c r="B8" s="804" t="s">
        <v>4420</v>
      </c>
      <c r="C8" s="803" t="s">
        <v>4453</v>
      </c>
      <c r="D8" s="803" t="s">
        <v>4425</v>
      </c>
      <c r="E8" s="803">
        <v>1</v>
      </c>
      <c r="F8" s="803">
        <v>1</v>
      </c>
      <c r="G8" s="803">
        <v>1</v>
      </c>
      <c r="H8" s="803"/>
      <c r="I8" s="846">
        <f t="shared" si="0"/>
        <v>1</v>
      </c>
      <c r="J8" s="803" t="s">
        <v>4243</v>
      </c>
      <c r="K8" s="808">
        <f t="shared" ref="K8:K25" si="2">_xlfn.SINGLE(_xlfn.XLOOKUP(C8,Q:Q,R:R,,0))</f>
        <v>8.8704000000000001</v>
      </c>
      <c r="L8" s="808">
        <f t="shared" si="1"/>
        <v>8.8704000000000001</v>
      </c>
      <c r="N8" s="853">
        <v>2348.9899999999998</v>
      </c>
      <c r="O8" s="855">
        <f>N8*I8</f>
        <v>2348.9899999999998</v>
      </c>
      <c r="Q8" s="763" t="s">
        <v>4454</v>
      </c>
      <c r="R8" s="750">
        <v>21.16</v>
      </c>
    </row>
    <row r="9" spans="1:18" x14ac:dyDescent="0.2">
      <c r="A9" s="804" t="s">
        <v>4444</v>
      </c>
      <c r="B9" s="804" t="s">
        <v>4420</v>
      </c>
      <c r="C9" s="803" t="s">
        <v>4454</v>
      </c>
      <c r="D9" s="803" t="s">
        <v>4426</v>
      </c>
      <c r="E9" s="803">
        <v>1</v>
      </c>
      <c r="F9" s="803">
        <v>1</v>
      </c>
      <c r="G9" s="803">
        <v>1</v>
      </c>
      <c r="H9" s="803"/>
      <c r="I9" s="846">
        <f t="shared" si="0"/>
        <v>1</v>
      </c>
      <c r="J9" s="803" t="s">
        <v>4243</v>
      </c>
      <c r="K9" s="808">
        <f t="shared" si="2"/>
        <v>21.16</v>
      </c>
      <c r="L9" s="808">
        <f t="shared" si="1"/>
        <v>21.16</v>
      </c>
      <c r="N9" s="853">
        <v>3898.99</v>
      </c>
      <c r="O9" s="855">
        <f>N9*I9</f>
        <v>3898.99</v>
      </c>
      <c r="Q9" s="763" t="s">
        <v>4455</v>
      </c>
      <c r="R9" s="750">
        <v>19.79</v>
      </c>
    </row>
    <row r="10" spans="1:18" x14ac:dyDescent="0.2">
      <c r="A10" s="804" t="s">
        <v>4444</v>
      </c>
      <c r="B10" s="804" t="s">
        <v>4420</v>
      </c>
      <c r="C10" s="803" t="s">
        <v>4455</v>
      </c>
      <c r="D10" s="803" t="s">
        <v>4427</v>
      </c>
      <c r="E10" s="803">
        <v>2</v>
      </c>
      <c r="F10" s="803">
        <v>1</v>
      </c>
      <c r="G10" s="803">
        <v>2</v>
      </c>
      <c r="H10" s="803"/>
      <c r="I10" s="846">
        <f t="shared" si="0"/>
        <v>2</v>
      </c>
      <c r="J10" s="803" t="s">
        <v>4243</v>
      </c>
      <c r="K10" s="808">
        <f t="shared" si="2"/>
        <v>19.79</v>
      </c>
      <c r="L10" s="808">
        <f t="shared" si="1"/>
        <v>39.58</v>
      </c>
      <c r="N10" s="853">
        <v>4429</v>
      </c>
      <c r="O10" s="855">
        <f>N10*I10</f>
        <v>8858</v>
      </c>
      <c r="Q10" s="763" t="s">
        <v>4456</v>
      </c>
      <c r="R10" s="750">
        <v>37.049999999999997</v>
      </c>
    </row>
    <row r="11" spans="1:18" x14ac:dyDescent="0.2">
      <c r="A11" s="804" t="s">
        <v>4444</v>
      </c>
      <c r="B11" s="804" t="s">
        <v>4420</v>
      </c>
      <c r="C11" s="803" t="s">
        <v>4456</v>
      </c>
      <c r="D11" s="803" t="s">
        <v>4428</v>
      </c>
      <c r="E11" s="803">
        <v>3</v>
      </c>
      <c r="F11" s="803">
        <v>1</v>
      </c>
      <c r="G11" s="803">
        <v>3</v>
      </c>
      <c r="H11" s="803"/>
      <c r="I11" s="846">
        <f t="shared" si="0"/>
        <v>3</v>
      </c>
      <c r="J11" s="803" t="s">
        <v>4243</v>
      </c>
      <c r="K11" s="808">
        <f t="shared" si="2"/>
        <v>37.049999999999997</v>
      </c>
      <c r="L11" s="808">
        <f t="shared" si="1"/>
        <v>111.14999999999999</v>
      </c>
      <c r="N11" s="853">
        <v>9149</v>
      </c>
      <c r="O11" s="855">
        <f>N11*I11</f>
        <v>27447</v>
      </c>
      <c r="Q11" t="s">
        <v>4457</v>
      </c>
      <c r="R11" s="750">
        <v>3.97</v>
      </c>
    </row>
    <row r="12" spans="1:18" x14ac:dyDescent="0.2">
      <c r="A12" s="804" t="s">
        <v>4444</v>
      </c>
      <c r="B12" s="804" t="s">
        <v>4429</v>
      </c>
      <c r="C12" s="803" t="s">
        <v>4457</v>
      </c>
      <c r="D12" s="803" t="s">
        <v>4430</v>
      </c>
      <c r="E12" s="803">
        <v>4</v>
      </c>
      <c r="F12" s="803">
        <v>1</v>
      </c>
      <c r="G12" s="803">
        <v>4</v>
      </c>
      <c r="H12" s="803"/>
      <c r="I12" s="846">
        <f t="shared" si="0"/>
        <v>4</v>
      </c>
      <c r="J12" s="803" t="s">
        <v>4243</v>
      </c>
      <c r="K12" s="808">
        <f t="shared" si="2"/>
        <v>3.97</v>
      </c>
      <c r="L12" s="808">
        <f t="shared" si="1"/>
        <v>15.88</v>
      </c>
      <c r="N12" s="763" t="s">
        <v>8</v>
      </c>
      <c r="O12" s="757">
        <f>SUM(O8:O11)</f>
        <v>42552.979999999996</v>
      </c>
      <c r="Q12" t="s">
        <v>4458</v>
      </c>
      <c r="R12" s="750">
        <v>7.81</v>
      </c>
    </row>
    <row r="13" spans="1:18" x14ac:dyDescent="0.2">
      <c r="A13" s="804" t="s">
        <v>4444</v>
      </c>
      <c r="B13" s="804" t="s">
        <v>4431</v>
      </c>
      <c r="C13" s="803" t="s">
        <v>4458</v>
      </c>
      <c r="D13" s="803" t="s">
        <v>4432</v>
      </c>
      <c r="E13" s="803">
        <v>21</v>
      </c>
      <c r="F13" s="803">
        <v>1</v>
      </c>
      <c r="G13" s="803">
        <v>21</v>
      </c>
      <c r="H13" s="803"/>
      <c r="I13" s="846">
        <f t="shared" si="0"/>
        <v>21</v>
      </c>
      <c r="J13" s="803" t="s">
        <v>4243</v>
      </c>
      <c r="K13" s="808">
        <f t="shared" si="2"/>
        <v>7.81</v>
      </c>
      <c r="L13" s="808">
        <f t="shared" si="1"/>
        <v>164.01</v>
      </c>
      <c r="Q13" s="763" t="s">
        <v>4459</v>
      </c>
      <c r="R13" s="750">
        <v>5.04</v>
      </c>
    </row>
    <row r="14" spans="1:18" x14ac:dyDescent="0.2">
      <c r="A14" s="804" t="s">
        <v>4444</v>
      </c>
      <c r="B14" s="804" t="s">
        <v>4431</v>
      </c>
      <c r="C14" s="803" t="s">
        <v>4459</v>
      </c>
      <c r="D14" s="803" t="s">
        <v>4432</v>
      </c>
      <c r="E14" s="803">
        <v>21</v>
      </c>
      <c r="F14" s="803">
        <v>1</v>
      </c>
      <c r="G14" s="803">
        <v>21</v>
      </c>
      <c r="H14" s="803"/>
      <c r="I14" s="846">
        <f t="shared" si="0"/>
        <v>21</v>
      </c>
      <c r="J14" s="803" t="s">
        <v>4243</v>
      </c>
      <c r="K14" s="808">
        <f t="shared" si="2"/>
        <v>5.04</v>
      </c>
      <c r="L14" s="808">
        <f t="shared" si="1"/>
        <v>105.84</v>
      </c>
      <c r="Q14" t="s">
        <v>4460</v>
      </c>
      <c r="R14" s="750">
        <f>14.4*1.12</f>
        <v>16.128000000000004</v>
      </c>
    </row>
    <row r="15" spans="1:18" x14ac:dyDescent="0.2">
      <c r="A15" s="804" t="s">
        <v>4444</v>
      </c>
      <c r="B15" s="804" t="s">
        <v>4420</v>
      </c>
      <c r="C15" s="803" t="s">
        <v>4460</v>
      </c>
      <c r="D15" s="803" t="s">
        <v>4433</v>
      </c>
      <c r="E15" s="803">
        <v>107.63</v>
      </c>
      <c r="F15" s="803">
        <v>1</v>
      </c>
      <c r="G15" s="803">
        <v>107.63</v>
      </c>
      <c r="H15" s="806">
        <v>0.1</v>
      </c>
      <c r="I15" s="846">
        <f t="shared" si="0"/>
        <v>118.393</v>
      </c>
      <c r="J15" s="803" t="s">
        <v>3</v>
      </c>
      <c r="K15" s="808">
        <f t="shared" si="2"/>
        <v>16.128000000000004</v>
      </c>
      <c r="L15" s="808">
        <f t="shared" si="1"/>
        <v>1909.4423040000004</v>
      </c>
      <c r="Q15" t="s">
        <v>4461</v>
      </c>
      <c r="R15" s="750">
        <f>21.97*1.12</f>
        <v>24.606400000000001</v>
      </c>
    </row>
    <row r="16" spans="1:18" x14ac:dyDescent="0.2">
      <c r="A16" s="804" t="s">
        <v>4444</v>
      </c>
      <c r="B16" s="804" t="s">
        <v>4420</v>
      </c>
      <c r="C16" s="803" t="s">
        <v>4448</v>
      </c>
      <c r="D16" s="803" t="s">
        <v>4421</v>
      </c>
      <c r="E16" s="803">
        <v>70.33</v>
      </c>
      <c r="F16" s="803">
        <v>1</v>
      </c>
      <c r="G16" s="803">
        <v>70.33</v>
      </c>
      <c r="H16" s="806">
        <v>0.1</v>
      </c>
      <c r="I16" s="846">
        <f t="shared" si="0"/>
        <v>77.363</v>
      </c>
      <c r="J16" s="803" t="s">
        <v>3</v>
      </c>
      <c r="K16" s="808">
        <f t="shared" si="2"/>
        <v>22.064</v>
      </c>
      <c r="L16" s="808">
        <f t="shared" si="1"/>
        <v>1706.937232</v>
      </c>
      <c r="Q16" t="s">
        <v>4462</v>
      </c>
      <c r="R16" s="750">
        <f>16*1.12</f>
        <v>17.920000000000002</v>
      </c>
    </row>
    <row r="17" spans="1:18" x14ac:dyDescent="0.2">
      <c r="A17" s="804" t="s">
        <v>4444</v>
      </c>
      <c r="B17" s="804" t="s">
        <v>4420</v>
      </c>
      <c r="C17" s="803" t="s">
        <v>4461</v>
      </c>
      <c r="D17" s="803" t="s">
        <v>4434</v>
      </c>
      <c r="E17" s="803">
        <v>31.66</v>
      </c>
      <c r="F17" s="803">
        <v>1</v>
      </c>
      <c r="G17" s="803">
        <v>31.66</v>
      </c>
      <c r="H17" s="806">
        <v>0.1</v>
      </c>
      <c r="I17" s="846">
        <f t="shared" si="0"/>
        <v>34.826000000000001</v>
      </c>
      <c r="J17" s="803" t="s">
        <v>3</v>
      </c>
      <c r="K17" s="808">
        <f t="shared" si="2"/>
        <v>24.606400000000001</v>
      </c>
      <c r="L17" s="808">
        <f t="shared" si="1"/>
        <v>856.94248640000001</v>
      </c>
      <c r="Q17" t="s">
        <v>4463</v>
      </c>
      <c r="R17" s="750">
        <v>1.45</v>
      </c>
    </row>
    <row r="18" spans="1:18" x14ac:dyDescent="0.2">
      <c r="A18" s="804" t="s">
        <v>4444</v>
      </c>
      <c r="B18" s="804" t="s">
        <v>4420</v>
      </c>
      <c r="C18" s="803" t="s">
        <v>4462</v>
      </c>
      <c r="D18" s="803" t="s">
        <v>4421</v>
      </c>
      <c r="E18" s="803">
        <v>16.97</v>
      </c>
      <c r="F18" s="803">
        <v>1</v>
      </c>
      <c r="G18" s="803">
        <v>16.97</v>
      </c>
      <c r="H18" s="806">
        <v>0.1</v>
      </c>
      <c r="I18" s="846">
        <f t="shared" si="0"/>
        <v>18.667000000000002</v>
      </c>
      <c r="J18" s="803" t="s">
        <v>3</v>
      </c>
      <c r="K18" s="808">
        <f t="shared" si="2"/>
        <v>17.920000000000002</v>
      </c>
      <c r="L18" s="808">
        <f t="shared" si="1"/>
        <v>334.51264000000003</v>
      </c>
      <c r="Q18" t="s">
        <v>4464</v>
      </c>
      <c r="R18" s="750">
        <v>1.8</v>
      </c>
    </row>
    <row r="19" spans="1:18" x14ac:dyDescent="0.2">
      <c r="A19" s="804" t="s">
        <v>4444</v>
      </c>
      <c r="B19" s="804" t="s">
        <v>4420</v>
      </c>
      <c r="C19" s="803" t="s">
        <v>4449</v>
      </c>
      <c r="D19" s="803" t="s">
        <v>4422</v>
      </c>
      <c r="E19" s="803">
        <v>129.34</v>
      </c>
      <c r="F19" s="803">
        <v>1</v>
      </c>
      <c r="G19" s="803">
        <v>129.34</v>
      </c>
      <c r="H19" s="806">
        <v>0.1</v>
      </c>
      <c r="I19" s="846">
        <f t="shared" si="0"/>
        <v>142.27400000000003</v>
      </c>
      <c r="J19" s="803" t="s">
        <v>3</v>
      </c>
      <c r="K19" s="808">
        <f t="shared" si="2"/>
        <v>31.360000000000003</v>
      </c>
      <c r="L19" s="808">
        <f t="shared" si="1"/>
        <v>4461.7126400000016</v>
      </c>
      <c r="Q19" s="763" t="s">
        <v>4438</v>
      </c>
      <c r="R19" s="750">
        <v>296.7</v>
      </c>
    </row>
    <row r="20" spans="1:18" x14ac:dyDescent="0.2">
      <c r="A20" s="804" t="s">
        <v>4444</v>
      </c>
      <c r="B20" s="804" t="s">
        <v>4420</v>
      </c>
      <c r="C20" s="803" t="s">
        <v>4450</v>
      </c>
      <c r="D20" s="803" t="s">
        <v>4405</v>
      </c>
      <c r="E20" s="803">
        <v>177.96</v>
      </c>
      <c r="F20" s="803">
        <v>1</v>
      </c>
      <c r="G20" s="803">
        <v>177.96</v>
      </c>
      <c r="H20" s="806">
        <v>0.2</v>
      </c>
      <c r="I20" s="846">
        <f t="shared" si="0"/>
        <v>213.55199999999999</v>
      </c>
      <c r="J20" s="803" t="s">
        <v>3</v>
      </c>
      <c r="K20" s="808">
        <f t="shared" si="2"/>
        <v>3.7856000000000001</v>
      </c>
      <c r="L20" s="808">
        <f t="shared" si="1"/>
        <v>808.42245119999995</v>
      </c>
      <c r="Q20" s="763" t="s">
        <v>4439</v>
      </c>
      <c r="R20" s="750">
        <v>22.9</v>
      </c>
    </row>
    <row r="21" spans="1:18" x14ac:dyDescent="0.2">
      <c r="A21" s="804" t="s">
        <v>4444</v>
      </c>
      <c r="B21" s="804" t="s">
        <v>4420</v>
      </c>
      <c r="C21" s="803" t="s">
        <v>4463</v>
      </c>
      <c r="D21" s="803" t="s">
        <v>4435</v>
      </c>
      <c r="E21" s="803">
        <v>48.63</v>
      </c>
      <c r="F21" s="803">
        <v>1</v>
      </c>
      <c r="G21" s="803">
        <v>48.63</v>
      </c>
      <c r="H21" s="803"/>
      <c r="I21" s="846">
        <f t="shared" si="0"/>
        <v>48.63</v>
      </c>
      <c r="J21" s="803" t="s">
        <v>3</v>
      </c>
      <c r="K21" s="808">
        <f t="shared" si="2"/>
        <v>1.45</v>
      </c>
      <c r="L21" s="808">
        <f t="shared" si="1"/>
        <v>70.513500000000008</v>
      </c>
      <c r="Q21" t="s">
        <v>4465</v>
      </c>
      <c r="R21" s="750">
        <f>12.88*1.12</f>
        <v>14.425600000000003</v>
      </c>
    </row>
    <row r="22" spans="1:18" x14ac:dyDescent="0.2">
      <c r="A22" s="804" t="s">
        <v>4444</v>
      </c>
      <c r="B22" s="804" t="s">
        <v>4420</v>
      </c>
      <c r="C22" s="803" t="s">
        <v>4451</v>
      </c>
      <c r="D22" s="803" t="s">
        <v>4423</v>
      </c>
      <c r="E22" s="803">
        <v>129.34</v>
      </c>
      <c r="F22" s="803">
        <v>1</v>
      </c>
      <c r="G22" s="803">
        <v>129.34</v>
      </c>
      <c r="H22" s="803"/>
      <c r="I22" s="846">
        <f t="shared" si="0"/>
        <v>129.34</v>
      </c>
      <c r="J22" s="803" t="s">
        <v>3</v>
      </c>
      <c r="K22" s="808">
        <f t="shared" si="2"/>
        <v>1.55</v>
      </c>
      <c r="L22" s="808">
        <f t="shared" si="1"/>
        <v>200.477</v>
      </c>
      <c r="Q22" t="s">
        <v>4466</v>
      </c>
      <c r="R22" s="750">
        <v>3.97</v>
      </c>
    </row>
    <row r="23" spans="1:18" x14ac:dyDescent="0.2">
      <c r="A23" s="804" t="s">
        <v>4444</v>
      </c>
      <c r="B23" s="804" t="s">
        <v>4420</v>
      </c>
      <c r="C23" s="803" t="s">
        <v>4464</v>
      </c>
      <c r="D23" s="803" t="s">
        <v>4436</v>
      </c>
      <c r="E23" s="803">
        <v>48.63</v>
      </c>
      <c r="F23" s="803">
        <v>1</v>
      </c>
      <c r="G23" s="803">
        <v>48.63</v>
      </c>
      <c r="H23" s="803"/>
      <c r="I23" s="846">
        <f t="shared" si="0"/>
        <v>48.63</v>
      </c>
      <c r="J23" s="803" t="s">
        <v>3</v>
      </c>
      <c r="K23" s="808">
        <f t="shared" si="2"/>
        <v>1.8</v>
      </c>
      <c r="L23" s="808">
        <f t="shared" si="1"/>
        <v>87.534000000000006</v>
      </c>
      <c r="Q23" s="763" t="s">
        <v>4467</v>
      </c>
      <c r="R23" s="750">
        <v>6.79</v>
      </c>
    </row>
    <row r="24" spans="1:18" x14ac:dyDescent="0.2">
      <c r="A24" s="804" t="s">
        <v>4444</v>
      </c>
      <c r="B24" s="804" t="s">
        <v>4420</v>
      </c>
      <c r="C24" s="803" t="s">
        <v>4452</v>
      </c>
      <c r="D24" s="803" t="s">
        <v>4424</v>
      </c>
      <c r="E24" s="803">
        <v>129.34</v>
      </c>
      <c r="F24" s="803">
        <v>1</v>
      </c>
      <c r="G24" s="803">
        <v>129.34</v>
      </c>
      <c r="H24" s="803"/>
      <c r="I24" s="846">
        <f t="shared" si="0"/>
        <v>129.34</v>
      </c>
      <c r="J24" s="803" t="s">
        <v>3</v>
      </c>
      <c r="K24" s="808">
        <f t="shared" si="2"/>
        <v>1.8</v>
      </c>
      <c r="L24" s="808">
        <f t="shared" si="1"/>
        <v>232.81200000000001</v>
      </c>
      <c r="Q24" t="s">
        <v>4468</v>
      </c>
      <c r="R24" s="750">
        <v>7.81</v>
      </c>
    </row>
    <row r="25" spans="1:18" x14ac:dyDescent="0.2">
      <c r="A25" s="804" t="s">
        <v>4444</v>
      </c>
      <c r="B25" s="804" t="s">
        <v>4440</v>
      </c>
      <c r="C25" s="803" t="s">
        <v>4465</v>
      </c>
      <c r="D25" s="803">
        <v>100</v>
      </c>
      <c r="E25" s="803">
        <v>32.04</v>
      </c>
      <c r="F25" s="803">
        <v>1</v>
      </c>
      <c r="G25" s="803">
        <v>32.04</v>
      </c>
      <c r="H25" s="806">
        <v>0.1</v>
      </c>
      <c r="I25" s="846">
        <f t="shared" si="0"/>
        <v>35.244</v>
      </c>
      <c r="J25" s="803" t="s">
        <v>3</v>
      </c>
      <c r="K25" s="808">
        <f t="shared" si="2"/>
        <v>14.425600000000003</v>
      </c>
      <c r="L25" s="808">
        <f t="shared" si="1"/>
        <v>508.41584640000008</v>
      </c>
      <c r="Q25" s="763" t="s">
        <v>4471</v>
      </c>
      <c r="R25" s="750">
        <v>0.8</v>
      </c>
    </row>
    <row r="26" spans="1:18" x14ac:dyDescent="0.2">
      <c r="A26" s="847"/>
      <c r="B26" s="847"/>
      <c r="C26" s="848"/>
      <c r="D26" s="848"/>
      <c r="E26" s="848"/>
      <c r="F26" s="848"/>
      <c r="G26" s="848"/>
      <c r="H26" s="848"/>
      <c r="I26" s="849"/>
      <c r="J26" s="848"/>
      <c r="K26" s="851" t="s">
        <v>4479</v>
      </c>
      <c r="L26" s="850">
        <f>SUM(L8:L25)</f>
        <v>11644.2125</v>
      </c>
      <c r="Q26" s="763"/>
    </row>
    <row r="27" spans="1:18" x14ac:dyDescent="0.2">
      <c r="A27" s="804" t="s">
        <v>4445</v>
      </c>
      <c r="B27" s="804" t="s">
        <v>4420</v>
      </c>
      <c r="C27" s="803" t="s">
        <v>4453</v>
      </c>
      <c r="D27" s="803" t="s">
        <v>4425</v>
      </c>
      <c r="E27" s="803">
        <v>14</v>
      </c>
      <c r="F27" s="803">
        <v>13</v>
      </c>
      <c r="G27" s="803">
        <v>182</v>
      </c>
      <c r="H27" s="803"/>
      <c r="I27" s="846">
        <f t="shared" si="0"/>
        <v>182</v>
      </c>
      <c r="J27" s="803" t="s">
        <v>4243</v>
      </c>
      <c r="K27" s="808">
        <f t="shared" ref="K27:K43" si="3">_xlfn.SINGLE(_xlfn.XLOOKUP(C27,Q:Q,R:R,,0))</f>
        <v>8.8704000000000001</v>
      </c>
      <c r="L27" s="808">
        <f t="shared" si="1"/>
        <v>1614.4128000000001</v>
      </c>
      <c r="Q27" s="763" t="s">
        <v>4472</v>
      </c>
      <c r="R27" s="750">
        <v>3.9</v>
      </c>
    </row>
    <row r="28" spans="1:18" x14ac:dyDescent="0.2">
      <c r="A28" s="804" t="s">
        <v>4445</v>
      </c>
      <c r="B28" s="804" t="s">
        <v>4420</v>
      </c>
      <c r="C28" s="803" t="s">
        <v>4454</v>
      </c>
      <c r="D28" s="803" t="s">
        <v>4426</v>
      </c>
      <c r="E28" s="803">
        <v>4</v>
      </c>
      <c r="F28" s="803">
        <v>13</v>
      </c>
      <c r="G28" s="803">
        <v>52</v>
      </c>
      <c r="H28" s="803"/>
      <c r="I28" s="846">
        <f t="shared" si="0"/>
        <v>52</v>
      </c>
      <c r="J28" s="803" t="s">
        <v>4243</v>
      </c>
      <c r="K28" s="808">
        <f t="shared" si="3"/>
        <v>21.16</v>
      </c>
      <c r="L28" s="808">
        <f t="shared" si="1"/>
        <v>1100.32</v>
      </c>
      <c r="Q28" s="763" t="s">
        <v>4473</v>
      </c>
      <c r="R28" s="750">
        <v>4.1900000000000004</v>
      </c>
    </row>
    <row r="29" spans="1:18" x14ac:dyDescent="0.2">
      <c r="A29" s="804" t="s">
        <v>4445</v>
      </c>
      <c r="B29" s="804" t="s">
        <v>4420</v>
      </c>
      <c r="C29" s="803" t="s">
        <v>4455</v>
      </c>
      <c r="D29" s="803" t="s">
        <v>4427</v>
      </c>
      <c r="E29" s="803">
        <v>2</v>
      </c>
      <c r="F29" s="803">
        <v>13</v>
      </c>
      <c r="G29" s="803">
        <v>26</v>
      </c>
      <c r="H29" s="803"/>
      <c r="I29" s="846">
        <f t="shared" si="0"/>
        <v>26</v>
      </c>
      <c r="J29" s="803" t="s">
        <v>4243</v>
      </c>
      <c r="K29" s="808">
        <f t="shared" si="3"/>
        <v>19.79</v>
      </c>
      <c r="L29" s="808">
        <f t="shared" si="1"/>
        <v>514.54</v>
      </c>
      <c r="Q29" t="s">
        <v>4474</v>
      </c>
      <c r="R29" s="750">
        <v>14.4</v>
      </c>
    </row>
    <row r="30" spans="1:18" x14ac:dyDescent="0.2">
      <c r="A30" s="804" t="s">
        <v>4445</v>
      </c>
      <c r="B30" s="804" t="s">
        <v>4429</v>
      </c>
      <c r="C30" s="803" t="s">
        <v>4466</v>
      </c>
      <c r="D30" s="803" t="s">
        <v>4430</v>
      </c>
      <c r="E30" s="803">
        <v>12</v>
      </c>
      <c r="F30" s="803">
        <v>13</v>
      </c>
      <c r="G30" s="803">
        <v>156</v>
      </c>
      <c r="H30" s="803"/>
      <c r="I30" s="846">
        <f t="shared" si="0"/>
        <v>156</v>
      </c>
      <c r="J30" s="803" t="s">
        <v>4243</v>
      </c>
      <c r="K30" s="808">
        <f t="shared" si="3"/>
        <v>3.97</v>
      </c>
      <c r="L30" s="808">
        <f t="shared" si="1"/>
        <v>619.32000000000005</v>
      </c>
      <c r="Q30" t="s">
        <v>4475</v>
      </c>
      <c r="R30" s="750">
        <v>21.97</v>
      </c>
    </row>
    <row r="31" spans="1:18" x14ac:dyDescent="0.2">
      <c r="A31" s="804" t="s">
        <v>4445</v>
      </c>
      <c r="B31" s="804" t="s">
        <v>4431</v>
      </c>
      <c r="C31" s="803" t="s">
        <v>4467</v>
      </c>
      <c r="D31" s="803" t="s">
        <v>4432</v>
      </c>
      <c r="E31" s="803">
        <v>4</v>
      </c>
      <c r="F31" s="803">
        <v>13</v>
      </c>
      <c r="G31" s="803">
        <v>52</v>
      </c>
      <c r="H31" s="803"/>
      <c r="I31" s="846">
        <f t="shared" si="0"/>
        <v>52</v>
      </c>
      <c r="J31" s="803" t="s">
        <v>4243</v>
      </c>
      <c r="K31" s="808">
        <f t="shared" si="3"/>
        <v>6.79</v>
      </c>
      <c r="L31" s="808">
        <f t="shared" si="1"/>
        <v>353.08</v>
      </c>
      <c r="Q31" t="s">
        <v>4476</v>
      </c>
      <c r="R31" s="750">
        <v>16</v>
      </c>
    </row>
    <row r="32" spans="1:18" x14ac:dyDescent="0.2">
      <c r="A32" s="804" t="s">
        <v>4445</v>
      </c>
      <c r="B32" s="804" t="s">
        <v>4431</v>
      </c>
      <c r="C32" s="803" t="s">
        <v>4468</v>
      </c>
      <c r="D32" s="803" t="s">
        <v>4432</v>
      </c>
      <c r="E32" s="803">
        <v>10</v>
      </c>
      <c r="F32" s="803">
        <v>13</v>
      </c>
      <c r="G32" s="803">
        <v>130</v>
      </c>
      <c r="H32" s="803"/>
      <c r="I32" s="846">
        <f t="shared" si="0"/>
        <v>130</v>
      </c>
      <c r="J32" s="803" t="s">
        <v>4243</v>
      </c>
      <c r="K32" s="808">
        <f t="shared" si="3"/>
        <v>7.81</v>
      </c>
      <c r="L32" s="808">
        <f t="shared" si="1"/>
        <v>1015.3</v>
      </c>
      <c r="Q32" t="s">
        <v>4469</v>
      </c>
      <c r="R32" s="750">
        <v>5.04</v>
      </c>
    </row>
    <row r="33" spans="1:18" x14ac:dyDescent="0.2">
      <c r="A33" s="804" t="s">
        <v>4445</v>
      </c>
      <c r="B33" s="804" t="s">
        <v>4431</v>
      </c>
      <c r="C33" s="803" t="s">
        <v>4469</v>
      </c>
      <c r="D33" s="803" t="s">
        <v>4432</v>
      </c>
      <c r="E33" s="803">
        <v>14</v>
      </c>
      <c r="F33" s="803">
        <v>13</v>
      </c>
      <c r="G33" s="803">
        <v>182</v>
      </c>
      <c r="H33" s="803"/>
      <c r="I33" s="846">
        <f t="shared" si="0"/>
        <v>182</v>
      </c>
      <c r="J33" s="803" t="s">
        <v>4243</v>
      </c>
      <c r="K33" s="808">
        <f t="shared" si="3"/>
        <v>5.04</v>
      </c>
      <c r="L33" s="808">
        <f t="shared" si="1"/>
        <v>917.28</v>
      </c>
      <c r="Q33" t="s">
        <v>4470</v>
      </c>
      <c r="R33" s="750">
        <v>14.425599999999999</v>
      </c>
    </row>
    <row r="34" spans="1:18" x14ac:dyDescent="0.2">
      <c r="A34" s="804" t="s">
        <v>4445</v>
      </c>
      <c r="B34" s="804" t="s">
        <v>4420</v>
      </c>
      <c r="C34" s="803" t="s">
        <v>4460</v>
      </c>
      <c r="D34" s="803" t="s">
        <v>4433</v>
      </c>
      <c r="E34" s="803">
        <v>236.48</v>
      </c>
      <c r="F34" s="803">
        <v>13</v>
      </c>
      <c r="G34" s="803">
        <v>3074.24</v>
      </c>
      <c r="H34" s="806">
        <v>0.1</v>
      </c>
      <c r="I34" s="846">
        <f t="shared" si="0"/>
        <v>3381.6640000000002</v>
      </c>
      <c r="J34" s="803" t="s">
        <v>3</v>
      </c>
      <c r="K34" s="808">
        <f t="shared" si="3"/>
        <v>16.128000000000004</v>
      </c>
      <c r="L34" s="808">
        <f t="shared" si="1"/>
        <v>54539.476992000018</v>
      </c>
    </row>
    <row r="35" spans="1:18" x14ac:dyDescent="0.2">
      <c r="A35" s="804" t="s">
        <v>4445</v>
      </c>
      <c r="B35" s="804" t="s">
        <v>4420</v>
      </c>
      <c r="C35" s="803" t="s">
        <v>4461</v>
      </c>
      <c r="D35" s="803" t="s">
        <v>4434</v>
      </c>
      <c r="E35" s="803">
        <v>52.9</v>
      </c>
      <c r="F35" s="803">
        <v>13</v>
      </c>
      <c r="G35" s="803">
        <v>687.75</v>
      </c>
      <c r="H35" s="806">
        <v>0.1</v>
      </c>
      <c r="I35" s="846">
        <f t="shared" si="0"/>
        <v>756.52500000000009</v>
      </c>
      <c r="J35" s="803" t="s">
        <v>3</v>
      </c>
      <c r="K35" s="808">
        <f t="shared" si="3"/>
        <v>24.606400000000001</v>
      </c>
      <c r="L35" s="808">
        <f t="shared" si="1"/>
        <v>18615.356760000002</v>
      </c>
    </row>
    <row r="36" spans="1:18" x14ac:dyDescent="0.2">
      <c r="A36" s="804" t="s">
        <v>4445</v>
      </c>
      <c r="B36" s="804" t="s">
        <v>4420</v>
      </c>
      <c r="C36" s="803" t="s">
        <v>4462</v>
      </c>
      <c r="D36" s="803" t="s">
        <v>4421</v>
      </c>
      <c r="E36" s="803">
        <v>159.56</v>
      </c>
      <c r="F36" s="803">
        <v>13</v>
      </c>
      <c r="G36" s="803">
        <v>2074.3000000000002</v>
      </c>
      <c r="H36" s="806">
        <v>0.1</v>
      </c>
      <c r="I36" s="846">
        <f t="shared" si="0"/>
        <v>2281.7300000000005</v>
      </c>
      <c r="J36" s="803" t="s">
        <v>3</v>
      </c>
      <c r="K36" s="808">
        <f t="shared" si="3"/>
        <v>17.920000000000002</v>
      </c>
      <c r="L36" s="808">
        <f t="shared" si="1"/>
        <v>40888.601600000009</v>
      </c>
    </row>
    <row r="37" spans="1:18" x14ac:dyDescent="0.2">
      <c r="A37" s="804" t="s">
        <v>4445</v>
      </c>
      <c r="B37" s="804" t="s">
        <v>4420</v>
      </c>
      <c r="C37" s="803" t="s">
        <v>4449</v>
      </c>
      <c r="D37" s="803" t="s">
        <v>4422</v>
      </c>
      <c r="E37" s="803">
        <v>24.02</v>
      </c>
      <c r="F37" s="803">
        <v>13</v>
      </c>
      <c r="G37" s="803">
        <v>312.2</v>
      </c>
      <c r="H37" s="806">
        <v>0.1</v>
      </c>
      <c r="I37" s="846">
        <f t="shared" si="0"/>
        <v>343.42</v>
      </c>
      <c r="J37" s="803" t="s">
        <v>3</v>
      </c>
      <c r="K37" s="808">
        <f t="shared" si="3"/>
        <v>31.360000000000003</v>
      </c>
      <c r="L37" s="808">
        <f t="shared" si="1"/>
        <v>10769.651200000002</v>
      </c>
    </row>
    <row r="38" spans="1:18" x14ac:dyDescent="0.2">
      <c r="A38" s="804" t="s">
        <v>4445</v>
      </c>
      <c r="B38" s="804" t="s">
        <v>4420</v>
      </c>
      <c r="C38" s="803" t="s">
        <v>4450</v>
      </c>
      <c r="D38" s="803" t="s">
        <v>4405</v>
      </c>
      <c r="E38" s="803">
        <v>236.48</v>
      </c>
      <c r="F38" s="803">
        <v>13</v>
      </c>
      <c r="G38" s="803">
        <v>3074.24</v>
      </c>
      <c r="H38" s="806">
        <v>0.2</v>
      </c>
      <c r="I38" s="846">
        <f t="shared" si="0"/>
        <v>3689.0879999999997</v>
      </c>
      <c r="J38" s="803" t="s">
        <v>3</v>
      </c>
      <c r="K38" s="808">
        <f t="shared" si="3"/>
        <v>3.7856000000000001</v>
      </c>
      <c r="L38" s="808">
        <f t="shared" si="1"/>
        <v>13965.411532799999</v>
      </c>
    </row>
    <row r="39" spans="1:18" x14ac:dyDescent="0.2">
      <c r="A39" s="804" t="s">
        <v>4445</v>
      </c>
      <c r="B39" s="804" t="s">
        <v>4420</v>
      </c>
      <c r="C39" s="803" t="s">
        <v>4463</v>
      </c>
      <c r="D39" s="803" t="s">
        <v>4435</v>
      </c>
      <c r="E39" s="803">
        <v>212.46</v>
      </c>
      <c r="F39" s="803">
        <v>13</v>
      </c>
      <c r="G39" s="803">
        <v>2762.04</v>
      </c>
      <c r="H39" s="803"/>
      <c r="I39" s="846">
        <f t="shared" si="0"/>
        <v>2762.04</v>
      </c>
      <c r="J39" s="803" t="s">
        <v>3</v>
      </c>
      <c r="K39" s="808">
        <f t="shared" si="3"/>
        <v>1.45</v>
      </c>
      <c r="L39" s="808">
        <f t="shared" si="1"/>
        <v>4004.9579999999996</v>
      </c>
    </row>
    <row r="40" spans="1:18" x14ac:dyDescent="0.2">
      <c r="A40" s="804" t="s">
        <v>4445</v>
      </c>
      <c r="B40" s="804" t="s">
        <v>4420</v>
      </c>
      <c r="C40" s="803" t="s">
        <v>4451</v>
      </c>
      <c r="D40" s="803" t="s">
        <v>4423</v>
      </c>
      <c r="E40" s="803">
        <v>24.02</v>
      </c>
      <c r="F40" s="803">
        <v>13</v>
      </c>
      <c r="G40" s="803">
        <v>312.2</v>
      </c>
      <c r="H40" s="803"/>
      <c r="I40" s="846">
        <f t="shared" si="0"/>
        <v>312.2</v>
      </c>
      <c r="J40" s="803" t="s">
        <v>3</v>
      </c>
      <c r="K40" s="808">
        <f t="shared" si="3"/>
        <v>1.55</v>
      </c>
      <c r="L40" s="808">
        <f t="shared" si="1"/>
        <v>483.90999999999997</v>
      </c>
    </row>
    <row r="41" spans="1:18" x14ac:dyDescent="0.2">
      <c r="A41" s="804" t="s">
        <v>4445</v>
      </c>
      <c r="B41" s="804" t="s">
        <v>4420</v>
      </c>
      <c r="C41" s="803" t="s">
        <v>4464</v>
      </c>
      <c r="D41" s="803" t="s">
        <v>4436</v>
      </c>
      <c r="E41" s="803">
        <v>212.46</v>
      </c>
      <c r="F41" s="803">
        <v>13</v>
      </c>
      <c r="G41" s="803">
        <v>2762.04</v>
      </c>
      <c r="H41" s="803"/>
      <c r="I41" s="846">
        <f t="shared" si="0"/>
        <v>2762.04</v>
      </c>
      <c r="J41" s="803" t="s">
        <v>3</v>
      </c>
      <c r="K41" s="808">
        <f t="shared" si="3"/>
        <v>1.8</v>
      </c>
      <c r="L41" s="808">
        <f t="shared" si="1"/>
        <v>4971.6720000000005</v>
      </c>
    </row>
    <row r="42" spans="1:18" x14ac:dyDescent="0.2">
      <c r="A42" s="804" t="s">
        <v>4445</v>
      </c>
      <c r="B42" s="804" t="s">
        <v>4420</v>
      </c>
      <c r="C42" s="803" t="s">
        <v>4452</v>
      </c>
      <c r="D42" s="803" t="s">
        <v>4424</v>
      </c>
      <c r="E42" s="803">
        <v>24.02</v>
      </c>
      <c r="F42" s="803">
        <v>13</v>
      </c>
      <c r="G42" s="803">
        <v>312.2</v>
      </c>
      <c r="H42" s="803"/>
      <c r="I42" s="846">
        <f t="shared" si="0"/>
        <v>312.2</v>
      </c>
      <c r="J42" s="803" t="s">
        <v>3</v>
      </c>
      <c r="K42" s="808">
        <f t="shared" si="3"/>
        <v>1.8</v>
      </c>
      <c r="L42" s="808">
        <f t="shared" si="1"/>
        <v>561.96</v>
      </c>
    </row>
    <row r="43" spans="1:18" x14ac:dyDescent="0.2">
      <c r="A43" s="804" t="s">
        <v>4445</v>
      </c>
      <c r="B43" s="804" t="s">
        <v>4440</v>
      </c>
      <c r="C43" s="803" t="s">
        <v>4470</v>
      </c>
      <c r="D43" s="803">
        <v>100</v>
      </c>
      <c r="E43" s="803">
        <v>31.68</v>
      </c>
      <c r="F43" s="803">
        <v>13</v>
      </c>
      <c r="G43" s="803">
        <v>411.87</v>
      </c>
      <c r="H43" s="806">
        <v>0.1</v>
      </c>
      <c r="I43" s="846">
        <f t="shared" si="0"/>
        <v>453.05700000000002</v>
      </c>
      <c r="J43" s="803" t="s">
        <v>3</v>
      </c>
      <c r="K43" s="808">
        <f t="shared" si="3"/>
        <v>14.425599999999999</v>
      </c>
      <c r="L43" s="808">
        <f t="shared" si="1"/>
        <v>6535.6190592000003</v>
      </c>
    </row>
    <row r="44" spans="1:18" x14ac:dyDescent="0.2">
      <c r="A44" s="847"/>
      <c r="B44" s="847"/>
      <c r="C44" s="848"/>
      <c r="D44" s="848"/>
      <c r="E44" s="848"/>
      <c r="F44" s="848"/>
      <c r="G44" s="848"/>
      <c r="H44" s="848"/>
      <c r="I44" s="849"/>
      <c r="J44" s="848"/>
      <c r="K44" s="851" t="s">
        <v>4480</v>
      </c>
      <c r="L44" s="850">
        <f>SUM(L27:L43)</f>
        <v>161470.86994400003</v>
      </c>
    </row>
    <row r="45" spans="1:18" x14ac:dyDescent="0.2">
      <c r="A45" s="804" t="s">
        <v>4446</v>
      </c>
      <c r="B45" s="804" t="s">
        <v>4420</v>
      </c>
      <c r="C45" s="803" t="s">
        <v>4453</v>
      </c>
      <c r="D45" s="803" t="s">
        <v>4425</v>
      </c>
      <c r="E45" s="803">
        <v>16</v>
      </c>
      <c r="F45" s="803">
        <v>1</v>
      </c>
      <c r="G45" s="803">
        <v>16</v>
      </c>
      <c r="H45" s="803"/>
      <c r="I45" s="846">
        <f t="shared" si="0"/>
        <v>16</v>
      </c>
      <c r="J45" s="803" t="s">
        <v>4243</v>
      </c>
      <c r="K45" s="808">
        <f t="shared" ref="K45:K60" si="4">_xlfn.SINGLE(_xlfn.XLOOKUP(C45,Q:Q,R:R,,0))</f>
        <v>8.8704000000000001</v>
      </c>
      <c r="L45" s="808">
        <f t="shared" si="1"/>
        <v>141.9264</v>
      </c>
    </row>
    <row r="46" spans="1:18" x14ac:dyDescent="0.2">
      <c r="A46" s="804" t="s">
        <v>4446</v>
      </c>
      <c r="B46" s="804" t="s">
        <v>4420</v>
      </c>
      <c r="C46" s="803" t="s">
        <v>4454</v>
      </c>
      <c r="D46" s="803" t="s">
        <v>4426</v>
      </c>
      <c r="E46" s="803">
        <v>6</v>
      </c>
      <c r="F46" s="803">
        <v>1</v>
      </c>
      <c r="G46" s="803">
        <v>6</v>
      </c>
      <c r="H46" s="803"/>
      <c r="I46" s="846">
        <f t="shared" si="0"/>
        <v>6</v>
      </c>
      <c r="J46" s="803" t="s">
        <v>4243</v>
      </c>
      <c r="K46" s="808">
        <f t="shared" si="4"/>
        <v>21.16</v>
      </c>
      <c r="L46" s="808">
        <f t="shared" si="1"/>
        <v>126.96000000000001</v>
      </c>
    </row>
    <row r="47" spans="1:18" x14ac:dyDescent="0.2">
      <c r="A47" s="804" t="s">
        <v>4446</v>
      </c>
      <c r="B47" s="804" t="s">
        <v>4429</v>
      </c>
      <c r="C47" s="803" t="s">
        <v>4471</v>
      </c>
      <c r="D47" s="803" t="s">
        <v>4430</v>
      </c>
      <c r="E47" s="803">
        <v>1</v>
      </c>
      <c r="F47" s="803">
        <v>1</v>
      </c>
      <c r="G47" s="803">
        <v>1</v>
      </c>
      <c r="H47" s="803"/>
      <c r="I47" s="846">
        <f t="shared" si="0"/>
        <v>1</v>
      </c>
      <c r="J47" s="803" t="s">
        <v>4243</v>
      </c>
      <c r="K47" s="808">
        <f t="shared" si="4"/>
        <v>0.8</v>
      </c>
      <c r="L47" s="808">
        <f t="shared" si="1"/>
        <v>0.8</v>
      </c>
    </row>
    <row r="48" spans="1:18" x14ac:dyDescent="0.2">
      <c r="A48" s="804" t="s">
        <v>4446</v>
      </c>
      <c r="B48" s="804" t="s">
        <v>4429</v>
      </c>
      <c r="C48" s="803" t="s">
        <v>4466</v>
      </c>
      <c r="D48" s="803" t="s">
        <v>4430</v>
      </c>
      <c r="E48" s="803">
        <v>14</v>
      </c>
      <c r="F48" s="803">
        <v>1</v>
      </c>
      <c r="G48" s="803">
        <v>14</v>
      </c>
      <c r="H48" s="803"/>
      <c r="I48" s="846">
        <f t="shared" si="0"/>
        <v>14</v>
      </c>
      <c r="J48" s="803" t="s">
        <v>4243</v>
      </c>
      <c r="K48" s="808">
        <f t="shared" si="4"/>
        <v>3.97</v>
      </c>
      <c r="L48" s="808">
        <f t="shared" si="1"/>
        <v>55.580000000000005</v>
      </c>
    </row>
    <row r="49" spans="1:12" x14ac:dyDescent="0.2">
      <c r="A49" s="804" t="s">
        <v>4446</v>
      </c>
      <c r="B49" s="804" t="s">
        <v>4431</v>
      </c>
      <c r="C49" s="803" t="s">
        <v>4467</v>
      </c>
      <c r="D49" s="803" t="s">
        <v>4432</v>
      </c>
      <c r="E49" s="803">
        <v>4</v>
      </c>
      <c r="F49" s="803">
        <v>1</v>
      </c>
      <c r="G49" s="803">
        <v>4</v>
      </c>
      <c r="H49" s="803"/>
      <c r="I49" s="846">
        <f t="shared" si="0"/>
        <v>4</v>
      </c>
      <c r="J49" s="803" t="s">
        <v>4243</v>
      </c>
      <c r="K49" s="808">
        <f t="shared" si="4"/>
        <v>6.79</v>
      </c>
      <c r="L49" s="808">
        <f t="shared" si="1"/>
        <v>27.16</v>
      </c>
    </row>
    <row r="50" spans="1:12" x14ac:dyDescent="0.2">
      <c r="A50" s="804" t="s">
        <v>4446</v>
      </c>
      <c r="B50" s="804" t="s">
        <v>4431</v>
      </c>
      <c r="C50" s="803" t="s">
        <v>4468</v>
      </c>
      <c r="D50" s="803" t="s">
        <v>4432</v>
      </c>
      <c r="E50" s="803">
        <v>4</v>
      </c>
      <c r="F50" s="803">
        <v>1</v>
      </c>
      <c r="G50" s="803">
        <v>4</v>
      </c>
      <c r="H50" s="803"/>
      <c r="I50" s="846">
        <f t="shared" si="0"/>
        <v>4</v>
      </c>
      <c r="J50" s="803" t="s">
        <v>4243</v>
      </c>
      <c r="K50" s="808">
        <f t="shared" si="4"/>
        <v>7.81</v>
      </c>
      <c r="L50" s="808">
        <f t="shared" si="1"/>
        <v>31.24</v>
      </c>
    </row>
    <row r="51" spans="1:12" x14ac:dyDescent="0.2">
      <c r="A51" s="804" t="s">
        <v>4446</v>
      </c>
      <c r="B51" s="804" t="s">
        <v>4431</v>
      </c>
      <c r="C51" s="803" t="s">
        <v>4469</v>
      </c>
      <c r="D51" s="803" t="s">
        <v>4432</v>
      </c>
      <c r="E51" s="803">
        <v>8</v>
      </c>
      <c r="F51" s="803">
        <v>1</v>
      </c>
      <c r="G51" s="803">
        <v>8</v>
      </c>
      <c r="H51" s="803"/>
      <c r="I51" s="846">
        <f t="shared" si="0"/>
        <v>8</v>
      </c>
      <c r="J51" s="803" t="s">
        <v>4243</v>
      </c>
      <c r="K51" s="808">
        <f t="shared" si="4"/>
        <v>5.04</v>
      </c>
      <c r="L51" s="808">
        <f t="shared" si="1"/>
        <v>40.32</v>
      </c>
    </row>
    <row r="52" spans="1:12" x14ac:dyDescent="0.2">
      <c r="A52" s="804" t="s">
        <v>4446</v>
      </c>
      <c r="B52" s="804" t="s">
        <v>4441</v>
      </c>
      <c r="C52" s="803" t="s">
        <v>4472</v>
      </c>
      <c r="D52" s="803" t="s">
        <v>4442</v>
      </c>
      <c r="E52" s="803">
        <v>1</v>
      </c>
      <c r="F52" s="803">
        <v>1</v>
      </c>
      <c r="G52" s="803">
        <v>1</v>
      </c>
      <c r="H52" s="803"/>
      <c r="I52" s="846">
        <f t="shared" si="0"/>
        <v>1</v>
      </c>
      <c r="J52" s="803" t="s">
        <v>4243</v>
      </c>
      <c r="K52" s="808">
        <f t="shared" si="4"/>
        <v>3.9</v>
      </c>
      <c r="L52" s="808">
        <f t="shared" si="1"/>
        <v>3.9</v>
      </c>
    </row>
    <row r="53" spans="1:12" x14ac:dyDescent="0.2">
      <c r="A53" s="804" t="s">
        <v>4446</v>
      </c>
      <c r="B53" s="804" t="s">
        <v>4441</v>
      </c>
      <c r="C53" s="803" t="s">
        <v>4473</v>
      </c>
      <c r="D53" s="803" t="s">
        <v>4442</v>
      </c>
      <c r="E53" s="803">
        <v>1</v>
      </c>
      <c r="F53" s="803">
        <v>1</v>
      </c>
      <c r="G53" s="803">
        <v>1</v>
      </c>
      <c r="H53" s="803"/>
      <c r="I53" s="846">
        <f t="shared" si="0"/>
        <v>1</v>
      </c>
      <c r="J53" s="803" t="s">
        <v>4243</v>
      </c>
      <c r="K53" s="808">
        <f t="shared" si="4"/>
        <v>4.1900000000000004</v>
      </c>
      <c r="L53" s="808">
        <f t="shared" si="1"/>
        <v>4.1900000000000004</v>
      </c>
    </row>
    <row r="54" spans="1:12" x14ac:dyDescent="0.2">
      <c r="A54" s="804" t="s">
        <v>4446</v>
      </c>
      <c r="B54" s="804" t="s">
        <v>4420</v>
      </c>
      <c r="C54" s="803" t="s">
        <v>4460</v>
      </c>
      <c r="D54" s="803" t="s">
        <v>4433</v>
      </c>
      <c r="E54" s="803">
        <v>254.8</v>
      </c>
      <c r="F54" s="803">
        <v>1</v>
      </c>
      <c r="G54" s="803">
        <v>254.8</v>
      </c>
      <c r="H54" s="806">
        <v>0.1</v>
      </c>
      <c r="I54" s="846">
        <f t="shared" si="0"/>
        <v>280.28000000000003</v>
      </c>
      <c r="J54" s="803" t="s">
        <v>3</v>
      </c>
      <c r="K54" s="808">
        <f t="shared" si="4"/>
        <v>16.128000000000004</v>
      </c>
      <c r="L54" s="808">
        <f t="shared" si="1"/>
        <v>4520.3558400000011</v>
      </c>
    </row>
    <row r="55" spans="1:12" x14ac:dyDescent="0.2">
      <c r="A55" s="804" t="s">
        <v>4446</v>
      </c>
      <c r="B55" s="804" t="s">
        <v>4420</v>
      </c>
      <c r="C55" s="803" t="s">
        <v>4461</v>
      </c>
      <c r="D55" s="803" t="s">
        <v>4434</v>
      </c>
      <c r="E55" s="803">
        <v>70.58</v>
      </c>
      <c r="F55" s="803">
        <v>1</v>
      </c>
      <c r="G55" s="803">
        <v>70.58</v>
      </c>
      <c r="H55" s="806">
        <v>0.1</v>
      </c>
      <c r="I55" s="846">
        <f t="shared" si="0"/>
        <v>77.638000000000005</v>
      </c>
      <c r="J55" s="803" t="s">
        <v>3</v>
      </c>
      <c r="K55" s="808">
        <f t="shared" si="4"/>
        <v>24.606400000000001</v>
      </c>
      <c r="L55" s="808">
        <f t="shared" si="1"/>
        <v>1910.3916832000002</v>
      </c>
    </row>
    <row r="56" spans="1:12" x14ac:dyDescent="0.2">
      <c r="A56" s="804" t="s">
        <v>4446</v>
      </c>
      <c r="B56" s="804" t="s">
        <v>4420</v>
      </c>
      <c r="C56" s="803" t="s">
        <v>4462</v>
      </c>
      <c r="D56" s="803" t="s">
        <v>4421</v>
      </c>
      <c r="E56" s="803">
        <v>184.21</v>
      </c>
      <c r="F56" s="803">
        <v>1</v>
      </c>
      <c r="G56" s="803">
        <v>184.21</v>
      </c>
      <c r="H56" s="806">
        <v>0.1</v>
      </c>
      <c r="I56" s="846">
        <f t="shared" si="0"/>
        <v>202.63100000000003</v>
      </c>
      <c r="J56" s="803" t="s">
        <v>3</v>
      </c>
      <c r="K56" s="808">
        <f t="shared" si="4"/>
        <v>17.920000000000002</v>
      </c>
      <c r="L56" s="808">
        <f t="shared" si="1"/>
        <v>3631.1475200000009</v>
      </c>
    </row>
    <row r="57" spans="1:12" x14ac:dyDescent="0.2">
      <c r="A57" s="804" t="s">
        <v>4446</v>
      </c>
      <c r="B57" s="804" t="s">
        <v>4420</v>
      </c>
      <c r="C57" s="803" t="s">
        <v>4450</v>
      </c>
      <c r="D57" s="803" t="s">
        <v>4405</v>
      </c>
      <c r="E57" s="803">
        <v>254.8</v>
      </c>
      <c r="F57" s="803">
        <v>1</v>
      </c>
      <c r="G57" s="803">
        <v>254.8</v>
      </c>
      <c r="H57" s="806">
        <v>0.2</v>
      </c>
      <c r="I57" s="846">
        <f t="shared" si="0"/>
        <v>305.76</v>
      </c>
      <c r="J57" s="803" t="s">
        <v>3</v>
      </c>
      <c r="K57" s="808">
        <f t="shared" si="4"/>
        <v>3.7856000000000001</v>
      </c>
      <c r="L57" s="808">
        <f t="shared" si="1"/>
        <v>1157.485056</v>
      </c>
    </row>
    <row r="58" spans="1:12" x14ac:dyDescent="0.2">
      <c r="A58" s="804" t="s">
        <v>4446</v>
      </c>
      <c r="B58" s="804" t="s">
        <v>4420</v>
      </c>
      <c r="C58" s="803" t="s">
        <v>4463</v>
      </c>
      <c r="D58" s="803" t="s">
        <v>4435</v>
      </c>
      <c r="E58" s="803">
        <v>254.8</v>
      </c>
      <c r="F58" s="803">
        <v>1</v>
      </c>
      <c r="G58" s="803">
        <v>254.8</v>
      </c>
      <c r="H58" s="803"/>
      <c r="I58" s="846">
        <f t="shared" si="0"/>
        <v>254.8</v>
      </c>
      <c r="J58" s="803" t="s">
        <v>3</v>
      </c>
      <c r="K58" s="808">
        <f t="shared" si="4"/>
        <v>1.45</v>
      </c>
      <c r="L58" s="808">
        <f t="shared" si="1"/>
        <v>369.46</v>
      </c>
    </row>
    <row r="59" spans="1:12" x14ac:dyDescent="0.2">
      <c r="A59" s="804" t="s">
        <v>4446</v>
      </c>
      <c r="B59" s="804" t="s">
        <v>4420</v>
      </c>
      <c r="C59" s="803" t="s">
        <v>4464</v>
      </c>
      <c r="D59" s="803" t="s">
        <v>4436</v>
      </c>
      <c r="E59" s="803">
        <v>254.8</v>
      </c>
      <c r="F59" s="803">
        <v>1</v>
      </c>
      <c r="G59" s="803">
        <v>254.8</v>
      </c>
      <c r="H59" s="803"/>
      <c r="I59" s="846">
        <f t="shared" si="0"/>
        <v>254.8</v>
      </c>
      <c r="J59" s="803" t="s">
        <v>3</v>
      </c>
      <c r="K59" s="808">
        <f t="shared" si="4"/>
        <v>1.8</v>
      </c>
      <c r="L59" s="808">
        <f t="shared" si="1"/>
        <v>458.64000000000004</v>
      </c>
    </row>
    <row r="60" spans="1:12" x14ac:dyDescent="0.2">
      <c r="A60" s="804" t="s">
        <v>4446</v>
      </c>
      <c r="B60" s="804" t="s">
        <v>4440</v>
      </c>
      <c r="C60" s="803" t="s">
        <v>4465</v>
      </c>
      <c r="D60" s="803">
        <v>100</v>
      </c>
      <c r="E60" s="803">
        <v>20.27</v>
      </c>
      <c r="F60" s="803">
        <v>1</v>
      </c>
      <c r="G60" s="803">
        <v>20.27</v>
      </c>
      <c r="H60" s="806">
        <v>0.1</v>
      </c>
      <c r="I60" s="846">
        <f t="shared" si="0"/>
        <v>22.297000000000001</v>
      </c>
      <c r="J60" s="803" t="s">
        <v>3</v>
      </c>
      <c r="K60" s="808">
        <f t="shared" si="4"/>
        <v>14.425600000000003</v>
      </c>
      <c r="L60" s="808">
        <f t="shared" si="1"/>
        <v>321.64760320000005</v>
      </c>
    </row>
    <row r="61" spans="1:12" x14ac:dyDescent="0.2">
      <c r="A61" s="847"/>
      <c r="B61" s="847"/>
      <c r="C61" s="848"/>
      <c r="D61" s="848"/>
      <c r="E61" s="848"/>
      <c r="F61" s="848"/>
      <c r="G61" s="848"/>
      <c r="H61" s="848"/>
      <c r="I61" s="849"/>
      <c r="J61" s="848"/>
      <c r="K61" s="851" t="s">
        <v>4480</v>
      </c>
      <c r="L61" s="850">
        <f>SUM(L45:L60)</f>
        <v>12801.204102399999</v>
      </c>
    </row>
    <row r="62" spans="1:12" x14ac:dyDescent="0.2">
      <c r="A62" s="804" t="s">
        <v>4447</v>
      </c>
      <c r="B62" s="804" t="s">
        <v>4420</v>
      </c>
      <c r="C62" s="803" t="s">
        <v>4453</v>
      </c>
      <c r="D62" s="803" t="s">
        <v>4425</v>
      </c>
      <c r="E62" s="803">
        <v>6</v>
      </c>
      <c r="F62" s="803">
        <v>1</v>
      </c>
      <c r="G62" s="803">
        <v>6</v>
      </c>
      <c r="H62" s="803"/>
      <c r="I62" s="846">
        <f t="shared" si="0"/>
        <v>6</v>
      </c>
      <c r="J62" s="803" t="s">
        <v>4243</v>
      </c>
      <c r="K62" s="808">
        <f t="shared" ref="K62:K74" si="5">_xlfn.SINGLE(_xlfn.XLOOKUP(C62,Q:Q,R:R,,0))</f>
        <v>8.8704000000000001</v>
      </c>
      <c r="L62" s="808">
        <f t="shared" si="1"/>
        <v>53.2224</v>
      </c>
    </row>
    <row r="63" spans="1:12" x14ac:dyDescent="0.2">
      <c r="A63" s="804" t="s">
        <v>4447</v>
      </c>
      <c r="B63" s="804" t="s">
        <v>4420</v>
      </c>
      <c r="C63" s="803" t="s">
        <v>4454</v>
      </c>
      <c r="D63" s="803" t="s">
        <v>4426</v>
      </c>
      <c r="E63" s="803">
        <v>4</v>
      </c>
      <c r="F63" s="803">
        <v>1</v>
      </c>
      <c r="G63" s="803">
        <v>4</v>
      </c>
      <c r="H63" s="803"/>
      <c r="I63" s="846">
        <f t="shared" si="0"/>
        <v>4</v>
      </c>
      <c r="J63" s="803" t="s">
        <v>4243</v>
      </c>
      <c r="K63" s="808">
        <f t="shared" si="5"/>
        <v>21.16</v>
      </c>
      <c r="L63" s="808">
        <f t="shared" si="1"/>
        <v>84.64</v>
      </c>
    </row>
    <row r="64" spans="1:12" x14ac:dyDescent="0.2">
      <c r="A64" s="804" t="s">
        <v>4447</v>
      </c>
      <c r="B64" s="804" t="s">
        <v>4420</v>
      </c>
      <c r="C64" s="803" t="s">
        <v>4455</v>
      </c>
      <c r="D64" s="803" t="s">
        <v>4427</v>
      </c>
      <c r="E64" s="803">
        <v>4</v>
      </c>
      <c r="F64" s="803">
        <v>1</v>
      </c>
      <c r="G64" s="803">
        <v>4</v>
      </c>
      <c r="H64" s="803"/>
      <c r="I64" s="846">
        <f t="shared" si="0"/>
        <v>4</v>
      </c>
      <c r="J64" s="803" t="s">
        <v>4243</v>
      </c>
      <c r="K64" s="808">
        <f t="shared" si="5"/>
        <v>19.79</v>
      </c>
      <c r="L64" s="808">
        <f t="shared" si="1"/>
        <v>79.16</v>
      </c>
    </row>
    <row r="65" spans="1:18" x14ac:dyDescent="0.2">
      <c r="A65" s="804" t="s">
        <v>4447</v>
      </c>
      <c r="B65" s="804" t="s">
        <v>4429</v>
      </c>
      <c r="C65" s="803" t="s">
        <v>4466</v>
      </c>
      <c r="D65" s="803" t="s">
        <v>4430</v>
      </c>
      <c r="E65" s="803">
        <v>4</v>
      </c>
      <c r="F65" s="803">
        <v>1</v>
      </c>
      <c r="G65" s="803">
        <v>4</v>
      </c>
      <c r="H65" s="803"/>
      <c r="I65" s="846">
        <f t="shared" ref="I65:I74" si="6">G65*(1+H65)</f>
        <v>4</v>
      </c>
      <c r="J65" s="803" t="s">
        <v>4243</v>
      </c>
      <c r="K65" s="808">
        <f t="shared" si="5"/>
        <v>3.97</v>
      </c>
      <c r="L65" s="808">
        <f t="shared" ref="L65:L74" si="7">K65*I65</f>
        <v>15.88</v>
      </c>
    </row>
    <row r="66" spans="1:18" x14ac:dyDescent="0.2">
      <c r="A66" s="804" t="s">
        <v>4447</v>
      </c>
      <c r="B66" s="804" t="s">
        <v>4431</v>
      </c>
      <c r="C66" s="803" t="s">
        <v>4468</v>
      </c>
      <c r="D66" s="803" t="s">
        <v>4432</v>
      </c>
      <c r="E66" s="803">
        <v>4</v>
      </c>
      <c r="F66" s="803">
        <v>1</v>
      </c>
      <c r="G66" s="803">
        <v>4</v>
      </c>
      <c r="H66" s="803"/>
      <c r="I66" s="846">
        <f t="shared" si="6"/>
        <v>4</v>
      </c>
      <c r="J66" s="803" t="s">
        <v>4243</v>
      </c>
      <c r="K66" s="808">
        <f t="shared" si="5"/>
        <v>7.81</v>
      </c>
      <c r="L66" s="808">
        <f t="shared" si="7"/>
        <v>31.24</v>
      </c>
    </row>
    <row r="67" spans="1:18" x14ac:dyDescent="0.2">
      <c r="A67" s="804" t="s">
        <v>4447</v>
      </c>
      <c r="B67" s="804" t="s">
        <v>4431</v>
      </c>
      <c r="C67" s="803" t="s">
        <v>4469</v>
      </c>
      <c r="D67" s="803" t="s">
        <v>4432</v>
      </c>
      <c r="E67" s="803">
        <v>4</v>
      </c>
      <c r="F67" s="803">
        <v>1</v>
      </c>
      <c r="G67" s="803">
        <v>4</v>
      </c>
      <c r="H67" s="803"/>
      <c r="I67" s="846">
        <f t="shared" si="6"/>
        <v>4</v>
      </c>
      <c r="J67" s="803" t="s">
        <v>4243</v>
      </c>
      <c r="K67" s="808">
        <f t="shared" si="5"/>
        <v>5.04</v>
      </c>
      <c r="L67" s="808">
        <f t="shared" si="7"/>
        <v>20.16</v>
      </c>
    </row>
    <row r="68" spans="1:18" x14ac:dyDescent="0.2">
      <c r="A68" s="804" t="s">
        <v>4447</v>
      </c>
      <c r="B68" s="804" t="s">
        <v>4420</v>
      </c>
      <c r="C68" s="803" t="s">
        <v>4474</v>
      </c>
      <c r="D68" s="803" t="s">
        <v>4433</v>
      </c>
      <c r="E68" s="803">
        <v>148.41999999999999</v>
      </c>
      <c r="F68" s="803">
        <v>1</v>
      </c>
      <c r="G68" s="803">
        <v>148.41999999999999</v>
      </c>
      <c r="H68" s="806">
        <v>0.1</v>
      </c>
      <c r="I68" s="846">
        <f t="shared" si="6"/>
        <v>163.262</v>
      </c>
      <c r="J68" s="803" t="s">
        <v>3</v>
      </c>
      <c r="K68" s="808">
        <f t="shared" si="5"/>
        <v>14.4</v>
      </c>
      <c r="L68" s="808">
        <f t="shared" si="7"/>
        <v>2350.9728</v>
      </c>
    </row>
    <row r="69" spans="1:18" x14ac:dyDescent="0.2">
      <c r="A69" s="804" t="s">
        <v>4447</v>
      </c>
      <c r="B69" s="804" t="s">
        <v>4420</v>
      </c>
      <c r="C69" s="803" t="s">
        <v>4475</v>
      </c>
      <c r="D69" s="803" t="s">
        <v>4434</v>
      </c>
      <c r="E69" s="803">
        <v>16.79</v>
      </c>
      <c r="F69" s="803">
        <v>1</v>
      </c>
      <c r="G69" s="803">
        <v>16.79</v>
      </c>
      <c r="H69" s="806">
        <v>0.1</v>
      </c>
      <c r="I69" s="846">
        <f t="shared" si="6"/>
        <v>18.469000000000001</v>
      </c>
      <c r="J69" s="803" t="s">
        <v>3</v>
      </c>
      <c r="K69" s="808">
        <f t="shared" si="5"/>
        <v>21.97</v>
      </c>
      <c r="L69" s="808">
        <f t="shared" si="7"/>
        <v>405.76393000000002</v>
      </c>
    </row>
    <row r="70" spans="1:18" x14ac:dyDescent="0.2">
      <c r="A70" s="804" t="s">
        <v>4447</v>
      </c>
      <c r="B70" s="804" t="s">
        <v>4420</v>
      </c>
      <c r="C70" s="803" t="s">
        <v>4476</v>
      </c>
      <c r="D70" s="803" t="s">
        <v>4421</v>
      </c>
      <c r="E70" s="803">
        <v>131.63</v>
      </c>
      <c r="F70" s="803">
        <v>1</v>
      </c>
      <c r="G70" s="803">
        <v>131.63</v>
      </c>
      <c r="H70" s="806">
        <v>0.1</v>
      </c>
      <c r="I70" s="846">
        <f t="shared" si="6"/>
        <v>144.79300000000001</v>
      </c>
      <c r="J70" s="803" t="s">
        <v>3</v>
      </c>
      <c r="K70" s="808">
        <f t="shared" si="5"/>
        <v>16</v>
      </c>
      <c r="L70" s="808">
        <f t="shared" si="7"/>
        <v>2316.6880000000001</v>
      </c>
    </row>
    <row r="71" spans="1:18" x14ac:dyDescent="0.2">
      <c r="A71" s="804" t="s">
        <v>4447</v>
      </c>
      <c r="B71" s="804" t="s">
        <v>4420</v>
      </c>
      <c r="C71" s="803" t="s">
        <v>4450</v>
      </c>
      <c r="D71" s="803" t="s">
        <v>4405</v>
      </c>
      <c r="E71" s="803">
        <v>148.41999999999999</v>
      </c>
      <c r="F71" s="803">
        <v>1</v>
      </c>
      <c r="G71" s="803">
        <v>148.41999999999999</v>
      </c>
      <c r="H71" s="806">
        <v>0.2</v>
      </c>
      <c r="I71" s="846">
        <f t="shared" si="6"/>
        <v>178.10399999999998</v>
      </c>
      <c r="J71" s="803" t="s">
        <v>3</v>
      </c>
      <c r="K71" s="808">
        <f t="shared" si="5"/>
        <v>3.7856000000000001</v>
      </c>
      <c r="L71" s="808">
        <f t="shared" si="7"/>
        <v>674.23050239999998</v>
      </c>
    </row>
    <row r="72" spans="1:18" x14ac:dyDescent="0.2">
      <c r="A72" s="804" t="s">
        <v>4447</v>
      </c>
      <c r="B72" s="804" t="s">
        <v>4420</v>
      </c>
      <c r="C72" s="803" t="s">
        <v>4463</v>
      </c>
      <c r="D72" s="803" t="s">
        <v>4435</v>
      </c>
      <c r="E72" s="803">
        <v>148.41999999999999</v>
      </c>
      <c r="F72" s="803">
        <v>1</v>
      </c>
      <c r="G72" s="803">
        <v>148.41999999999999</v>
      </c>
      <c r="H72" s="803"/>
      <c r="I72" s="846">
        <f t="shared" si="6"/>
        <v>148.41999999999999</v>
      </c>
      <c r="J72" s="803" t="s">
        <v>3</v>
      </c>
      <c r="K72" s="808">
        <f t="shared" si="5"/>
        <v>1.45</v>
      </c>
      <c r="L72" s="808">
        <f t="shared" si="7"/>
        <v>215.20899999999997</v>
      </c>
    </row>
    <row r="73" spans="1:18" x14ac:dyDescent="0.2">
      <c r="A73" s="804" t="s">
        <v>4447</v>
      </c>
      <c r="B73" s="804" t="s">
        <v>4420</v>
      </c>
      <c r="C73" s="803" t="s">
        <v>4464</v>
      </c>
      <c r="D73" s="803" t="s">
        <v>4436</v>
      </c>
      <c r="E73" s="803">
        <v>148.41999999999999</v>
      </c>
      <c r="F73" s="803">
        <v>1</v>
      </c>
      <c r="G73" s="803">
        <v>148.41999999999999</v>
      </c>
      <c r="H73" s="803"/>
      <c r="I73" s="846">
        <f t="shared" si="6"/>
        <v>148.41999999999999</v>
      </c>
      <c r="J73" s="803" t="s">
        <v>3</v>
      </c>
      <c r="K73" s="808">
        <f t="shared" si="5"/>
        <v>1.8</v>
      </c>
      <c r="L73" s="808">
        <f t="shared" si="7"/>
        <v>267.15600000000001</v>
      </c>
    </row>
    <row r="74" spans="1:18" x14ac:dyDescent="0.2">
      <c r="A74" s="804" t="s">
        <v>4447</v>
      </c>
      <c r="B74" s="804" t="s">
        <v>4440</v>
      </c>
      <c r="C74" s="803" t="s">
        <v>4470</v>
      </c>
      <c r="D74" s="803">
        <v>100</v>
      </c>
      <c r="E74" s="803">
        <v>19.48</v>
      </c>
      <c r="F74" s="803">
        <v>1</v>
      </c>
      <c r="G74" s="803">
        <v>19.48</v>
      </c>
      <c r="H74" s="806">
        <v>0.1</v>
      </c>
      <c r="I74" s="846">
        <f t="shared" si="6"/>
        <v>21.428000000000001</v>
      </c>
      <c r="J74" s="803" t="s">
        <v>3</v>
      </c>
      <c r="K74" s="808">
        <f t="shared" si="5"/>
        <v>14.425599999999999</v>
      </c>
      <c r="L74" s="808">
        <f t="shared" si="7"/>
        <v>309.11175680000002</v>
      </c>
    </row>
    <row r="75" spans="1:18" x14ac:dyDescent="0.2">
      <c r="A75" s="847"/>
      <c r="B75" s="847"/>
      <c r="C75" s="848"/>
      <c r="D75" s="848"/>
      <c r="E75" s="848"/>
      <c r="F75" s="848"/>
      <c r="G75" s="848"/>
      <c r="H75" s="848"/>
      <c r="I75" s="849"/>
      <c r="J75" s="848"/>
      <c r="K75" s="851" t="s">
        <v>4480</v>
      </c>
      <c r="L75" s="850">
        <f>SUM(L62:L74)</f>
        <v>6823.4343891999997</v>
      </c>
    </row>
    <row r="78" spans="1:18" x14ac:dyDescent="0.2">
      <c r="A78" s="1198" t="s">
        <v>4483</v>
      </c>
      <c r="B78" s="1199"/>
      <c r="C78" s="1199"/>
      <c r="D78" s="1199"/>
      <c r="E78" s="1199"/>
      <c r="F78" s="1199"/>
      <c r="G78" s="1199"/>
      <c r="H78" s="1199"/>
      <c r="I78" s="1199"/>
      <c r="J78" s="1199"/>
      <c r="K78" s="1199"/>
      <c r="L78" s="1199"/>
    </row>
    <row r="79" spans="1:18" ht="15" x14ac:dyDescent="0.25">
      <c r="A79" s="801" t="s">
        <v>4235</v>
      </c>
      <c r="B79" s="801" t="s">
        <v>4236</v>
      </c>
      <c r="C79" s="844" t="s">
        <v>6</v>
      </c>
      <c r="D79" s="800" t="s">
        <v>4419</v>
      </c>
      <c r="E79" s="800" t="s">
        <v>4237</v>
      </c>
      <c r="F79" s="800" t="s">
        <v>4238</v>
      </c>
      <c r="G79" s="800" t="s">
        <v>8</v>
      </c>
      <c r="H79" s="800" t="s">
        <v>4301</v>
      </c>
      <c r="I79" s="845" t="s">
        <v>4477</v>
      </c>
      <c r="J79" s="800" t="s">
        <v>4239</v>
      </c>
      <c r="K79" s="807" t="s">
        <v>4257</v>
      </c>
      <c r="L79" s="807" t="s">
        <v>4257</v>
      </c>
    </row>
    <row r="80" spans="1:18" x14ac:dyDescent="0.2">
      <c r="A80" s="804" t="s">
        <v>4444</v>
      </c>
      <c r="B80" s="804" t="s">
        <v>4437</v>
      </c>
      <c r="C80" s="803" t="s">
        <v>4438</v>
      </c>
      <c r="D80" s="803">
        <v>100</v>
      </c>
      <c r="E80" s="803">
        <v>10</v>
      </c>
      <c r="F80" s="803">
        <v>1</v>
      </c>
      <c r="G80" s="803">
        <v>10</v>
      </c>
      <c r="H80" s="803"/>
      <c r="I80" s="846">
        <f>G80*(1+H80)</f>
        <v>10</v>
      </c>
      <c r="J80" s="803" t="s">
        <v>4243</v>
      </c>
      <c r="K80" s="808">
        <f>_xlfn.XLOOKUP(C80,Q:Q,R:R,,0)</f>
        <v>296.7</v>
      </c>
      <c r="L80" s="808">
        <f>K80*I80</f>
        <v>2967</v>
      </c>
      <c r="Q80" t="s">
        <v>4469</v>
      </c>
      <c r="R80" s="750">
        <v>5.04</v>
      </c>
    </row>
    <row r="81" spans="1:18" x14ac:dyDescent="0.2">
      <c r="A81" s="804" t="s">
        <v>4444</v>
      </c>
      <c r="B81" s="804" t="s">
        <v>4437</v>
      </c>
      <c r="C81" s="803" t="s">
        <v>4439</v>
      </c>
      <c r="D81" s="803">
        <v>100</v>
      </c>
      <c r="E81" s="803">
        <v>10</v>
      </c>
      <c r="F81" s="803">
        <v>1</v>
      </c>
      <c r="G81" s="803">
        <v>10</v>
      </c>
      <c r="H81" s="803"/>
      <c r="I81" s="846">
        <f>G81*(1+H81)</f>
        <v>10</v>
      </c>
      <c r="J81" s="803" t="s">
        <v>4243</v>
      </c>
      <c r="K81" s="808">
        <f>_xlfn.XLOOKUP(C81,Q:Q,R:R,,0)</f>
        <v>22.9</v>
      </c>
      <c r="L81" s="808">
        <f>K81*I81</f>
        <v>229</v>
      </c>
      <c r="Q81" t="s">
        <v>4470</v>
      </c>
      <c r="R81" s="750">
        <v>14.425599999999999</v>
      </c>
    </row>
    <row r="82" spans="1:18" x14ac:dyDescent="0.2">
      <c r="A82" s="852"/>
      <c r="B82" s="852"/>
      <c r="C82" s="852"/>
      <c r="D82" s="852"/>
      <c r="E82" s="852"/>
      <c r="F82" s="852"/>
      <c r="G82" s="852"/>
      <c r="H82" s="852"/>
      <c r="I82" s="852"/>
      <c r="J82" s="852"/>
      <c r="K82" s="853"/>
      <c r="L82" s="853"/>
    </row>
    <row r="83" spans="1:18" x14ac:dyDescent="0.2">
      <c r="A83" s="804" t="s">
        <v>4445</v>
      </c>
      <c r="B83" s="804" t="s">
        <v>4437</v>
      </c>
      <c r="C83" s="803" t="s">
        <v>4438</v>
      </c>
      <c r="D83" s="803">
        <v>100</v>
      </c>
      <c r="E83" s="803">
        <v>4</v>
      </c>
      <c r="F83" s="803">
        <v>13</v>
      </c>
      <c r="G83" s="803">
        <v>52</v>
      </c>
      <c r="H83" s="803"/>
      <c r="I83" s="846">
        <f>G83*(1+H83)</f>
        <v>52</v>
      </c>
      <c r="J83" s="803" t="s">
        <v>4243</v>
      </c>
      <c r="K83" s="808">
        <f>_xlfn.XLOOKUP(C83,Q:Q,R:R,,0)</f>
        <v>296.7</v>
      </c>
      <c r="L83" s="808">
        <f>K83*I83</f>
        <v>15428.4</v>
      </c>
    </row>
    <row r="84" spans="1:18" x14ac:dyDescent="0.2">
      <c r="A84" s="804" t="s">
        <v>4445</v>
      </c>
      <c r="B84" s="804" t="s">
        <v>4437</v>
      </c>
      <c r="C84" s="803" t="s">
        <v>4439</v>
      </c>
      <c r="D84" s="803">
        <v>100</v>
      </c>
      <c r="E84" s="803">
        <v>4</v>
      </c>
      <c r="F84" s="803">
        <v>13</v>
      </c>
      <c r="G84" s="803">
        <v>52</v>
      </c>
      <c r="H84" s="803"/>
      <c r="I84" s="846">
        <f>G84*(1+H84)</f>
        <v>52</v>
      </c>
      <c r="J84" s="803" t="s">
        <v>4243</v>
      </c>
      <c r="K84" s="808">
        <f>_xlfn.XLOOKUP(C84,Q:Q,R:R,,0)</f>
        <v>22.9</v>
      </c>
      <c r="L84" s="808">
        <f>K84*I84</f>
        <v>1190.8</v>
      </c>
    </row>
    <row r="85" spans="1:18" x14ac:dyDescent="0.2">
      <c r="A85" s="852"/>
      <c r="B85" s="852"/>
      <c r="C85" s="852"/>
      <c r="D85" s="852"/>
      <c r="E85" s="852"/>
      <c r="F85" s="852"/>
      <c r="G85" s="852"/>
      <c r="H85" s="852"/>
      <c r="I85" s="852"/>
      <c r="J85" s="852"/>
      <c r="K85" s="853"/>
      <c r="L85" s="853"/>
    </row>
    <row r="86" spans="1:18" x14ac:dyDescent="0.2">
      <c r="A86" s="804" t="s">
        <v>4446</v>
      </c>
      <c r="B86" s="804" t="s">
        <v>4437</v>
      </c>
      <c r="C86" s="803" t="s">
        <v>4438</v>
      </c>
      <c r="D86" s="803">
        <v>100</v>
      </c>
      <c r="E86" s="803">
        <v>2</v>
      </c>
      <c r="F86" s="803">
        <v>1</v>
      </c>
      <c r="G86" s="803">
        <v>2</v>
      </c>
      <c r="H86" s="803"/>
      <c r="I86" s="846">
        <f>G86*(1+H86)</f>
        <v>2</v>
      </c>
      <c r="J86" s="803" t="s">
        <v>4243</v>
      </c>
      <c r="K86" s="808">
        <f>_xlfn.XLOOKUP(C86,Q:Q,R:R,,0)</f>
        <v>296.7</v>
      </c>
      <c r="L86" s="808">
        <f>K86*I86</f>
        <v>593.4</v>
      </c>
    </row>
    <row r="87" spans="1:18" x14ac:dyDescent="0.2">
      <c r="A87" s="804" t="s">
        <v>4446</v>
      </c>
      <c r="B87" s="804" t="s">
        <v>4437</v>
      </c>
      <c r="C87" s="803" t="s">
        <v>4439</v>
      </c>
      <c r="D87" s="803">
        <v>100</v>
      </c>
      <c r="E87" s="803">
        <v>2</v>
      </c>
      <c r="F87" s="803">
        <v>1</v>
      </c>
      <c r="G87" s="803">
        <v>2</v>
      </c>
      <c r="H87" s="803"/>
      <c r="I87" s="846">
        <f>G87*(1+H87)</f>
        <v>2</v>
      </c>
      <c r="J87" s="803" t="s">
        <v>4243</v>
      </c>
      <c r="K87" s="808">
        <f>_xlfn.XLOOKUP(C87,Q:Q,R:R,,0)</f>
        <v>22.9</v>
      </c>
      <c r="L87" s="808">
        <f>K87*I87</f>
        <v>45.8</v>
      </c>
    </row>
    <row r="88" spans="1:18" x14ac:dyDescent="0.2">
      <c r="A88" s="852"/>
      <c r="B88" s="852"/>
      <c r="C88" s="852"/>
      <c r="D88" s="852"/>
      <c r="E88" s="852"/>
      <c r="F88" s="852"/>
      <c r="G88" s="852"/>
      <c r="H88" s="852"/>
      <c r="I88" s="852"/>
      <c r="J88" s="852"/>
      <c r="K88" s="853"/>
      <c r="L88" s="853"/>
    </row>
    <row r="89" spans="1:18" x14ac:dyDescent="0.2">
      <c r="A89" s="804" t="s">
        <v>4447</v>
      </c>
      <c r="B89" s="804" t="s">
        <v>4437</v>
      </c>
      <c r="C89" s="803" t="s">
        <v>4438</v>
      </c>
      <c r="D89" s="803">
        <v>100</v>
      </c>
      <c r="E89" s="803">
        <v>2</v>
      </c>
      <c r="F89" s="803">
        <v>1</v>
      </c>
      <c r="G89" s="803">
        <v>2</v>
      </c>
      <c r="H89" s="803"/>
      <c r="I89" s="846">
        <f>G89*(1+H89)</f>
        <v>2</v>
      </c>
      <c r="J89" s="803" t="s">
        <v>4243</v>
      </c>
      <c r="K89" s="808">
        <f>_xlfn.XLOOKUP(C89,Q:Q,R:R,,0)</f>
        <v>296.7</v>
      </c>
      <c r="L89" s="808">
        <f>K89*I89</f>
        <v>593.4</v>
      </c>
    </row>
    <row r="90" spans="1:18" x14ac:dyDescent="0.2">
      <c r="A90" s="804" t="s">
        <v>4447</v>
      </c>
      <c r="B90" s="804" t="s">
        <v>4437</v>
      </c>
      <c r="C90" s="803" t="s">
        <v>4439</v>
      </c>
      <c r="D90" s="803">
        <v>100</v>
      </c>
      <c r="E90" s="803">
        <v>2</v>
      </c>
      <c r="F90" s="803">
        <v>1</v>
      </c>
      <c r="G90" s="803">
        <v>2</v>
      </c>
      <c r="H90" s="803"/>
      <c r="I90" s="846">
        <f>G90*(1+H90)</f>
        <v>2</v>
      </c>
      <c r="J90" s="803" t="s">
        <v>4243</v>
      </c>
      <c r="K90" s="808">
        <f>_xlfn.XLOOKUP(C90,Q:Q,R:R,,0)</f>
        <v>22.9</v>
      </c>
      <c r="L90" s="808">
        <f>K90*I90</f>
        <v>45.8</v>
      </c>
    </row>
    <row r="91" spans="1:18" x14ac:dyDescent="0.2">
      <c r="A91" s="852"/>
      <c r="B91" s="852"/>
      <c r="C91" s="852"/>
      <c r="D91" s="852"/>
      <c r="E91" s="852"/>
      <c r="F91" s="852"/>
      <c r="G91" s="852"/>
      <c r="H91" s="852"/>
      <c r="I91" s="852"/>
      <c r="J91" s="852"/>
      <c r="K91" s="853"/>
      <c r="L91" s="853"/>
    </row>
  </sheetData>
  <mergeCells count="2">
    <mergeCell ref="A78:L78"/>
    <mergeCell ref="N6:O6"/>
  </mergeCell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7790-4A39-4988-83A2-6EA9B0314088}">
  <sheetPr>
    <tabColor rgb="FFB4B4B4"/>
  </sheetPr>
  <dimension ref="A1:O763"/>
  <sheetViews>
    <sheetView showGridLines="0" topLeftCell="B1" zoomScaleNormal="100" workbookViewId="0">
      <selection activeCell="C359" sqref="C359"/>
    </sheetView>
  </sheetViews>
  <sheetFormatPr defaultColWidth="9.140625" defaultRowHeight="15" x14ac:dyDescent="0.25"/>
  <cols>
    <col min="1" max="1" width="26.140625" style="883" customWidth="1"/>
    <col min="2" max="2" width="30.28515625" style="883" customWidth="1"/>
    <col min="3" max="3" width="91.140625" style="883" bestFit="1" customWidth="1"/>
    <col min="4" max="4" width="13.140625" style="887" hidden="1" customWidth="1"/>
    <col min="5" max="5" width="17.7109375" style="887" hidden="1" customWidth="1"/>
    <col min="6" max="6" width="15.28515625" style="887" hidden="1" customWidth="1"/>
    <col min="7" max="7" width="15.28515625" style="889" hidden="1" customWidth="1"/>
    <col min="8" max="8" width="15.28515625" style="890" customWidth="1"/>
    <col min="9" max="9" width="11.140625" style="883" bestFit="1" customWidth="1"/>
    <col min="10" max="11" width="15.28515625" style="891" customWidth="1"/>
    <col min="12" max="12" width="15" style="883" bestFit="1" customWidth="1"/>
    <col min="13" max="13" width="137.140625" style="883" hidden="1" customWidth="1"/>
    <col min="14" max="14" width="12.7109375" style="893" hidden="1" customWidth="1"/>
    <col min="15" max="16384" width="9.140625" style="883"/>
  </cols>
  <sheetData>
    <row r="1" spans="1:14" x14ac:dyDescent="0.25">
      <c r="A1" s="878" t="s">
        <v>4235</v>
      </c>
      <c r="B1" s="878" t="s">
        <v>4236</v>
      </c>
      <c r="C1" s="878" t="s">
        <v>6</v>
      </c>
      <c r="D1" s="879" t="s">
        <v>4237</v>
      </c>
      <c r="E1" s="879" t="s">
        <v>4238</v>
      </c>
      <c r="F1" s="879" t="s">
        <v>8</v>
      </c>
      <c r="G1" s="880" t="s">
        <v>4301</v>
      </c>
      <c r="H1" s="881" t="s">
        <v>4302</v>
      </c>
      <c r="I1" s="879" t="s">
        <v>4239</v>
      </c>
      <c r="J1" s="882" t="s">
        <v>4257</v>
      </c>
      <c r="K1" s="882" t="s">
        <v>4258</v>
      </c>
      <c r="M1" s="878" t="s">
        <v>6</v>
      </c>
      <c r="N1" s="884"/>
    </row>
    <row r="2" spans="1:14" x14ac:dyDescent="0.25">
      <c r="A2" s="883" t="s">
        <v>4443</v>
      </c>
      <c r="B2" s="883" t="s">
        <v>4614</v>
      </c>
      <c r="C2" s="885" t="s">
        <v>4632</v>
      </c>
      <c r="D2" s="886">
        <v>2</v>
      </c>
      <c r="E2" s="887">
        <v>1</v>
      </c>
      <c r="F2" s="888">
        <f>ListaMaterial[[#This Row],[REPETIÇÃO]]*ListaMaterial[[#This Row],[QUANTIDADE]]</f>
        <v>2</v>
      </c>
      <c r="H2" s="890">
        <f>ListaMaterial[[#This Row],[TOTAL]]*(1+ListaMaterial[[#This Row],[PERDA]])</f>
        <v>2</v>
      </c>
      <c r="I2" s="887" t="s">
        <v>4243</v>
      </c>
      <c r="J2" s="891">
        <f>_xlfn.XLOOKUP(ListaMaterial[[#This Row],[ITEM]],M:M,N:N,,0)</f>
        <v>1500</v>
      </c>
      <c r="K2" s="891">
        <f>J2*ListaMaterial[[#This Row],[TOTAL C/PERDA]]</f>
        <v>3000</v>
      </c>
      <c r="M2" s="885" t="s">
        <v>4632</v>
      </c>
      <c r="N2" s="892">
        <v>1500</v>
      </c>
    </row>
    <row r="3" spans="1:14" x14ac:dyDescent="0.25">
      <c r="A3" s="883" t="s">
        <v>4443</v>
      </c>
      <c r="B3" s="883" t="s">
        <v>4615</v>
      </c>
      <c r="C3" s="883" t="s">
        <v>4633</v>
      </c>
      <c r="D3" s="886">
        <v>1</v>
      </c>
      <c r="E3" s="887">
        <v>1</v>
      </c>
      <c r="F3" s="888">
        <f>ListaMaterial[[#This Row],[REPETIÇÃO]]*ListaMaterial[[#This Row],[QUANTIDADE]]</f>
        <v>1</v>
      </c>
      <c r="H3" s="890">
        <f>ListaMaterial[[#This Row],[TOTAL]]*(1+ListaMaterial[[#This Row],[PERDA]])</f>
        <v>1</v>
      </c>
      <c r="I3" s="887" t="s">
        <v>4243</v>
      </c>
      <c r="J3" s="891">
        <f>_xlfn.XLOOKUP(ListaMaterial[[#This Row],[ITEM]],M:M,N:N,,0)</f>
        <v>4779.28</v>
      </c>
      <c r="K3" s="891">
        <f>J3*ListaMaterial[[#This Row],[TOTAL C/PERDA]]</f>
        <v>4779.28</v>
      </c>
      <c r="M3" s="883" t="s">
        <v>4633</v>
      </c>
      <c r="N3" s="893">
        <v>4779.28</v>
      </c>
    </row>
    <row r="4" spans="1:14" x14ac:dyDescent="0.25">
      <c r="A4" s="883" t="s">
        <v>4443</v>
      </c>
      <c r="B4" s="883" t="s">
        <v>4242</v>
      </c>
      <c r="C4" s="883" t="s">
        <v>4634</v>
      </c>
      <c r="D4" s="886">
        <v>7</v>
      </c>
      <c r="E4" s="887">
        <v>1</v>
      </c>
      <c r="F4" s="888">
        <f>ListaMaterial[[#This Row],[REPETIÇÃO]]*ListaMaterial[[#This Row],[QUANTIDADE]]</f>
        <v>7</v>
      </c>
      <c r="H4" s="890">
        <f>ListaMaterial[[#This Row],[TOTAL]]*(1+ListaMaterial[[#This Row],[PERDA]])</f>
        <v>7</v>
      </c>
      <c r="I4" s="887" t="s">
        <v>4243</v>
      </c>
      <c r="J4" s="891">
        <f>_xlfn.XLOOKUP(ListaMaterial[[#This Row],[ITEM]],M:M,N:N,,0)</f>
        <v>68.849999999999994</v>
      </c>
      <c r="K4" s="891">
        <f>J4*ListaMaterial[[#This Row],[TOTAL C/PERDA]]</f>
        <v>481.94999999999993</v>
      </c>
      <c r="M4" s="883" t="s">
        <v>4634</v>
      </c>
      <c r="N4" s="893">
        <v>68.849999999999994</v>
      </c>
    </row>
    <row r="5" spans="1:14" x14ac:dyDescent="0.25">
      <c r="A5" s="883" t="s">
        <v>4443</v>
      </c>
      <c r="B5" s="883" t="s">
        <v>4242</v>
      </c>
      <c r="C5" s="883" t="s">
        <v>4635</v>
      </c>
      <c r="D5" s="886">
        <v>1</v>
      </c>
      <c r="E5" s="887">
        <v>1</v>
      </c>
      <c r="F5" s="888">
        <f>ListaMaterial[[#This Row],[REPETIÇÃO]]*ListaMaterial[[#This Row],[QUANTIDADE]]</f>
        <v>1</v>
      </c>
      <c r="H5" s="890">
        <f>ListaMaterial[[#This Row],[TOTAL]]*(1+ListaMaterial[[#This Row],[PERDA]])</f>
        <v>1</v>
      </c>
      <c r="I5" s="887" t="s">
        <v>4243</v>
      </c>
      <c r="J5" s="891">
        <f>_xlfn.XLOOKUP(ListaMaterial[[#This Row],[ITEM]],M:M,N:N,,0)</f>
        <v>539.1</v>
      </c>
      <c r="K5" s="891">
        <f>J5*ListaMaterial[[#This Row],[TOTAL C/PERDA]]</f>
        <v>539.1</v>
      </c>
      <c r="M5" s="883" t="s">
        <v>4635</v>
      </c>
      <c r="N5" s="893">
        <v>539.1</v>
      </c>
    </row>
    <row r="6" spans="1:14" x14ac:dyDescent="0.25">
      <c r="A6" s="883" t="s">
        <v>4443</v>
      </c>
      <c r="B6" s="883" t="s">
        <v>4242</v>
      </c>
      <c r="C6" s="883" t="s">
        <v>4636</v>
      </c>
      <c r="D6" s="886">
        <v>2</v>
      </c>
      <c r="E6" s="887">
        <v>1</v>
      </c>
      <c r="F6" s="888">
        <f>ListaMaterial[[#This Row],[REPETIÇÃO]]*ListaMaterial[[#This Row],[QUANTIDADE]]</f>
        <v>2</v>
      </c>
      <c r="H6" s="890">
        <f>ListaMaterial[[#This Row],[TOTAL]]*(1+ListaMaterial[[#This Row],[PERDA]])</f>
        <v>2</v>
      </c>
      <c r="I6" s="887" t="s">
        <v>4243</v>
      </c>
      <c r="J6" s="891">
        <f>_xlfn.XLOOKUP(ListaMaterial[[#This Row],[ITEM]],M:M,N:N,,0)</f>
        <v>15</v>
      </c>
      <c r="K6" s="891">
        <f>J6*ListaMaterial[[#This Row],[TOTAL C/PERDA]]</f>
        <v>30</v>
      </c>
      <c r="M6" s="883" t="s">
        <v>4636</v>
      </c>
      <c r="N6" s="893">
        <v>15</v>
      </c>
    </row>
    <row r="7" spans="1:14" x14ac:dyDescent="0.25">
      <c r="A7" s="883" t="s">
        <v>4443</v>
      </c>
      <c r="B7" s="883" t="s">
        <v>4242</v>
      </c>
      <c r="C7" s="883" t="s">
        <v>4637</v>
      </c>
      <c r="D7" s="886">
        <v>7</v>
      </c>
      <c r="E7" s="887">
        <v>1</v>
      </c>
      <c r="F7" s="888">
        <f>ListaMaterial[[#This Row],[REPETIÇÃO]]*ListaMaterial[[#This Row],[QUANTIDADE]]</f>
        <v>7</v>
      </c>
      <c r="H7" s="890">
        <f>ListaMaterial[[#This Row],[TOTAL]]*(1+ListaMaterial[[#This Row],[PERDA]])</f>
        <v>7</v>
      </c>
      <c r="I7" s="887" t="s">
        <v>4243</v>
      </c>
      <c r="J7" s="891">
        <f>_xlfn.XLOOKUP(ListaMaterial[[#This Row],[ITEM]],M:M,N:N,,0)</f>
        <v>105.9</v>
      </c>
      <c r="K7" s="891">
        <f>J7*ListaMaterial[[#This Row],[TOTAL C/PERDA]]</f>
        <v>741.30000000000007</v>
      </c>
      <c r="M7" s="883" t="s">
        <v>4637</v>
      </c>
      <c r="N7" s="893">
        <v>105.9</v>
      </c>
    </row>
    <row r="8" spans="1:14" x14ac:dyDescent="0.25">
      <c r="A8" s="883" t="s">
        <v>4443</v>
      </c>
      <c r="B8" s="883" t="s">
        <v>4242</v>
      </c>
      <c r="C8" s="883" t="s">
        <v>4638</v>
      </c>
      <c r="D8" s="886">
        <v>2</v>
      </c>
      <c r="E8" s="887">
        <v>1</v>
      </c>
      <c r="F8" s="888">
        <f>ListaMaterial[[#This Row],[REPETIÇÃO]]*ListaMaterial[[#This Row],[QUANTIDADE]]</f>
        <v>2</v>
      </c>
      <c r="H8" s="890">
        <f>ListaMaterial[[#This Row],[TOTAL]]*(1+ListaMaterial[[#This Row],[PERDA]])</f>
        <v>2</v>
      </c>
      <c r="I8" s="887" t="s">
        <v>4243</v>
      </c>
      <c r="J8" s="891">
        <f>_xlfn.XLOOKUP(ListaMaterial[[#This Row],[ITEM]],M:M,N:N,,0)</f>
        <v>58.96</v>
      </c>
      <c r="K8" s="891">
        <f>J8*ListaMaterial[[#This Row],[TOTAL C/PERDA]]</f>
        <v>117.92</v>
      </c>
      <c r="M8" s="883" t="s">
        <v>4638</v>
      </c>
      <c r="N8" s="893">
        <v>58.96</v>
      </c>
    </row>
    <row r="9" spans="1:14" x14ac:dyDescent="0.25">
      <c r="A9" s="883" t="s">
        <v>4443</v>
      </c>
      <c r="B9" s="883" t="s">
        <v>4242</v>
      </c>
      <c r="C9" s="883" t="s">
        <v>4639</v>
      </c>
      <c r="D9" s="886">
        <v>3</v>
      </c>
      <c r="E9" s="887">
        <v>1</v>
      </c>
      <c r="F9" s="888">
        <f>ListaMaterial[[#This Row],[REPETIÇÃO]]*ListaMaterial[[#This Row],[QUANTIDADE]]</f>
        <v>3</v>
      </c>
      <c r="H9" s="890">
        <f>ListaMaterial[[#This Row],[TOTAL]]*(1+ListaMaterial[[#This Row],[PERDA]])</f>
        <v>3</v>
      </c>
      <c r="I9" s="887" t="s">
        <v>4243</v>
      </c>
      <c r="J9" s="891">
        <f>_xlfn.XLOOKUP(ListaMaterial[[#This Row],[ITEM]],M:M,N:N,,0)</f>
        <v>269</v>
      </c>
      <c r="K9" s="891">
        <f>J9*ListaMaterial[[#This Row],[TOTAL C/PERDA]]</f>
        <v>807</v>
      </c>
      <c r="M9" s="883" t="s">
        <v>4639</v>
      </c>
      <c r="N9" s="893">
        <v>269</v>
      </c>
    </row>
    <row r="10" spans="1:14" x14ac:dyDescent="0.25">
      <c r="A10" s="883" t="s">
        <v>4443</v>
      </c>
      <c r="B10" s="883" t="s">
        <v>4242</v>
      </c>
      <c r="C10" s="883" t="s">
        <v>4640</v>
      </c>
      <c r="D10" s="886">
        <v>5</v>
      </c>
      <c r="E10" s="887">
        <v>1</v>
      </c>
      <c r="F10" s="888">
        <f>ListaMaterial[[#This Row],[REPETIÇÃO]]*ListaMaterial[[#This Row],[QUANTIDADE]]</f>
        <v>5</v>
      </c>
      <c r="H10" s="890">
        <f>ListaMaterial[[#This Row],[TOTAL]]*(1+ListaMaterial[[#This Row],[PERDA]])</f>
        <v>5</v>
      </c>
      <c r="I10" s="887" t="s">
        <v>4243</v>
      </c>
      <c r="J10" s="891">
        <f>_xlfn.XLOOKUP(ListaMaterial[[#This Row],[ITEM]],M:M,N:N,,0)</f>
        <v>31.716699999999999</v>
      </c>
      <c r="K10" s="891">
        <f>J10*ListaMaterial[[#This Row],[TOTAL C/PERDA]]</f>
        <v>158.58349999999999</v>
      </c>
      <c r="M10" s="883" t="s">
        <v>4640</v>
      </c>
      <c r="N10" s="893">
        <v>31.716699999999999</v>
      </c>
    </row>
    <row r="11" spans="1:14" x14ac:dyDescent="0.25">
      <c r="A11" s="883" t="s">
        <v>4443</v>
      </c>
      <c r="B11" s="883" t="s">
        <v>4242</v>
      </c>
      <c r="C11" s="883" t="s">
        <v>4641</v>
      </c>
      <c r="D11" s="886">
        <v>2</v>
      </c>
      <c r="E11" s="887">
        <v>1</v>
      </c>
      <c r="F11" s="888">
        <f>ListaMaterial[[#This Row],[REPETIÇÃO]]*ListaMaterial[[#This Row],[QUANTIDADE]]</f>
        <v>2</v>
      </c>
      <c r="H11" s="890">
        <f>ListaMaterial[[#This Row],[TOTAL]]*(1+ListaMaterial[[#This Row],[PERDA]])</f>
        <v>2</v>
      </c>
      <c r="I11" s="887" t="s">
        <v>4243</v>
      </c>
      <c r="J11" s="891">
        <f>_xlfn.XLOOKUP(ListaMaterial[[#This Row],[ITEM]],M:M,N:N,,0)</f>
        <v>20.170000000000002</v>
      </c>
      <c r="K11" s="891">
        <f>J11*ListaMaterial[[#This Row],[TOTAL C/PERDA]]</f>
        <v>40.340000000000003</v>
      </c>
      <c r="M11" s="883" t="s">
        <v>4641</v>
      </c>
      <c r="N11" s="893">
        <v>20.170000000000002</v>
      </c>
    </row>
    <row r="12" spans="1:14" x14ac:dyDescent="0.25">
      <c r="A12" s="883" t="s">
        <v>4443</v>
      </c>
      <c r="B12" s="883" t="s">
        <v>4242</v>
      </c>
      <c r="C12" s="883" t="s">
        <v>4642</v>
      </c>
      <c r="D12" s="886">
        <v>1</v>
      </c>
      <c r="E12" s="887">
        <v>1</v>
      </c>
      <c r="F12" s="888">
        <f>ListaMaterial[[#This Row],[REPETIÇÃO]]*ListaMaterial[[#This Row],[QUANTIDADE]]</f>
        <v>1</v>
      </c>
      <c r="H12" s="890">
        <f>ListaMaterial[[#This Row],[TOTAL]]*(1+ListaMaterial[[#This Row],[PERDA]])</f>
        <v>1</v>
      </c>
      <c r="I12" s="887" t="s">
        <v>4243</v>
      </c>
      <c r="J12" s="891">
        <f>_xlfn.XLOOKUP(ListaMaterial[[#This Row],[ITEM]],M:M,N:N,,0)</f>
        <v>134.22</v>
      </c>
      <c r="K12" s="891">
        <f>J12*ListaMaterial[[#This Row],[TOTAL C/PERDA]]</f>
        <v>134.22</v>
      </c>
      <c r="M12" s="883" t="s">
        <v>4642</v>
      </c>
      <c r="N12" s="893">
        <v>134.22</v>
      </c>
    </row>
    <row r="13" spans="1:14" x14ac:dyDescent="0.25">
      <c r="A13" s="883" t="s">
        <v>4443</v>
      </c>
      <c r="B13" s="883" t="s">
        <v>4250</v>
      </c>
      <c r="C13" s="883" t="s">
        <v>4643</v>
      </c>
      <c r="D13" s="886">
        <v>6</v>
      </c>
      <c r="E13" s="887">
        <v>1</v>
      </c>
      <c r="F13" s="888">
        <f>ListaMaterial[[#This Row],[REPETIÇÃO]]*ListaMaterial[[#This Row],[QUANTIDADE]]</f>
        <v>6</v>
      </c>
      <c r="H13" s="890">
        <f>ListaMaterial[[#This Row],[TOTAL]]*(1+ListaMaterial[[#This Row],[PERDA]])</f>
        <v>6</v>
      </c>
      <c r="I13" s="887" t="s">
        <v>4243</v>
      </c>
      <c r="J13" s="891">
        <f>_xlfn.XLOOKUP(ListaMaterial[[#This Row],[ITEM]],M:M,N:N,,0)</f>
        <v>59.74</v>
      </c>
      <c r="K13" s="891">
        <f>J13*ListaMaterial[[#This Row],[TOTAL C/PERDA]]</f>
        <v>358.44</v>
      </c>
      <c r="M13" s="883" t="s">
        <v>4643</v>
      </c>
      <c r="N13" s="893">
        <v>59.74</v>
      </c>
    </row>
    <row r="14" spans="1:14" x14ac:dyDescent="0.25">
      <c r="A14" s="883" t="s">
        <v>4443</v>
      </c>
      <c r="B14" s="883" t="s">
        <v>4250</v>
      </c>
      <c r="C14" s="883" t="s">
        <v>4644</v>
      </c>
      <c r="D14" s="886">
        <v>2</v>
      </c>
      <c r="E14" s="887">
        <v>1</v>
      </c>
      <c r="F14" s="888">
        <f>ListaMaterial[[#This Row],[REPETIÇÃO]]*ListaMaterial[[#This Row],[QUANTIDADE]]</f>
        <v>2</v>
      </c>
      <c r="H14" s="890">
        <f>ListaMaterial[[#This Row],[TOTAL]]*(1+ListaMaterial[[#This Row],[PERDA]])</f>
        <v>2</v>
      </c>
      <c r="I14" s="887" t="s">
        <v>4243</v>
      </c>
      <c r="J14" s="891">
        <f>_xlfn.XLOOKUP(ListaMaterial[[#This Row],[ITEM]],M:M,N:N,,0)</f>
        <v>199.56</v>
      </c>
      <c r="K14" s="891">
        <f>J14*ListaMaterial[[#This Row],[TOTAL C/PERDA]]</f>
        <v>399.12</v>
      </c>
      <c r="M14" s="883" t="s">
        <v>4644</v>
      </c>
      <c r="N14" s="893">
        <v>199.56</v>
      </c>
    </row>
    <row r="15" spans="1:14" x14ac:dyDescent="0.25">
      <c r="A15" s="883" t="s">
        <v>4443</v>
      </c>
      <c r="B15" s="883" t="s">
        <v>4616</v>
      </c>
      <c r="C15" s="883" t="s">
        <v>4645</v>
      </c>
      <c r="D15" s="886">
        <v>2</v>
      </c>
      <c r="E15" s="887">
        <v>1</v>
      </c>
      <c r="F15" s="888">
        <f>ListaMaterial[[#This Row],[REPETIÇÃO]]*ListaMaterial[[#This Row],[QUANTIDADE]]</f>
        <v>2</v>
      </c>
      <c r="H15" s="890">
        <f>ListaMaterial[[#This Row],[TOTAL]]*(1+ListaMaterial[[#This Row],[PERDA]])</f>
        <v>2</v>
      </c>
      <c r="I15" s="887" t="s">
        <v>4243</v>
      </c>
      <c r="J15" s="891">
        <f>_xlfn.XLOOKUP(ListaMaterial[[#This Row],[ITEM]],M:M,N:N,,0)</f>
        <v>1.79</v>
      </c>
      <c r="K15" s="891">
        <f>J15*ListaMaterial[[#This Row],[TOTAL C/PERDA]]</f>
        <v>3.58</v>
      </c>
      <c r="M15" s="883" t="s">
        <v>4645</v>
      </c>
      <c r="N15" s="893">
        <v>1.79</v>
      </c>
    </row>
    <row r="16" spans="1:14" x14ac:dyDescent="0.25">
      <c r="A16" s="883" t="s">
        <v>4443</v>
      </c>
      <c r="B16" s="883" t="s">
        <v>4616</v>
      </c>
      <c r="C16" s="883" t="s">
        <v>4646</v>
      </c>
      <c r="D16" s="886">
        <v>6</v>
      </c>
      <c r="E16" s="887">
        <v>1</v>
      </c>
      <c r="F16" s="888">
        <f>ListaMaterial[[#This Row],[REPETIÇÃO]]*ListaMaterial[[#This Row],[QUANTIDADE]]</f>
        <v>6</v>
      </c>
      <c r="H16" s="890">
        <f>ListaMaterial[[#This Row],[TOTAL]]*(1+ListaMaterial[[#This Row],[PERDA]])</f>
        <v>6</v>
      </c>
      <c r="I16" s="887" t="s">
        <v>4243</v>
      </c>
      <c r="J16" s="891">
        <f>_xlfn.XLOOKUP(ListaMaterial[[#This Row],[ITEM]],M:M,N:N,,0)</f>
        <v>2.02</v>
      </c>
      <c r="K16" s="891">
        <f>J16*ListaMaterial[[#This Row],[TOTAL C/PERDA]]</f>
        <v>12.120000000000001</v>
      </c>
      <c r="M16" s="883" t="s">
        <v>4646</v>
      </c>
      <c r="N16" s="893">
        <v>2.02</v>
      </c>
    </row>
    <row r="17" spans="1:14" x14ac:dyDescent="0.25">
      <c r="A17" s="883" t="s">
        <v>4443</v>
      </c>
      <c r="B17" s="883" t="s">
        <v>4429</v>
      </c>
      <c r="C17" s="883" t="s">
        <v>4647</v>
      </c>
      <c r="D17" s="886">
        <v>10</v>
      </c>
      <c r="E17" s="887">
        <v>1</v>
      </c>
      <c r="F17" s="888">
        <f>ListaMaterial[[#This Row],[REPETIÇÃO]]*ListaMaterial[[#This Row],[QUANTIDADE]]</f>
        <v>10</v>
      </c>
      <c r="H17" s="890">
        <f>ListaMaterial[[#This Row],[TOTAL]]*(1+ListaMaterial[[#This Row],[PERDA]])</f>
        <v>10</v>
      </c>
      <c r="I17" s="887" t="s">
        <v>4243</v>
      </c>
      <c r="J17" s="891">
        <f>_xlfn.XLOOKUP(ListaMaterial[[#This Row],[ITEM]],M:M,N:N,,0)</f>
        <v>0.59370000000000001</v>
      </c>
      <c r="K17" s="891">
        <f>J17*ListaMaterial[[#This Row],[TOTAL C/PERDA]]</f>
        <v>5.9370000000000003</v>
      </c>
      <c r="M17" s="883" t="s">
        <v>4647</v>
      </c>
      <c r="N17" s="893">
        <v>0.59370000000000001</v>
      </c>
    </row>
    <row r="18" spans="1:14" x14ac:dyDescent="0.25">
      <c r="A18" s="883" t="s">
        <v>4443</v>
      </c>
      <c r="B18" s="883" t="s">
        <v>4429</v>
      </c>
      <c r="C18" s="883" t="s">
        <v>4648</v>
      </c>
      <c r="D18" s="886">
        <v>4</v>
      </c>
      <c r="E18" s="887">
        <v>1</v>
      </c>
      <c r="F18" s="888">
        <f>ListaMaterial[[#This Row],[REPETIÇÃO]]*ListaMaterial[[#This Row],[QUANTIDADE]]</f>
        <v>4</v>
      </c>
      <c r="H18" s="890">
        <f>ListaMaterial[[#This Row],[TOTAL]]*(1+ListaMaterial[[#This Row],[PERDA]])</f>
        <v>4</v>
      </c>
      <c r="I18" s="887" t="s">
        <v>4243</v>
      </c>
      <c r="J18" s="891">
        <f>_xlfn.XLOOKUP(ListaMaterial[[#This Row],[ITEM]],M:M,N:N,,0)</f>
        <v>1.4224000000000001</v>
      </c>
      <c r="K18" s="891">
        <f>J18*ListaMaterial[[#This Row],[TOTAL C/PERDA]]</f>
        <v>5.6896000000000004</v>
      </c>
      <c r="M18" s="883" t="s">
        <v>4648</v>
      </c>
      <c r="N18" s="893">
        <v>1.4224000000000001</v>
      </c>
    </row>
    <row r="19" spans="1:14" x14ac:dyDescent="0.25">
      <c r="A19" s="883" t="s">
        <v>4443</v>
      </c>
      <c r="B19" s="883" t="s">
        <v>4429</v>
      </c>
      <c r="C19" s="883" t="s">
        <v>4649</v>
      </c>
      <c r="D19" s="886">
        <v>12</v>
      </c>
      <c r="E19" s="887">
        <v>1</v>
      </c>
      <c r="F19" s="888">
        <f>ListaMaterial[[#This Row],[REPETIÇÃO]]*ListaMaterial[[#This Row],[QUANTIDADE]]</f>
        <v>12</v>
      </c>
      <c r="H19" s="890">
        <f>ListaMaterial[[#This Row],[TOTAL]]*(1+ListaMaterial[[#This Row],[PERDA]])</f>
        <v>12</v>
      </c>
      <c r="I19" s="887" t="s">
        <v>4243</v>
      </c>
      <c r="J19" s="891">
        <f>_xlfn.XLOOKUP(ListaMaterial[[#This Row],[ITEM]],M:M,N:N,,0)</f>
        <v>10.37</v>
      </c>
      <c r="K19" s="891">
        <f>J19*ListaMaterial[[#This Row],[TOTAL C/PERDA]]</f>
        <v>124.44</v>
      </c>
      <c r="M19" s="883" t="s">
        <v>4649</v>
      </c>
      <c r="N19" s="893">
        <v>10.37</v>
      </c>
    </row>
    <row r="20" spans="1:14" x14ac:dyDescent="0.25">
      <c r="A20" s="883" t="s">
        <v>4443</v>
      </c>
      <c r="B20" s="883" t="s">
        <v>4429</v>
      </c>
      <c r="C20" s="883" t="s">
        <v>4650</v>
      </c>
      <c r="D20" s="886">
        <v>1</v>
      </c>
      <c r="E20" s="887">
        <v>1</v>
      </c>
      <c r="F20" s="888">
        <f>ListaMaterial[[#This Row],[REPETIÇÃO]]*ListaMaterial[[#This Row],[QUANTIDADE]]</f>
        <v>1</v>
      </c>
      <c r="H20" s="890">
        <f>ListaMaterial[[#This Row],[TOTAL]]*(1+ListaMaterial[[#This Row],[PERDA]])</f>
        <v>1</v>
      </c>
      <c r="I20" s="887" t="s">
        <v>4243</v>
      </c>
      <c r="J20" s="891">
        <f>_xlfn.XLOOKUP(ListaMaterial[[#This Row],[ITEM]],M:M,N:N,,0)</f>
        <v>1.91</v>
      </c>
      <c r="K20" s="891">
        <f>J20*ListaMaterial[[#This Row],[TOTAL C/PERDA]]</f>
        <v>1.91</v>
      </c>
      <c r="M20" s="883" t="s">
        <v>4650</v>
      </c>
      <c r="N20" s="893">
        <v>1.91</v>
      </c>
    </row>
    <row r="21" spans="1:14" x14ac:dyDescent="0.25">
      <c r="A21" s="883" t="s">
        <v>4443</v>
      </c>
      <c r="B21" s="883" t="s">
        <v>4429</v>
      </c>
      <c r="C21" s="883" t="s">
        <v>4651</v>
      </c>
      <c r="D21" s="886">
        <v>1</v>
      </c>
      <c r="E21" s="887">
        <v>1</v>
      </c>
      <c r="F21" s="888">
        <f>ListaMaterial[[#This Row],[REPETIÇÃO]]*ListaMaterial[[#This Row],[QUANTIDADE]]</f>
        <v>1</v>
      </c>
      <c r="H21" s="890">
        <f>ListaMaterial[[#This Row],[TOTAL]]*(1+ListaMaterial[[#This Row],[PERDA]])</f>
        <v>1</v>
      </c>
      <c r="I21" s="887" t="s">
        <v>4243</v>
      </c>
      <c r="J21" s="891">
        <f>_xlfn.XLOOKUP(ListaMaterial[[#This Row],[ITEM]],M:M,N:N,,0)</f>
        <v>12.6</v>
      </c>
      <c r="K21" s="891">
        <f>J21*ListaMaterial[[#This Row],[TOTAL C/PERDA]]</f>
        <v>12.6</v>
      </c>
      <c r="M21" s="883" t="s">
        <v>4651</v>
      </c>
      <c r="N21" s="893">
        <v>12.6</v>
      </c>
    </row>
    <row r="22" spans="1:14" x14ac:dyDescent="0.25">
      <c r="A22" s="883" t="s">
        <v>4443</v>
      </c>
      <c r="B22" s="883" t="s">
        <v>4429</v>
      </c>
      <c r="C22" s="883" t="s">
        <v>4652</v>
      </c>
      <c r="D22" s="886">
        <v>2</v>
      </c>
      <c r="E22" s="887">
        <v>1</v>
      </c>
      <c r="F22" s="888">
        <f>ListaMaterial[[#This Row],[REPETIÇÃO]]*ListaMaterial[[#This Row],[QUANTIDADE]]</f>
        <v>2</v>
      </c>
      <c r="H22" s="890">
        <f>ListaMaterial[[#This Row],[TOTAL]]*(1+ListaMaterial[[#This Row],[PERDA]])</f>
        <v>2</v>
      </c>
      <c r="I22" s="887" t="s">
        <v>4243</v>
      </c>
      <c r="J22" s="891">
        <f>_xlfn.XLOOKUP(ListaMaterial[[#This Row],[ITEM]],M:M,N:N,,0)</f>
        <v>5.4611000000000001</v>
      </c>
      <c r="K22" s="891">
        <f>J22*ListaMaterial[[#This Row],[TOTAL C/PERDA]]</f>
        <v>10.9222</v>
      </c>
      <c r="M22" s="883" t="s">
        <v>4652</v>
      </c>
      <c r="N22" s="893">
        <v>5.4611000000000001</v>
      </c>
    </row>
    <row r="23" spans="1:14" x14ac:dyDescent="0.25">
      <c r="A23" s="883" t="s">
        <v>4443</v>
      </c>
      <c r="B23" s="883" t="s">
        <v>4429</v>
      </c>
      <c r="C23" s="883" t="s">
        <v>4653</v>
      </c>
      <c r="D23" s="886">
        <v>1</v>
      </c>
      <c r="E23" s="887">
        <v>1</v>
      </c>
      <c r="F23" s="888">
        <f>ListaMaterial[[#This Row],[REPETIÇÃO]]*ListaMaterial[[#This Row],[QUANTIDADE]]</f>
        <v>1</v>
      </c>
      <c r="H23" s="890">
        <f>ListaMaterial[[#This Row],[TOTAL]]*(1+ListaMaterial[[#This Row],[PERDA]])</f>
        <v>1</v>
      </c>
      <c r="I23" s="887" t="s">
        <v>4243</v>
      </c>
      <c r="J23" s="891">
        <f>_xlfn.XLOOKUP(ListaMaterial[[#This Row],[ITEM]],M:M,N:N,,0)</f>
        <v>0.91449999999999998</v>
      </c>
      <c r="K23" s="891">
        <f>J23*ListaMaterial[[#This Row],[TOTAL C/PERDA]]</f>
        <v>0.91449999999999998</v>
      </c>
      <c r="M23" s="883" t="s">
        <v>4653</v>
      </c>
      <c r="N23" s="893">
        <v>0.91449999999999998</v>
      </c>
    </row>
    <row r="24" spans="1:14" x14ac:dyDescent="0.25">
      <c r="A24" s="883" t="s">
        <v>4443</v>
      </c>
      <c r="B24" s="883" t="s">
        <v>4429</v>
      </c>
      <c r="C24" s="883" t="s">
        <v>4654</v>
      </c>
      <c r="D24" s="886">
        <v>32</v>
      </c>
      <c r="E24" s="887">
        <v>1</v>
      </c>
      <c r="F24" s="888">
        <f>ListaMaterial[[#This Row],[REPETIÇÃO]]*ListaMaterial[[#This Row],[QUANTIDADE]]</f>
        <v>32</v>
      </c>
      <c r="H24" s="890">
        <f>ListaMaterial[[#This Row],[TOTAL]]*(1+ListaMaterial[[#This Row],[PERDA]])</f>
        <v>32</v>
      </c>
      <c r="I24" s="887" t="s">
        <v>4243</v>
      </c>
      <c r="J24" s="891">
        <f>_xlfn.XLOOKUP(ListaMaterial[[#This Row],[ITEM]],M:M,N:N,,0)</f>
        <v>0.47220000000000001</v>
      </c>
      <c r="K24" s="891">
        <f>J24*ListaMaterial[[#This Row],[TOTAL C/PERDA]]</f>
        <v>15.1104</v>
      </c>
      <c r="M24" s="883" t="s">
        <v>4654</v>
      </c>
      <c r="N24" s="893">
        <v>0.47220000000000001</v>
      </c>
    </row>
    <row r="25" spans="1:14" x14ac:dyDescent="0.25">
      <c r="A25" s="883" t="s">
        <v>4443</v>
      </c>
      <c r="B25" s="883" t="s">
        <v>4429</v>
      </c>
      <c r="C25" s="883" t="s">
        <v>4655</v>
      </c>
      <c r="D25" s="886">
        <v>3</v>
      </c>
      <c r="E25" s="887">
        <v>1</v>
      </c>
      <c r="F25" s="888">
        <f>ListaMaterial[[#This Row],[REPETIÇÃO]]*ListaMaterial[[#This Row],[QUANTIDADE]]</f>
        <v>3</v>
      </c>
      <c r="H25" s="890">
        <f>ListaMaterial[[#This Row],[TOTAL]]*(1+ListaMaterial[[#This Row],[PERDA]])</f>
        <v>3</v>
      </c>
      <c r="I25" s="887" t="s">
        <v>4243</v>
      </c>
      <c r="J25" s="891">
        <f>_xlfn.XLOOKUP(ListaMaterial[[#This Row],[ITEM]],M:M,N:N,,0)</f>
        <v>2.2519999999999998</v>
      </c>
      <c r="K25" s="891">
        <f>J25*ListaMaterial[[#This Row],[TOTAL C/PERDA]]</f>
        <v>6.7559999999999993</v>
      </c>
      <c r="M25" s="883" t="s">
        <v>4655</v>
      </c>
      <c r="N25" s="893">
        <v>2.2519999999999998</v>
      </c>
    </row>
    <row r="26" spans="1:14" x14ac:dyDescent="0.25">
      <c r="A26" s="883" t="s">
        <v>4443</v>
      </c>
      <c r="B26" s="883" t="s">
        <v>4429</v>
      </c>
      <c r="C26" s="883" t="s">
        <v>4656</v>
      </c>
      <c r="D26" s="886">
        <v>10</v>
      </c>
      <c r="E26" s="887">
        <v>1</v>
      </c>
      <c r="F26" s="888">
        <f>ListaMaterial[[#This Row],[REPETIÇÃO]]*ListaMaterial[[#This Row],[QUANTIDADE]]</f>
        <v>10</v>
      </c>
      <c r="H26" s="890">
        <f>ListaMaterial[[#This Row],[TOTAL]]*(1+ListaMaterial[[#This Row],[PERDA]])</f>
        <v>10</v>
      </c>
      <c r="I26" s="887" t="s">
        <v>4243</v>
      </c>
      <c r="J26" s="891">
        <f>_xlfn.XLOOKUP(ListaMaterial[[#This Row],[ITEM]],M:M,N:N,,0)</f>
        <v>18.616</v>
      </c>
      <c r="K26" s="891">
        <f>J26*ListaMaterial[[#This Row],[TOTAL C/PERDA]]</f>
        <v>186.16</v>
      </c>
      <c r="M26" s="883" t="s">
        <v>4656</v>
      </c>
      <c r="N26" s="893">
        <v>18.616</v>
      </c>
    </row>
    <row r="27" spans="1:14" x14ac:dyDescent="0.25">
      <c r="A27" s="883" t="s">
        <v>4443</v>
      </c>
      <c r="B27" s="883" t="s">
        <v>4429</v>
      </c>
      <c r="C27" s="883" t="s">
        <v>4657</v>
      </c>
      <c r="D27" s="886">
        <v>1</v>
      </c>
      <c r="E27" s="887">
        <v>1</v>
      </c>
      <c r="F27" s="888">
        <f>ListaMaterial[[#This Row],[REPETIÇÃO]]*ListaMaterial[[#This Row],[QUANTIDADE]]</f>
        <v>1</v>
      </c>
      <c r="H27" s="890">
        <f>ListaMaterial[[#This Row],[TOTAL]]*(1+ListaMaterial[[#This Row],[PERDA]])</f>
        <v>1</v>
      </c>
      <c r="I27" s="887" t="s">
        <v>4243</v>
      </c>
      <c r="J27" s="891">
        <f>_xlfn.XLOOKUP(ListaMaterial[[#This Row],[ITEM]],M:M,N:N,,0)</f>
        <v>3.2107000000000001</v>
      </c>
      <c r="K27" s="891">
        <f>J27*ListaMaterial[[#This Row],[TOTAL C/PERDA]]</f>
        <v>3.2107000000000001</v>
      </c>
      <c r="M27" s="883" t="s">
        <v>4657</v>
      </c>
      <c r="N27" s="893">
        <v>3.2107000000000001</v>
      </c>
    </row>
    <row r="28" spans="1:14" x14ac:dyDescent="0.25">
      <c r="A28" s="883" t="s">
        <v>4443</v>
      </c>
      <c r="B28" s="883" t="s">
        <v>4429</v>
      </c>
      <c r="C28" s="883" t="s">
        <v>4658</v>
      </c>
      <c r="D28" s="886">
        <v>4</v>
      </c>
      <c r="E28" s="887">
        <v>1</v>
      </c>
      <c r="F28" s="888">
        <f>ListaMaterial[[#This Row],[REPETIÇÃO]]*ListaMaterial[[#This Row],[QUANTIDADE]]</f>
        <v>4</v>
      </c>
      <c r="H28" s="890">
        <f>ListaMaterial[[#This Row],[TOTAL]]*(1+ListaMaterial[[#This Row],[PERDA]])</f>
        <v>4</v>
      </c>
      <c r="I28" s="887" t="s">
        <v>4243</v>
      </c>
      <c r="J28" s="891">
        <f>_xlfn.XLOOKUP(ListaMaterial[[#This Row],[ITEM]],M:M,N:N,,0)</f>
        <v>13.005000000000001</v>
      </c>
      <c r="K28" s="891">
        <f>J28*ListaMaterial[[#This Row],[TOTAL C/PERDA]]</f>
        <v>52.02</v>
      </c>
      <c r="M28" s="883" t="s">
        <v>4658</v>
      </c>
      <c r="N28" s="893">
        <v>13.005000000000001</v>
      </c>
    </row>
    <row r="29" spans="1:14" x14ac:dyDescent="0.25">
      <c r="A29" s="883" t="s">
        <v>4443</v>
      </c>
      <c r="B29" s="883" t="s">
        <v>4429</v>
      </c>
      <c r="C29" s="883" t="s">
        <v>4659</v>
      </c>
      <c r="D29" s="886">
        <v>2</v>
      </c>
      <c r="E29" s="887">
        <v>1</v>
      </c>
      <c r="F29" s="888">
        <f>ListaMaterial[[#This Row],[REPETIÇÃO]]*ListaMaterial[[#This Row],[QUANTIDADE]]</f>
        <v>2</v>
      </c>
      <c r="H29" s="890">
        <f>ListaMaterial[[#This Row],[TOTAL]]*(1+ListaMaterial[[#This Row],[PERDA]])</f>
        <v>2</v>
      </c>
      <c r="I29" s="887" t="s">
        <v>4243</v>
      </c>
      <c r="J29" s="891">
        <f>_xlfn.XLOOKUP(ListaMaterial[[#This Row],[ITEM]],M:M,N:N,,0)</f>
        <v>4.5960000000000001</v>
      </c>
      <c r="K29" s="891">
        <f>J29*ListaMaterial[[#This Row],[TOTAL C/PERDA]]</f>
        <v>9.1920000000000002</v>
      </c>
      <c r="M29" s="883" t="s">
        <v>4659</v>
      </c>
      <c r="N29" s="893">
        <v>4.5960000000000001</v>
      </c>
    </row>
    <row r="30" spans="1:14" x14ac:dyDescent="0.25">
      <c r="A30" s="883" t="s">
        <v>4443</v>
      </c>
      <c r="B30" s="883" t="s">
        <v>4429</v>
      </c>
      <c r="C30" s="883" t="s">
        <v>4660</v>
      </c>
      <c r="D30" s="886">
        <v>3</v>
      </c>
      <c r="E30" s="887">
        <v>1</v>
      </c>
      <c r="F30" s="888">
        <f>ListaMaterial[[#This Row],[REPETIÇÃO]]*ListaMaterial[[#This Row],[QUANTIDADE]]</f>
        <v>3</v>
      </c>
      <c r="H30" s="890">
        <f>ListaMaterial[[#This Row],[TOTAL]]*(1+ListaMaterial[[#This Row],[PERDA]])</f>
        <v>3</v>
      </c>
      <c r="I30" s="887" t="s">
        <v>4243</v>
      </c>
      <c r="J30" s="891">
        <f>_xlfn.XLOOKUP(ListaMaterial[[#This Row],[ITEM]],M:M,N:N,,0)</f>
        <v>0.98509999999999998</v>
      </c>
      <c r="K30" s="891">
        <f>J30*ListaMaterial[[#This Row],[TOTAL C/PERDA]]</f>
        <v>2.9552999999999998</v>
      </c>
      <c r="M30" s="883" t="s">
        <v>4660</v>
      </c>
      <c r="N30" s="893">
        <v>0.98509999999999998</v>
      </c>
    </row>
    <row r="31" spans="1:14" x14ac:dyDescent="0.25">
      <c r="A31" s="883" t="s">
        <v>4443</v>
      </c>
      <c r="B31" s="883" t="s">
        <v>4429</v>
      </c>
      <c r="C31" s="883" t="s">
        <v>4661</v>
      </c>
      <c r="D31" s="886">
        <v>2</v>
      </c>
      <c r="E31" s="887">
        <v>1</v>
      </c>
      <c r="F31" s="888">
        <f>ListaMaterial[[#This Row],[REPETIÇÃO]]*ListaMaterial[[#This Row],[QUANTIDADE]]</f>
        <v>2</v>
      </c>
      <c r="H31" s="890">
        <f>ListaMaterial[[#This Row],[TOTAL]]*(1+ListaMaterial[[#This Row],[PERDA]])</f>
        <v>2</v>
      </c>
      <c r="I31" s="887" t="s">
        <v>4243</v>
      </c>
      <c r="J31" s="891">
        <f>_xlfn.XLOOKUP(ListaMaterial[[#This Row],[ITEM]],M:M,N:N,,0)</f>
        <v>21.563300000000002</v>
      </c>
      <c r="K31" s="891">
        <f>J31*ListaMaterial[[#This Row],[TOTAL C/PERDA]]</f>
        <v>43.126600000000003</v>
      </c>
      <c r="M31" s="883" t="s">
        <v>4661</v>
      </c>
      <c r="N31" s="893">
        <v>21.563300000000002</v>
      </c>
    </row>
    <row r="32" spans="1:14" x14ac:dyDescent="0.25">
      <c r="A32" s="883" t="s">
        <v>4443</v>
      </c>
      <c r="B32" s="883" t="s">
        <v>4441</v>
      </c>
      <c r="C32" s="883" t="s">
        <v>4662</v>
      </c>
      <c r="D32" s="886">
        <v>2</v>
      </c>
      <c r="E32" s="887">
        <v>1</v>
      </c>
      <c r="F32" s="888">
        <f>ListaMaterial[[#This Row],[REPETIÇÃO]]*ListaMaterial[[#This Row],[QUANTIDADE]]</f>
        <v>2</v>
      </c>
      <c r="H32" s="890">
        <f>ListaMaterial[[#This Row],[TOTAL]]*(1+ListaMaterial[[#This Row],[PERDA]])</f>
        <v>2</v>
      </c>
      <c r="I32" s="887" t="s">
        <v>4243</v>
      </c>
      <c r="J32" s="891">
        <f>_xlfn.XLOOKUP(ListaMaterial[[#This Row],[ITEM]],M:M,N:N,,0)</f>
        <v>8.8800000000000008</v>
      </c>
      <c r="K32" s="891">
        <f>J32*ListaMaterial[[#This Row],[TOTAL C/PERDA]]</f>
        <v>17.760000000000002</v>
      </c>
      <c r="M32" s="883" t="s">
        <v>4662</v>
      </c>
      <c r="N32" s="893">
        <v>8.8800000000000008</v>
      </c>
    </row>
    <row r="33" spans="1:14" x14ac:dyDescent="0.25">
      <c r="A33" s="883" t="s">
        <v>4443</v>
      </c>
      <c r="B33" s="883" t="s">
        <v>4441</v>
      </c>
      <c r="C33" s="883" t="s">
        <v>4663</v>
      </c>
      <c r="D33" s="886">
        <v>3</v>
      </c>
      <c r="E33" s="887">
        <v>1</v>
      </c>
      <c r="F33" s="888">
        <f>ListaMaterial[[#This Row],[REPETIÇÃO]]*ListaMaterial[[#This Row],[QUANTIDADE]]</f>
        <v>3</v>
      </c>
      <c r="H33" s="890">
        <f>ListaMaterial[[#This Row],[TOTAL]]*(1+ListaMaterial[[#This Row],[PERDA]])</f>
        <v>3</v>
      </c>
      <c r="I33" s="887" t="s">
        <v>4243</v>
      </c>
      <c r="J33" s="891">
        <f>_xlfn.XLOOKUP(ListaMaterial[[#This Row],[ITEM]],M:M,N:N,,0)</f>
        <v>46.66</v>
      </c>
      <c r="K33" s="891">
        <f>J33*ListaMaterial[[#This Row],[TOTAL C/PERDA]]</f>
        <v>139.97999999999999</v>
      </c>
      <c r="M33" s="883" t="s">
        <v>4663</v>
      </c>
      <c r="N33" s="893">
        <v>46.66</v>
      </c>
    </row>
    <row r="34" spans="1:14" x14ac:dyDescent="0.25">
      <c r="A34" s="883" t="s">
        <v>4443</v>
      </c>
      <c r="B34" s="883" t="s">
        <v>4441</v>
      </c>
      <c r="C34" s="883" t="s">
        <v>4843</v>
      </c>
      <c r="D34" s="886">
        <v>3</v>
      </c>
      <c r="E34" s="887">
        <v>1</v>
      </c>
      <c r="F34" s="888">
        <f>ListaMaterial[[#This Row],[REPETIÇÃO]]*ListaMaterial[[#This Row],[QUANTIDADE]]</f>
        <v>3</v>
      </c>
      <c r="H34" s="890">
        <f>ListaMaterial[[#This Row],[TOTAL]]*(1+ListaMaterial[[#This Row],[PERDA]])</f>
        <v>3</v>
      </c>
      <c r="I34" s="887" t="s">
        <v>4243</v>
      </c>
      <c r="J34" s="891">
        <f>_xlfn.XLOOKUP(ListaMaterial[[#This Row],[ITEM]],M:M,N:N,,0)</f>
        <v>13.016999999999999</v>
      </c>
      <c r="K34" s="891">
        <f>J34*ListaMaterial[[#This Row],[TOTAL C/PERDA]]</f>
        <v>39.051000000000002</v>
      </c>
      <c r="M34" s="883" t="s">
        <v>4843</v>
      </c>
      <c r="N34" s="893">
        <v>13.016999999999999</v>
      </c>
    </row>
    <row r="35" spans="1:14" x14ac:dyDescent="0.25">
      <c r="A35" s="883" t="s">
        <v>4443</v>
      </c>
      <c r="B35" s="883" t="s">
        <v>4441</v>
      </c>
      <c r="C35" s="883" t="s">
        <v>4844</v>
      </c>
      <c r="D35" s="886">
        <v>2</v>
      </c>
      <c r="E35" s="887">
        <v>1</v>
      </c>
      <c r="F35" s="888">
        <f>ListaMaterial[[#This Row],[REPETIÇÃO]]*ListaMaterial[[#This Row],[QUANTIDADE]]</f>
        <v>2</v>
      </c>
      <c r="H35" s="890">
        <f>ListaMaterial[[#This Row],[TOTAL]]*(1+ListaMaterial[[#This Row],[PERDA]])</f>
        <v>2</v>
      </c>
      <c r="I35" s="887" t="s">
        <v>4243</v>
      </c>
      <c r="J35" s="891">
        <f>_xlfn.XLOOKUP(ListaMaterial[[#This Row],[ITEM]],M:M,N:N,,0)</f>
        <v>7.21</v>
      </c>
      <c r="K35" s="891">
        <f>J35*ListaMaterial[[#This Row],[TOTAL C/PERDA]]</f>
        <v>14.42</v>
      </c>
      <c r="M35" s="883" t="s">
        <v>4844</v>
      </c>
      <c r="N35" s="893">
        <v>7.21</v>
      </c>
    </row>
    <row r="36" spans="1:14" x14ac:dyDescent="0.25">
      <c r="A36" s="883" t="s">
        <v>4443</v>
      </c>
      <c r="B36" s="883" t="s">
        <v>4441</v>
      </c>
      <c r="C36" s="883" t="s">
        <v>4845</v>
      </c>
      <c r="D36" s="886">
        <v>29</v>
      </c>
      <c r="E36" s="887">
        <v>1</v>
      </c>
      <c r="F36" s="888">
        <f>ListaMaterial[[#This Row],[REPETIÇÃO]]*ListaMaterial[[#This Row],[QUANTIDADE]]</f>
        <v>29</v>
      </c>
      <c r="H36" s="890">
        <f>ListaMaterial[[#This Row],[TOTAL]]*(1+ListaMaterial[[#This Row],[PERDA]])</f>
        <v>29</v>
      </c>
      <c r="I36" s="887" t="s">
        <v>4243</v>
      </c>
      <c r="J36" s="891">
        <f>_xlfn.XLOOKUP(ListaMaterial[[#This Row],[ITEM]],M:M,N:N,,0)</f>
        <v>8.11</v>
      </c>
      <c r="K36" s="891">
        <f>J36*ListaMaterial[[#This Row],[TOTAL C/PERDA]]</f>
        <v>235.19</v>
      </c>
      <c r="M36" s="883" t="s">
        <v>4845</v>
      </c>
      <c r="N36" s="893">
        <v>8.11</v>
      </c>
    </row>
    <row r="37" spans="1:14" x14ac:dyDescent="0.25">
      <c r="A37" s="883" t="s">
        <v>4443</v>
      </c>
      <c r="B37" s="883" t="s">
        <v>4441</v>
      </c>
      <c r="C37" s="883" t="s">
        <v>4853</v>
      </c>
      <c r="D37" s="886">
        <v>50</v>
      </c>
      <c r="E37" s="887">
        <v>1</v>
      </c>
      <c r="F37" s="888">
        <f>ListaMaterial[[#This Row],[REPETIÇÃO]]*ListaMaterial[[#This Row],[QUANTIDADE]]</f>
        <v>50</v>
      </c>
      <c r="H37" s="890">
        <f>ListaMaterial[[#This Row],[TOTAL]]*(1+ListaMaterial[[#This Row],[PERDA]])</f>
        <v>50</v>
      </c>
      <c r="I37" s="887" t="s">
        <v>4243</v>
      </c>
      <c r="J37" s="891">
        <f>_xlfn.XLOOKUP(ListaMaterial[[#This Row],[ITEM]],M:M,N:N,,0)</f>
        <v>52.37</v>
      </c>
      <c r="K37" s="891">
        <f>J37*ListaMaterial[[#This Row],[TOTAL C/PERDA]]</f>
        <v>2618.5</v>
      </c>
      <c r="M37" s="883" t="s">
        <v>4853</v>
      </c>
      <c r="N37" s="893">
        <v>52.37</v>
      </c>
    </row>
    <row r="38" spans="1:14" x14ac:dyDescent="0.25">
      <c r="A38" s="883" t="s">
        <v>4443</v>
      </c>
      <c r="B38" s="883" t="s">
        <v>4441</v>
      </c>
      <c r="C38" s="883" t="s">
        <v>4854</v>
      </c>
      <c r="D38" s="886">
        <v>8</v>
      </c>
      <c r="E38" s="887">
        <v>1</v>
      </c>
      <c r="F38" s="888">
        <f>ListaMaterial[[#This Row],[REPETIÇÃO]]*ListaMaterial[[#This Row],[QUANTIDADE]]</f>
        <v>8</v>
      </c>
      <c r="H38" s="890">
        <f>ListaMaterial[[#This Row],[TOTAL]]*(1+ListaMaterial[[#This Row],[PERDA]])</f>
        <v>8</v>
      </c>
      <c r="I38" s="887" t="s">
        <v>4243</v>
      </c>
      <c r="J38" s="891">
        <f>_xlfn.XLOOKUP(ListaMaterial[[#This Row],[ITEM]],M:M,N:N,,0)</f>
        <v>5.0599999999999996</v>
      </c>
      <c r="K38" s="891">
        <f>J38*ListaMaterial[[#This Row],[TOTAL C/PERDA]]</f>
        <v>40.479999999999997</v>
      </c>
      <c r="M38" s="883" t="s">
        <v>4854</v>
      </c>
      <c r="N38" s="893">
        <v>5.0599999999999996</v>
      </c>
    </row>
    <row r="39" spans="1:14" x14ac:dyDescent="0.25">
      <c r="A39" s="883" t="s">
        <v>4443</v>
      </c>
      <c r="B39" s="883" t="s">
        <v>4441</v>
      </c>
      <c r="C39" s="883" t="s">
        <v>4855</v>
      </c>
      <c r="D39" s="886">
        <v>5</v>
      </c>
      <c r="E39" s="887">
        <v>1</v>
      </c>
      <c r="F39" s="888">
        <f>ListaMaterial[[#This Row],[REPETIÇÃO]]*ListaMaterial[[#This Row],[QUANTIDADE]]</f>
        <v>5</v>
      </c>
      <c r="H39" s="890">
        <f>ListaMaterial[[#This Row],[TOTAL]]*(1+ListaMaterial[[#This Row],[PERDA]])</f>
        <v>5</v>
      </c>
      <c r="I39" s="887" t="s">
        <v>4243</v>
      </c>
      <c r="J39" s="891">
        <f>_xlfn.XLOOKUP(ListaMaterial[[#This Row],[ITEM]],M:M,N:N,,0)</f>
        <v>13.79</v>
      </c>
      <c r="K39" s="891">
        <f>J39*ListaMaterial[[#This Row],[TOTAL C/PERDA]]</f>
        <v>68.949999999999989</v>
      </c>
      <c r="M39" s="883" t="s">
        <v>4855</v>
      </c>
      <c r="N39" s="893">
        <v>13.79</v>
      </c>
    </row>
    <row r="40" spans="1:14" x14ac:dyDescent="0.25">
      <c r="A40" s="883" t="s">
        <v>4443</v>
      </c>
      <c r="B40" s="883" t="s">
        <v>4441</v>
      </c>
      <c r="C40" s="883" t="s">
        <v>4856</v>
      </c>
      <c r="D40" s="886">
        <v>6</v>
      </c>
      <c r="E40" s="887">
        <v>1</v>
      </c>
      <c r="F40" s="888">
        <f>ListaMaterial[[#This Row],[REPETIÇÃO]]*ListaMaterial[[#This Row],[QUANTIDADE]]</f>
        <v>6</v>
      </c>
      <c r="H40" s="890">
        <f>ListaMaterial[[#This Row],[TOTAL]]*(1+ListaMaterial[[#This Row],[PERDA]])</f>
        <v>6</v>
      </c>
      <c r="I40" s="887" t="s">
        <v>4243</v>
      </c>
      <c r="J40" s="891">
        <f>_xlfn.XLOOKUP(ListaMaterial[[#This Row],[ITEM]],M:M,N:N,,0)</f>
        <v>14.13</v>
      </c>
      <c r="K40" s="891">
        <f>J40*ListaMaterial[[#This Row],[TOTAL C/PERDA]]</f>
        <v>84.78</v>
      </c>
      <c r="M40" s="883" t="s">
        <v>4856</v>
      </c>
      <c r="N40" s="893">
        <v>14.13</v>
      </c>
    </row>
    <row r="41" spans="1:14" x14ac:dyDescent="0.25">
      <c r="A41" s="883" t="s">
        <v>4443</v>
      </c>
      <c r="B41" s="883" t="s">
        <v>4441</v>
      </c>
      <c r="C41" s="883" t="s">
        <v>4857</v>
      </c>
      <c r="D41" s="886">
        <v>10</v>
      </c>
      <c r="E41" s="887">
        <v>1</v>
      </c>
      <c r="F41" s="888">
        <f>ListaMaterial[[#This Row],[REPETIÇÃO]]*ListaMaterial[[#This Row],[QUANTIDADE]]</f>
        <v>10</v>
      </c>
      <c r="H41" s="890">
        <f>ListaMaterial[[#This Row],[TOTAL]]*(1+ListaMaterial[[#This Row],[PERDA]])</f>
        <v>10</v>
      </c>
      <c r="I41" s="887" t="s">
        <v>4243</v>
      </c>
      <c r="J41" s="891">
        <f>_xlfn.XLOOKUP(ListaMaterial[[#This Row],[ITEM]],M:M,N:N,,0)</f>
        <v>60.59</v>
      </c>
      <c r="K41" s="891">
        <f>J41*ListaMaterial[[#This Row],[TOTAL C/PERDA]]</f>
        <v>605.90000000000009</v>
      </c>
      <c r="M41" s="883" t="s">
        <v>4857</v>
      </c>
      <c r="N41" s="893">
        <v>60.59</v>
      </c>
    </row>
    <row r="42" spans="1:14" x14ac:dyDescent="0.25">
      <c r="A42" s="883" t="s">
        <v>4443</v>
      </c>
      <c r="B42" s="883" t="s">
        <v>4441</v>
      </c>
      <c r="C42" s="883" t="s">
        <v>4858</v>
      </c>
      <c r="D42" s="886">
        <v>6</v>
      </c>
      <c r="E42" s="887">
        <v>1</v>
      </c>
      <c r="F42" s="888">
        <f>ListaMaterial[[#This Row],[REPETIÇÃO]]*ListaMaterial[[#This Row],[QUANTIDADE]]</f>
        <v>6</v>
      </c>
      <c r="H42" s="890">
        <f>ListaMaterial[[#This Row],[TOTAL]]*(1+ListaMaterial[[#This Row],[PERDA]])</f>
        <v>6</v>
      </c>
      <c r="I42" s="887" t="s">
        <v>4243</v>
      </c>
      <c r="J42" s="891">
        <f>_xlfn.XLOOKUP(ListaMaterial[[#This Row],[ITEM]],M:M,N:N,,0)</f>
        <v>21.99</v>
      </c>
      <c r="K42" s="891">
        <f>J42*ListaMaterial[[#This Row],[TOTAL C/PERDA]]</f>
        <v>131.94</v>
      </c>
      <c r="M42" s="883" t="s">
        <v>4858</v>
      </c>
      <c r="N42" s="893">
        <v>21.99</v>
      </c>
    </row>
    <row r="43" spans="1:14" x14ac:dyDescent="0.25">
      <c r="A43" s="883" t="s">
        <v>4443</v>
      </c>
      <c r="B43" s="883" t="s">
        <v>4441</v>
      </c>
      <c r="C43" s="883" t="s">
        <v>4859</v>
      </c>
      <c r="D43" s="886">
        <v>3</v>
      </c>
      <c r="E43" s="887">
        <v>1</v>
      </c>
      <c r="F43" s="888">
        <f>ListaMaterial[[#This Row],[REPETIÇÃO]]*ListaMaterial[[#This Row],[QUANTIDADE]]</f>
        <v>3</v>
      </c>
      <c r="H43" s="890">
        <f>ListaMaterial[[#This Row],[TOTAL]]*(1+ListaMaterial[[#This Row],[PERDA]])</f>
        <v>3</v>
      </c>
      <c r="I43" s="887" t="s">
        <v>4243</v>
      </c>
      <c r="J43" s="891">
        <f>_xlfn.XLOOKUP(ListaMaterial[[#This Row],[ITEM]],M:M,N:N,,0)</f>
        <v>50.335999999999999</v>
      </c>
      <c r="K43" s="891">
        <f>J43*ListaMaterial[[#This Row],[TOTAL C/PERDA]]</f>
        <v>151.00799999999998</v>
      </c>
      <c r="M43" s="883" t="s">
        <v>4859</v>
      </c>
      <c r="N43" s="893">
        <v>50.335999999999999</v>
      </c>
    </row>
    <row r="44" spans="1:14" x14ac:dyDescent="0.25">
      <c r="A44" s="883" t="s">
        <v>4443</v>
      </c>
      <c r="B44" s="883" t="s">
        <v>4441</v>
      </c>
      <c r="C44" s="883" t="s">
        <v>4860</v>
      </c>
      <c r="D44" s="886">
        <v>5</v>
      </c>
      <c r="E44" s="887">
        <v>1</v>
      </c>
      <c r="F44" s="888">
        <f>ListaMaterial[[#This Row],[REPETIÇÃO]]*ListaMaterial[[#This Row],[QUANTIDADE]]</f>
        <v>5</v>
      </c>
      <c r="H44" s="890">
        <f>ListaMaterial[[#This Row],[TOTAL]]*(1+ListaMaterial[[#This Row],[PERDA]])</f>
        <v>5</v>
      </c>
      <c r="I44" s="887" t="s">
        <v>4243</v>
      </c>
      <c r="J44" s="891">
        <f>_xlfn.XLOOKUP(ListaMaterial[[#This Row],[ITEM]],M:M,N:N,,0)</f>
        <v>22.9</v>
      </c>
      <c r="K44" s="891">
        <f>J44*ListaMaterial[[#This Row],[TOTAL C/PERDA]]</f>
        <v>114.5</v>
      </c>
      <c r="M44" s="883" t="s">
        <v>4860</v>
      </c>
      <c r="N44" s="893">
        <v>22.9</v>
      </c>
    </row>
    <row r="45" spans="1:14" x14ac:dyDescent="0.25">
      <c r="A45" s="883" t="s">
        <v>4443</v>
      </c>
      <c r="B45" s="883" t="s">
        <v>4441</v>
      </c>
      <c r="C45" s="883" t="s">
        <v>4672</v>
      </c>
      <c r="D45" s="886">
        <v>10</v>
      </c>
      <c r="E45" s="887">
        <v>1</v>
      </c>
      <c r="F45" s="888">
        <f>ListaMaterial[[#This Row],[REPETIÇÃO]]*ListaMaterial[[#This Row],[QUANTIDADE]]</f>
        <v>10</v>
      </c>
      <c r="H45" s="890">
        <f>ListaMaterial[[#This Row],[TOTAL]]*(1+ListaMaterial[[#This Row],[PERDA]])</f>
        <v>10</v>
      </c>
      <c r="I45" s="887" t="s">
        <v>4243</v>
      </c>
      <c r="J45" s="891">
        <f>_xlfn.XLOOKUP(ListaMaterial[[#This Row],[ITEM]],M:M,N:N,,0)</f>
        <v>8.94</v>
      </c>
      <c r="K45" s="891">
        <f>J45*ListaMaterial[[#This Row],[TOTAL C/PERDA]]</f>
        <v>89.399999999999991</v>
      </c>
      <c r="M45" s="883" t="s">
        <v>4672</v>
      </c>
      <c r="N45" s="893">
        <v>8.94</v>
      </c>
    </row>
    <row r="46" spans="1:14" x14ac:dyDescent="0.25">
      <c r="A46" s="883" t="s">
        <v>4443</v>
      </c>
      <c r="B46" s="883" t="s">
        <v>4441</v>
      </c>
      <c r="C46" s="883" t="s">
        <v>4673</v>
      </c>
      <c r="D46" s="886">
        <v>7</v>
      </c>
      <c r="E46" s="887">
        <v>1</v>
      </c>
      <c r="F46" s="888">
        <f>ListaMaterial[[#This Row],[REPETIÇÃO]]*ListaMaterial[[#This Row],[QUANTIDADE]]</f>
        <v>7</v>
      </c>
      <c r="H46" s="890">
        <f>ListaMaterial[[#This Row],[TOTAL]]*(1+ListaMaterial[[#This Row],[PERDA]])</f>
        <v>7</v>
      </c>
      <c r="I46" s="887" t="s">
        <v>4243</v>
      </c>
      <c r="J46" s="891">
        <f>_xlfn.XLOOKUP(ListaMaterial[[#This Row],[ITEM]],M:M,N:N,,0)</f>
        <v>5.95</v>
      </c>
      <c r="K46" s="891">
        <f>J46*ListaMaterial[[#This Row],[TOTAL C/PERDA]]</f>
        <v>41.65</v>
      </c>
      <c r="M46" s="883" t="s">
        <v>4673</v>
      </c>
      <c r="N46" s="893">
        <v>5.95</v>
      </c>
    </row>
    <row r="47" spans="1:14" x14ac:dyDescent="0.25">
      <c r="A47" s="883" t="s">
        <v>4443</v>
      </c>
      <c r="B47" s="883" t="s">
        <v>4441</v>
      </c>
      <c r="C47" s="883" t="s">
        <v>4674</v>
      </c>
      <c r="D47" s="886">
        <v>48</v>
      </c>
      <c r="E47" s="887">
        <v>1</v>
      </c>
      <c r="F47" s="888">
        <f>ListaMaterial[[#This Row],[REPETIÇÃO]]*ListaMaterial[[#This Row],[QUANTIDADE]]</f>
        <v>48</v>
      </c>
      <c r="H47" s="890">
        <f>ListaMaterial[[#This Row],[TOTAL]]*(1+ListaMaterial[[#This Row],[PERDA]])</f>
        <v>48</v>
      </c>
      <c r="I47" s="887" t="s">
        <v>4243</v>
      </c>
      <c r="J47" s="891">
        <f>_xlfn.XLOOKUP(ListaMaterial[[#This Row],[ITEM]],M:M,N:N,,0)</f>
        <v>7.59</v>
      </c>
      <c r="K47" s="891">
        <f>J47*ListaMaterial[[#This Row],[TOTAL C/PERDA]]</f>
        <v>364.32</v>
      </c>
      <c r="M47" s="883" t="s">
        <v>4674</v>
      </c>
      <c r="N47" s="893">
        <v>7.59</v>
      </c>
    </row>
    <row r="48" spans="1:14" x14ac:dyDescent="0.25">
      <c r="A48" s="883" t="s">
        <v>4443</v>
      </c>
      <c r="B48" s="883" t="s">
        <v>4441</v>
      </c>
      <c r="C48" s="883" t="s">
        <v>4675</v>
      </c>
      <c r="D48" s="886">
        <v>61</v>
      </c>
      <c r="E48" s="887">
        <v>1</v>
      </c>
      <c r="F48" s="888">
        <f>ListaMaterial[[#This Row],[REPETIÇÃO]]*ListaMaterial[[#This Row],[QUANTIDADE]]</f>
        <v>61</v>
      </c>
      <c r="H48" s="890">
        <f>ListaMaterial[[#This Row],[TOTAL]]*(1+ListaMaterial[[#This Row],[PERDA]])</f>
        <v>61</v>
      </c>
      <c r="I48" s="887" t="s">
        <v>4243</v>
      </c>
      <c r="J48" s="891">
        <f>_xlfn.XLOOKUP(ListaMaterial[[#This Row],[ITEM]],M:M,N:N,,0)</f>
        <v>45.89</v>
      </c>
      <c r="K48" s="891">
        <f>J48*ListaMaterial[[#This Row],[TOTAL C/PERDA]]</f>
        <v>2799.29</v>
      </c>
      <c r="M48" s="883" t="s">
        <v>4675</v>
      </c>
      <c r="N48" s="893">
        <v>45.89</v>
      </c>
    </row>
    <row r="49" spans="1:14" x14ac:dyDescent="0.25">
      <c r="A49" s="883" t="s">
        <v>4443</v>
      </c>
      <c r="B49" s="883" t="s">
        <v>4441</v>
      </c>
      <c r="C49" s="883" t="s">
        <v>4861</v>
      </c>
      <c r="D49" s="886">
        <v>1</v>
      </c>
      <c r="E49" s="887">
        <v>1</v>
      </c>
      <c r="F49" s="888">
        <f>ListaMaterial[[#This Row],[REPETIÇÃO]]*ListaMaterial[[#This Row],[QUANTIDADE]]</f>
        <v>1</v>
      </c>
      <c r="H49" s="890">
        <f>ListaMaterial[[#This Row],[TOTAL]]*(1+ListaMaterial[[#This Row],[PERDA]])</f>
        <v>1</v>
      </c>
      <c r="I49" s="887" t="s">
        <v>4243</v>
      </c>
      <c r="J49" s="891">
        <f>_xlfn.XLOOKUP(ListaMaterial[[#This Row],[ITEM]],M:M,N:N,,0)</f>
        <v>61.521700000000003</v>
      </c>
      <c r="K49" s="891">
        <f>J49*ListaMaterial[[#This Row],[TOTAL C/PERDA]]</f>
        <v>61.521700000000003</v>
      </c>
      <c r="M49" s="883" t="s">
        <v>4861</v>
      </c>
      <c r="N49" s="893">
        <v>61.521700000000003</v>
      </c>
    </row>
    <row r="50" spans="1:14" x14ac:dyDescent="0.25">
      <c r="A50" s="883" t="s">
        <v>4443</v>
      </c>
      <c r="B50" s="883" t="s">
        <v>4441</v>
      </c>
      <c r="C50" s="883" t="s">
        <v>4862</v>
      </c>
      <c r="D50" s="886">
        <v>3</v>
      </c>
      <c r="E50" s="887">
        <v>1</v>
      </c>
      <c r="F50" s="888">
        <f>ListaMaterial[[#This Row],[REPETIÇÃO]]*ListaMaterial[[#This Row],[QUANTIDADE]]</f>
        <v>3</v>
      </c>
      <c r="H50" s="890">
        <f>ListaMaterial[[#This Row],[TOTAL]]*(1+ListaMaterial[[#This Row],[PERDA]])</f>
        <v>3</v>
      </c>
      <c r="I50" s="887" t="s">
        <v>4243</v>
      </c>
      <c r="J50" s="891">
        <f>_xlfn.XLOOKUP(ListaMaterial[[#This Row],[ITEM]],M:M,N:N,,0)</f>
        <v>27.99</v>
      </c>
      <c r="K50" s="891">
        <f>J50*ListaMaterial[[#This Row],[TOTAL C/PERDA]]</f>
        <v>83.97</v>
      </c>
      <c r="M50" s="883" t="s">
        <v>4862</v>
      </c>
      <c r="N50" s="893">
        <v>27.99</v>
      </c>
    </row>
    <row r="51" spans="1:14" x14ac:dyDescent="0.25">
      <c r="A51" s="883" t="s">
        <v>4443</v>
      </c>
      <c r="B51" s="883" t="s">
        <v>4617</v>
      </c>
      <c r="C51" s="883" t="s">
        <v>4677</v>
      </c>
      <c r="D51" s="886">
        <v>8.8000000000000007</v>
      </c>
      <c r="E51" s="887">
        <v>1</v>
      </c>
      <c r="F51" s="888">
        <f>ListaMaterial[[#This Row],[REPETIÇÃO]]*ListaMaterial[[#This Row],[QUANTIDADE]]</f>
        <v>8.8000000000000007</v>
      </c>
      <c r="G51" s="889">
        <v>0.15</v>
      </c>
      <c r="H51" s="890">
        <f>ListaMaterial[[#This Row],[TOTAL]]*(1+ListaMaterial[[#This Row],[PERDA]])</f>
        <v>10.119999999999999</v>
      </c>
      <c r="I51" s="887" t="s">
        <v>3</v>
      </c>
      <c r="J51" s="891">
        <f>_xlfn.XLOOKUP(ListaMaterial[[#This Row],[ITEM]],M:M,N:N,,0)</f>
        <v>27.96</v>
      </c>
      <c r="K51" s="891">
        <f>J51*ListaMaterial[[#This Row],[TOTAL C/PERDA]]</f>
        <v>282.95519999999999</v>
      </c>
      <c r="M51" s="883" t="s">
        <v>4677</v>
      </c>
      <c r="N51" s="893">
        <v>27.96</v>
      </c>
    </row>
    <row r="52" spans="1:14" x14ac:dyDescent="0.25">
      <c r="A52" s="883" t="s">
        <v>4443</v>
      </c>
      <c r="B52" s="883" t="s">
        <v>4250</v>
      </c>
      <c r="C52" s="883" t="s">
        <v>4678</v>
      </c>
      <c r="D52" s="886">
        <v>0.57999999999999996</v>
      </c>
      <c r="E52" s="887">
        <v>1</v>
      </c>
      <c r="F52" s="888">
        <f>ListaMaterial[[#This Row],[REPETIÇÃO]]*ListaMaterial[[#This Row],[QUANTIDADE]]</f>
        <v>0.57999999999999996</v>
      </c>
      <c r="G52" s="889">
        <v>0.15</v>
      </c>
      <c r="H52" s="890">
        <f>ListaMaterial[[#This Row],[TOTAL]]*(1+ListaMaterial[[#This Row],[PERDA]])</f>
        <v>0.66699999999999993</v>
      </c>
      <c r="I52" s="887" t="s">
        <v>3</v>
      </c>
      <c r="J52" s="891">
        <f>_xlfn.XLOOKUP(ListaMaterial[[#This Row],[ITEM]],M:M,N:N,,0)</f>
        <v>27.96</v>
      </c>
      <c r="K52" s="891">
        <f>J52*ListaMaterial[[#This Row],[TOTAL C/PERDA]]</f>
        <v>18.649319999999999</v>
      </c>
      <c r="M52" s="883" t="s">
        <v>4678</v>
      </c>
      <c r="N52" s="893">
        <v>27.96</v>
      </c>
    </row>
    <row r="53" spans="1:14" x14ac:dyDescent="0.25">
      <c r="A53" s="883" t="s">
        <v>4443</v>
      </c>
      <c r="B53" s="883" t="s">
        <v>4440</v>
      </c>
      <c r="C53" s="883" t="s">
        <v>4679</v>
      </c>
      <c r="D53" s="886">
        <v>6.14</v>
      </c>
      <c r="E53" s="887">
        <v>1</v>
      </c>
      <c r="F53" s="888">
        <f>ListaMaterial[[#This Row],[REPETIÇÃO]]*ListaMaterial[[#This Row],[QUANTIDADE]]</f>
        <v>6.14</v>
      </c>
      <c r="G53" s="889">
        <v>0.15</v>
      </c>
      <c r="H53" s="890">
        <f>ListaMaterial[[#This Row],[TOTAL]]*(1+ListaMaterial[[#This Row],[PERDA]])</f>
        <v>7.0609999999999991</v>
      </c>
      <c r="I53" s="887" t="s">
        <v>3</v>
      </c>
      <c r="J53" s="891">
        <f>_xlfn.XLOOKUP(ListaMaterial[[#This Row],[ITEM]],M:M,N:N,,0)</f>
        <v>20.134399999999999</v>
      </c>
      <c r="K53" s="891">
        <f>J53*ListaMaterial[[#This Row],[TOTAL C/PERDA]]</f>
        <v>142.16899839999996</v>
      </c>
      <c r="M53" s="883" t="s">
        <v>4679</v>
      </c>
      <c r="N53" s="893">
        <v>20.134399999999999</v>
      </c>
    </row>
    <row r="54" spans="1:14" x14ac:dyDescent="0.25">
      <c r="A54" s="883" t="s">
        <v>4443</v>
      </c>
      <c r="B54" s="883" t="s">
        <v>4618</v>
      </c>
      <c r="C54" s="883" t="s">
        <v>4680</v>
      </c>
      <c r="D54" s="886">
        <v>10.45</v>
      </c>
      <c r="E54" s="887">
        <v>1</v>
      </c>
      <c r="F54" s="888">
        <f>ListaMaterial[[#This Row],[REPETIÇÃO]]*ListaMaterial[[#This Row],[QUANTIDADE]]</f>
        <v>10.45</v>
      </c>
      <c r="G54" s="889">
        <v>0.15</v>
      </c>
      <c r="H54" s="890">
        <f>ListaMaterial[[#This Row],[TOTAL]]*(1+ListaMaterial[[#This Row],[PERDA]])</f>
        <v>12.017499999999998</v>
      </c>
      <c r="I54" s="887" t="s">
        <v>3</v>
      </c>
      <c r="J54" s="891">
        <f>_xlfn.XLOOKUP(ListaMaterial[[#This Row],[ITEM]],M:M,N:N,,0)</f>
        <v>9.2899999999999991</v>
      </c>
      <c r="K54" s="891">
        <f>J54*ListaMaterial[[#This Row],[TOTAL C/PERDA]]</f>
        <v>111.64257499999998</v>
      </c>
      <c r="M54" s="883" t="s">
        <v>4680</v>
      </c>
      <c r="N54" s="893">
        <v>9.2899999999999991</v>
      </c>
    </row>
    <row r="55" spans="1:14" x14ac:dyDescent="0.25">
      <c r="A55" s="883" t="s">
        <v>4443</v>
      </c>
      <c r="B55" s="883" t="s">
        <v>4618</v>
      </c>
      <c r="C55" s="883" t="s">
        <v>4681</v>
      </c>
      <c r="D55" s="886">
        <v>17.010000000000002</v>
      </c>
      <c r="E55" s="887">
        <v>1</v>
      </c>
      <c r="F55" s="888">
        <f>ListaMaterial[[#This Row],[REPETIÇÃO]]*ListaMaterial[[#This Row],[QUANTIDADE]]</f>
        <v>17.010000000000002</v>
      </c>
      <c r="G55" s="889">
        <v>0.15</v>
      </c>
      <c r="H55" s="890">
        <f>ListaMaterial[[#This Row],[TOTAL]]*(1+ListaMaterial[[#This Row],[PERDA]])</f>
        <v>19.561499999999999</v>
      </c>
      <c r="I55" s="887" t="s">
        <v>3</v>
      </c>
      <c r="J55" s="891">
        <f>_xlfn.XLOOKUP(ListaMaterial[[#This Row],[ITEM]],M:M,N:N,,0)</f>
        <v>15.99</v>
      </c>
      <c r="K55" s="891">
        <f>J55*ListaMaterial[[#This Row],[TOTAL C/PERDA]]</f>
        <v>312.78838500000001</v>
      </c>
      <c r="M55" s="883" t="s">
        <v>4681</v>
      </c>
      <c r="N55" s="893">
        <v>15.99</v>
      </c>
    </row>
    <row r="56" spans="1:14" x14ac:dyDescent="0.25">
      <c r="A56" s="883" t="s">
        <v>4443</v>
      </c>
      <c r="B56" s="883" t="s">
        <v>4618</v>
      </c>
      <c r="C56" s="883" t="s">
        <v>4682</v>
      </c>
      <c r="D56" s="886">
        <v>120.11</v>
      </c>
      <c r="E56" s="887">
        <v>1</v>
      </c>
      <c r="F56" s="888">
        <f>ListaMaterial[[#This Row],[REPETIÇÃO]]*ListaMaterial[[#This Row],[QUANTIDADE]]</f>
        <v>120.11</v>
      </c>
      <c r="G56" s="889">
        <v>0.15</v>
      </c>
      <c r="H56" s="890">
        <f>ListaMaterial[[#This Row],[TOTAL]]*(1+ListaMaterial[[#This Row],[PERDA]])</f>
        <v>138.12649999999999</v>
      </c>
      <c r="I56" s="887" t="s">
        <v>3</v>
      </c>
      <c r="J56" s="891">
        <f>_xlfn.XLOOKUP(ListaMaterial[[#This Row],[ITEM]],M:M,N:N,,0)</f>
        <v>8.99</v>
      </c>
      <c r="K56" s="891">
        <f>J56*ListaMaterial[[#This Row],[TOTAL C/PERDA]]</f>
        <v>1241.757235</v>
      </c>
      <c r="M56" s="883" t="s">
        <v>4682</v>
      </c>
      <c r="N56" s="893">
        <v>8.99</v>
      </c>
    </row>
    <row r="57" spans="1:14" x14ac:dyDescent="0.25">
      <c r="A57" s="883" t="s">
        <v>4443</v>
      </c>
      <c r="B57" s="883" t="s">
        <v>4618</v>
      </c>
      <c r="C57" s="883" t="s">
        <v>4683</v>
      </c>
      <c r="D57" s="886">
        <v>101.27</v>
      </c>
      <c r="E57" s="887">
        <v>1</v>
      </c>
      <c r="F57" s="888">
        <f>ListaMaterial[[#This Row],[REPETIÇÃO]]*ListaMaterial[[#This Row],[QUANTIDADE]]</f>
        <v>101.27</v>
      </c>
      <c r="G57" s="889">
        <v>0.15</v>
      </c>
      <c r="H57" s="890">
        <f>ListaMaterial[[#This Row],[TOTAL]]*(1+ListaMaterial[[#This Row],[PERDA]])</f>
        <v>116.46049999999998</v>
      </c>
      <c r="I57" s="887" t="s">
        <v>3</v>
      </c>
      <c r="J57" s="891">
        <f>_xlfn.XLOOKUP(ListaMaterial[[#This Row],[ITEM]],M:M,N:N,,0)</f>
        <v>29.99</v>
      </c>
      <c r="K57" s="891">
        <f>J57*ListaMaterial[[#This Row],[TOTAL C/PERDA]]</f>
        <v>3492.6503949999992</v>
      </c>
      <c r="M57" s="883" t="s">
        <v>4683</v>
      </c>
      <c r="N57" s="893">
        <v>29.99</v>
      </c>
    </row>
    <row r="58" spans="1:14" x14ac:dyDescent="0.25">
      <c r="A58" s="883" t="s">
        <v>4443</v>
      </c>
      <c r="B58" s="883" t="s">
        <v>4619</v>
      </c>
      <c r="C58" s="883" t="s">
        <v>4684</v>
      </c>
      <c r="D58" s="886">
        <v>71.84</v>
      </c>
      <c r="E58" s="887">
        <v>1</v>
      </c>
      <c r="F58" s="888">
        <f>ListaMaterial[[#This Row],[REPETIÇÃO]]*ListaMaterial[[#This Row],[QUANTIDADE]]</f>
        <v>71.84</v>
      </c>
      <c r="G58" s="889">
        <v>0.15</v>
      </c>
      <c r="H58" s="890">
        <f>ListaMaterial[[#This Row],[TOTAL]]*(1+ListaMaterial[[#This Row],[PERDA]])</f>
        <v>82.616</v>
      </c>
      <c r="I58" s="887" t="s">
        <v>3</v>
      </c>
      <c r="J58" s="891">
        <f>_xlfn.XLOOKUP(ListaMaterial[[#This Row],[ITEM]],M:M,N:N,,0)</f>
        <v>2.5685666666666669</v>
      </c>
      <c r="K58" s="891">
        <f>J58*ListaMaterial[[#This Row],[TOTAL C/PERDA]]</f>
        <v>212.20470373333336</v>
      </c>
      <c r="M58" s="883" t="s">
        <v>4684</v>
      </c>
      <c r="N58" s="893">
        <v>2.5685666666666669</v>
      </c>
    </row>
    <row r="59" spans="1:14" x14ac:dyDescent="0.25">
      <c r="A59" s="883" t="s">
        <v>4443</v>
      </c>
      <c r="B59" s="883" t="s">
        <v>4619</v>
      </c>
      <c r="C59" s="883" t="s">
        <v>4685</v>
      </c>
      <c r="D59" s="886">
        <v>5.47</v>
      </c>
      <c r="E59" s="887">
        <v>1</v>
      </c>
      <c r="F59" s="888">
        <f>ListaMaterial[[#This Row],[REPETIÇÃO]]*ListaMaterial[[#This Row],[QUANTIDADE]]</f>
        <v>5.47</v>
      </c>
      <c r="G59" s="889">
        <v>0.15</v>
      </c>
      <c r="H59" s="890">
        <f>ListaMaterial[[#This Row],[TOTAL]]*(1+ListaMaterial[[#This Row],[PERDA]])</f>
        <v>6.2904999999999989</v>
      </c>
      <c r="I59" s="887" t="s">
        <v>3</v>
      </c>
      <c r="J59" s="891">
        <f>_xlfn.XLOOKUP(ListaMaterial[[#This Row],[ITEM]],M:M,N:N,,0)</f>
        <v>7.7985833333333332</v>
      </c>
      <c r="K59" s="891">
        <f>J59*ListaMaterial[[#This Row],[TOTAL C/PERDA]]</f>
        <v>49.056988458333322</v>
      </c>
      <c r="M59" s="883" t="s">
        <v>4685</v>
      </c>
      <c r="N59" s="893">
        <v>7.7985833333333332</v>
      </c>
    </row>
    <row r="60" spans="1:14" x14ac:dyDescent="0.25">
      <c r="A60" s="883" t="s">
        <v>4443</v>
      </c>
      <c r="B60" s="883" t="s">
        <v>4619</v>
      </c>
      <c r="C60" s="883" t="s">
        <v>4686</v>
      </c>
      <c r="D60" s="886">
        <v>33.64</v>
      </c>
      <c r="E60" s="887">
        <v>1</v>
      </c>
      <c r="F60" s="888">
        <f>ListaMaterial[[#This Row],[REPETIÇÃO]]*ListaMaterial[[#This Row],[QUANTIDADE]]</f>
        <v>33.64</v>
      </c>
      <c r="G60" s="889">
        <v>0.15</v>
      </c>
      <c r="H60" s="890">
        <f>ListaMaterial[[#This Row],[TOTAL]]*(1+ListaMaterial[[#This Row],[PERDA]])</f>
        <v>38.686</v>
      </c>
      <c r="I60" s="887" t="s">
        <v>3</v>
      </c>
      <c r="J60" s="891">
        <f>_xlfn.XLOOKUP(ListaMaterial[[#This Row],[ITEM]],M:M,N:N,,0)</f>
        <v>19.054383333333334</v>
      </c>
      <c r="K60" s="891">
        <f>J60*ListaMaterial[[#This Row],[TOTAL C/PERDA]]</f>
        <v>737.13787363333336</v>
      </c>
      <c r="M60" s="883" t="s">
        <v>4686</v>
      </c>
      <c r="N60" s="893">
        <v>19.054383333333334</v>
      </c>
    </row>
    <row r="61" spans="1:14" x14ac:dyDescent="0.25">
      <c r="A61" s="883" t="s">
        <v>4443</v>
      </c>
      <c r="B61" s="883" t="s">
        <v>4429</v>
      </c>
      <c r="C61" s="883" t="s">
        <v>4687</v>
      </c>
      <c r="D61" s="886">
        <v>1</v>
      </c>
      <c r="E61" s="887">
        <v>1</v>
      </c>
      <c r="F61" s="888">
        <f>ListaMaterial[[#This Row],[REPETIÇÃO]]*ListaMaterial[[#This Row],[QUANTIDADE]]</f>
        <v>1</v>
      </c>
      <c r="H61" s="890">
        <f>ListaMaterial[[#This Row],[TOTAL]]*(1+ListaMaterial[[#This Row],[PERDA]])</f>
        <v>1</v>
      </c>
      <c r="I61" s="887" t="s">
        <v>4243</v>
      </c>
      <c r="J61" s="891">
        <f>_xlfn.XLOOKUP(ListaMaterial[[#This Row],[ITEM]],M:M,N:N,,0)</f>
        <v>13.42</v>
      </c>
      <c r="K61" s="891">
        <f>J61*ListaMaterial[[#This Row],[TOTAL C/PERDA]]</f>
        <v>13.42</v>
      </c>
      <c r="M61" s="883" t="s">
        <v>4687</v>
      </c>
      <c r="N61" s="893">
        <v>13.42</v>
      </c>
    </row>
    <row r="62" spans="1:14" x14ac:dyDescent="0.25">
      <c r="A62" s="894"/>
      <c r="B62" s="918" t="s">
        <v>4886</v>
      </c>
      <c r="C62" s="894"/>
      <c r="D62" s="895"/>
      <c r="E62" s="896"/>
      <c r="F62" s="897">
        <f>ListaMaterial[[#This Row],[REPETIÇÃO]]*ListaMaterial[[#This Row],[QUANTIDADE]]</f>
        <v>0</v>
      </c>
      <c r="G62" s="898"/>
      <c r="H62" s="899">
        <f>ListaMaterial[[#This Row],[TOTAL]]*(1+ListaMaterial[[#This Row],[PERDA]])</f>
        <v>0</v>
      </c>
      <c r="I62" s="896"/>
      <c r="J62" s="900" t="s">
        <v>8</v>
      </c>
      <c r="K62" s="900">
        <f>SUM(K2:K61)</f>
        <v>26400.940174225008</v>
      </c>
    </row>
    <row r="63" spans="1:14" x14ac:dyDescent="0.25">
      <c r="A63" s="883" t="s">
        <v>4620</v>
      </c>
      <c r="B63" s="883" t="s">
        <v>4242</v>
      </c>
      <c r="C63" s="883" t="s">
        <v>4634</v>
      </c>
      <c r="D63" s="886">
        <v>10</v>
      </c>
      <c r="E63" s="887">
        <v>1</v>
      </c>
      <c r="F63" s="888">
        <f>ListaMaterial[[#This Row],[REPETIÇÃO]]*ListaMaterial[[#This Row],[QUANTIDADE]]</f>
        <v>10</v>
      </c>
      <c r="H63" s="890">
        <f>ListaMaterial[[#This Row],[TOTAL]]*(1+ListaMaterial[[#This Row],[PERDA]])</f>
        <v>10</v>
      </c>
      <c r="I63" s="887" t="s">
        <v>4243</v>
      </c>
      <c r="J63" s="891">
        <f>_xlfn.XLOOKUP(ListaMaterial[[#This Row],[ITEM]],M:M,N:N,,0)</f>
        <v>68.849999999999994</v>
      </c>
      <c r="K63" s="891">
        <f>J63*ListaMaterial[[#This Row],[TOTAL C/PERDA]]</f>
        <v>688.5</v>
      </c>
      <c r="M63" s="883" t="s">
        <v>4688</v>
      </c>
      <c r="N63" s="893">
        <v>16.778600000000001</v>
      </c>
    </row>
    <row r="64" spans="1:14" x14ac:dyDescent="0.25">
      <c r="A64" s="883" t="s">
        <v>4620</v>
      </c>
      <c r="B64" s="883" t="s">
        <v>4242</v>
      </c>
      <c r="C64" s="883" t="s">
        <v>4688</v>
      </c>
      <c r="D64" s="886">
        <v>1</v>
      </c>
      <c r="E64" s="887">
        <v>1</v>
      </c>
      <c r="F64" s="888">
        <f>ListaMaterial[[#This Row],[REPETIÇÃO]]*ListaMaterial[[#This Row],[QUANTIDADE]]</f>
        <v>1</v>
      </c>
      <c r="H64" s="890">
        <f>ListaMaterial[[#This Row],[TOTAL]]*(1+ListaMaterial[[#This Row],[PERDA]])</f>
        <v>1</v>
      </c>
      <c r="I64" s="887" t="s">
        <v>4243</v>
      </c>
      <c r="J64" s="891">
        <f>_xlfn.XLOOKUP(ListaMaterial[[#This Row],[ITEM]],M:M,N:N,,0)</f>
        <v>16.778600000000001</v>
      </c>
      <c r="K64" s="891">
        <f>J64*ListaMaterial[[#This Row],[TOTAL C/PERDA]]</f>
        <v>16.778600000000001</v>
      </c>
      <c r="M64" s="883" t="s">
        <v>4689</v>
      </c>
      <c r="N64" s="893">
        <v>8.9486000000000008</v>
      </c>
    </row>
    <row r="65" spans="1:14" x14ac:dyDescent="0.25">
      <c r="A65" s="883" t="s">
        <v>4620</v>
      </c>
      <c r="B65" s="883" t="s">
        <v>4242</v>
      </c>
      <c r="C65" s="883" t="s">
        <v>4637</v>
      </c>
      <c r="D65" s="886">
        <v>1</v>
      </c>
      <c r="E65" s="887">
        <v>1</v>
      </c>
      <c r="F65" s="888">
        <f>ListaMaterial[[#This Row],[REPETIÇÃO]]*ListaMaterial[[#This Row],[QUANTIDADE]]</f>
        <v>1</v>
      </c>
      <c r="H65" s="890">
        <f>ListaMaterial[[#This Row],[TOTAL]]*(1+ListaMaterial[[#This Row],[PERDA]])</f>
        <v>1</v>
      </c>
      <c r="I65" s="887" t="s">
        <v>4243</v>
      </c>
      <c r="J65" s="891">
        <f>_xlfn.XLOOKUP(ListaMaterial[[#This Row],[ITEM]],M:M,N:N,,0)</f>
        <v>105.9</v>
      </c>
      <c r="K65" s="891">
        <f>J65*ListaMaterial[[#This Row],[TOTAL C/PERDA]]</f>
        <v>105.9</v>
      </c>
      <c r="M65" s="883" t="s">
        <v>4690</v>
      </c>
      <c r="N65" s="893">
        <v>11.18</v>
      </c>
    </row>
    <row r="66" spans="1:14" x14ac:dyDescent="0.25">
      <c r="A66" s="883" t="s">
        <v>4620</v>
      </c>
      <c r="B66" s="883" t="s">
        <v>4242</v>
      </c>
      <c r="C66" s="883" t="s">
        <v>4640</v>
      </c>
      <c r="D66" s="886">
        <v>2</v>
      </c>
      <c r="E66" s="887">
        <v>1</v>
      </c>
      <c r="F66" s="888">
        <f>ListaMaterial[[#This Row],[REPETIÇÃO]]*ListaMaterial[[#This Row],[QUANTIDADE]]</f>
        <v>2</v>
      </c>
      <c r="H66" s="890">
        <f>ListaMaterial[[#This Row],[TOTAL]]*(1+ListaMaterial[[#This Row],[PERDA]])</f>
        <v>2</v>
      </c>
      <c r="I66" s="887" t="s">
        <v>4243</v>
      </c>
      <c r="J66" s="891">
        <f>_xlfn.XLOOKUP(ListaMaterial[[#This Row],[ITEM]],M:M,N:N,,0)</f>
        <v>31.716699999999999</v>
      </c>
      <c r="K66" s="891">
        <f>J66*ListaMaterial[[#This Row],[TOTAL C/PERDA]]</f>
        <v>63.433399999999999</v>
      </c>
      <c r="M66" s="883" t="s">
        <v>4664</v>
      </c>
      <c r="N66" s="893">
        <v>10.06</v>
      </c>
    </row>
    <row r="67" spans="1:14" x14ac:dyDescent="0.25">
      <c r="A67" s="883" t="s">
        <v>4620</v>
      </c>
      <c r="B67" s="883" t="s">
        <v>4616</v>
      </c>
      <c r="C67" s="883" t="s">
        <v>4646</v>
      </c>
      <c r="D67" s="886">
        <v>2</v>
      </c>
      <c r="E67" s="887">
        <v>1</v>
      </c>
      <c r="F67" s="888">
        <f>ListaMaterial[[#This Row],[REPETIÇÃO]]*ListaMaterial[[#This Row],[QUANTIDADE]]</f>
        <v>2</v>
      </c>
      <c r="H67" s="890">
        <f>ListaMaterial[[#This Row],[TOTAL]]*(1+ListaMaterial[[#This Row],[PERDA]])</f>
        <v>2</v>
      </c>
      <c r="I67" s="887" t="s">
        <v>4243</v>
      </c>
      <c r="J67" s="891">
        <f>_xlfn.XLOOKUP(ListaMaterial[[#This Row],[ITEM]],M:M,N:N,,0)</f>
        <v>2.02</v>
      </c>
      <c r="K67" s="891">
        <f>J67*ListaMaterial[[#This Row],[TOTAL C/PERDA]]</f>
        <v>4.04</v>
      </c>
      <c r="M67" s="883" t="s">
        <v>4666</v>
      </c>
      <c r="N67" s="893">
        <v>24.6</v>
      </c>
    </row>
    <row r="68" spans="1:14" x14ac:dyDescent="0.25">
      <c r="A68" s="883" t="s">
        <v>4620</v>
      </c>
      <c r="B68" s="883" t="s">
        <v>4429</v>
      </c>
      <c r="C68" s="883" t="s">
        <v>4647</v>
      </c>
      <c r="D68" s="886">
        <v>4</v>
      </c>
      <c r="E68" s="887">
        <v>1</v>
      </c>
      <c r="F68" s="888">
        <f>ListaMaterial[[#This Row],[REPETIÇÃO]]*ListaMaterial[[#This Row],[QUANTIDADE]]</f>
        <v>4</v>
      </c>
      <c r="H68" s="890">
        <f>ListaMaterial[[#This Row],[TOTAL]]*(1+ListaMaterial[[#This Row],[PERDA]])</f>
        <v>4</v>
      </c>
      <c r="I68" s="887" t="s">
        <v>4243</v>
      </c>
      <c r="J68" s="891">
        <f>_xlfn.XLOOKUP(ListaMaterial[[#This Row],[ITEM]],M:M,N:N,,0)</f>
        <v>0.59370000000000001</v>
      </c>
      <c r="K68" s="891">
        <f>J68*ListaMaterial[[#This Row],[TOTAL C/PERDA]]</f>
        <v>2.3748</v>
      </c>
      <c r="M68" s="883" t="s">
        <v>4691</v>
      </c>
      <c r="N68" s="893">
        <v>16.77</v>
      </c>
    </row>
    <row r="69" spans="1:14" x14ac:dyDescent="0.25">
      <c r="A69" s="883" t="s">
        <v>4620</v>
      </c>
      <c r="B69" s="883" t="s">
        <v>4429</v>
      </c>
      <c r="C69" s="883" t="s">
        <v>4654</v>
      </c>
      <c r="D69" s="886">
        <v>4</v>
      </c>
      <c r="E69" s="887">
        <v>1</v>
      </c>
      <c r="F69" s="888">
        <f>ListaMaterial[[#This Row],[REPETIÇÃO]]*ListaMaterial[[#This Row],[QUANTIDADE]]</f>
        <v>4</v>
      </c>
      <c r="H69" s="890">
        <f>ListaMaterial[[#This Row],[TOTAL]]*(1+ListaMaterial[[#This Row],[PERDA]])</f>
        <v>4</v>
      </c>
      <c r="I69" s="887" t="s">
        <v>4243</v>
      </c>
      <c r="J69" s="891">
        <f>_xlfn.XLOOKUP(ListaMaterial[[#This Row],[ITEM]],M:M,N:N,,0)</f>
        <v>0.47220000000000001</v>
      </c>
      <c r="K69" s="891">
        <f>J69*ListaMaterial[[#This Row],[TOTAL C/PERDA]]</f>
        <v>1.8888</v>
      </c>
      <c r="M69" s="883" t="s">
        <v>4668</v>
      </c>
      <c r="N69" s="893">
        <v>20.13</v>
      </c>
    </row>
    <row r="70" spans="1:14" x14ac:dyDescent="0.25">
      <c r="A70" s="883" t="s">
        <v>4620</v>
      </c>
      <c r="B70" s="883" t="s">
        <v>4429</v>
      </c>
      <c r="C70" s="883" t="s">
        <v>4658</v>
      </c>
      <c r="D70" s="886">
        <v>2</v>
      </c>
      <c r="E70" s="887">
        <v>1</v>
      </c>
      <c r="F70" s="888">
        <f>ListaMaterial[[#This Row],[REPETIÇÃO]]*ListaMaterial[[#This Row],[QUANTIDADE]]</f>
        <v>2</v>
      </c>
      <c r="H70" s="890">
        <f>ListaMaterial[[#This Row],[TOTAL]]*(1+ListaMaterial[[#This Row],[PERDA]])</f>
        <v>2</v>
      </c>
      <c r="I70" s="887" t="s">
        <v>4243</v>
      </c>
      <c r="J70" s="891">
        <f>_xlfn.XLOOKUP(ListaMaterial[[#This Row],[ITEM]],M:M,N:N,,0)</f>
        <v>13.005000000000001</v>
      </c>
      <c r="K70" s="891">
        <f>J70*ListaMaterial[[#This Row],[TOTAL C/PERDA]]</f>
        <v>26.01</v>
      </c>
      <c r="M70" s="883" t="s">
        <v>4458</v>
      </c>
      <c r="N70" s="893">
        <v>27.96</v>
      </c>
    </row>
    <row r="71" spans="1:14" x14ac:dyDescent="0.25">
      <c r="A71" s="883" t="s">
        <v>4620</v>
      </c>
      <c r="B71" s="883" t="s">
        <v>4429</v>
      </c>
      <c r="C71" s="883" t="s">
        <v>4660</v>
      </c>
      <c r="D71" s="886">
        <v>2</v>
      </c>
      <c r="E71" s="887">
        <v>1</v>
      </c>
      <c r="F71" s="888">
        <f>ListaMaterial[[#This Row],[REPETIÇÃO]]*ListaMaterial[[#This Row],[QUANTIDADE]]</f>
        <v>2</v>
      </c>
      <c r="H71" s="890">
        <f>ListaMaterial[[#This Row],[TOTAL]]*(1+ListaMaterial[[#This Row],[PERDA]])</f>
        <v>2</v>
      </c>
      <c r="I71" s="887" t="s">
        <v>4243</v>
      </c>
      <c r="J71" s="891">
        <f>_xlfn.XLOOKUP(ListaMaterial[[#This Row],[ITEM]],M:M,N:N,,0)</f>
        <v>0.98509999999999998</v>
      </c>
      <c r="K71" s="891">
        <f>J71*ListaMaterial[[#This Row],[TOTAL C/PERDA]]</f>
        <v>1.9702</v>
      </c>
      <c r="M71" s="883" t="s">
        <v>4692</v>
      </c>
      <c r="N71" s="893">
        <v>22.37</v>
      </c>
    </row>
    <row r="72" spans="1:14" x14ac:dyDescent="0.25">
      <c r="A72" s="883" t="s">
        <v>4620</v>
      </c>
      <c r="B72" s="883" t="s">
        <v>4431</v>
      </c>
      <c r="C72" s="883" t="s">
        <v>4689</v>
      </c>
      <c r="D72" s="886">
        <v>3</v>
      </c>
      <c r="E72" s="887">
        <v>1</v>
      </c>
      <c r="F72" s="888">
        <f>ListaMaterial[[#This Row],[REPETIÇÃO]]*ListaMaterial[[#This Row],[QUANTIDADE]]</f>
        <v>3</v>
      </c>
      <c r="H72" s="890">
        <f>ListaMaterial[[#This Row],[TOTAL]]*(1+ListaMaterial[[#This Row],[PERDA]])</f>
        <v>3</v>
      </c>
      <c r="I72" s="887" t="s">
        <v>4243</v>
      </c>
      <c r="J72" s="891">
        <f>_xlfn.XLOOKUP(ListaMaterial[[#This Row],[ITEM]],M:M,N:N,,0)</f>
        <v>8.9486000000000008</v>
      </c>
      <c r="K72" s="891">
        <f>J72*ListaMaterial[[#This Row],[TOTAL C/PERDA]]</f>
        <v>26.845800000000004</v>
      </c>
      <c r="M72" s="883" t="s">
        <v>4693</v>
      </c>
      <c r="N72" s="893">
        <v>24.6</v>
      </c>
    </row>
    <row r="73" spans="1:14" x14ac:dyDescent="0.25">
      <c r="A73" s="883" t="s">
        <v>4620</v>
      </c>
      <c r="B73" s="883" t="s">
        <v>4431</v>
      </c>
      <c r="C73" s="883" t="s">
        <v>4690</v>
      </c>
      <c r="D73" s="886">
        <v>1</v>
      </c>
      <c r="E73" s="887">
        <v>1</v>
      </c>
      <c r="F73" s="888">
        <f>ListaMaterial[[#This Row],[REPETIÇÃO]]*ListaMaterial[[#This Row],[QUANTIDADE]]</f>
        <v>1</v>
      </c>
      <c r="H73" s="890">
        <f>ListaMaterial[[#This Row],[TOTAL]]*(1+ListaMaterial[[#This Row],[PERDA]])</f>
        <v>1</v>
      </c>
      <c r="I73" s="887" t="s">
        <v>4243</v>
      </c>
      <c r="J73" s="891">
        <f>_xlfn.XLOOKUP(ListaMaterial[[#This Row],[ITEM]],M:M,N:N,,0)</f>
        <v>11.18</v>
      </c>
      <c r="K73" s="891">
        <f>J73*ListaMaterial[[#This Row],[TOTAL C/PERDA]]</f>
        <v>11.18</v>
      </c>
      <c r="M73" s="883" t="s">
        <v>4670</v>
      </c>
      <c r="N73" s="893">
        <v>39.15</v>
      </c>
    </row>
    <row r="74" spans="1:14" x14ac:dyDescent="0.25">
      <c r="A74" s="883" t="s">
        <v>4620</v>
      </c>
      <c r="B74" s="883" t="s">
        <v>4431</v>
      </c>
      <c r="C74" s="883" t="s">
        <v>4664</v>
      </c>
      <c r="D74" s="886">
        <v>4</v>
      </c>
      <c r="E74" s="887">
        <v>1</v>
      </c>
      <c r="F74" s="888">
        <f>ListaMaterial[[#This Row],[REPETIÇÃO]]*ListaMaterial[[#This Row],[QUANTIDADE]]</f>
        <v>4</v>
      </c>
      <c r="H74" s="890">
        <f>ListaMaterial[[#This Row],[TOTAL]]*(1+ListaMaterial[[#This Row],[PERDA]])</f>
        <v>4</v>
      </c>
      <c r="I74" s="887" t="s">
        <v>4243</v>
      </c>
      <c r="J74" s="891">
        <f>_xlfn.XLOOKUP(ListaMaterial[[#This Row],[ITEM]],M:M,N:N,,0)</f>
        <v>10.06</v>
      </c>
      <c r="K74" s="891">
        <f>J74*ListaMaterial[[#This Row],[TOTAL C/PERDA]]</f>
        <v>40.24</v>
      </c>
      <c r="M74" s="883" t="s">
        <v>4671</v>
      </c>
      <c r="N74" s="893">
        <v>44.74</v>
      </c>
    </row>
    <row r="75" spans="1:14" x14ac:dyDescent="0.25">
      <c r="A75" s="883" t="s">
        <v>4620</v>
      </c>
      <c r="B75" s="883" t="s">
        <v>4431</v>
      </c>
      <c r="C75" s="883" t="s">
        <v>4666</v>
      </c>
      <c r="D75" s="886">
        <v>5</v>
      </c>
      <c r="E75" s="887">
        <v>1</v>
      </c>
      <c r="F75" s="888">
        <f>ListaMaterial[[#This Row],[REPETIÇÃO]]*ListaMaterial[[#This Row],[QUANTIDADE]]</f>
        <v>5</v>
      </c>
      <c r="H75" s="890">
        <f>ListaMaterial[[#This Row],[TOTAL]]*(1+ListaMaterial[[#This Row],[PERDA]])</f>
        <v>5</v>
      </c>
      <c r="I75" s="887" t="s">
        <v>4243</v>
      </c>
      <c r="J75" s="891">
        <f>_xlfn.XLOOKUP(ListaMaterial[[#This Row],[ITEM]],M:M,N:N,,0)</f>
        <v>24.6</v>
      </c>
      <c r="K75" s="891">
        <f>J75*ListaMaterial[[#This Row],[TOTAL C/PERDA]]</f>
        <v>123</v>
      </c>
      <c r="M75" s="883" t="s">
        <v>4694</v>
      </c>
      <c r="N75" s="893">
        <v>6.7110000000000003</v>
      </c>
    </row>
    <row r="76" spans="1:14" x14ac:dyDescent="0.25">
      <c r="A76" s="883" t="s">
        <v>4620</v>
      </c>
      <c r="B76" s="883" t="s">
        <v>4431</v>
      </c>
      <c r="C76" s="883" t="s">
        <v>4691</v>
      </c>
      <c r="D76" s="886">
        <v>5</v>
      </c>
      <c r="E76" s="887">
        <v>1</v>
      </c>
      <c r="F76" s="888">
        <f>ListaMaterial[[#This Row],[REPETIÇÃO]]*ListaMaterial[[#This Row],[QUANTIDADE]]</f>
        <v>5</v>
      </c>
      <c r="H76" s="890">
        <f>ListaMaterial[[#This Row],[TOTAL]]*(1+ListaMaterial[[#This Row],[PERDA]])</f>
        <v>5</v>
      </c>
      <c r="I76" s="887" t="s">
        <v>4243</v>
      </c>
      <c r="J76" s="891">
        <f>_xlfn.XLOOKUP(ListaMaterial[[#This Row],[ITEM]],M:M,N:N,,0)</f>
        <v>16.77</v>
      </c>
      <c r="K76" s="891">
        <f>J76*ListaMaterial[[#This Row],[TOTAL C/PERDA]]</f>
        <v>83.85</v>
      </c>
      <c r="M76" s="883" t="s">
        <v>4695</v>
      </c>
      <c r="N76" s="893">
        <v>8.9486000000000008</v>
      </c>
    </row>
    <row r="77" spans="1:14" x14ac:dyDescent="0.25">
      <c r="A77" s="883" t="s">
        <v>4620</v>
      </c>
      <c r="B77" s="883" t="s">
        <v>4431</v>
      </c>
      <c r="C77" s="883" t="s">
        <v>4668</v>
      </c>
      <c r="D77" s="886">
        <v>6</v>
      </c>
      <c r="E77" s="887">
        <v>1</v>
      </c>
      <c r="F77" s="888">
        <f>ListaMaterial[[#This Row],[REPETIÇÃO]]*ListaMaterial[[#This Row],[QUANTIDADE]]</f>
        <v>6</v>
      </c>
      <c r="H77" s="890">
        <f>ListaMaterial[[#This Row],[TOTAL]]*(1+ListaMaterial[[#This Row],[PERDA]])</f>
        <v>6</v>
      </c>
      <c r="I77" s="887" t="s">
        <v>4243</v>
      </c>
      <c r="J77" s="891">
        <f>_xlfn.XLOOKUP(ListaMaterial[[#This Row],[ITEM]],M:M,N:N,,0)</f>
        <v>20.13</v>
      </c>
      <c r="K77" s="891">
        <f>J77*ListaMaterial[[#This Row],[TOTAL C/PERDA]]</f>
        <v>120.78</v>
      </c>
      <c r="M77" s="883" t="s">
        <v>4459</v>
      </c>
      <c r="N77" s="893">
        <v>13.42</v>
      </c>
    </row>
    <row r="78" spans="1:14" x14ac:dyDescent="0.25">
      <c r="A78" s="883" t="s">
        <v>4620</v>
      </c>
      <c r="B78" s="883" t="s">
        <v>4431</v>
      </c>
      <c r="C78" s="883" t="s">
        <v>4458</v>
      </c>
      <c r="D78" s="886">
        <v>3</v>
      </c>
      <c r="E78" s="887">
        <v>1</v>
      </c>
      <c r="F78" s="888">
        <f>ListaMaterial[[#This Row],[REPETIÇÃO]]*ListaMaterial[[#This Row],[QUANTIDADE]]</f>
        <v>3</v>
      </c>
      <c r="H78" s="890">
        <f>ListaMaterial[[#This Row],[TOTAL]]*(1+ListaMaterial[[#This Row],[PERDA]])</f>
        <v>3</v>
      </c>
      <c r="I78" s="887" t="s">
        <v>4243</v>
      </c>
      <c r="J78" s="891">
        <f>_xlfn.XLOOKUP(ListaMaterial[[#This Row],[ITEM]],M:M,N:N,,0)</f>
        <v>27.96</v>
      </c>
      <c r="K78" s="891">
        <f>J78*ListaMaterial[[#This Row],[TOTAL C/PERDA]]</f>
        <v>83.88</v>
      </c>
      <c r="M78" s="883" t="s">
        <v>4696</v>
      </c>
      <c r="N78" s="893">
        <v>16.77</v>
      </c>
    </row>
    <row r="79" spans="1:14" x14ac:dyDescent="0.25">
      <c r="A79" s="883" t="s">
        <v>4620</v>
      </c>
      <c r="B79" s="883" t="s">
        <v>4431</v>
      </c>
      <c r="C79" s="883" t="s">
        <v>4692</v>
      </c>
      <c r="D79" s="886">
        <v>2</v>
      </c>
      <c r="E79" s="887">
        <v>1</v>
      </c>
      <c r="F79" s="888">
        <f>ListaMaterial[[#This Row],[REPETIÇÃO]]*ListaMaterial[[#This Row],[QUANTIDADE]]</f>
        <v>2</v>
      </c>
      <c r="H79" s="890">
        <f>ListaMaterial[[#This Row],[TOTAL]]*(1+ListaMaterial[[#This Row],[PERDA]])</f>
        <v>2</v>
      </c>
      <c r="I79" s="887" t="s">
        <v>4243</v>
      </c>
      <c r="J79" s="891">
        <f>_xlfn.XLOOKUP(ListaMaterial[[#This Row],[ITEM]],M:M,N:N,,0)</f>
        <v>22.37</v>
      </c>
      <c r="K79" s="891">
        <f>J79*ListaMaterial[[#This Row],[TOTAL C/PERDA]]</f>
        <v>44.74</v>
      </c>
      <c r="M79" s="883" t="s">
        <v>4697</v>
      </c>
      <c r="N79" s="893">
        <v>13.42</v>
      </c>
    </row>
    <row r="80" spans="1:14" x14ac:dyDescent="0.25">
      <c r="A80" s="883" t="s">
        <v>4620</v>
      </c>
      <c r="B80" s="883" t="s">
        <v>4431</v>
      </c>
      <c r="C80" s="883" t="s">
        <v>4693</v>
      </c>
      <c r="D80" s="886">
        <v>2</v>
      </c>
      <c r="E80" s="887">
        <v>1</v>
      </c>
      <c r="F80" s="888">
        <f>ListaMaterial[[#This Row],[REPETIÇÃO]]*ListaMaterial[[#This Row],[QUANTIDADE]]</f>
        <v>2</v>
      </c>
      <c r="H80" s="890">
        <f>ListaMaterial[[#This Row],[TOTAL]]*(1+ListaMaterial[[#This Row],[PERDA]])</f>
        <v>2</v>
      </c>
      <c r="I80" s="887" t="s">
        <v>4243</v>
      </c>
      <c r="J80" s="891">
        <f>_xlfn.XLOOKUP(ListaMaterial[[#This Row],[ITEM]],M:M,N:N,,0)</f>
        <v>24.6</v>
      </c>
      <c r="K80" s="891">
        <f>J80*ListaMaterial[[#This Row],[TOTAL C/PERDA]]</f>
        <v>49.2</v>
      </c>
      <c r="M80" s="883" t="s">
        <v>4863</v>
      </c>
      <c r="N80" s="893">
        <v>27.96</v>
      </c>
    </row>
    <row r="81" spans="1:14" x14ac:dyDescent="0.25">
      <c r="A81" s="883" t="s">
        <v>4620</v>
      </c>
      <c r="B81" s="883" t="s">
        <v>4431</v>
      </c>
      <c r="C81" s="883" t="s">
        <v>4670</v>
      </c>
      <c r="D81" s="886">
        <v>2</v>
      </c>
      <c r="E81" s="887">
        <v>1</v>
      </c>
      <c r="F81" s="888">
        <f>ListaMaterial[[#This Row],[REPETIÇÃO]]*ListaMaterial[[#This Row],[QUANTIDADE]]</f>
        <v>2</v>
      </c>
      <c r="H81" s="890">
        <f>ListaMaterial[[#This Row],[TOTAL]]*(1+ListaMaterial[[#This Row],[PERDA]])</f>
        <v>2</v>
      </c>
      <c r="I81" s="887" t="s">
        <v>4243</v>
      </c>
      <c r="J81" s="891">
        <f>_xlfn.XLOOKUP(ListaMaterial[[#This Row],[ITEM]],M:M,N:N,,0)</f>
        <v>39.15</v>
      </c>
      <c r="K81" s="891">
        <f>J81*ListaMaterial[[#This Row],[TOTAL C/PERDA]]</f>
        <v>78.3</v>
      </c>
      <c r="M81" s="883" t="s">
        <v>4864</v>
      </c>
      <c r="N81" s="893">
        <v>31.32</v>
      </c>
    </row>
    <row r="82" spans="1:14" x14ac:dyDescent="0.25">
      <c r="A82" s="883" t="s">
        <v>4620</v>
      </c>
      <c r="B82" s="883" t="s">
        <v>4431</v>
      </c>
      <c r="C82" s="883" t="s">
        <v>4671</v>
      </c>
      <c r="D82" s="886">
        <v>4</v>
      </c>
      <c r="E82" s="887">
        <v>1</v>
      </c>
      <c r="F82" s="888">
        <f>ListaMaterial[[#This Row],[REPETIÇÃO]]*ListaMaterial[[#This Row],[QUANTIDADE]]</f>
        <v>4</v>
      </c>
      <c r="H82" s="890">
        <f>ListaMaterial[[#This Row],[TOTAL]]*(1+ListaMaterial[[#This Row],[PERDA]])</f>
        <v>4</v>
      </c>
      <c r="I82" s="887" t="s">
        <v>4243</v>
      </c>
      <c r="J82" s="891">
        <f>_xlfn.XLOOKUP(ListaMaterial[[#This Row],[ITEM]],M:M,N:N,,0)</f>
        <v>44.74</v>
      </c>
      <c r="K82" s="891">
        <f>J82*ListaMaterial[[#This Row],[TOTAL C/PERDA]]</f>
        <v>178.96</v>
      </c>
      <c r="M82" s="883" t="s">
        <v>4865</v>
      </c>
      <c r="N82" s="893">
        <v>79.900000000000006</v>
      </c>
    </row>
    <row r="83" spans="1:14" x14ac:dyDescent="0.25">
      <c r="A83" s="883" t="s">
        <v>4620</v>
      </c>
      <c r="B83" s="883" t="s">
        <v>4431</v>
      </c>
      <c r="C83" s="883" t="s">
        <v>4694</v>
      </c>
      <c r="D83" s="886">
        <v>2</v>
      </c>
      <c r="E83" s="887">
        <v>1</v>
      </c>
      <c r="F83" s="888">
        <f>ListaMaterial[[#This Row],[REPETIÇÃO]]*ListaMaterial[[#This Row],[QUANTIDADE]]</f>
        <v>2</v>
      </c>
      <c r="H83" s="890">
        <f>ListaMaterial[[#This Row],[TOTAL]]*(1+ListaMaterial[[#This Row],[PERDA]])</f>
        <v>2</v>
      </c>
      <c r="I83" s="887" t="s">
        <v>4243</v>
      </c>
      <c r="J83" s="891">
        <f>_xlfn.XLOOKUP(ListaMaterial[[#This Row],[ITEM]],M:M,N:N,,0)</f>
        <v>6.7110000000000003</v>
      </c>
      <c r="K83" s="891">
        <f>J83*ListaMaterial[[#This Row],[TOTAL C/PERDA]]</f>
        <v>13.422000000000001</v>
      </c>
      <c r="M83" s="883" t="s">
        <v>4698</v>
      </c>
      <c r="N83" s="893">
        <v>20.13</v>
      </c>
    </row>
    <row r="84" spans="1:14" x14ac:dyDescent="0.25">
      <c r="A84" s="883" t="s">
        <v>4620</v>
      </c>
      <c r="B84" s="883" t="s">
        <v>4431</v>
      </c>
      <c r="C84" s="883" t="s">
        <v>4695</v>
      </c>
      <c r="D84" s="886">
        <v>9</v>
      </c>
      <c r="E84" s="887">
        <v>1</v>
      </c>
      <c r="F84" s="888">
        <f>ListaMaterial[[#This Row],[REPETIÇÃO]]*ListaMaterial[[#This Row],[QUANTIDADE]]</f>
        <v>9</v>
      </c>
      <c r="H84" s="890">
        <f>ListaMaterial[[#This Row],[TOTAL]]*(1+ListaMaterial[[#This Row],[PERDA]])</f>
        <v>9</v>
      </c>
      <c r="I84" s="887" t="s">
        <v>4243</v>
      </c>
      <c r="J84" s="891">
        <f>_xlfn.XLOOKUP(ListaMaterial[[#This Row],[ITEM]],M:M,N:N,,0)</f>
        <v>8.9486000000000008</v>
      </c>
      <c r="K84" s="891">
        <f>J84*ListaMaterial[[#This Row],[TOTAL C/PERDA]]</f>
        <v>80.537400000000005</v>
      </c>
      <c r="M84" s="883" t="s">
        <v>4699</v>
      </c>
      <c r="N84" s="893">
        <v>27.96</v>
      </c>
    </row>
    <row r="85" spans="1:14" x14ac:dyDescent="0.25">
      <c r="A85" s="883" t="s">
        <v>4620</v>
      </c>
      <c r="B85" s="883" t="s">
        <v>4431</v>
      </c>
      <c r="C85" s="883" t="s">
        <v>4459</v>
      </c>
      <c r="D85" s="886">
        <v>11</v>
      </c>
      <c r="E85" s="887">
        <v>1</v>
      </c>
      <c r="F85" s="888">
        <f>ListaMaterial[[#This Row],[REPETIÇÃO]]*ListaMaterial[[#This Row],[QUANTIDADE]]</f>
        <v>11</v>
      </c>
      <c r="H85" s="890">
        <f>ListaMaterial[[#This Row],[TOTAL]]*(1+ListaMaterial[[#This Row],[PERDA]])</f>
        <v>11</v>
      </c>
      <c r="I85" s="887" t="s">
        <v>4243</v>
      </c>
      <c r="J85" s="891">
        <f>_xlfn.XLOOKUP(ListaMaterial[[#This Row],[ITEM]],M:M,N:N,,0)</f>
        <v>13.42</v>
      </c>
      <c r="K85" s="891">
        <f>J85*ListaMaterial[[#This Row],[TOTAL C/PERDA]]</f>
        <v>147.62</v>
      </c>
      <c r="M85" s="883" t="s">
        <v>4700</v>
      </c>
      <c r="N85" s="893">
        <v>13.42</v>
      </c>
    </row>
    <row r="86" spans="1:14" x14ac:dyDescent="0.25">
      <c r="A86" s="883" t="s">
        <v>4620</v>
      </c>
      <c r="B86" s="883" t="s">
        <v>4431</v>
      </c>
      <c r="C86" s="883" t="s">
        <v>4696</v>
      </c>
      <c r="D86" s="886">
        <v>1</v>
      </c>
      <c r="E86" s="887">
        <v>1</v>
      </c>
      <c r="F86" s="888">
        <f>ListaMaterial[[#This Row],[REPETIÇÃO]]*ListaMaterial[[#This Row],[QUANTIDADE]]</f>
        <v>1</v>
      </c>
      <c r="H86" s="890">
        <f>ListaMaterial[[#This Row],[TOTAL]]*(1+ListaMaterial[[#This Row],[PERDA]])</f>
        <v>1</v>
      </c>
      <c r="I86" s="887" t="s">
        <v>4243</v>
      </c>
      <c r="J86" s="891">
        <f>_xlfn.XLOOKUP(ListaMaterial[[#This Row],[ITEM]],M:M,N:N,,0)</f>
        <v>16.77</v>
      </c>
      <c r="K86" s="891">
        <f>J86*ListaMaterial[[#This Row],[TOTAL C/PERDA]]</f>
        <v>16.77</v>
      </c>
      <c r="M86" s="883" t="s">
        <v>4701</v>
      </c>
      <c r="N86" s="893">
        <v>16.777999999999999</v>
      </c>
    </row>
    <row r="87" spans="1:14" x14ac:dyDescent="0.25">
      <c r="A87" s="883" t="s">
        <v>4620</v>
      </c>
      <c r="B87" s="883" t="s">
        <v>4441</v>
      </c>
      <c r="C87" s="883" t="s">
        <v>4697</v>
      </c>
      <c r="D87" s="886">
        <v>4</v>
      </c>
      <c r="E87" s="887">
        <v>1</v>
      </c>
      <c r="F87" s="888">
        <f>ListaMaterial[[#This Row],[REPETIÇÃO]]*ListaMaterial[[#This Row],[QUANTIDADE]]</f>
        <v>4</v>
      </c>
      <c r="H87" s="890">
        <f>ListaMaterial[[#This Row],[TOTAL]]*(1+ListaMaterial[[#This Row],[PERDA]])</f>
        <v>4</v>
      </c>
      <c r="I87" s="887" t="s">
        <v>4243</v>
      </c>
      <c r="J87" s="891">
        <f>_xlfn.XLOOKUP(ListaMaterial[[#This Row],[ITEM]],M:M,N:N,,0)</f>
        <v>13.42</v>
      </c>
      <c r="K87" s="891">
        <f>J87*ListaMaterial[[#This Row],[TOTAL C/PERDA]]</f>
        <v>53.68</v>
      </c>
      <c r="M87" s="883" t="s">
        <v>4669</v>
      </c>
      <c r="N87" s="893">
        <v>33.549999999999997</v>
      </c>
    </row>
    <row r="88" spans="1:14" x14ac:dyDescent="0.25">
      <c r="A88" s="883" t="s">
        <v>4620</v>
      </c>
      <c r="B88" s="883" t="s">
        <v>4441</v>
      </c>
      <c r="C88" s="883" t="s">
        <v>4662</v>
      </c>
      <c r="D88" s="886">
        <v>1</v>
      </c>
      <c r="E88" s="887">
        <v>1</v>
      </c>
      <c r="F88" s="888">
        <f>ListaMaterial[[#This Row],[REPETIÇÃO]]*ListaMaterial[[#This Row],[QUANTIDADE]]</f>
        <v>1</v>
      </c>
      <c r="H88" s="890">
        <f>ListaMaterial[[#This Row],[TOTAL]]*(1+ListaMaterial[[#This Row],[PERDA]])</f>
        <v>1</v>
      </c>
      <c r="I88" s="887" t="s">
        <v>4243</v>
      </c>
      <c r="J88" s="891">
        <f>_xlfn.XLOOKUP(ListaMaterial[[#This Row],[ITEM]],M:M,N:N,,0)</f>
        <v>8.8800000000000008</v>
      </c>
      <c r="K88" s="891">
        <f>J88*ListaMaterial[[#This Row],[TOTAL C/PERDA]]</f>
        <v>8.8800000000000008</v>
      </c>
      <c r="M88" s="883" t="s">
        <v>4866</v>
      </c>
      <c r="N88" s="893">
        <v>124.9</v>
      </c>
    </row>
    <row r="89" spans="1:14" x14ac:dyDescent="0.25">
      <c r="A89" s="883" t="s">
        <v>4620</v>
      </c>
      <c r="B89" s="883" t="s">
        <v>4441</v>
      </c>
      <c r="C89" s="883" t="s">
        <v>4843</v>
      </c>
      <c r="D89" s="886">
        <v>7</v>
      </c>
      <c r="E89" s="887">
        <v>1</v>
      </c>
      <c r="F89" s="888">
        <f>ListaMaterial[[#This Row],[REPETIÇÃO]]*ListaMaterial[[#This Row],[QUANTIDADE]]</f>
        <v>7</v>
      </c>
      <c r="H89" s="890">
        <f>ListaMaterial[[#This Row],[TOTAL]]*(1+ListaMaterial[[#This Row],[PERDA]])</f>
        <v>7</v>
      </c>
      <c r="I89" s="887" t="s">
        <v>4243</v>
      </c>
      <c r="J89" s="891">
        <f>_xlfn.XLOOKUP(ListaMaterial[[#This Row],[ITEM]],M:M,N:N,,0)</f>
        <v>13.016999999999999</v>
      </c>
      <c r="K89" s="891">
        <f>J89*ListaMaterial[[#This Row],[TOTAL C/PERDA]]</f>
        <v>91.119</v>
      </c>
      <c r="M89" s="883" t="s">
        <v>4702</v>
      </c>
      <c r="N89" s="893">
        <v>5.89</v>
      </c>
    </row>
    <row r="90" spans="1:14" x14ac:dyDescent="0.25">
      <c r="A90" s="883" t="s">
        <v>4620</v>
      </c>
      <c r="B90" s="883" t="s">
        <v>4441</v>
      </c>
      <c r="C90" s="883" t="s">
        <v>4844</v>
      </c>
      <c r="D90" s="886">
        <v>3</v>
      </c>
      <c r="E90" s="887">
        <v>1</v>
      </c>
      <c r="F90" s="888">
        <f>ListaMaterial[[#This Row],[REPETIÇÃO]]*ListaMaterial[[#This Row],[QUANTIDADE]]</f>
        <v>3</v>
      </c>
      <c r="H90" s="890">
        <f>ListaMaterial[[#This Row],[TOTAL]]*(1+ListaMaterial[[#This Row],[PERDA]])</f>
        <v>3</v>
      </c>
      <c r="I90" s="887" t="s">
        <v>4243</v>
      </c>
      <c r="J90" s="891">
        <f>_xlfn.XLOOKUP(ListaMaterial[[#This Row],[ITEM]],M:M,N:N,,0)</f>
        <v>7.21</v>
      </c>
      <c r="K90" s="891">
        <f>J90*ListaMaterial[[#This Row],[TOTAL C/PERDA]]</f>
        <v>21.63</v>
      </c>
      <c r="M90" s="883" t="s">
        <v>4703</v>
      </c>
      <c r="N90" s="893">
        <v>201.34</v>
      </c>
    </row>
    <row r="91" spans="1:14" x14ac:dyDescent="0.25">
      <c r="A91" s="883" t="s">
        <v>4620</v>
      </c>
      <c r="B91" s="883" t="s">
        <v>4441</v>
      </c>
      <c r="C91" s="883" t="s">
        <v>4845</v>
      </c>
      <c r="D91" s="886">
        <v>9</v>
      </c>
      <c r="E91" s="887">
        <v>1</v>
      </c>
      <c r="F91" s="888">
        <f>ListaMaterial[[#This Row],[REPETIÇÃO]]*ListaMaterial[[#This Row],[QUANTIDADE]]</f>
        <v>9</v>
      </c>
      <c r="H91" s="890">
        <f>ListaMaterial[[#This Row],[TOTAL]]*(1+ListaMaterial[[#This Row],[PERDA]])</f>
        <v>9</v>
      </c>
      <c r="I91" s="887" t="s">
        <v>4243</v>
      </c>
      <c r="J91" s="891">
        <f>_xlfn.XLOOKUP(ListaMaterial[[#This Row],[ITEM]],M:M,N:N,,0)</f>
        <v>8.11</v>
      </c>
      <c r="K91" s="891">
        <f>J91*ListaMaterial[[#This Row],[TOTAL C/PERDA]]</f>
        <v>72.989999999999995</v>
      </c>
      <c r="M91" s="883" t="s">
        <v>4704</v>
      </c>
      <c r="N91" s="893">
        <v>167.78659999999999</v>
      </c>
    </row>
    <row r="92" spans="1:14" x14ac:dyDescent="0.25">
      <c r="A92" s="883" t="s">
        <v>4620</v>
      </c>
      <c r="B92" s="883" t="s">
        <v>4441</v>
      </c>
      <c r="C92" s="883" t="s">
        <v>4853</v>
      </c>
      <c r="D92" s="886">
        <v>36</v>
      </c>
      <c r="E92" s="887">
        <v>1</v>
      </c>
      <c r="F92" s="888">
        <f>ListaMaterial[[#This Row],[REPETIÇÃO]]*ListaMaterial[[#This Row],[QUANTIDADE]]</f>
        <v>36</v>
      </c>
      <c r="H92" s="890">
        <f>ListaMaterial[[#This Row],[TOTAL]]*(1+ListaMaterial[[#This Row],[PERDA]])</f>
        <v>36</v>
      </c>
      <c r="I92" s="887" t="s">
        <v>4243</v>
      </c>
      <c r="J92" s="891">
        <f>_xlfn.XLOOKUP(ListaMaterial[[#This Row],[ITEM]],M:M,N:N,,0)</f>
        <v>52.37</v>
      </c>
      <c r="K92" s="891">
        <f>J92*ListaMaterial[[#This Row],[TOTAL C/PERDA]]</f>
        <v>1885.32</v>
      </c>
      <c r="M92" s="883" t="s">
        <v>4705</v>
      </c>
      <c r="N92" s="893">
        <v>50.36</v>
      </c>
    </row>
    <row r="93" spans="1:14" x14ac:dyDescent="0.25">
      <c r="A93" s="883" t="s">
        <v>4620</v>
      </c>
      <c r="B93" s="883" t="s">
        <v>4441</v>
      </c>
      <c r="C93" s="883" t="s">
        <v>4854</v>
      </c>
      <c r="D93" s="886">
        <v>3</v>
      </c>
      <c r="E93" s="887">
        <v>1</v>
      </c>
      <c r="F93" s="888">
        <f>ListaMaterial[[#This Row],[REPETIÇÃO]]*ListaMaterial[[#This Row],[QUANTIDADE]]</f>
        <v>3</v>
      </c>
      <c r="H93" s="890">
        <f>ListaMaterial[[#This Row],[TOTAL]]*(1+ListaMaterial[[#This Row],[PERDA]])</f>
        <v>3</v>
      </c>
      <c r="I93" s="887" t="s">
        <v>4243</v>
      </c>
      <c r="J93" s="891">
        <f>_xlfn.XLOOKUP(ListaMaterial[[#This Row],[ITEM]],M:M,N:N,,0)</f>
        <v>5.0599999999999996</v>
      </c>
      <c r="K93" s="891">
        <f>J93*ListaMaterial[[#This Row],[TOTAL C/PERDA]]</f>
        <v>15.18</v>
      </c>
      <c r="M93" s="883" t="s">
        <v>4706</v>
      </c>
      <c r="N93" s="893">
        <v>27.96</v>
      </c>
    </row>
    <row r="94" spans="1:14" x14ac:dyDescent="0.25">
      <c r="A94" s="883" t="s">
        <v>4620</v>
      </c>
      <c r="B94" s="883" t="s">
        <v>4441</v>
      </c>
      <c r="C94" s="883" t="s">
        <v>4855</v>
      </c>
      <c r="D94" s="886">
        <v>4</v>
      </c>
      <c r="E94" s="887">
        <v>1</v>
      </c>
      <c r="F94" s="888">
        <f>ListaMaterial[[#This Row],[REPETIÇÃO]]*ListaMaterial[[#This Row],[QUANTIDADE]]</f>
        <v>4</v>
      </c>
      <c r="H94" s="890">
        <f>ListaMaterial[[#This Row],[TOTAL]]*(1+ListaMaterial[[#This Row],[PERDA]])</f>
        <v>4</v>
      </c>
      <c r="I94" s="887" t="s">
        <v>4243</v>
      </c>
      <c r="J94" s="891">
        <f>_xlfn.XLOOKUP(ListaMaterial[[#This Row],[ITEM]],M:M,N:N,,0)</f>
        <v>13.79</v>
      </c>
      <c r="K94" s="891">
        <f>J94*ListaMaterial[[#This Row],[TOTAL C/PERDA]]</f>
        <v>55.16</v>
      </c>
      <c r="M94" s="883" t="s">
        <v>4707</v>
      </c>
      <c r="N94" s="893">
        <v>32.680300000000003</v>
      </c>
    </row>
    <row r="95" spans="1:14" x14ac:dyDescent="0.25">
      <c r="A95" s="883" t="s">
        <v>4620</v>
      </c>
      <c r="B95" s="883" t="s">
        <v>4441</v>
      </c>
      <c r="C95" s="883" t="s">
        <v>4856</v>
      </c>
      <c r="D95" s="886">
        <v>13</v>
      </c>
      <c r="E95" s="887">
        <v>1</v>
      </c>
      <c r="F95" s="888">
        <f>ListaMaterial[[#This Row],[REPETIÇÃO]]*ListaMaterial[[#This Row],[QUANTIDADE]]</f>
        <v>13</v>
      </c>
      <c r="H95" s="890">
        <f>ListaMaterial[[#This Row],[TOTAL]]*(1+ListaMaterial[[#This Row],[PERDA]])</f>
        <v>13</v>
      </c>
      <c r="I95" s="887" t="s">
        <v>4243</v>
      </c>
      <c r="J95" s="891">
        <f>_xlfn.XLOOKUP(ListaMaterial[[#This Row],[ITEM]],M:M,N:N,,0)</f>
        <v>14.13</v>
      </c>
      <c r="K95" s="891">
        <f>J95*ListaMaterial[[#This Row],[TOTAL C/PERDA]]</f>
        <v>183.69</v>
      </c>
      <c r="M95" s="883" t="s">
        <v>4708</v>
      </c>
      <c r="N95" s="893">
        <v>72.7</v>
      </c>
    </row>
    <row r="96" spans="1:14" x14ac:dyDescent="0.25">
      <c r="A96" s="883" t="s">
        <v>4620</v>
      </c>
      <c r="B96" s="883" t="s">
        <v>4441</v>
      </c>
      <c r="C96" s="883" t="s">
        <v>4857</v>
      </c>
      <c r="D96" s="886">
        <v>12</v>
      </c>
      <c r="E96" s="887">
        <v>1</v>
      </c>
      <c r="F96" s="888">
        <f>ListaMaterial[[#This Row],[REPETIÇÃO]]*ListaMaterial[[#This Row],[QUANTIDADE]]</f>
        <v>12</v>
      </c>
      <c r="H96" s="890">
        <f>ListaMaterial[[#This Row],[TOTAL]]*(1+ListaMaterial[[#This Row],[PERDA]])</f>
        <v>12</v>
      </c>
      <c r="I96" s="887" t="s">
        <v>4243</v>
      </c>
      <c r="J96" s="891">
        <f>_xlfn.XLOOKUP(ListaMaterial[[#This Row],[ITEM]],M:M,N:N,,0)</f>
        <v>60.59</v>
      </c>
      <c r="K96" s="891">
        <f>J96*ListaMaterial[[#This Row],[TOTAL C/PERDA]]</f>
        <v>727.08</v>
      </c>
      <c r="M96" s="883" t="s">
        <v>4709</v>
      </c>
      <c r="N96" s="893">
        <v>76.739999999999995</v>
      </c>
    </row>
    <row r="97" spans="1:14" x14ac:dyDescent="0.25">
      <c r="A97" s="883" t="s">
        <v>4620</v>
      </c>
      <c r="B97" s="883" t="s">
        <v>4441</v>
      </c>
      <c r="C97" s="883" t="s">
        <v>4863</v>
      </c>
      <c r="D97" s="886">
        <v>6</v>
      </c>
      <c r="E97" s="887">
        <v>1</v>
      </c>
      <c r="F97" s="888">
        <f>ListaMaterial[[#This Row],[REPETIÇÃO]]*ListaMaterial[[#This Row],[QUANTIDADE]]</f>
        <v>6</v>
      </c>
      <c r="H97" s="890">
        <f>ListaMaterial[[#This Row],[TOTAL]]*(1+ListaMaterial[[#This Row],[PERDA]])</f>
        <v>6</v>
      </c>
      <c r="I97" s="887" t="s">
        <v>4243</v>
      </c>
      <c r="J97" s="891">
        <f>_xlfn.XLOOKUP(ListaMaterial[[#This Row],[ITEM]],M:M,N:N,,0)</f>
        <v>27.96</v>
      </c>
      <c r="K97" s="891">
        <f>J97*ListaMaterial[[#This Row],[TOTAL C/PERDA]]</f>
        <v>167.76</v>
      </c>
      <c r="M97" s="883" t="s">
        <v>4710</v>
      </c>
      <c r="N97" s="893">
        <v>3.9845999999999999</v>
      </c>
    </row>
    <row r="98" spans="1:14" x14ac:dyDescent="0.25">
      <c r="A98" s="883" t="s">
        <v>4620</v>
      </c>
      <c r="B98" s="883" t="s">
        <v>4441</v>
      </c>
      <c r="C98" s="883" t="s">
        <v>4864</v>
      </c>
      <c r="D98" s="886">
        <v>3</v>
      </c>
      <c r="E98" s="887">
        <v>1</v>
      </c>
      <c r="F98" s="888">
        <f>ListaMaterial[[#This Row],[REPETIÇÃO]]*ListaMaterial[[#This Row],[QUANTIDADE]]</f>
        <v>3</v>
      </c>
      <c r="H98" s="890">
        <f>ListaMaterial[[#This Row],[TOTAL]]*(1+ListaMaterial[[#This Row],[PERDA]])</f>
        <v>3</v>
      </c>
      <c r="I98" s="887" t="s">
        <v>4243</v>
      </c>
      <c r="J98" s="891">
        <f>_xlfn.XLOOKUP(ListaMaterial[[#This Row],[ITEM]],M:M,N:N,,0)</f>
        <v>31.32</v>
      </c>
      <c r="K98" s="891">
        <f>J98*ListaMaterial[[#This Row],[TOTAL C/PERDA]]</f>
        <v>93.960000000000008</v>
      </c>
      <c r="M98" s="883" t="s">
        <v>4711</v>
      </c>
      <c r="N98" s="893">
        <v>0.66579999999999995</v>
      </c>
    </row>
    <row r="99" spans="1:14" x14ac:dyDescent="0.25">
      <c r="A99" s="883" t="s">
        <v>4620</v>
      </c>
      <c r="B99" s="883" t="s">
        <v>4441</v>
      </c>
      <c r="C99" s="883" t="s">
        <v>4859</v>
      </c>
      <c r="D99" s="886">
        <v>3</v>
      </c>
      <c r="E99" s="887">
        <v>1</v>
      </c>
      <c r="F99" s="888">
        <f>ListaMaterial[[#This Row],[REPETIÇÃO]]*ListaMaterial[[#This Row],[QUANTIDADE]]</f>
        <v>3</v>
      </c>
      <c r="H99" s="890">
        <f>ListaMaterial[[#This Row],[TOTAL]]*(1+ListaMaterial[[#This Row],[PERDA]])</f>
        <v>3</v>
      </c>
      <c r="I99" s="887" t="s">
        <v>4243</v>
      </c>
      <c r="J99" s="891">
        <f>_xlfn.XLOOKUP(ListaMaterial[[#This Row],[ITEM]],M:M,N:N,,0)</f>
        <v>50.335999999999999</v>
      </c>
      <c r="K99" s="891">
        <f>J99*ListaMaterial[[#This Row],[TOTAL C/PERDA]]</f>
        <v>151.00799999999998</v>
      </c>
      <c r="M99" s="883" t="s">
        <v>4712</v>
      </c>
      <c r="N99" s="893">
        <v>2.8849999999999998</v>
      </c>
    </row>
    <row r="100" spans="1:14" x14ac:dyDescent="0.25">
      <c r="A100" s="883" t="s">
        <v>4620</v>
      </c>
      <c r="B100" s="883" t="s">
        <v>4441</v>
      </c>
      <c r="C100" s="883" t="s">
        <v>4860</v>
      </c>
      <c r="D100" s="886">
        <v>2</v>
      </c>
      <c r="E100" s="887">
        <v>1</v>
      </c>
      <c r="F100" s="888">
        <f>ListaMaterial[[#This Row],[REPETIÇÃO]]*ListaMaterial[[#This Row],[QUANTIDADE]]</f>
        <v>2</v>
      </c>
      <c r="H100" s="890">
        <f>ListaMaterial[[#This Row],[TOTAL]]*(1+ListaMaterial[[#This Row],[PERDA]])</f>
        <v>2</v>
      </c>
      <c r="I100" s="887" t="s">
        <v>4243</v>
      </c>
      <c r="J100" s="891">
        <f>_xlfn.XLOOKUP(ListaMaterial[[#This Row],[ITEM]],M:M,N:N,,0)</f>
        <v>22.9</v>
      </c>
      <c r="K100" s="891">
        <f>J100*ListaMaterial[[#This Row],[TOTAL C/PERDA]]</f>
        <v>45.8</v>
      </c>
      <c r="M100" s="883" t="s">
        <v>4457</v>
      </c>
      <c r="N100" s="893">
        <v>11.18</v>
      </c>
    </row>
    <row r="101" spans="1:14" x14ac:dyDescent="0.25">
      <c r="A101" s="883" t="s">
        <v>4620</v>
      </c>
      <c r="B101" s="883" t="s">
        <v>4441</v>
      </c>
      <c r="C101" s="883" t="s">
        <v>4865</v>
      </c>
      <c r="D101" s="886">
        <v>3</v>
      </c>
      <c r="E101" s="887">
        <v>1</v>
      </c>
      <c r="F101" s="888">
        <f>ListaMaterial[[#This Row],[REPETIÇÃO]]*ListaMaterial[[#This Row],[QUANTIDADE]]</f>
        <v>3</v>
      </c>
      <c r="H101" s="890">
        <f>ListaMaterial[[#This Row],[TOTAL]]*(1+ListaMaterial[[#This Row],[PERDA]])</f>
        <v>3</v>
      </c>
      <c r="I101" s="887" t="s">
        <v>4243</v>
      </c>
      <c r="J101" s="891">
        <f>_xlfn.XLOOKUP(ListaMaterial[[#This Row],[ITEM]],M:M,N:N,,0)</f>
        <v>79.900000000000006</v>
      </c>
      <c r="K101" s="891">
        <f>J101*ListaMaterial[[#This Row],[TOTAL C/PERDA]]</f>
        <v>239.70000000000002</v>
      </c>
      <c r="M101" s="883" t="s">
        <v>4713</v>
      </c>
      <c r="N101" s="893">
        <v>16.77</v>
      </c>
    </row>
    <row r="102" spans="1:14" x14ac:dyDescent="0.25">
      <c r="A102" s="883" t="s">
        <v>4620</v>
      </c>
      <c r="B102" s="883" t="s">
        <v>4441</v>
      </c>
      <c r="C102" s="883" t="s">
        <v>4672</v>
      </c>
      <c r="D102" s="886">
        <v>6</v>
      </c>
      <c r="E102" s="887">
        <v>1</v>
      </c>
      <c r="F102" s="888">
        <f>ListaMaterial[[#This Row],[REPETIÇÃO]]*ListaMaterial[[#This Row],[QUANTIDADE]]</f>
        <v>6</v>
      </c>
      <c r="H102" s="890">
        <f>ListaMaterial[[#This Row],[TOTAL]]*(1+ListaMaterial[[#This Row],[PERDA]])</f>
        <v>6</v>
      </c>
      <c r="I102" s="887" t="s">
        <v>4243</v>
      </c>
      <c r="J102" s="891">
        <f>_xlfn.XLOOKUP(ListaMaterial[[#This Row],[ITEM]],M:M,N:N,,0)</f>
        <v>8.94</v>
      </c>
      <c r="K102" s="891">
        <f>J102*ListaMaterial[[#This Row],[TOTAL C/PERDA]]</f>
        <v>53.64</v>
      </c>
      <c r="M102" s="883" t="s">
        <v>4714</v>
      </c>
      <c r="N102" s="893">
        <v>4.5960000000000001</v>
      </c>
    </row>
    <row r="103" spans="1:14" x14ac:dyDescent="0.25">
      <c r="A103" s="883" t="s">
        <v>4620</v>
      </c>
      <c r="B103" s="883" t="s">
        <v>4441</v>
      </c>
      <c r="C103" s="883" t="s">
        <v>4673</v>
      </c>
      <c r="D103" s="886">
        <v>14</v>
      </c>
      <c r="E103" s="887">
        <v>1</v>
      </c>
      <c r="F103" s="888">
        <f>ListaMaterial[[#This Row],[REPETIÇÃO]]*ListaMaterial[[#This Row],[QUANTIDADE]]</f>
        <v>14</v>
      </c>
      <c r="H103" s="890">
        <f>ListaMaterial[[#This Row],[TOTAL]]*(1+ListaMaterial[[#This Row],[PERDA]])</f>
        <v>14</v>
      </c>
      <c r="I103" s="887" t="s">
        <v>4243</v>
      </c>
      <c r="J103" s="891">
        <f>_xlfn.XLOOKUP(ListaMaterial[[#This Row],[ITEM]],M:M,N:N,,0)</f>
        <v>5.95</v>
      </c>
      <c r="K103" s="891">
        <f>J103*ListaMaterial[[#This Row],[TOTAL C/PERDA]]</f>
        <v>83.3</v>
      </c>
      <c r="M103" s="883" t="s">
        <v>4715</v>
      </c>
      <c r="N103" s="893">
        <v>5.3247999999999998</v>
      </c>
    </row>
    <row r="104" spans="1:14" x14ac:dyDescent="0.25">
      <c r="A104" s="883" t="s">
        <v>4620</v>
      </c>
      <c r="B104" s="883" t="s">
        <v>4441</v>
      </c>
      <c r="C104" s="883" t="s">
        <v>4674</v>
      </c>
      <c r="D104" s="886">
        <v>25</v>
      </c>
      <c r="E104" s="887">
        <v>1</v>
      </c>
      <c r="F104" s="888">
        <f>ListaMaterial[[#This Row],[REPETIÇÃO]]*ListaMaterial[[#This Row],[QUANTIDADE]]</f>
        <v>25</v>
      </c>
      <c r="H104" s="890">
        <f>ListaMaterial[[#This Row],[TOTAL]]*(1+ListaMaterial[[#This Row],[PERDA]])</f>
        <v>25</v>
      </c>
      <c r="I104" s="887" t="s">
        <v>4243</v>
      </c>
      <c r="J104" s="891">
        <f>_xlfn.XLOOKUP(ListaMaterial[[#This Row],[ITEM]],M:M,N:N,,0)</f>
        <v>7.59</v>
      </c>
      <c r="K104" s="891">
        <f>J104*ListaMaterial[[#This Row],[TOTAL C/PERDA]]</f>
        <v>189.75</v>
      </c>
      <c r="M104" s="883" t="s">
        <v>4716</v>
      </c>
      <c r="N104" s="893">
        <v>2.5177999999999998</v>
      </c>
    </row>
    <row r="105" spans="1:14" x14ac:dyDescent="0.25">
      <c r="A105" s="883" t="s">
        <v>4620</v>
      </c>
      <c r="B105" s="883" t="s">
        <v>4441</v>
      </c>
      <c r="C105" s="883" t="s">
        <v>4675</v>
      </c>
      <c r="D105" s="886">
        <v>50</v>
      </c>
      <c r="E105" s="887">
        <v>1</v>
      </c>
      <c r="F105" s="888">
        <f>ListaMaterial[[#This Row],[REPETIÇÃO]]*ListaMaterial[[#This Row],[QUANTIDADE]]</f>
        <v>50</v>
      </c>
      <c r="H105" s="890">
        <f>ListaMaterial[[#This Row],[TOTAL]]*(1+ListaMaterial[[#This Row],[PERDA]])</f>
        <v>50</v>
      </c>
      <c r="I105" s="887" t="s">
        <v>4243</v>
      </c>
      <c r="J105" s="891">
        <f>_xlfn.XLOOKUP(ListaMaterial[[#This Row],[ITEM]],M:M,N:N,,0)</f>
        <v>45.89</v>
      </c>
      <c r="K105" s="891">
        <f>J105*ListaMaterial[[#This Row],[TOTAL C/PERDA]]</f>
        <v>2294.5</v>
      </c>
      <c r="M105" s="883" t="s">
        <v>4717</v>
      </c>
      <c r="N105" s="893">
        <v>9.4</v>
      </c>
    </row>
    <row r="106" spans="1:14" x14ac:dyDescent="0.25">
      <c r="A106" s="883" t="s">
        <v>4620</v>
      </c>
      <c r="B106" s="883" t="s">
        <v>4441</v>
      </c>
      <c r="C106" s="883" t="s">
        <v>4698</v>
      </c>
      <c r="D106" s="886">
        <v>1</v>
      </c>
      <c r="E106" s="887">
        <v>1</v>
      </c>
      <c r="F106" s="888">
        <f>ListaMaterial[[#This Row],[REPETIÇÃO]]*ListaMaterial[[#This Row],[QUANTIDADE]]</f>
        <v>1</v>
      </c>
      <c r="H106" s="890">
        <f>ListaMaterial[[#This Row],[TOTAL]]*(1+ListaMaterial[[#This Row],[PERDA]])</f>
        <v>1</v>
      </c>
      <c r="I106" s="887" t="s">
        <v>4243</v>
      </c>
      <c r="J106" s="891">
        <f>_xlfn.XLOOKUP(ListaMaterial[[#This Row],[ITEM]],M:M,N:N,,0)</f>
        <v>20.13</v>
      </c>
      <c r="K106" s="891">
        <f>J106*ListaMaterial[[#This Row],[TOTAL C/PERDA]]</f>
        <v>20.13</v>
      </c>
      <c r="M106" s="883" t="s">
        <v>4718</v>
      </c>
      <c r="N106" s="893">
        <v>5.59</v>
      </c>
    </row>
    <row r="107" spans="1:14" x14ac:dyDescent="0.25">
      <c r="A107" s="883" t="s">
        <v>4620</v>
      </c>
      <c r="B107" s="883" t="s">
        <v>4441</v>
      </c>
      <c r="C107" s="883" t="s">
        <v>4699</v>
      </c>
      <c r="D107" s="886">
        <v>1</v>
      </c>
      <c r="E107" s="887">
        <v>1</v>
      </c>
      <c r="F107" s="888">
        <f>ListaMaterial[[#This Row],[REPETIÇÃO]]*ListaMaterial[[#This Row],[QUANTIDADE]]</f>
        <v>1</v>
      </c>
      <c r="H107" s="890">
        <f>ListaMaterial[[#This Row],[TOTAL]]*(1+ListaMaterial[[#This Row],[PERDA]])</f>
        <v>1</v>
      </c>
      <c r="I107" s="887" t="s">
        <v>4243</v>
      </c>
      <c r="J107" s="891">
        <f>_xlfn.XLOOKUP(ListaMaterial[[#This Row],[ITEM]],M:M,N:N,,0)</f>
        <v>27.96</v>
      </c>
      <c r="K107" s="891">
        <f>J107*ListaMaterial[[#This Row],[TOTAL C/PERDA]]</f>
        <v>27.96</v>
      </c>
      <c r="M107" s="883" t="s">
        <v>4719</v>
      </c>
      <c r="N107" s="893">
        <v>6.7110000000000003</v>
      </c>
    </row>
    <row r="108" spans="1:14" x14ac:dyDescent="0.25">
      <c r="A108" s="883" t="s">
        <v>4620</v>
      </c>
      <c r="B108" s="883" t="s">
        <v>4440</v>
      </c>
      <c r="C108" s="883" t="s">
        <v>4700</v>
      </c>
      <c r="D108" s="886">
        <v>6.95</v>
      </c>
      <c r="E108" s="887">
        <v>1</v>
      </c>
      <c r="F108" s="888">
        <f>ListaMaterial[[#This Row],[REPETIÇÃO]]*ListaMaterial[[#This Row],[QUANTIDADE]]</f>
        <v>6.95</v>
      </c>
      <c r="G108" s="889">
        <v>0.15</v>
      </c>
      <c r="H108" s="890">
        <f>ListaMaterial[[#This Row],[TOTAL]]*(1+ListaMaterial[[#This Row],[PERDA]])</f>
        <v>7.9924999999999997</v>
      </c>
      <c r="I108" s="887" t="s">
        <v>3</v>
      </c>
      <c r="J108" s="891">
        <f>_xlfn.XLOOKUP(ListaMaterial[[#This Row],[ITEM]],M:M,N:N,,0)</f>
        <v>13.42</v>
      </c>
      <c r="K108" s="891">
        <f>J108*ListaMaterial[[#This Row],[TOTAL C/PERDA]]</f>
        <v>107.25935</v>
      </c>
      <c r="M108" s="883" t="s">
        <v>4720</v>
      </c>
      <c r="N108" s="893">
        <v>7.83</v>
      </c>
    </row>
    <row r="109" spans="1:14" x14ac:dyDescent="0.25">
      <c r="A109" s="883" t="s">
        <v>4620</v>
      </c>
      <c r="B109" s="883" t="s">
        <v>4440</v>
      </c>
      <c r="C109" s="883" t="s">
        <v>4701</v>
      </c>
      <c r="D109" s="886">
        <v>16.989999999999998</v>
      </c>
      <c r="E109" s="887">
        <v>1</v>
      </c>
      <c r="F109" s="888">
        <f>ListaMaterial[[#This Row],[REPETIÇÃO]]*ListaMaterial[[#This Row],[QUANTIDADE]]</f>
        <v>16.989999999999998</v>
      </c>
      <c r="G109" s="889">
        <v>0.15</v>
      </c>
      <c r="H109" s="890">
        <f>ListaMaterial[[#This Row],[TOTAL]]*(1+ListaMaterial[[#This Row],[PERDA]])</f>
        <v>19.538499999999996</v>
      </c>
      <c r="I109" s="887" t="s">
        <v>3</v>
      </c>
      <c r="J109" s="891">
        <f>_xlfn.XLOOKUP(ListaMaterial[[#This Row],[ITEM]],M:M,N:N,,0)</f>
        <v>16.777999999999999</v>
      </c>
      <c r="K109" s="891">
        <f>J109*ListaMaterial[[#This Row],[TOTAL C/PERDA]]</f>
        <v>327.8169529999999</v>
      </c>
      <c r="M109" s="883" t="s">
        <v>4721</v>
      </c>
      <c r="N109" s="893">
        <v>8.94</v>
      </c>
    </row>
    <row r="110" spans="1:14" x14ac:dyDescent="0.25">
      <c r="A110" s="883" t="s">
        <v>4620</v>
      </c>
      <c r="B110" s="883" t="s">
        <v>4440</v>
      </c>
      <c r="C110" s="883" t="s">
        <v>4679</v>
      </c>
      <c r="D110" s="886">
        <v>18.059999999999999</v>
      </c>
      <c r="E110" s="887">
        <v>1</v>
      </c>
      <c r="F110" s="888">
        <f>ListaMaterial[[#This Row],[REPETIÇÃO]]*ListaMaterial[[#This Row],[QUANTIDADE]]</f>
        <v>18.059999999999999</v>
      </c>
      <c r="G110" s="889">
        <v>0.15</v>
      </c>
      <c r="H110" s="890">
        <f>ListaMaterial[[#This Row],[TOTAL]]*(1+ListaMaterial[[#This Row],[PERDA]])</f>
        <v>20.768999999999998</v>
      </c>
      <c r="I110" s="887" t="s">
        <v>3</v>
      </c>
      <c r="J110" s="891">
        <f>_xlfn.XLOOKUP(ListaMaterial[[#This Row],[ITEM]],M:M,N:N,,0)</f>
        <v>20.134399999999999</v>
      </c>
      <c r="K110" s="891">
        <f>J110*ListaMaterial[[#This Row],[TOTAL C/PERDA]]</f>
        <v>418.17135359999997</v>
      </c>
      <c r="M110" s="883" t="s">
        <v>4667</v>
      </c>
      <c r="N110" s="893">
        <v>11.18</v>
      </c>
    </row>
    <row r="111" spans="1:14" x14ac:dyDescent="0.25">
      <c r="A111" s="883" t="s">
        <v>4620</v>
      </c>
      <c r="B111" s="883" t="s">
        <v>4618</v>
      </c>
      <c r="C111" s="883" t="s">
        <v>4680</v>
      </c>
      <c r="D111" s="886">
        <v>7.22</v>
      </c>
      <c r="E111" s="887">
        <v>1</v>
      </c>
      <c r="F111" s="888">
        <f>ListaMaterial[[#This Row],[REPETIÇÃO]]*ListaMaterial[[#This Row],[QUANTIDADE]]</f>
        <v>7.22</v>
      </c>
      <c r="G111" s="889">
        <v>0.15</v>
      </c>
      <c r="H111" s="890">
        <f>ListaMaterial[[#This Row],[TOTAL]]*(1+ListaMaterial[[#This Row],[PERDA]])</f>
        <v>8.302999999999999</v>
      </c>
      <c r="I111" s="887" t="s">
        <v>3</v>
      </c>
      <c r="J111" s="891">
        <f>_xlfn.XLOOKUP(ListaMaterial[[#This Row],[ITEM]],M:M,N:N,,0)</f>
        <v>9.2899999999999991</v>
      </c>
      <c r="K111" s="891">
        <f>J111*ListaMaterial[[#This Row],[TOTAL C/PERDA]]</f>
        <v>77.134869999999978</v>
      </c>
      <c r="M111" s="883" t="s">
        <v>4722</v>
      </c>
      <c r="N111" s="893">
        <v>13.42</v>
      </c>
    </row>
    <row r="112" spans="1:14" x14ac:dyDescent="0.25">
      <c r="A112" s="883" t="s">
        <v>4620</v>
      </c>
      <c r="B112" s="883" t="s">
        <v>4618</v>
      </c>
      <c r="C112" s="883" t="s">
        <v>4681</v>
      </c>
      <c r="D112" s="886">
        <v>37.29</v>
      </c>
      <c r="E112" s="887">
        <v>1</v>
      </c>
      <c r="F112" s="888">
        <f>ListaMaterial[[#This Row],[REPETIÇÃO]]*ListaMaterial[[#This Row],[QUANTIDADE]]</f>
        <v>37.29</v>
      </c>
      <c r="G112" s="889">
        <v>0.15</v>
      </c>
      <c r="H112" s="890">
        <f>ListaMaterial[[#This Row],[TOTAL]]*(1+ListaMaterial[[#This Row],[PERDA]])</f>
        <v>42.883499999999998</v>
      </c>
      <c r="I112" s="887" t="s">
        <v>3</v>
      </c>
      <c r="J112" s="891">
        <f>_xlfn.XLOOKUP(ListaMaterial[[#This Row],[ITEM]],M:M,N:N,,0)</f>
        <v>15.99</v>
      </c>
      <c r="K112" s="891">
        <f>J112*ListaMaterial[[#This Row],[TOTAL C/PERDA]]</f>
        <v>685.70716500000003</v>
      </c>
      <c r="M112" s="883" t="s">
        <v>4723</v>
      </c>
      <c r="N112" s="893">
        <v>39.150199999999998</v>
      </c>
    </row>
    <row r="113" spans="1:14" x14ac:dyDescent="0.25">
      <c r="A113" s="883" t="s">
        <v>4620</v>
      </c>
      <c r="B113" s="883" t="s">
        <v>4618</v>
      </c>
      <c r="C113" s="883" t="s">
        <v>4682</v>
      </c>
      <c r="D113" s="886">
        <v>57.01</v>
      </c>
      <c r="E113" s="887">
        <v>1</v>
      </c>
      <c r="F113" s="888">
        <f>ListaMaterial[[#This Row],[REPETIÇÃO]]*ListaMaterial[[#This Row],[QUANTIDADE]]</f>
        <v>57.01</v>
      </c>
      <c r="G113" s="889">
        <v>0.15</v>
      </c>
      <c r="H113" s="890">
        <f>ListaMaterial[[#This Row],[TOTAL]]*(1+ListaMaterial[[#This Row],[PERDA]])</f>
        <v>65.561499999999995</v>
      </c>
      <c r="I113" s="887" t="s">
        <v>3</v>
      </c>
      <c r="J113" s="891">
        <f>_xlfn.XLOOKUP(ListaMaterial[[#This Row],[ITEM]],M:M,N:N,,0)</f>
        <v>8.99</v>
      </c>
      <c r="K113" s="891">
        <f>J113*ListaMaterial[[#This Row],[TOTAL C/PERDA]]</f>
        <v>589.39788499999997</v>
      </c>
      <c r="M113" s="883" t="s">
        <v>4724</v>
      </c>
      <c r="N113" s="893">
        <v>44.74</v>
      </c>
    </row>
    <row r="114" spans="1:14" x14ac:dyDescent="0.25">
      <c r="A114" s="883" t="s">
        <v>4620</v>
      </c>
      <c r="B114" s="883" t="s">
        <v>4618</v>
      </c>
      <c r="C114" s="883" t="s">
        <v>4683</v>
      </c>
      <c r="D114" s="886">
        <v>164.28</v>
      </c>
      <c r="E114" s="887">
        <v>1</v>
      </c>
      <c r="F114" s="888">
        <f>ListaMaterial[[#This Row],[REPETIÇÃO]]*ListaMaterial[[#This Row],[QUANTIDADE]]</f>
        <v>164.28</v>
      </c>
      <c r="G114" s="889">
        <v>0.15</v>
      </c>
      <c r="H114" s="890">
        <f>ListaMaterial[[#This Row],[TOTAL]]*(1+ListaMaterial[[#This Row],[PERDA]])</f>
        <v>188.922</v>
      </c>
      <c r="I114" s="887" t="s">
        <v>3</v>
      </c>
      <c r="J114" s="891">
        <f>_xlfn.XLOOKUP(ListaMaterial[[#This Row],[ITEM]],M:M,N:N,,0)</f>
        <v>29.99</v>
      </c>
      <c r="K114" s="891">
        <f>J114*ListaMaterial[[#This Row],[TOTAL C/PERDA]]</f>
        <v>5665.7707799999998</v>
      </c>
      <c r="M114" s="883" t="s">
        <v>4725</v>
      </c>
      <c r="N114" s="893">
        <v>13.422000000000001</v>
      </c>
    </row>
    <row r="115" spans="1:14" x14ac:dyDescent="0.25">
      <c r="A115" s="883" t="s">
        <v>4620</v>
      </c>
      <c r="B115" s="883" t="s">
        <v>4619</v>
      </c>
      <c r="C115" s="883" t="s">
        <v>4684</v>
      </c>
      <c r="D115" s="886">
        <v>8.6</v>
      </c>
      <c r="E115" s="887">
        <v>1</v>
      </c>
      <c r="F115" s="888">
        <f>ListaMaterial[[#This Row],[REPETIÇÃO]]*ListaMaterial[[#This Row],[QUANTIDADE]]</f>
        <v>8.6</v>
      </c>
      <c r="G115" s="889">
        <v>0.15</v>
      </c>
      <c r="H115" s="890">
        <f>ListaMaterial[[#This Row],[TOTAL]]*(1+ListaMaterial[[#This Row],[PERDA]])</f>
        <v>9.8899999999999988</v>
      </c>
      <c r="I115" s="887" t="s">
        <v>3</v>
      </c>
      <c r="J115" s="891">
        <f>_xlfn.XLOOKUP(ListaMaterial[[#This Row],[ITEM]],M:M,N:N,,0)</f>
        <v>2.5685666666666669</v>
      </c>
      <c r="K115" s="891">
        <f>J115*ListaMaterial[[#This Row],[TOTAL C/PERDA]]</f>
        <v>25.403124333333331</v>
      </c>
      <c r="M115" s="883" t="s">
        <v>4726</v>
      </c>
      <c r="N115" s="893">
        <v>16.77</v>
      </c>
    </row>
    <row r="116" spans="1:14" x14ac:dyDescent="0.25">
      <c r="A116" s="883" t="s">
        <v>4621</v>
      </c>
      <c r="B116" s="883" t="s">
        <v>4242</v>
      </c>
      <c r="C116" s="883" t="s">
        <v>4634</v>
      </c>
      <c r="D116" s="886">
        <v>10</v>
      </c>
      <c r="E116" s="887">
        <v>1</v>
      </c>
      <c r="F116" s="888">
        <f>ListaMaterial[[#This Row],[REPETIÇÃO]]*ListaMaterial[[#This Row],[QUANTIDADE]]</f>
        <v>10</v>
      </c>
      <c r="H116" s="890">
        <f>ListaMaterial[[#This Row],[TOTAL]]*(1+ListaMaterial[[#This Row],[PERDA]])</f>
        <v>10</v>
      </c>
      <c r="I116" s="887" t="s">
        <v>4243</v>
      </c>
      <c r="J116" s="891">
        <f>_xlfn.XLOOKUP(ListaMaterial[[#This Row],[ITEM]],M:M,N:N,,0)</f>
        <v>68.849999999999994</v>
      </c>
      <c r="K116" s="891">
        <f>J116*ListaMaterial[[#This Row],[TOTAL C/PERDA]]</f>
        <v>688.5</v>
      </c>
      <c r="M116" s="883" t="s">
        <v>4727</v>
      </c>
      <c r="N116" s="893">
        <v>22.37</v>
      </c>
    </row>
    <row r="117" spans="1:14" x14ac:dyDescent="0.25">
      <c r="A117" s="883" t="s">
        <v>4621</v>
      </c>
      <c r="B117" s="883" t="s">
        <v>4242</v>
      </c>
      <c r="C117" s="883" t="s">
        <v>4688</v>
      </c>
      <c r="D117" s="886">
        <v>1</v>
      </c>
      <c r="E117" s="887">
        <v>1</v>
      </c>
      <c r="F117" s="888">
        <f>ListaMaterial[[#This Row],[REPETIÇÃO]]*ListaMaterial[[#This Row],[QUANTIDADE]]</f>
        <v>1</v>
      </c>
      <c r="H117" s="890">
        <f>ListaMaterial[[#This Row],[TOTAL]]*(1+ListaMaterial[[#This Row],[PERDA]])</f>
        <v>1</v>
      </c>
      <c r="I117" s="887" t="s">
        <v>4243</v>
      </c>
      <c r="J117" s="891">
        <f>_xlfn.XLOOKUP(ListaMaterial[[#This Row],[ITEM]],M:M,N:N,,0)</f>
        <v>16.778600000000001</v>
      </c>
      <c r="K117" s="891">
        <f>J117*ListaMaterial[[#This Row],[TOTAL C/PERDA]]</f>
        <v>16.778600000000001</v>
      </c>
      <c r="M117" s="883" t="s">
        <v>4728</v>
      </c>
      <c r="N117" s="893">
        <v>39.15</v>
      </c>
    </row>
    <row r="118" spans="1:14" x14ac:dyDescent="0.25">
      <c r="A118" s="883" t="s">
        <v>4621</v>
      </c>
      <c r="B118" s="883" t="s">
        <v>4242</v>
      </c>
      <c r="C118" s="883" t="s">
        <v>4637</v>
      </c>
      <c r="D118" s="886">
        <v>1</v>
      </c>
      <c r="E118" s="887">
        <v>1</v>
      </c>
      <c r="F118" s="888">
        <f>ListaMaterial[[#This Row],[REPETIÇÃO]]*ListaMaterial[[#This Row],[QUANTIDADE]]</f>
        <v>1</v>
      </c>
      <c r="H118" s="890">
        <f>ListaMaterial[[#This Row],[TOTAL]]*(1+ListaMaterial[[#This Row],[PERDA]])</f>
        <v>1</v>
      </c>
      <c r="I118" s="887" t="s">
        <v>4243</v>
      </c>
      <c r="J118" s="891">
        <f>_xlfn.XLOOKUP(ListaMaterial[[#This Row],[ITEM]],M:M,N:N,,0)</f>
        <v>105.9</v>
      </c>
      <c r="K118" s="891">
        <f>J118*ListaMaterial[[#This Row],[TOTAL C/PERDA]]</f>
        <v>105.9</v>
      </c>
      <c r="M118" s="883" t="s">
        <v>4729</v>
      </c>
      <c r="N118" s="893">
        <v>16.777999999999999</v>
      </c>
    </row>
    <row r="119" spans="1:14" x14ac:dyDescent="0.25">
      <c r="A119" s="883" t="s">
        <v>4621</v>
      </c>
      <c r="B119" s="883" t="s">
        <v>4242</v>
      </c>
      <c r="C119" s="883" t="s">
        <v>4640</v>
      </c>
      <c r="D119" s="886">
        <v>2</v>
      </c>
      <c r="E119" s="887">
        <v>1</v>
      </c>
      <c r="F119" s="888">
        <f>ListaMaterial[[#This Row],[REPETIÇÃO]]*ListaMaterial[[#This Row],[QUANTIDADE]]</f>
        <v>2</v>
      </c>
      <c r="H119" s="890">
        <f>ListaMaterial[[#This Row],[TOTAL]]*(1+ListaMaterial[[#This Row],[PERDA]])</f>
        <v>2</v>
      </c>
      <c r="I119" s="887" t="s">
        <v>4243</v>
      </c>
      <c r="J119" s="891">
        <f>_xlfn.XLOOKUP(ListaMaterial[[#This Row],[ITEM]],M:M,N:N,,0)</f>
        <v>31.716699999999999</v>
      </c>
      <c r="K119" s="891">
        <f>J119*ListaMaterial[[#This Row],[TOTAL C/PERDA]]</f>
        <v>63.433399999999999</v>
      </c>
      <c r="M119" s="883" t="s">
        <v>4730</v>
      </c>
      <c r="N119" s="893">
        <v>9.14</v>
      </c>
    </row>
    <row r="120" spans="1:14" x14ac:dyDescent="0.25">
      <c r="A120" s="883" t="s">
        <v>4621</v>
      </c>
      <c r="B120" s="883" t="s">
        <v>4616</v>
      </c>
      <c r="C120" s="883" t="s">
        <v>4646</v>
      </c>
      <c r="D120" s="886">
        <v>2</v>
      </c>
      <c r="E120" s="887">
        <v>1</v>
      </c>
      <c r="F120" s="888">
        <f>ListaMaterial[[#This Row],[REPETIÇÃO]]*ListaMaterial[[#This Row],[QUANTIDADE]]</f>
        <v>2</v>
      </c>
      <c r="H120" s="890">
        <f>ListaMaterial[[#This Row],[TOTAL]]*(1+ListaMaterial[[#This Row],[PERDA]])</f>
        <v>2</v>
      </c>
      <c r="I120" s="887" t="s">
        <v>4243</v>
      </c>
      <c r="J120" s="891">
        <f>_xlfn.XLOOKUP(ListaMaterial[[#This Row],[ITEM]],M:M,N:N,,0)</f>
        <v>2.02</v>
      </c>
      <c r="K120" s="891">
        <f>J120*ListaMaterial[[#This Row],[TOTAL C/PERDA]]</f>
        <v>4.04</v>
      </c>
      <c r="M120" s="883" t="s">
        <v>4731</v>
      </c>
      <c r="N120" s="893">
        <v>12.15</v>
      </c>
    </row>
    <row r="121" spans="1:14" x14ac:dyDescent="0.25">
      <c r="A121" s="883" t="s">
        <v>4621</v>
      </c>
      <c r="B121" s="883" t="s">
        <v>4429</v>
      </c>
      <c r="C121" s="883" t="s">
        <v>4647</v>
      </c>
      <c r="D121" s="886">
        <v>4</v>
      </c>
      <c r="E121" s="887">
        <v>1</v>
      </c>
      <c r="F121" s="888">
        <f>ListaMaterial[[#This Row],[REPETIÇÃO]]*ListaMaterial[[#This Row],[QUANTIDADE]]</f>
        <v>4</v>
      </c>
      <c r="H121" s="890">
        <f>ListaMaterial[[#This Row],[TOTAL]]*(1+ListaMaterial[[#This Row],[PERDA]])</f>
        <v>4</v>
      </c>
      <c r="I121" s="887" t="s">
        <v>4243</v>
      </c>
      <c r="J121" s="891">
        <f>_xlfn.XLOOKUP(ListaMaterial[[#This Row],[ITEM]],M:M,N:N,,0)</f>
        <v>0.59370000000000001</v>
      </c>
      <c r="K121" s="891">
        <f>J121*ListaMaterial[[#This Row],[TOTAL C/PERDA]]</f>
        <v>2.3748</v>
      </c>
      <c r="M121" s="883" t="s">
        <v>4732</v>
      </c>
      <c r="N121" s="893">
        <v>108.85</v>
      </c>
    </row>
    <row r="122" spans="1:14" x14ac:dyDescent="0.25">
      <c r="A122" s="883" t="s">
        <v>4621</v>
      </c>
      <c r="B122" s="883" t="s">
        <v>4429</v>
      </c>
      <c r="C122" s="883" t="s">
        <v>4653</v>
      </c>
      <c r="D122" s="886">
        <v>8</v>
      </c>
      <c r="E122" s="887">
        <v>1</v>
      </c>
      <c r="F122" s="888">
        <f>ListaMaterial[[#This Row],[REPETIÇÃO]]*ListaMaterial[[#This Row],[QUANTIDADE]]</f>
        <v>8</v>
      </c>
      <c r="H122" s="890">
        <f>ListaMaterial[[#This Row],[TOTAL]]*(1+ListaMaterial[[#This Row],[PERDA]])</f>
        <v>8</v>
      </c>
      <c r="I122" s="887" t="s">
        <v>4243</v>
      </c>
      <c r="J122" s="891">
        <f>_xlfn.XLOOKUP(ListaMaterial[[#This Row],[ITEM]],M:M,N:N,,0)</f>
        <v>0.91449999999999998</v>
      </c>
      <c r="K122" s="891">
        <f>J122*ListaMaterial[[#This Row],[TOTAL C/PERDA]]</f>
        <v>7.3159999999999998</v>
      </c>
      <c r="M122" s="883" t="s">
        <v>4733</v>
      </c>
      <c r="N122" s="893">
        <v>28.9</v>
      </c>
    </row>
    <row r="123" spans="1:14" x14ac:dyDescent="0.25">
      <c r="A123" s="883" t="s">
        <v>4621</v>
      </c>
      <c r="B123" s="883" t="s">
        <v>4429</v>
      </c>
      <c r="C123" s="883" t="s">
        <v>4654</v>
      </c>
      <c r="D123" s="886">
        <v>4</v>
      </c>
      <c r="E123" s="887">
        <v>1</v>
      </c>
      <c r="F123" s="888">
        <f>ListaMaterial[[#This Row],[REPETIÇÃO]]*ListaMaterial[[#This Row],[QUANTIDADE]]</f>
        <v>4</v>
      </c>
      <c r="H123" s="890">
        <f>ListaMaterial[[#This Row],[TOTAL]]*(1+ListaMaterial[[#This Row],[PERDA]])</f>
        <v>4</v>
      </c>
      <c r="I123" s="887" t="s">
        <v>4243</v>
      </c>
      <c r="J123" s="891">
        <f>_xlfn.XLOOKUP(ListaMaterial[[#This Row],[ITEM]],M:M,N:N,,0)</f>
        <v>0.47220000000000001</v>
      </c>
      <c r="K123" s="891">
        <f>J123*ListaMaterial[[#This Row],[TOTAL C/PERDA]]</f>
        <v>1.8888</v>
      </c>
      <c r="M123" s="883" t="s">
        <v>4676</v>
      </c>
      <c r="N123" s="893">
        <v>9.8000000000000007</v>
      </c>
    </row>
    <row r="124" spans="1:14" x14ac:dyDescent="0.25">
      <c r="A124" s="883" t="s">
        <v>4621</v>
      </c>
      <c r="B124" s="883" t="s">
        <v>4429</v>
      </c>
      <c r="C124" s="883" t="s">
        <v>4658</v>
      </c>
      <c r="D124" s="886">
        <v>2</v>
      </c>
      <c r="E124" s="887">
        <v>1</v>
      </c>
      <c r="F124" s="888">
        <f>ListaMaterial[[#This Row],[REPETIÇÃO]]*ListaMaterial[[#This Row],[QUANTIDADE]]</f>
        <v>2</v>
      </c>
      <c r="H124" s="890">
        <f>ListaMaterial[[#This Row],[TOTAL]]*(1+ListaMaterial[[#This Row],[PERDA]])</f>
        <v>2</v>
      </c>
      <c r="I124" s="887" t="s">
        <v>4243</v>
      </c>
      <c r="J124" s="891">
        <f>_xlfn.XLOOKUP(ListaMaterial[[#This Row],[ITEM]],M:M,N:N,,0)</f>
        <v>13.005000000000001</v>
      </c>
      <c r="K124" s="891">
        <f>J124*ListaMaterial[[#This Row],[TOTAL C/PERDA]]</f>
        <v>26.01</v>
      </c>
      <c r="M124" s="883" t="s">
        <v>4734</v>
      </c>
      <c r="N124" s="893">
        <v>20.18</v>
      </c>
    </row>
    <row r="125" spans="1:14" x14ac:dyDescent="0.25">
      <c r="A125" s="883" t="s">
        <v>4621</v>
      </c>
      <c r="B125" s="883" t="s">
        <v>4429</v>
      </c>
      <c r="C125" s="883" t="s">
        <v>4660</v>
      </c>
      <c r="D125" s="886">
        <v>2</v>
      </c>
      <c r="E125" s="887">
        <v>1</v>
      </c>
      <c r="F125" s="888">
        <f>ListaMaterial[[#This Row],[REPETIÇÃO]]*ListaMaterial[[#This Row],[QUANTIDADE]]</f>
        <v>2</v>
      </c>
      <c r="H125" s="890">
        <f>ListaMaterial[[#This Row],[TOTAL]]*(1+ListaMaterial[[#This Row],[PERDA]])</f>
        <v>2</v>
      </c>
      <c r="I125" s="887" t="s">
        <v>4243</v>
      </c>
      <c r="J125" s="891">
        <f>_xlfn.XLOOKUP(ListaMaterial[[#This Row],[ITEM]],M:M,N:N,,0)</f>
        <v>0.98509999999999998</v>
      </c>
      <c r="K125" s="891">
        <f>J125*ListaMaterial[[#This Row],[TOTAL C/PERDA]]</f>
        <v>1.9702</v>
      </c>
      <c r="M125" s="883" t="s">
        <v>4735</v>
      </c>
      <c r="N125" s="893">
        <v>44.9</v>
      </c>
    </row>
    <row r="126" spans="1:14" x14ac:dyDescent="0.25">
      <c r="A126" s="883" t="s">
        <v>4621</v>
      </c>
      <c r="B126" s="883" t="s">
        <v>4431</v>
      </c>
      <c r="C126" s="883" t="s">
        <v>4689</v>
      </c>
      <c r="D126" s="886">
        <v>1</v>
      </c>
      <c r="E126" s="887">
        <v>1</v>
      </c>
      <c r="F126" s="888">
        <f>ListaMaterial[[#This Row],[REPETIÇÃO]]*ListaMaterial[[#This Row],[QUANTIDADE]]</f>
        <v>1</v>
      </c>
      <c r="H126" s="890">
        <f>ListaMaterial[[#This Row],[TOTAL]]*(1+ListaMaterial[[#This Row],[PERDA]])</f>
        <v>1</v>
      </c>
      <c r="I126" s="887" t="s">
        <v>4243</v>
      </c>
      <c r="J126" s="891">
        <f>_xlfn.XLOOKUP(ListaMaterial[[#This Row],[ITEM]],M:M,N:N,,0)</f>
        <v>8.9486000000000008</v>
      </c>
      <c r="K126" s="891">
        <f>J126*ListaMaterial[[#This Row],[TOTAL C/PERDA]]</f>
        <v>8.9486000000000008</v>
      </c>
      <c r="M126" s="883" t="s">
        <v>4736</v>
      </c>
      <c r="N126" s="893">
        <v>94.39</v>
      </c>
    </row>
    <row r="127" spans="1:14" x14ac:dyDescent="0.25">
      <c r="A127" s="883" t="s">
        <v>4621</v>
      </c>
      <c r="B127" s="883" t="s">
        <v>4431</v>
      </c>
      <c r="C127" s="883" t="s">
        <v>4690</v>
      </c>
      <c r="D127" s="886">
        <v>1</v>
      </c>
      <c r="E127" s="887">
        <v>1</v>
      </c>
      <c r="F127" s="888">
        <f>ListaMaterial[[#This Row],[REPETIÇÃO]]*ListaMaterial[[#This Row],[QUANTIDADE]]</f>
        <v>1</v>
      </c>
      <c r="H127" s="890">
        <f>ListaMaterial[[#This Row],[TOTAL]]*(1+ListaMaterial[[#This Row],[PERDA]])</f>
        <v>1</v>
      </c>
      <c r="I127" s="887" t="s">
        <v>4243</v>
      </c>
      <c r="J127" s="891">
        <f>_xlfn.XLOOKUP(ListaMaterial[[#This Row],[ITEM]],M:M,N:N,,0)</f>
        <v>11.18</v>
      </c>
      <c r="K127" s="891">
        <f>J127*ListaMaterial[[#This Row],[TOTAL C/PERDA]]</f>
        <v>11.18</v>
      </c>
      <c r="M127" s="883" t="s">
        <v>4867</v>
      </c>
      <c r="N127" s="893">
        <v>184.9</v>
      </c>
    </row>
    <row r="128" spans="1:14" x14ac:dyDescent="0.25">
      <c r="A128" s="883" t="s">
        <v>4621</v>
      </c>
      <c r="B128" s="883" t="s">
        <v>4431</v>
      </c>
      <c r="C128" s="883" t="s">
        <v>4664</v>
      </c>
      <c r="D128" s="886">
        <v>1</v>
      </c>
      <c r="E128" s="887">
        <v>1</v>
      </c>
      <c r="F128" s="888">
        <f>ListaMaterial[[#This Row],[REPETIÇÃO]]*ListaMaterial[[#This Row],[QUANTIDADE]]</f>
        <v>1</v>
      </c>
      <c r="H128" s="890">
        <f>ListaMaterial[[#This Row],[TOTAL]]*(1+ListaMaterial[[#This Row],[PERDA]])</f>
        <v>1</v>
      </c>
      <c r="I128" s="887" t="s">
        <v>4243</v>
      </c>
      <c r="J128" s="891">
        <f>_xlfn.XLOOKUP(ListaMaterial[[#This Row],[ITEM]],M:M,N:N,,0)</f>
        <v>10.06</v>
      </c>
      <c r="K128" s="891">
        <f>J128*ListaMaterial[[#This Row],[TOTAL C/PERDA]]</f>
        <v>10.06</v>
      </c>
      <c r="M128" s="883" t="s">
        <v>4868</v>
      </c>
      <c r="N128" s="893">
        <v>10.72</v>
      </c>
    </row>
    <row r="129" spans="1:14" x14ac:dyDescent="0.25">
      <c r="A129" s="883" t="s">
        <v>4621</v>
      </c>
      <c r="B129" s="883" t="s">
        <v>4431</v>
      </c>
      <c r="C129" s="883" t="s">
        <v>4666</v>
      </c>
      <c r="D129" s="886">
        <v>4</v>
      </c>
      <c r="E129" s="887">
        <v>1</v>
      </c>
      <c r="F129" s="888">
        <f>ListaMaterial[[#This Row],[REPETIÇÃO]]*ListaMaterial[[#This Row],[QUANTIDADE]]</f>
        <v>4</v>
      </c>
      <c r="H129" s="890">
        <f>ListaMaterial[[#This Row],[TOTAL]]*(1+ListaMaterial[[#This Row],[PERDA]])</f>
        <v>4</v>
      </c>
      <c r="I129" s="887" t="s">
        <v>4243</v>
      </c>
      <c r="J129" s="891">
        <f>_xlfn.XLOOKUP(ListaMaterial[[#This Row],[ITEM]],M:M,N:N,,0)</f>
        <v>24.6</v>
      </c>
      <c r="K129" s="891">
        <f>J129*ListaMaterial[[#This Row],[TOTAL C/PERDA]]</f>
        <v>98.4</v>
      </c>
      <c r="M129" s="883" t="s">
        <v>4737</v>
      </c>
      <c r="N129" s="893">
        <v>33.9</v>
      </c>
    </row>
    <row r="130" spans="1:14" x14ac:dyDescent="0.25">
      <c r="A130" s="883" t="s">
        <v>4621</v>
      </c>
      <c r="B130" s="883" t="s">
        <v>4431</v>
      </c>
      <c r="C130" s="883" t="s">
        <v>4691</v>
      </c>
      <c r="D130" s="886">
        <v>2</v>
      </c>
      <c r="E130" s="887">
        <v>1</v>
      </c>
      <c r="F130" s="888">
        <f>ListaMaterial[[#This Row],[REPETIÇÃO]]*ListaMaterial[[#This Row],[QUANTIDADE]]</f>
        <v>2</v>
      </c>
      <c r="H130" s="890">
        <f>ListaMaterial[[#This Row],[TOTAL]]*(1+ListaMaterial[[#This Row],[PERDA]])</f>
        <v>2</v>
      </c>
      <c r="I130" s="887" t="s">
        <v>4243</v>
      </c>
      <c r="J130" s="891">
        <f>_xlfn.XLOOKUP(ListaMaterial[[#This Row],[ITEM]],M:M,N:N,,0)</f>
        <v>16.77</v>
      </c>
      <c r="K130" s="891">
        <f>J130*ListaMaterial[[#This Row],[TOTAL C/PERDA]]</f>
        <v>33.54</v>
      </c>
      <c r="M130" s="883" t="s">
        <v>4869</v>
      </c>
      <c r="N130" s="893">
        <v>19.489999999999998</v>
      </c>
    </row>
    <row r="131" spans="1:14" x14ac:dyDescent="0.25">
      <c r="A131" s="883" t="s">
        <v>4621</v>
      </c>
      <c r="B131" s="883" t="s">
        <v>4431</v>
      </c>
      <c r="C131" s="883" t="s">
        <v>4458</v>
      </c>
      <c r="D131" s="886">
        <v>3</v>
      </c>
      <c r="E131" s="887">
        <v>1</v>
      </c>
      <c r="F131" s="888">
        <f>ListaMaterial[[#This Row],[REPETIÇÃO]]*ListaMaterial[[#This Row],[QUANTIDADE]]</f>
        <v>3</v>
      </c>
      <c r="H131" s="890">
        <f>ListaMaterial[[#This Row],[TOTAL]]*(1+ListaMaterial[[#This Row],[PERDA]])</f>
        <v>3</v>
      </c>
      <c r="I131" s="887" t="s">
        <v>4243</v>
      </c>
      <c r="J131" s="891">
        <f>_xlfn.XLOOKUP(ListaMaterial[[#This Row],[ITEM]],M:M,N:N,,0)</f>
        <v>27.96</v>
      </c>
      <c r="K131" s="891">
        <f>J131*ListaMaterial[[#This Row],[TOTAL C/PERDA]]</f>
        <v>83.88</v>
      </c>
      <c r="M131" s="883" t="s">
        <v>4738</v>
      </c>
      <c r="N131" s="893">
        <f>32.39/6</f>
        <v>5.3983333333333334</v>
      </c>
    </row>
    <row r="132" spans="1:14" x14ac:dyDescent="0.25">
      <c r="A132" s="883" t="s">
        <v>4621</v>
      </c>
      <c r="B132" s="883" t="s">
        <v>4431</v>
      </c>
      <c r="C132" s="883" t="s">
        <v>4692</v>
      </c>
      <c r="D132" s="886">
        <v>1</v>
      </c>
      <c r="E132" s="887">
        <v>1</v>
      </c>
      <c r="F132" s="888">
        <f>ListaMaterial[[#This Row],[REPETIÇÃO]]*ListaMaterial[[#This Row],[QUANTIDADE]]</f>
        <v>1</v>
      </c>
      <c r="H132" s="890">
        <f>ListaMaterial[[#This Row],[TOTAL]]*(1+ListaMaterial[[#This Row],[PERDA]])</f>
        <v>1</v>
      </c>
      <c r="I132" s="887" t="s">
        <v>4243</v>
      </c>
      <c r="J132" s="891">
        <f>_xlfn.XLOOKUP(ListaMaterial[[#This Row],[ITEM]],M:M,N:N,,0)</f>
        <v>22.37</v>
      </c>
      <c r="K132" s="891">
        <f>J132*ListaMaterial[[#This Row],[TOTAL C/PERDA]]</f>
        <v>22.37</v>
      </c>
      <c r="M132" s="883" t="s">
        <v>4739</v>
      </c>
      <c r="N132" s="893">
        <f>89.9/3</f>
        <v>29.966666666666669</v>
      </c>
    </row>
    <row r="133" spans="1:14" x14ac:dyDescent="0.25">
      <c r="A133" s="883" t="s">
        <v>4621</v>
      </c>
      <c r="B133" s="883" t="s">
        <v>4431</v>
      </c>
      <c r="C133" s="883" t="s">
        <v>4693</v>
      </c>
      <c r="D133" s="886">
        <v>1</v>
      </c>
      <c r="E133" s="887">
        <v>1</v>
      </c>
      <c r="F133" s="888">
        <f>ListaMaterial[[#This Row],[REPETIÇÃO]]*ListaMaterial[[#This Row],[QUANTIDADE]]</f>
        <v>1</v>
      </c>
      <c r="H133" s="890">
        <f>ListaMaterial[[#This Row],[TOTAL]]*(1+ListaMaterial[[#This Row],[PERDA]])</f>
        <v>1</v>
      </c>
      <c r="I133" s="887" t="s">
        <v>4243</v>
      </c>
      <c r="J133" s="891">
        <f>_xlfn.XLOOKUP(ListaMaterial[[#This Row],[ITEM]],M:M,N:N,,0)</f>
        <v>24.6</v>
      </c>
      <c r="K133" s="891">
        <f>J133*ListaMaterial[[#This Row],[TOTAL C/PERDA]]</f>
        <v>24.6</v>
      </c>
      <c r="M133" s="883" t="s">
        <v>4740</v>
      </c>
      <c r="N133" s="893">
        <v>12.832716666666668</v>
      </c>
    </row>
    <row r="134" spans="1:14" x14ac:dyDescent="0.25">
      <c r="A134" s="883" t="s">
        <v>4621</v>
      </c>
      <c r="B134" s="883" t="s">
        <v>4431</v>
      </c>
      <c r="C134" s="883" t="s">
        <v>4670</v>
      </c>
      <c r="D134" s="886">
        <v>1</v>
      </c>
      <c r="E134" s="887">
        <v>1</v>
      </c>
      <c r="F134" s="888">
        <f>ListaMaterial[[#This Row],[REPETIÇÃO]]*ListaMaterial[[#This Row],[QUANTIDADE]]</f>
        <v>1</v>
      </c>
      <c r="H134" s="890">
        <f>ListaMaterial[[#This Row],[TOTAL]]*(1+ListaMaterial[[#This Row],[PERDA]])</f>
        <v>1</v>
      </c>
      <c r="I134" s="887" t="s">
        <v>4243</v>
      </c>
      <c r="J134" s="891">
        <f>_xlfn.XLOOKUP(ListaMaterial[[#This Row],[ITEM]],M:M,N:N,,0)</f>
        <v>39.15</v>
      </c>
      <c r="K134" s="891">
        <f>J134*ListaMaterial[[#This Row],[TOTAL C/PERDA]]</f>
        <v>39.15</v>
      </c>
      <c r="M134" s="883" t="s">
        <v>4741</v>
      </c>
      <c r="N134" s="893">
        <v>66.989999999999995</v>
      </c>
    </row>
    <row r="135" spans="1:14" x14ac:dyDescent="0.25">
      <c r="A135" s="883" t="s">
        <v>4621</v>
      </c>
      <c r="B135" s="883" t="s">
        <v>4431</v>
      </c>
      <c r="C135" s="883" t="s">
        <v>4671</v>
      </c>
      <c r="D135" s="886">
        <v>3</v>
      </c>
      <c r="E135" s="887">
        <v>1</v>
      </c>
      <c r="F135" s="888">
        <f>ListaMaterial[[#This Row],[REPETIÇÃO]]*ListaMaterial[[#This Row],[QUANTIDADE]]</f>
        <v>3</v>
      </c>
      <c r="H135" s="890">
        <f>ListaMaterial[[#This Row],[TOTAL]]*(1+ListaMaterial[[#This Row],[PERDA]])</f>
        <v>3</v>
      </c>
      <c r="I135" s="887" t="s">
        <v>4243</v>
      </c>
      <c r="J135" s="891">
        <f>_xlfn.XLOOKUP(ListaMaterial[[#This Row],[ITEM]],M:M,N:N,,0)</f>
        <v>44.74</v>
      </c>
      <c r="K135" s="891">
        <f>J135*ListaMaterial[[#This Row],[TOTAL C/PERDA]]</f>
        <v>134.22</v>
      </c>
      <c r="M135" s="883" t="s">
        <v>4742</v>
      </c>
      <c r="N135" s="893">
        <v>154</v>
      </c>
    </row>
    <row r="136" spans="1:14" x14ac:dyDescent="0.25">
      <c r="A136" s="883" t="s">
        <v>4621</v>
      </c>
      <c r="B136" s="883" t="s">
        <v>4431</v>
      </c>
      <c r="C136" s="883" t="s">
        <v>4694</v>
      </c>
      <c r="D136" s="886">
        <v>1</v>
      </c>
      <c r="E136" s="887">
        <v>1</v>
      </c>
      <c r="F136" s="888">
        <f>ListaMaterial[[#This Row],[REPETIÇÃO]]*ListaMaterial[[#This Row],[QUANTIDADE]]</f>
        <v>1</v>
      </c>
      <c r="H136" s="890">
        <f>ListaMaterial[[#This Row],[TOTAL]]*(1+ListaMaterial[[#This Row],[PERDA]])</f>
        <v>1</v>
      </c>
      <c r="I136" s="887" t="s">
        <v>4243</v>
      </c>
      <c r="J136" s="891">
        <f>_xlfn.XLOOKUP(ListaMaterial[[#This Row],[ITEM]],M:M,N:N,,0)</f>
        <v>6.7110000000000003</v>
      </c>
      <c r="K136" s="891">
        <f>J136*ListaMaterial[[#This Row],[TOTAL C/PERDA]]</f>
        <v>6.7110000000000003</v>
      </c>
      <c r="M136" s="883" t="s">
        <v>4743</v>
      </c>
      <c r="N136" s="893">
        <v>29.54</v>
      </c>
    </row>
    <row r="137" spans="1:14" x14ac:dyDescent="0.25">
      <c r="A137" s="883" t="s">
        <v>4621</v>
      </c>
      <c r="B137" s="883" t="s">
        <v>4431</v>
      </c>
      <c r="C137" s="883" t="s">
        <v>4695</v>
      </c>
      <c r="D137" s="886">
        <v>2</v>
      </c>
      <c r="E137" s="887">
        <v>1</v>
      </c>
      <c r="F137" s="888">
        <f>ListaMaterial[[#This Row],[REPETIÇÃO]]*ListaMaterial[[#This Row],[QUANTIDADE]]</f>
        <v>2</v>
      </c>
      <c r="H137" s="890">
        <f>ListaMaterial[[#This Row],[TOTAL]]*(1+ListaMaterial[[#This Row],[PERDA]])</f>
        <v>2</v>
      </c>
      <c r="I137" s="887" t="s">
        <v>4243</v>
      </c>
      <c r="J137" s="891">
        <f>_xlfn.XLOOKUP(ListaMaterial[[#This Row],[ITEM]],M:M,N:N,,0)</f>
        <v>8.9486000000000008</v>
      </c>
      <c r="K137" s="891">
        <f>J137*ListaMaterial[[#This Row],[TOTAL C/PERDA]]</f>
        <v>17.897200000000002</v>
      </c>
      <c r="M137" s="883" t="s">
        <v>4744</v>
      </c>
      <c r="N137" s="893">
        <v>3.84</v>
      </c>
    </row>
    <row r="138" spans="1:14" x14ac:dyDescent="0.25">
      <c r="A138" s="883" t="s">
        <v>4621</v>
      </c>
      <c r="B138" s="883" t="s">
        <v>4431</v>
      </c>
      <c r="C138" s="883" t="s">
        <v>4459</v>
      </c>
      <c r="D138" s="886">
        <v>9</v>
      </c>
      <c r="E138" s="887">
        <v>1</v>
      </c>
      <c r="F138" s="888">
        <f>ListaMaterial[[#This Row],[REPETIÇÃO]]*ListaMaterial[[#This Row],[QUANTIDADE]]</f>
        <v>9</v>
      </c>
      <c r="H138" s="890">
        <f>ListaMaterial[[#This Row],[TOTAL]]*(1+ListaMaterial[[#This Row],[PERDA]])</f>
        <v>9</v>
      </c>
      <c r="I138" s="887" t="s">
        <v>4243</v>
      </c>
      <c r="J138" s="891">
        <f>_xlfn.XLOOKUP(ListaMaterial[[#This Row],[ITEM]],M:M,N:N,,0)</f>
        <v>13.42</v>
      </c>
      <c r="K138" s="891">
        <f>J138*ListaMaterial[[#This Row],[TOTAL C/PERDA]]</f>
        <v>120.78</v>
      </c>
      <c r="M138" s="883" t="s">
        <v>4745</v>
      </c>
      <c r="N138" s="893">
        <v>7.11</v>
      </c>
    </row>
    <row r="139" spans="1:14" x14ac:dyDescent="0.25">
      <c r="A139" s="883" t="s">
        <v>4621</v>
      </c>
      <c r="B139" s="883" t="s">
        <v>4431</v>
      </c>
      <c r="C139" s="883" t="s">
        <v>4696</v>
      </c>
      <c r="D139" s="886">
        <v>1</v>
      </c>
      <c r="E139" s="887">
        <v>1</v>
      </c>
      <c r="F139" s="888">
        <f>ListaMaterial[[#This Row],[REPETIÇÃO]]*ListaMaterial[[#This Row],[QUANTIDADE]]</f>
        <v>1</v>
      </c>
      <c r="H139" s="890">
        <f>ListaMaterial[[#This Row],[TOTAL]]*(1+ListaMaterial[[#This Row],[PERDA]])</f>
        <v>1</v>
      </c>
      <c r="I139" s="887" t="s">
        <v>4243</v>
      </c>
      <c r="J139" s="891">
        <f>_xlfn.XLOOKUP(ListaMaterial[[#This Row],[ITEM]],M:M,N:N,,0)</f>
        <v>16.77</v>
      </c>
      <c r="K139" s="891">
        <f>J139*ListaMaterial[[#This Row],[TOTAL C/PERDA]]</f>
        <v>16.77</v>
      </c>
      <c r="M139" s="883" t="s">
        <v>4471</v>
      </c>
      <c r="N139" s="893">
        <v>1.24</v>
      </c>
    </row>
    <row r="140" spans="1:14" x14ac:dyDescent="0.25">
      <c r="A140" s="883" t="s">
        <v>4621</v>
      </c>
      <c r="B140" s="883" t="s">
        <v>4441</v>
      </c>
      <c r="C140" s="883" t="s">
        <v>4697</v>
      </c>
      <c r="D140" s="886">
        <v>3</v>
      </c>
      <c r="E140" s="887">
        <v>1</v>
      </c>
      <c r="F140" s="888">
        <f>ListaMaterial[[#This Row],[REPETIÇÃO]]*ListaMaterial[[#This Row],[QUANTIDADE]]</f>
        <v>3</v>
      </c>
      <c r="H140" s="890">
        <f>ListaMaterial[[#This Row],[TOTAL]]*(1+ListaMaterial[[#This Row],[PERDA]])</f>
        <v>3</v>
      </c>
      <c r="I140" s="887" t="s">
        <v>4243</v>
      </c>
      <c r="J140" s="891">
        <f>_xlfn.XLOOKUP(ListaMaterial[[#This Row],[ITEM]],M:M,N:N,,0)</f>
        <v>13.42</v>
      </c>
      <c r="K140" s="891">
        <f>J140*ListaMaterial[[#This Row],[TOTAL C/PERDA]]</f>
        <v>40.26</v>
      </c>
      <c r="M140" s="883" t="s">
        <v>4746</v>
      </c>
      <c r="N140" s="893">
        <v>21.8</v>
      </c>
    </row>
    <row r="141" spans="1:14" x14ac:dyDescent="0.25">
      <c r="A141" s="883" t="s">
        <v>4621</v>
      </c>
      <c r="B141" s="883" t="s">
        <v>4441</v>
      </c>
      <c r="C141" s="883" t="s">
        <v>4843</v>
      </c>
      <c r="D141" s="886">
        <v>16</v>
      </c>
      <c r="E141" s="887">
        <v>1</v>
      </c>
      <c r="F141" s="888">
        <f>ListaMaterial[[#This Row],[REPETIÇÃO]]*ListaMaterial[[#This Row],[QUANTIDADE]]</f>
        <v>16</v>
      </c>
      <c r="H141" s="890">
        <f>ListaMaterial[[#This Row],[TOTAL]]*(1+ListaMaterial[[#This Row],[PERDA]])</f>
        <v>16</v>
      </c>
      <c r="I141" s="887" t="s">
        <v>4243</v>
      </c>
      <c r="J141" s="891">
        <f>_xlfn.XLOOKUP(ListaMaterial[[#This Row],[ITEM]],M:M,N:N,,0)</f>
        <v>13.016999999999999</v>
      </c>
      <c r="K141" s="891">
        <f>J141*ListaMaterial[[#This Row],[TOTAL C/PERDA]]</f>
        <v>208.27199999999999</v>
      </c>
      <c r="M141" s="883" t="s">
        <v>4747</v>
      </c>
      <c r="N141" s="893">
        <v>9.52</v>
      </c>
    </row>
    <row r="142" spans="1:14" x14ac:dyDescent="0.25">
      <c r="A142" s="883" t="s">
        <v>4621</v>
      </c>
      <c r="B142" s="883" t="s">
        <v>4441</v>
      </c>
      <c r="C142" s="883" t="s">
        <v>4844</v>
      </c>
      <c r="D142" s="886">
        <v>5</v>
      </c>
      <c r="E142" s="887">
        <v>1</v>
      </c>
      <c r="F142" s="888">
        <f>ListaMaterial[[#This Row],[REPETIÇÃO]]*ListaMaterial[[#This Row],[QUANTIDADE]]</f>
        <v>5</v>
      </c>
      <c r="H142" s="890">
        <f>ListaMaterial[[#This Row],[TOTAL]]*(1+ListaMaterial[[#This Row],[PERDA]])</f>
        <v>5</v>
      </c>
      <c r="I142" s="887" t="s">
        <v>4243</v>
      </c>
      <c r="J142" s="891">
        <f>_xlfn.XLOOKUP(ListaMaterial[[#This Row],[ITEM]],M:M,N:N,,0)</f>
        <v>7.21</v>
      </c>
      <c r="K142" s="891">
        <f>J142*ListaMaterial[[#This Row],[TOTAL C/PERDA]]</f>
        <v>36.049999999999997</v>
      </c>
      <c r="M142" s="883" t="s">
        <v>4748</v>
      </c>
      <c r="N142" s="893">
        <v>3.8</v>
      </c>
    </row>
    <row r="143" spans="1:14" x14ac:dyDescent="0.25">
      <c r="A143" s="883" t="s">
        <v>4621</v>
      </c>
      <c r="B143" s="883" t="s">
        <v>4441</v>
      </c>
      <c r="C143" s="883" t="s">
        <v>4845</v>
      </c>
      <c r="D143" s="886">
        <v>1</v>
      </c>
      <c r="E143" s="887">
        <v>1</v>
      </c>
      <c r="F143" s="888">
        <f>ListaMaterial[[#This Row],[REPETIÇÃO]]*ListaMaterial[[#This Row],[QUANTIDADE]]</f>
        <v>1</v>
      </c>
      <c r="H143" s="890">
        <f>ListaMaterial[[#This Row],[TOTAL]]*(1+ListaMaterial[[#This Row],[PERDA]])</f>
        <v>1</v>
      </c>
      <c r="I143" s="887" t="s">
        <v>4243</v>
      </c>
      <c r="J143" s="891">
        <f>_xlfn.XLOOKUP(ListaMaterial[[#This Row],[ITEM]],M:M,N:N,,0)</f>
        <v>8.11</v>
      </c>
      <c r="K143" s="891">
        <f>J143*ListaMaterial[[#This Row],[TOTAL C/PERDA]]</f>
        <v>8.11</v>
      </c>
      <c r="M143" s="883" t="s">
        <v>4870</v>
      </c>
      <c r="N143" s="893">
        <v>4.3099999999999996</v>
      </c>
    </row>
    <row r="144" spans="1:14" x14ac:dyDescent="0.25">
      <c r="A144" s="883" t="s">
        <v>4621</v>
      </c>
      <c r="B144" s="883" t="s">
        <v>4441</v>
      </c>
      <c r="C144" s="883" t="s">
        <v>4854</v>
      </c>
      <c r="D144" s="886">
        <v>4</v>
      </c>
      <c r="E144" s="887">
        <v>1</v>
      </c>
      <c r="F144" s="888">
        <f>ListaMaterial[[#This Row],[REPETIÇÃO]]*ListaMaterial[[#This Row],[QUANTIDADE]]</f>
        <v>4</v>
      </c>
      <c r="H144" s="890">
        <f>ListaMaterial[[#This Row],[TOTAL]]*(1+ListaMaterial[[#This Row],[PERDA]])</f>
        <v>4</v>
      </c>
      <c r="I144" s="887" t="s">
        <v>4243</v>
      </c>
      <c r="J144" s="891">
        <f>_xlfn.XLOOKUP(ListaMaterial[[#This Row],[ITEM]],M:M,N:N,,0)</f>
        <v>5.0599999999999996</v>
      </c>
      <c r="K144" s="891">
        <f>J144*ListaMaterial[[#This Row],[TOTAL C/PERDA]]</f>
        <v>20.239999999999998</v>
      </c>
      <c r="M144" s="883" t="s">
        <v>4871</v>
      </c>
      <c r="N144" s="893">
        <v>4.78</v>
      </c>
    </row>
    <row r="145" spans="1:15" x14ac:dyDescent="0.25">
      <c r="A145" s="883" t="s">
        <v>4621</v>
      </c>
      <c r="B145" s="883" t="s">
        <v>4441</v>
      </c>
      <c r="C145" s="883" t="s">
        <v>4863</v>
      </c>
      <c r="D145" s="886">
        <v>7</v>
      </c>
      <c r="E145" s="887">
        <v>1</v>
      </c>
      <c r="F145" s="888">
        <f>ListaMaterial[[#This Row],[REPETIÇÃO]]*ListaMaterial[[#This Row],[QUANTIDADE]]</f>
        <v>7</v>
      </c>
      <c r="H145" s="890">
        <f>ListaMaterial[[#This Row],[TOTAL]]*(1+ListaMaterial[[#This Row],[PERDA]])</f>
        <v>7</v>
      </c>
      <c r="I145" s="887" t="s">
        <v>4243</v>
      </c>
      <c r="J145" s="891">
        <f>_xlfn.XLOOKUP(ListaMaterial[[#This Row],[ITEM]],M:M,N:N,,0)</f>
        <v>27.96</v>
      </c>
      <c r="K145" s="891">
        <f>J145*ListaMaterial[[#This Row],[TOTAL C/PERDA]]</f>
        <v>195.72</v>
      </c>
      <c r="M145" s="883" t="s">
        <v>4872</v>
      </c>
      <c r="N145" s="893">
        <v>184.9</v>
      </c>
    </row>
    <row r="146" spans="1:15" x14ac:dyDescent="0.25">
      <c r="A146" s="883" t="s">
        <v>4621</v>
      </c>
      <c r="B146" s="883" t="s">
        <v>4441</v>
      </c>
      <c r="C146" s="883" t="s">
        <v>4864</v>
      </c>
      <c r="D146" s="886">
        <v>3</v>
      </c>
      <c r="E146" s="887">
        <v>1</v>
      </c>
      <c r="F146" s="888">
        <f>ListaMaterial[[#This Row],[REPETIÇÃO]]*ListaMaterial[[#This Row],[QUANTIDADE]]</f>
        <v>3</v>
      </c>
      <c r="H146" s="890">
        <f>ListaMaterial[[#This Row],[TOTAL]]*(1+ListaMaterial[[#This Row],[PERDA]])</f>
        <v>3</v>
      </c>
      <c r="I146" s="887" t="s">
        <v>4243</v>
      </c>
      <c r="J146" s="891">
        <f>_xlfn.XLOOKUP(ListaMaterial[[#This Row],[ITEM]],M:M,N:N,,0)</f>
        <v>31.32</v>
      </c>
      <c r="K146" s="891">
        <f>J146*ListaMaterial[[#This Row],[TOTAL C/PERDA]]</f>
        <v>93.960000000000008</v>
      </c>
      <c r="M146" s="883" t="s">
        <v>4749</v>
      </c>
      <c r="N146" s="893">
        <f>113.39/6</f>
        <v>18.898333333333333</v>
      </c>
    </row>
    <row r="147" spans="1:15" x14ac:dyDescent="0.25">
      <c r="A147" s="883" t="s">
        <v>4621</v>
      </c>
      <c r="B147" s="883" t="s">
        <v>4441</v>
      </c>
      <c r="C147" s="883" t="s">
        <v>4860</v>
      </c>
      <c r="D147" s="886">
        <v>1</v>
      </c>
      <c r="E147" s="887">
        <v>1</v>
      </c>
      <c r="F147" s="888">
        <f>ListaMaterial[[#This Row],[REPETIÇÃO]]*ListaMaterial[[#This Row],[QUANTIDADE]]</f>
        <v>1</v>
      </c>
      <c r="H147" s="890">
        <f>ListaMaterial[[#This Row],[TOTAL]]*(1+ListaMaterial[[#This Row],[PERDA]])</f>
        <v>1</v>
      </c>
      <c r="I147" s="887" t="s">
        <v>4243</v>
      </c>
      <c r="J147" s="891">
        <f>_xlfn.XLOOKUP(ListaMaterial[[#This Row],[ITEM]],M:M,N:N,,0)</f>
        <v>22.9</v>
      </c>
      <c r="K147" s="891">
        <f>J147*ListaMaterial[[#This Row],[TOTAL C/PERDA]]</f>
        <v>22.9</v>
      </c>
      <c r="M147" s="883" t="s">
        <v>4750</v>
      </c>
      <c r="N147" s="893">
        <v>38.74</v>
      </c>
    </row>
    <row r="148" spans="1:15" x14ac:dyDescent="0.25">
      <c r="A148" s="883" t="s">
        <v>4621</v>
      </c>
      <c r="B148" s="883" t="s">
        <v>4441</v>
      </c>
      <c r="C148" s="883" t="s">
        <v>4672</v>
      </c>
      <c r="D148" s="886">
        <v>14</v>
      </c>
      <c r="E148" s="887">
        <v>1</v>
      </c>
      <c r="F148" s="888">
        <f>ListaMaterial[[#This Row],[REPETIÇÃO]]*ListaMaterial[[#This Row],[QUANTIDADE]]</f>
        <v>14</v>
      </c>
      <c r="H148" s="890">
        <f>ListaMaterial[[#This Row],[TOTAL]]*(1+ListaMaterial[[#This Row],[PERDA]])</f>
        <v>14</v>
      </c>
      <c r="I148" s="887" t="s">
        <v>4243</v>
      </c>
      <c r="J148" s="891">
        <f>_xlfn.XLOOKUP(ListaMaterial[[#This Row],[ITEM]],M:M,N:N,,0)</f>
        <v>8.94</v>
      </c>
      <c r="K148" s="891">
        <f>J148*ListaMaterial[[#This Row],[TOTAL C/PERDA]]</f>
        <v>125.16</v>
      </c>
      <c r="M148" s="883" t="s">
        <v>4751</v>
      </c>
      <c r="N148" s="893">
        <v>9.66</v>
      </c>
    </row>
    <row r="149" spans="1:15" x14ac:dyDescent="0.25">
      <c r="A149" s="883" t="s">
        <v>4621</v>
      </c>
      <c r="B149" s="883" t="s">
        <v>4441</v>
      </c>
      <c r="C149" s="883" t="s">
        <v>4673</v>
      </c>
      <c r="D149" s="886">
        <v>11</v>
      </c>
      <c r="E149" s="887">
        <v>1</v>
      </c>
      <c r="F149" s="888">
        <f>ListaMaterial[[#This Row],[REPETIÇÃO]]*ListaMaterial[[#This Row],[QUANTIDADE]]</f>
        <v>11</v>
      </c>
      <c r="H149" s="890">
        <f>ListaMaterial[[#This Row],[TOTAL]]*(1+ListaMaterial[[#This Row],[PERDA]])</f>
        <v>11</v>
      </c>
      <c r="I149" s="887" t="s">
        <v>4243</v>
      </c>
      <c r="J149" s="891">
        <f>_xlfn.XLOOKUP(ListaMaterial[[#This Row],[ITEM]],M:M,N:N,,0)</f>
        <v>5.95</v>
      </c>
      <c r="K149" s="891">
        <f>J149*ListaMaterial[[#This Row],[TOTAL C/PERDA]]</f>
        <v>65.45</v>
      </c>
      <c r="M149" s="883" t="s">
        <v>4752</v>
      </c>
      <c r="N149" s="893">
        <v>4.5232000000000001</v>
      </c>
    </row>
    <row r="150" spans="1:15" x14ac:dyDescent="0.25">
      <c r="A150" s="883" t="s">
        <v>4621</v>
      </c>
      <c r="B150" s="883" t="s">
        <v>4441</v>
      </c>
      <c r="C150" s="883" t="s">
        <v>4674</v>
      </c>
      <c r="D150" s="886">
        <v>1</v>
      </c>
      <c r="E150" s="887">
        <v>1</v>
      </c>
      <c r="F150" s="888">
        <f>ListaMaterial[[#This Row],[REPETIÇÃO]]*ListaMaterial[[#This Row],[QUANTIDADE]]</f>
        <v>1</v>
      </c>
      <c r="H150" s="890">
        <f>ListaMaterial[[#This Row],[TOTAL]]*(1+ListaMaterial[[#This Row],[PERDA]])</f>
        <v>1</v>
      </c>
      <c r="I150" s="887" t="s">
        <v>4243</v>
      </c>
      <c r="J150" s="891">
        <f>_xlfn.XLOOKUP(ListaMaterial[[#This Row],[ITEM]],M:M,N:N,,0)</f>
        <v>7.59</v>
      </c>
      <c r="K150" s="891">
        <f>J150*ListaMaterial[[#This Row],[TOTAL C/PERDA]]</f>
        <v>7.59</v>
      </c>
      <c r="M150" s="883" t="s">
        <v>4665</v>
      </c>
      <c r="N150" s="893">
        <v>6.9</v>
      </c>
    </row>
    <row r="151" spans="1:15" x14ac:dyDescent="0.25">
      <c r="A151" s="883" t="s">
        <v>4621</v>
      </c>
      <c r="B151" s="883" t="s">
        <v>4441</v>
      </c>
      <c r="C151" s="883" t="s">
        <v>4698</v>
      </c>
      <c r="D151" s="886">
        <v>1</v>
      </c>
      <c r="E151" s="887">
        <v>1</v>
      </c>
      <c r="F151" s="888">
        <f>ListaMaterial[[#This Row],[REPETIÇÃO]]*ListaMaterial[[#This Row],[QUANTIDADE]]</f>
        <v>1</v>
      </c>
      <c r="H151" s="890">
        <f>ListaMaterial[[#This Row],[TOTAL]]*(1+ListaMaterial[[#This Row],[PERDA]])</f>
        <v>1</v>
      </c>
      <c r="I151" s="887" t="s">
        <v>4243</v>
      </c>
      <c r="J151" s="891">
        <f>_xlfn.XLOOKUP(ListaMaterial[[#This Row],[ITEM]],M:M,N:N,,0)</f>
        <v>20.13</v>
      </c>
      <c r="K151" s="891">
        <f>J151*ListaMaterial[[#This Row],[TOTAL C/PERDA]]</f>
        <v>20.13</v>
      </c>
      <c r="M151" s="883" t="s">
        <v>4753</v>
      </c>
      <c r="N151" s="893">
        <v>29.58</v>
      </c>
    </row>
    <row r="152" spans="1:15" x14ac:dyDescent="0.25">
      <c r="A152" s="883" t="s">
        <v>4621</v>
      </c>
      <c r="B152" s="883" t="s">
        <v>4441</v>
      </c>
      <c r="C152" s="883" t="s">
        <v>4699</v>
      </c>
      <c r="D152" s="886">
        <v>1</v>
      </c>
      <c r="E152" s="887">
        <v>1</v>
      </c>
      <c r="F152" s="888">
        <f>ListaMaterial[[#This Row],[REPETIÇÃO]]*ListaMaterial[[#This Row],[QUANTIDADE]]</f>
        <v>1</v>
      </c>
      <c r="H152" s="890">
        <f>ListaMaterial[[#This Row],[TOTAL]]*(1+ListaMaterial[[#This Row],[PERDA]])</f>
        <v>1</v>
      </c>
      <c r="I152" s="887" t="s">
        <v>4243</v>
      </c>
      <c r="J152" s="891">
        <f>_xlfn.XLOOKUP(ListaMaterial[[#This Row],[ITEM]],M:M,N:N,,0)</f>
        <v>27.96</v>
      </c>
      <c r="K152" s="891">
        <f>J152*ListaMaterial[[#This Row],[TOTAL C/PERDA]]</f>
        <v>27.96</v>
      </c>
      <c r="M152" s="883" t="s">
        <v>4754</v>
      </c>
      <c r="N152" s="893">
        <v>6.8</v>
      </c>
    </row>
    <row r="153" spans="1:15" x14ac:dyDescent="0.25">
      <c r="A153" s="883" t="s">
        <v>4621</v>
      </c>
      <c r="B153" s="883" t="s">
        <v>4440</v>
      </c>
      <c r="C153" s="883" t="s">
        <v>4700</v>
      </c>
      <c r="D153" s="886">
        <v>5.4</v>
      </c>
      <c r="E153" s="887">
        <v>1</v>
      </c>
      <c r="F153" s="888">
        <f>ListaMaterial[[#This Row],[REPETIÇÃO]]*ListaMaterial[[#This Row],[QUANTIDADE]]</f>
        <v>5.4</v>
      </c>
      <c r="G153" s="889">
        <v>0.15</v>
      </c>
      <c r="H153" s="890">
        <f>ListaMaterial[[#This Row],[TOTAL]]*(1+ListaMaterial[[#This Row],[PERDA]])</f>
        <v>6.21</v>
      </c>
      <c r="I153" s="887" t="s">
        <v>3</v>
      </c>
      <c r="J153" s="891">
        <f>_xlfn.XLOOKUP(ListaMaterial[[#This Row],[ITEM]],M:M,N:N,,0)</f>
        <v>13.42</v>
      </c>
      <c r="K153" s="891">
        <f>J153*ListaMaterial[[#This Row],[TOTAL C/PERDA]]</f>
        <v>83.338200000000001</v>
      </c>
      <c r="M153" s="883" t="s">
        <v>4755</v>
      </c>
      <c r="N153" s="893">
        <v>17.87</v>
      </c>
    </row>
    <row r="154" spans="1:15" x14ac:dyDescent="0.25">
      <c r="A154" s="883" t="s">
        <v>4621</v>
      </c>
      <c r="B154" s="883" t="s">
        <v>4440</v>
      </c>
      <c r="C154" s="883" t="s">
        <v>4701</v>
      </c>
      <c r="D154" s="886">
        <v>5.01</v>
      </c>
      <c r="E154" s="887">
        <v>1</v>
      </c>
      <c r="F154" s="888">
        <f>ListaMaterial[[#This Row],[REPETIÇÃO]]*ListaMaterial[[#This Row],[QUANTIDADE]]</f>
        <v>5.01</v>
      </c>
      <c r="G154" s="889">
        <v>0.15</v>
      </c>
      <c r="H154" s="890">
        <f>ListaMaterial[[#This Row],[TOTAL]]*(1+ListaMaterial[[#This Row],[PERDA]])</f>
        <v>5.761499999999999</v>
      </c>
      <c r="I154" s="887" t="s">
        <v>3</v>
      </c>
      <c r="J154" s="891">
        <f>_xlfn.XLOOKUP(ListaMaterial[[#This Row],[ITEM]],M:M,N:N,,0)</f>
        <v>16.777999999999999</v>
      </c>
      <c r="K154" s="891">
        <f>J154*ListaMaterial[[#This Row],[TOTAL C/PERDA]]</f>
        <v>96.666446999999977</v>
      </c>
      <c r="M154" s="883" t="s">
        <v>4756</v>
      </c>
      <c r="N154" s="893">
        <f>54.66/6</f>
        <v>9.11</v>
      </c>
    </row>
    <row r="155" spans="1:15" x14ac:dyDescent="0.25">
      <c r="A155" s="883" t="s">
        <v>4621</v>
      </c>
      <c r="B155" s="883" t="s">
        <v>4440</v>
      </c>
      <c r="C155" s="883" t="s">
        <v>4679</v>
      </c>
      <c r="D155" s="886">
        <v>18.04</v>
      </c>
      <c r="E155" s="887">
        <v>1</v>
      </c>
      <c r="F155" s="888">
        <f>ListaMaterial[[#This Row],[REPETIÇÃO]]*ListaMaterial[[#This Row],[QUANTIDADE]]</f>
        <v>18.04</v>
      </c>
      <c r="G155" s="889">
        <v>0.15</v>
      </c>
      <c r="H155" s="890">
        <f>ListaMaterial[[#This Row],[TOTAL]]*(1+ListaMaterial[[#This Row],[PERDA]])</f>
        <v>20.745999999999999</v>
      </c>
      <c r="I155" s="887" t="s">
        <v>3</v>
      </c>
      <c r="J155" s="891">
        <f>_xlfn.XLOOKUP(ListaMaterial[[#This Row],[ITEM]],M:M,N:N,,0)</f>
        <v>20.134399999999999</v>
      </c>
      <c r="K155" s="891">
        <f>J155*ListaMaterial[[#This Row],[TOTAL C/PERDA]]</f>
        <v>417.70826239999997</v>
      </c>
      <c r="M155" s="885" t="s">
        <v>4757</v>
      </c>
      <c r="N155" s="892">
        <v>12000</v>
      </c>
      <c r="O155" s="883" t="s">
        <v>4873</v>
      </c>
    </row>
    <row r="156" spans="1:15" x14ac:dyDescent="0.25">
      <c r="A156" s="883" t="s">
        <v>4621</v>
      </c>
      <c r="B156" s="883" t="s">
        <v>4618</v>
      </c>
      <c r="C156" s="883" t="s">
        <v>4680</v>
      </c>
      <c r="D156" s="886">
        <v>28.14</v>
      </c>
      <c r="E156" s="887">
        <v>1</v>
      </c>
      <c r="F156" s="888">
        <f>ListaMaterial[[#This Row],[REPETIÇÃO]]*ListaMaterial[[#This Row],[QUANTIDADE]]</f>
        <v>28.14</v>
      </c>
      <c r="G156" s="889">
        <v>0.15</v>
      </c>
      <c r="H156" s="890">
        <f>ListaMaterial[[#This Row],[TOTAL]]*(1+ListaMaterial[[#This Row],[PERDA]])</f>
        <v>32.360999999999997</v>
      </c>
      <c r="I156" s="887" t="s">
        <v>3</v>
      </c>
      <c r="J156" s="891">
        <f>_xlfn.XLOOKUP(ListaMaterial[[#This Row],[ITEM]],M:M,N:N,,0)</f>
        <v>9.2899999999999991</v>
      </c>
      <c r="K156" s="891">
        <f>J156*ListaMaterial[[#This Row],[TOTAL C/PERDA]]</f>
        <v>300.63368999999994</v>
      </c>
      <c r="M156" s="883" t="s">
        <v>4758</v>
      </c>
      <c r="N156" s="893">
        <v>1629</v>
      </c>
    </row>
    <row r="157" spans="1:15" x14ac:dyDescent="0.25">
      <c r="A157" s="883" t="s">
        <v>4621</v>
      </c>
      <c r="B157" s="883" t="s">
        <v>4618</v>
      </c>
      <c r="C157" s="883" t="s">
        <v>4681</v>
      </c>
      <c r="D157" s="886">
        <v>30.38</v>
      </c>
      <c r="E157" s="887">
        <v>1</v>
      </c>
      <c r="F157" s="888">
        <f>ListaMaterial[[#This Row],[REPETIÇÃO]]*ListaMaterial[[#This Row],[QUANTIDADE]]</f>
        <v>30.38</v>
      </c>
      <c r="G157" s="889">
        <v>0.15</v>
      </c>
      <c r="H157" s="890">
        <f>ListaMaterial[[#This Row],[TOTAL]]*(1+ListaMaterial[[#This Row],[PERDA]])</f>
        <v>34.936999999999998</v>
      </c>
      <c r="I157" s="887" t="s">
        <v>3</v>
      </c>
      <c r="J157" s="891">
        <f>_xlfn.XLOOKUP(ListaMaterial[[#This Row],[ITEM]],M:M,N:N,,0)</f>
        <v>15.99</v>
      </c>
      <c r="K157" s="891">
        <f>J157*ListaMaterial[[#This Row],[TOTAL C/PERDA]]</f>
        <v>558.64262999999994</v>
      </c>
      <c r="M157" s="883" t="s">
        <v>4759</v>
      </c>
      <c r="N157" s="893">
        <v>42.2</v>
      </c>
    </row>
    <row r="158" spans="1:15" x14ac:dyDescent="0.25">
      <c r="A158" s="883" t="s">
        <v>4621</v>
      </c>
      <c r="B158" s="883" t="s">
        <v>4618</v>
      </c>
      <c r="C158" s="883" t="s">
        <v>4682</v>
      </c>
      <c r="D158" s="886">
        <v>19.97</v>
      </c>
      <c r="E158" s="887">
        <v>1</v>
      </c>
      <c r="F158" s="888">
        <f>ListaMaterial[[#This Row],[REPETIÇÃO]]*ListaMaterial[[#This Row],[QUANTIDADE]]</f>
        <v>19.97</v>
      </c>
      <c r="G158" s="889">
        <v>0.15</v>
      </c>
      <c r="H158" s="890">
        <f>ListaMaterial[[#This Row],[TOTAL]]*(1+ListaMaterial[[#This Row],[PERDA]])</f>
        <v>22.965499999999999</v>
      </c>
      <c r="I158" s="887" t="s">
        <v>3</v>
      </c>
      <c r="J158" s="891">
        <f>_xlfn.XLOOKUP(ListaMaterial[[#This Row],[ITEM]],M:M,N:N,,0)</f>
        <v>8.99</v>
      </c>
      <c r="K158" s="891">
        <f>J158*ListaMaterial[[#This Row],[TOTAL C/PERDA]]</f>
        <v>206.459845</v>
      </c>
      <c r="M158" s="883" t="s">
        <v>4760</v>
      </c>
      <c r="N158" s="893">
        <v>965.06</v>
      </c>
    </row>
    <row r="159" spans="1:15" x14ac:dyDescent="0.25">
      <c r="A159" s="883" t="s">
        <v>4621</v>
      </c>
      <c r="B159" s="883" t="s">
        <v>4618</v>
      </c>
      <c r="C159" s="883" t="s">
        <v>4683</v>
      </c>
      <c r="D159" s="886">
        <v>28.8</v>
      </c>
      <c r="E159" s="887">
        <v>1</v>
      </c>
      <c r="F159" s="888">
        <f>ListaMaterial[[#This Row],[REPETIÇÃO]]*ListaMaterial[[#This Row],[QUANTIDADE]]</f>
        <v>28.8</v>
      </c>
      <c r="G159" s="889">
        <v>0.15</v>
      </c>
      <c r="H159" s="890">
        <f>ListaMaterial[[#This Row],[TOTAL]]*(1+ListaMaterial[[#This Row],[PERDA]])</f>
        <v>33.119999999999997</v>
      </c>
      <c r="I159" s="887" t="s">
        <v>3</v>
      </c>
      <c r="J159" s="891">
        <f>_xlfn.XLOOKUP(ListaMaterial[[#This Row],[ITEM]],M:M,N:N,,0)</f>
        <v>29.99</v>
      </c>
      <c r="K159" s="891">
        <f>J159*ListaMaterial[[#This Row],[TOTAL C/PERDA]]</f>
        <v>993.26879999999983</v>
      </c>
      <c r="M159" s="883" t="s">
        <v>4761</v>
      </c>
      <c r="N159" s="893">
        <v>2200</v>
      </c>
    </row>
    <row r="160" spans="1:15" x14ac:dyDescent="0.25">
      <c r="A160" s="883" t="s">
        <v>4621</v>
      </c>
      <c r="B160" s="883" t="s">
        <v>4619</v>
      </c>
      <c r="C160" s="883" t="s">
        <v>4684</v>
      </c>
      <c r="D160" s="886">
        <v>8.26</v>
      </c>
      <c r="E160" s="887">
        <v>1</v>
      </c>
      <c r="F160" s="888">
        <f>ListaMaterial[[#This Row],[REPETIÇÃO]]*ListaMaterial[[#This Row],[QUANTIDADE]]</f>
        <v>8.26</v>
      </c>
      <c r="G160" s="889">
        <v>0.15</v>
      </c>
      <c r="H160" s="890">
        <f>ListaMaterial[[#This Row],[TOTAL]]*(1+ListaMaterial[[#This Row],[PERDA]])</f>
        <v>9.4989999999999988</v>
      </c>
      <c r="I160" s="887" t="s">
        <v>3</v>
      </c>
      <c r="J160" s="891">
        <f>_xlfn.XLOOKUP(ListaMaterial[[#This Row],[ITEM]],M:M,N:N,,0)</f>
        <v>2.5685666666666669</v>
      </c>
      <c r="K160" s="891">
        <f>J160*ListaMaterial[[#This Row],[TOTAL C/PERDA]]</f>
        <v>24.398814766666664</v>
      </c>
      <c r="M160" s="883" t="s">
        <v>4762</v>
      </c>
      <c r="N160" s="893">
        <v>1027</v>
      </c>
    </row>
    <row r="161" spans="1:14" x14ac:dyDescent="0.25">
      <c r="A161" s="883" t="s">
        <v>4622</v>
      </c>
      <c r="B161" s="883" t="s">
        <v>4242</v>
      </c>
      <c r="C161" s="883" t="s">
        <v>4634</v>
      </c>
      <c r="D161" s="886">
        <v>10</v>
      </c>
      <c r="E161" s="887">
        <v>1</v>
      </c>
      <c r="F161" s="888">
        <f>ListaMaterial[[#This Row],[REPETIÇÃO]]*ListaMaterial[[#This Row],[QUANTIDADE]]</f>
        <v>10</v>
      </c>
      <c r="H161" s="890">
        <f>ListaMaterial[[#This Row],[TOTAL]]*(1+ListaMaterial[[#This Row],[PERDA]])</f>
        <v>10</v>
      </c>
      <c r="I161" s="887" t="s">
        <v>4243</v>
      </c>
      <c r="J161" s="891">
        <f>_xlfn.XLOOKUP(ListaMaterial[[#This Row],[ITEM]],M:M,N:N,,0)</f>
        <v>68.849999999999994</v>
      </c>
      <c r="K161" s="891">
        <f>J161*ListaMaterial[[#This Row],[TOTAL C/PERDA]]</f>
        <v>688.5</v>
      </c>
      <c r="M161" s="883" t="s">
        <v>4763</v>
      </c>
      <c r="N161" s="893">
        <v>4738</v>
      </c>
    </row>
    <row r="162" spans="1:14" x14ac:dyDescent="0.25">
      <c r="A162" s="883" t="s">
        <v>4622</v>
      </c>
      <c r="B162" s="883" t="s">
        <v>4242</v>
      </c>
      <c r="C162" s="883" t="s">
        <v>4688</v>
      </c>
      <c r="D162" s="886">
        <v>1</v>
      </c>
      <c r="E162" s="887">
        <v>1</v>
      </c>
      <c r="F162" s="888">
        <f>ListaMaterial[[#This Row],[REPETIÇÃO]]*ListaMaterial[[#This Row],[QUANTIDADE]]</f>
        <v>1</v>
      </c>
      <c r="H162" s="890">
        <f>ListaMaterial[[#This Row],[TOTAL]]*(1+ListaMaterial[[#This Row],[PERDA]])</f>
        <v>1</v>
      </c>
      <c r="I162" s="887" t="s">
        <v>4243</v>
      </c>
      <c r="J162" s="891">
        <f>_xlfn.XLOOKUP(ListaMaterial[[#This Row],[ITEM]],M:M,N:N,,0)</f>
        <v>16.778600000000001</v>
      </c>
      <c r="K162" s="891">
        <f>J162*ListaMaterial[[#This Row],[TOTAL C/PERDA]]</f>
        <v>16.778600000000001</v>
      </c>
      <c r="M162" s="883" t="s">
        <v>4764</v>
      </c>
      <c r="N162" s="893">
        <v>462.86</v>
      </c>
    </row>
    <row r="163" spans="1:14" x14ac:dyDescent="0.25">
      <c r="A163" s="883" t="s">
        <v>4622</v>
      </c>
      <c r="B163" s="883" t="s">
        <v>4242</v>
      </c>
      <c r="C163" s="883" t="s">
        <v>4637</v>
      </c>
      <c r="D163" s="886">
        <v>1</v>
      </c>
      <c r="E163" s="887">
        <v>1</v>
      </c>
      <c r="F163" s="888">
        <f>ListaMaterial[[#This Row],[REPETIÇÃO]]*ListaMaterial[[#This Row],[QUANTIDADE]]</f>
        <v>1</v>
      </c>
      <c r="H163" s="890">
        <f>ListaMaterial[[#This Row],[TOTAL]]*(1+ListaMaterial[[#This Row],[PERDA]])</f>
        <v>1</v>
      </c>
      <c r="I163" s="887" t="s">
        <v>4243</v>
      </c>
      <c r="J163" s="891">
        <f>_xlfn.XLOOKUP(ListaMaterial[[#This Row],[ITEM]],M:M,N:N,,0)</f>
        <v>105.9</v>
      </c>
      <c r="K163" s="891">
        <f>J163*ListaMaterial[[#This Row],[TOTAL C/PERDA]]</f>
        <v>105.9</v>
      </c>
      <c r="M163" s="883" t="s">
        <v>4765</v>
      </c>
      <c r="N163" s="893">
        <v>32.090000000000003</v>
      </c>
    </row>
    <row r="164" spans="1:14" x14ac:dyDescent="0.25">
      <c r="A164" s="883" t="s">
        <v>4622</v>
      </c>
      <c r="B164" s="883" t="s">
        <v>4242</v>
      </c>
      <c r="C164" s="883" t="s">
        <v>4640</v>
      </c>
      <c r="D164" s="886">
        <v>2</v>
      </c>
      <c r="E164" s="887">
        <v>1</v>
      </c>
      <c r="F164" s="888">
        <f>ListaMaterial[[#This Row],[REPETIÇÃO]]*ListaMaterial[[#This Row],[QUANTIDADE]]</f>
        <v>2</v>
      </c>
      <c r="H164" s="890">
        <f>ListaMaterial[[#This Row],[TOTAL]]*(1+ListaMaterial[[#This Row],[PERDA]])</f>
        <v>2</v>
      </c>
      <c r="I164" s="887" t="s">
        <v>4243</v>
      </c>
      <c r="J164" s="891">
        <f>_xlfn.XLOOKUP(ListaMaterial[[#This Row],[ITEM]],M:M,N:N,,0)</f>
        <v>31.716699999999999</v>
      </c>
      <c r="K164" s="891">
        <f>J164*ListaMaterial[[#This Row],[TOTAL C/PERDA]]</f>
        <v>63.433399999999999</v>
      </c>
      <c r="M164" s="883" t="s">
        <v>4766</v>
      </c>
      <c r="N164" s="893">
        <v>92.916700000000006</v>
      </c>
    </row>
    <row r="165" spans="1:14" x14ac:dyDescent="0.25">
      <c r="A165" s="883" t="s">
        <v>4622</v>
      </c>
      <c r="B165" s="883" t="s">
        <v>4616</v>
      </c>
      <c r="C165" s="883" t="s">
        <v>4646</v>
      </c>
      <c r="D165" s="886">
        <v>2</v>
      </c>
      <c r="E165" s="887">
        <v>1</v>
      </c>
      <c r="F165" s="888">
        <f>ListaMaterial[[#This Row],[REPETIÇÃO]]*ListaMaterial[[#This Row],[QUANTIDADE]]</f>
        <v>2</v>
      </c>
      <c r="H165" s="890">
        <f>ListaMaterial[[#This Row],[TOTAL]]*(1+ListaMaterial[[#This Row],[PERDA]])</f>
        <v>2</v>
      </c>
      <c r="I165" s="887" t="s">
        <v>4243</v>
      </c>
      <c r="J165" s="891">
        <f>_xlfn.XLOOKUP(ListaMaterial[[#This Row],[ITEM]],M:M,N:N,,0)</f>
        <v>2.02</v>
      </c>
      <c r="K165" s="891">
        <f>J165*ListaMaterial[[#This Row],[TOTAL C/PERDA]]</f>
        <v>4.04</v>
      </c>
      <c r="M165" s="883" t="s">
        <v>4767</v>
      </c>
      <c r="N165" s="893">
        <v>129.9</v>
      </c>
    </row>
    <row r="166" spans="1:14" x14ac:dyDescent="0.25">
      <c r="A166" s="883" t="s">
        <v>4622</v>
      </c>
      <c r="B166" s="883" t="s">
        <v>4429</v>
      </c>
      <c r="C166" s="883" t="s">
        <v>4647</v>
      </c>
      <c r="D166" s="886">
        <v>4</v>
      </c>
      <c r="E166" s="887">
        <v>1</v>
      </c>
      <c r="F166" s="888">
        <f>ListaMaterial[[#This Row],[REPETIÇÃO]]*ListaMaterial[[#This Row],[QUANTIDADE]]</f>
        <v>4</v>
      </c>
      <c r="H166" s="890">
        <f>ListaMaterial[[#This Row],[TOTAL]]*(1+ListaMaterial[[#This Row],[PERDA]])</f>
        <v>4</v>
      </c>
      <c r="I166" s="887" t="s">
        <v>4243</v>
      </c>
      <c r="J166" s="891">
        <f>_xlfn.XLOOKUP(ListaMaterial[[#This Row],[ITEM]],M:M,N:N,,0)</f>
        <v>0.59370000000000001</v>
      </c>
      <c r="K166" s="891">
        <f>J166*ListaMaterial[[#This Row],[TOTAL C/PERDA]]</f>
        <v>2.3748</v>
      </c>
      <c r="M166" s="883" t="s">
        <v>4768</v>
      </c>
      <c r="N166" s="893">
        <v>649.9</v>
      </c>
    </row>
    <row r="167" spans="1:14" x14ac:dyDescent="0.25">
      <c r="A167" s="883" t="s">
        <v>4622</v>
      </c>
      <c r="B167" s="883" t="s">
        <v>4429</v>
      </c>
      <c r="C167" s="883" t="s">
        <v>4654</v>
      </c>
      <c r="D167" s="886">
        <v>4</v>
      </c>
      <c r="E167" s="887">
        <v>1</v>
      </c>
      <c r="F167" s="888">
        <f>ListaMaterial[[#This Row],[REPETIÇÃO]]*ListaMaterial[[#This Row],[QUANTIDADE]]</f>
        <v>4</v>
      </c>
      <c r="H167" s="890">
        <f>ListaMaterial[[#This Row],[TOTAL]]*(1+ListaMaterial[[#This Row],[PERDA]])</f>
        <v>4</v>
      </c>
      <c r="I167" s="887" t="s">
        <v>4243</v>
      </c>
      <c r="J167" s="891">
        <f>_xlfn.XLOOKUP(ListaMaterial[[#This Row],[ITEM]],M:M,N:N,,0)</f>
        <v>0.47220000000000001</v>
      </c>
      <c r="K167" s="891">
        <f>J167*ListaMaterial[[#This Row],[TOTAL C/PERDA]]</f>
        <v>1.8888</v>
      </c>
      <c r="M167" s="883" t="s">
        <v>4769</v>
      </c>
      <c r="N167" s="893">
        <v>183</v>
      </c>
    </row>
    <row r="168" spans="1:14" x14ac:dyDescent="0.25">
      <c r="A168" s="883" t="s">
        <v>4622</v>
      </c>
      <c r="B168" s="883" t="s">
        <v>4429</v>
      </c>
      <c r="C168" s="883" t="s">
        <v>4658</v>
      </c>
      <c r="D168" s="886">
        <v>2</v>
      </c>
      <c r="E168" s="887">
        <v>1</v>
      </c>
      <c r="F168" s="888">
        <f>ListaMaterial[[#This Row],[REPETIÇÃO]]*ListaMaterial[[#This Row],[QUANTIDADE]]</f>
        <v>2</v>
      </c>
      <c r="H168" s="890">
        <f>ListaMaterial[[#This Row],[TOTAL]]*(1+ListaMaterial[[#This Row],[PERDA]])</f>
        <v>2</v>
      </c>
      <c r="I168" s="887" t="s">
        <v>4243</v>
      </c>
      <c r="J168" s="891">
        <f>_xlfn.XLOOKUP(ListaMaterial[[#This Row],[ITEM]],M:M,N:N,,0)</f>
        <v>13.005000000000001</v>
      </c>
      <c r="K168" s="891">
        <f>J168*ListaMaterial[[#This Row],[TOTAL C/PERDA]]</f>
        <v>26.01</v>
      </c>
      <c r="M168" s="883" t="s">
        <v>4770</v>
      </c>
      <c r="N168" s="893">
        <v>1645</v>
      </c>
    </row>
    <row r="169" spans="1:14" x14ac:dyDescent="0.25">
      <c r="A169" s="883" t="s">
        <v>4622</v>
      </c>
      <c r="B169" s="883" t="s">
        <v>4429</v>
      </c>
      <c r="C169" s="883" t="s">
        <v>4660</v>
      </c>
      <c r="D169" s="886">
        <v>2</v>
      </c>
      <c r="E169" s="887">
        <v>1</v>
      </c>
      <c r="F169" s="888">
        <f>ListaMaterial[[#This Row],[REPETIÇÃO]]*ListaMaterial[[#This Row],[QUANTIDADE]]</f>
        <v>2</v>
      </c>
      <c r="H169" s="890">
        <f>ListaMaterial[[#This Row],[TOTAL]]*(1+ListaMaterial[[#This Row],[PERDA]])</f>
        <v>2</v>
      </c>
      <c r="I169" s="887" t="s">
        <v>4243</v>
      </c>
      <c r="J169" s="891">
        <f>_xlfn.XLOOKUP(ListaMaterial[[#This Row],[ITEM]],M:M,N:N,,0)</f>
        <v>0.98509999999999998</v>
      </c>
      <c r="K169" s="891">
        <f>J169*ListaMaterial[[#This Row],[TOTAL C/PERDA]]</f>
        <v>1.9702</v>
      </c>
      <c r="M169" s="883" t="s">
        <v>4771</v>
      </c>
      <c r="N169" s="893">
        <v>184.46299999999999</v>
      </c>
    </row>
    <row r="170" spans="1:14" x14ac:dyDescent="0.25">
      <c r="A170" s="883" t="s">
        <v>4622</v>
      </c>
      <c r="B170" s="883" t="s">
        <v>4431</v>
      </c>
      <c r="C170" s="883" t="s">
        <v>4690</v>
      </c>
      <c r="D170" s="886">
        <v>2</v>
      </c>
      <c r="E170" s="887">
        <v>1</v>
      </c>
      <c r="F170" s="888">
        <f>ListaMaterial[[#This Row],[REPETIÇÃO]]*ListaMaterial[[#This Row],[QUANTIDADE]]</f>
        <v>2</v>
      </c>
      <c r="H170" s="890">
        <f>ListaMaterial[[#This Row],[TOTAL]]*(1+ListaMaterial[[#This Row],[PERDA]])</f>
        <v>2</v>
      </c>
      <c r="I170" s="887" t="s">
        <v>4243</v>
      </c>
      <c r="J170" s="891">
        <f>_xlfn.XLOOKUP(ListaMaterial[[#This Row],[ITEM]],M:M,N:N,,0)</f>
        <v>11.18</v>
      </c>
      <c r="K170" s="891">
        <f>J170*ListaMaterial[[#This Row],[TOTAL C/PERDA]]</f>
        <v>22.36</v>
      </c>
      <c r="M170" s="883" t="s">
        <v>4772</v>
      </c>
      <c r="N170" s="893">
        <v>498</v>
      </c>
    </row>
    <row r="171" spans="1:14" x14ac:dyDescent="0.25">
      <c r="A171" s="883" t="s">
        <v>4622</v>
      </c>
      <c r="B171" s="883" t="s">
        <v>4431</v>
      </c>
      <c r="C171" s="883" t="s">
        <v>4664</v>
      </c>
      <c r="D171" s="886">
        <v>5</v>
      </c>
      <c r="E171" s="887">
        <v>1</v>
      </c>
      <c r="F171" s="888">
        <f>ListaMaterial[[#This Row],[REPETIÇÃO]]*ListaMaterial[[#This Row],[QUANTIDADE]]</f>
        <v>5</v>
      </c>
      <c r="H171" s="890">
        <f>ListaMaterial[[#This Row],[TOTAL]]*(1+ListaMaterial[[#This Row],[PERDA]])</f>
        <v>5</v>
      </c>
      <c r="I171" s="887" t="s">
        <v>4243</v>
      </c>
      <c r="J171" s="891">
        <f>_xlfn.XLOOKUP(ListaMaterial[[#This Row],[ITEM]],M:M,N:N,,0)</f>
        <v>10.06</v>
      </c>
      <c r="K171" s="891">
        <f>J171*ListaMaterial[[#This Row],[TOTAL C/PERDA]]</f>
        <v>50.300000000000004</v>
      </c>
      <c r="M171" s="883" t="s">
        <v>4773</v>
      </c>
      <c r="N171" s="893">
        <v>748</v>
      </c>
    </row>
    <row r="172" spans="1:14" x14ac:dyDescent="0.25">
      <c r="A172" s="883" t="s">
        <v>4622</v>
      </c>
      <c r="B172" s="883" t="s">
        <v>4431</v>
      </c>
      <c r="C172" s="883" t="s">
        <v>4666</v>
      </c>
      <c r="D172" s="886">
        <v>2</v>
      </c>
      <c r="E172" s="887">
        <v>1</v>
      </c>
      <c r="F172" s="888">
        <f>ListaMaterial[[#This Row],[REPETIÇÃO]]*ListaMaterial[[#This Row],[QUANTIDADE]]</f>
        <v>2</v>
      </c>
      <c r="H172" s="890">
        <f>ListaMaterial[[#This Row],[TOTAL]]*(1+ListaMaterial[[#This Row],[PERDA]])</f>
        <v>2</v>
      </c>
      <c r="I172" s="887" t="s">
        <v>4243</v>
      </c>
      <c r="J172" s="891">
        <f>_xlfn.XLOOKUP(ListaMaterial[[#This Row],[ITEM]],M:M,N:N,,0)</f>
        <v>24.6</v>
      </c>
      <c r="K172" s="891">
        <f>J172*ListaMaterial[[#This Row],[TOTAL C/PERDA]]</f>
        <v>49.2</v>
      </c>
      <c r="M172" s="883" t="s">
        <v>4774</v>
      </c>
      <c r="N172" s="893">
        <v>2574</v>
      </c>
    </row>
    <row r="173" spans="1:14" x14ac:dyDescent="0.25">
      <c r="A173" s="883" t="s">
        <v>4622</v>
      </c>
      <c r="B173" s="883" t="s">
        <v>4431</v>
      </c>
      <c r="C173" s="883" t="s">
        <v>4691</v>
      </c>
      <c r="D173" s="886">
        <v>1</v>
      </c>
      <c r="E173" s="887">
        <v>1</v>
      </c>
      <c r="F173" s="888">
        <f>ListaMaterial[[#This Row],[REPETIÇÃO]]*ListaMaterial[[#This Row],[QUANTIDADE]]</f>
        <v>1</v>
      </c>
      <c r="H173" s="890">
        <f>ListaMaterial[[#This Row],[TOTAL]]*(1+ListaMaterial[[#This Row],[PERDA]])</f>
        <v>1</v>
      </c>
      <c r="I173" s="887" t="s">
        <v>4243</v>
      </c>
      <c r="J173" s="891">
        <f>_xlfn.XLOOKUP(ListaMaterial[[#This Row],[ITEM]],M:M,N:N,,0)</f>
        <v>16.77</v>
      </c>
      <c r="K173" s="891">
        <f>J173*ListaMaterial[[#This Row],[TOTAL C/PERDA]]</f>
        <v>16.77</v>
      </c>
      <c r="M173" s="883" t="s">
        <v>4775</v>
      </c>
      <c r="N173" s="893">
        <v>55</v>
      </c>
    </row>
    <row r="174" spans="1:14" x14ac:dyDescent="0.25">
      <c r="A174" s="883" t="s">
        <v>4622</v>
      </c>
      <c r="B174" s="883" t="s">
        <v>4431</v>
      </c>
      <c r="C174" s="883" t="s">
        <v>4458</v>
      </c>
      <c r="D174" s="886">
        <v>4</v>
      </c>
      <c r="E174" s="887">
        <v>1</v>
      </c>
      <c r="F174" s="888">
        <f>ListaMaterial[[#This Row],[REPETIÇÃO]]*ListaMaterial[[#This Row],[QUANTIDADE]]</f>
        <v>4</v>
      </c>
      <c r="H174" s="890">
        <f>ListaMaterial[[#This Row],[TOTAL]]*(1+ListaMaterial[[#This Row],[PERDA]])</f>
        <v>4</v>
      </c>
      <c r="I174" s="887" t="s">
        <v>4243</v>
      </c>
      <c r="J174" s="891">
        <f>_xlfn.XLOOKUP(ListaMaterial[[#This Row],[ITEM]],M:M,N:N,,0)</f>
        <v>27.96</v>
      </c>
      <c r="K174" s="891">
        <f>J174*ListaMaterial[[#This Row],[TOTAL C/PERDA]]</f>
        <v>111.84</v>
      </c>
      <c r="M174" s="883" t="s">
        <v>4776</v>
      </c>
      <c r="N174" s="893">
        <v>30</v>
      </c>
    </row>
    <row r="175" spans="1:14" x14ac:dyDescent="0.25">
      <c r="A175" s="883" t="s">
        <v>4622</v>
      </c>
      <c r="B175" s="883" t="s">
        <v>4431</v>
      </c>
      <c r="C175" s="883" t="s">
        <v>4693</v>
      </c>
      <c r="D175" s="886">
        <v>1</v>
      </c>
      <c r="E175" s="887">
        <v>1</v>
      </c>
      <c r="F175" s="888">
        <f>ListaMaterial[[#This Row],[REPETIÇÃO]]*ListaMaterial[[#This Row],[QUANTIDADE]]</f>
        <v>1</v>
      </c>
      <c r="H175" s="890">
        <f>ListaMaterial[[#This Row],[TOTAL]]*(1+ListaMaterial[[#This Row],[PERDA]])</f>
        <v>1</v>
      </c>
      <c r="I175" s="887" t="s">
        <v>4243</v>
      </c>
      <c r="J175" s="891">
        <f>_xlfn.XLOOKUP(ListaMaterial[[#This Row],[ITEM]],M:M,N:N,,0)</f>
        <v>24.6</v>
      </c>
      <c r="K175" s="891">
        <f>J175*ListaMaterial[[#This Row],[TOTAL C/PERDA]]</f>
        <v>24.6</v>
      </c>
      <c r="M175" s="883" t="s">
        <v>4777</v>
      </c>
      <c r="N175" s="893">
        <v>35</v>
      </c>
    </row>
    <row r="176" spans="1:14" x14ac:dyDescent="0.25">
      <c r="A176" s="883" t="s">
        <v>4622</v>
      </c>
      <c r="B176" s="883" t="s">
        <v>4431</v>
      </c>
      <c r="C176" s="883" t="s">
        <v>4669</v>
      </c>
      <c r="D176" s="886">
        <v>1</v>
      </c>
      <c r="E176" s="887">
        <v>1</v>
      </c>
      <c r="F176" s="888">
        <f>ListaMaterial[[#This Row],[REPETIÇÃO]]*ListaMaterial[[#This Row],[QUANTIDADE]]</f>
        <v>1</v>
      </c>
      <c r="H176" s="890">
        <f>ListaMaterial[[#This Row],[TOTAL]]*(1+ListaMaterial[[#This Row],[PERDA]])</f>
        <v>1</v>
      </c>
      <c r="I176" s="887" t="s">
        <v>4243</v>
      </c>
      <c r="J176" s="891">
        <f>_xlfn.XLOOKUP(ListaMaterial[[#This Row],[ITEM]],M:M,N:N,,0)</f>
        <v>33.549999999999997</v>
      </c>
      <c r="K176" s="891">
        <f>J176*ListaMaterial[[#This Row],[TOTAL C/PERDA]]</f>
        <v>33.549999999999997</v>
      </c>
      <c r="M176" s="883" t="s">
        <v>4778</v>
      </c>
      <c r="N176" s="893">
        <v>140</v>
      </c>
    </row>
    <row r="177" spans="1:14" x14ac:dyDescent="0.25">
      <c r="A177" s="883" t="s">
        <v>4622</v>
      </c>
      <c r="B177" s="883" t="s">
        <v>4431</v>
      </c>
      <c r="C177" s="883" t="s">
        <v>4671</v>
      </c>
      <c r="D177" s="886">
        <v>2</v>
      </c>
      <c r="E177" s="887">
        <v>1</v>
      </c>
      <c r="F177" s="888">
        <f>ListaMaterial[[#This Row],[REPETIÇÃO]]*ListaMaterial[[#This Row],[QUANTIDADE]]</f>
        <v>2</v>
      </c>
      <c r="H177" s="890">
        <f>ListaMaterial[[#This Row],[TOTAL]]*(1+ListaMaterial[[#This Row],[PERDA]])</f>
        <v>2</v>
      </c>
      <c r="I177" s="887" t="s">
        <v>4243</v>
      </c>
      <c r="J177" s="891">
        <f>_xlfn.XLOOKUP(ListaMaterial[[#This Row],[ITEM]],M:M,N:N,,0)</f>
        <v>44.74</v>
      </c>
      <c r="K177" s="891">
        <f>J177*ListaMaterial[[#This Row],[TOTAL C/PERDA]]</f>
        <v>89.48</v>
      </c>
      <c r="M177" s="883" t="s">
        <v>4779</v>
      </c>
      <c r="N177" s="893">
        <v>72</v>
      </c>
    </row>
    <row r="178" spans="1:14" x14ac:dyDescent="0.25">
      <c r="A178" s="883" t="s">
        <v>4622</v>
      </c>
      <c r="B178" s="883" t="s">
        <v>4431</v>
      </c>
      <c r="C178" s="883" t="s">
        <v>4694</v>
      </c>
      <c r="D178" s="886">
        <v>4</v>
      </c>
      <c r="E178" s="887">
        <v>1</v>
      </c>
      <c r="F178" s="888">
        <f>ListaMaterial[[#This Row],[REPETIÇÃO]]*ListaMaterial[[#This Row],[QUANTIDADE]]</f>
        <v>4</v>
      </c>
      <c r="H178" s="890">
        <f>ListaMaterial[[#This Row],[TOTAL]]*(1+ListaMaterial[[#This Row],[PERDA]])</f>
        <v>4</v>
      </c>
      <c r="I178" s="887" t="s">
        <v>4243</v>
      </c>
      <c r="J178" s="891">
        <f>_xlfn.XLOOKUP(ListaMaterial[[#This Row],[ITEM]],M:M,N:N,,0)</f>
        <v>6.7110000000000003</v>
      </c>
      <c r="K178" s="891">
        <f>J178*ListaMaterial[[#This Row],[TOTAL C/PERDA]]</f>
        <v>26.844000000000001</v>
      </c>
      <c r="M178" s="883" t="s">
        <v>4780</v>
      </c>
      <c r="N178" s="893">
        <v>15</v>
      </c>
    </row>
    <row r="179" spans="1:14" x14ac:dyDescent="0.25">
      <c r="A179" s="883" t="s">
        <v>4622</v>
      </c>
      <c r="B179" s="883" t="s">
        <v>4431</v>
      </c>
      <c r="C179" s="883" t="s">
        <v>4695</v>
      </c>
      <c r="D179" s="886">
        <v>1</v>
      </c>
      <c r="E179" s="887">
        <v>1</v>
      </c>
      <c r="F179" s="888">
        <f>ListaMaterial[[#This Row],[REPETIÇÃO]]*ListaMaterial[[#This Row],[QUANTIDADE]]</f>
        <v>1</v>
      </c>
      <c r="H179" s="890">
        <f>ListaMaterial[[#This Row],[TOTAL]]*(1+ListaMaterial[[#This Row],[PERDA]])</f>
        <v>1</v>
      </c>
      <c r="I179" s="887" t="s">
        <v>4243</v>
      </c>
      <c r="J179" s="891">
        <f>_xlfn.XLOOKUP(ListaMaterial[[#This Row],[ITEM]],M:M,N:N,,0)</f>
        <v>8.9486000000000008</v>
      </c>
      <c r="K179" s="891">
        <f>J179*ListaMaterial[[#This Row],[TOTAL C/PERDA]]</f>
        <v>8.9486000000000008</v>
      </c>
      <c r="M179" s="883" t="s">
        <v>4781</v>
      </c>
      <c r="N179" s="893">
        <v>52.67</v>
      </c>
    </row>
    <row r="180" spans="1:14" x14ac:dyDescent="0.25">
      <c r="A180" s="883" t="s">
        <v>4622</v>
      </c>
      <c r="B180" s="883" t="s">
        <v>4431</v>
      </c>
      <c r="C180" s="883" t="s">
        <v>4459</v>
      </c>
      <c r="D180" s="886">
        <v>8</v>
      </c>
      <c r="E180" s="887">
        <v>1</v>
      </c>
      <c r="F180" s="888">
        <f>ListaMaterial[[#This Row],[REPETIÇÃO]]*ListaMaterial[[#This Row],[QUANTIDADE]]</f>
        <v>8</v>
      </c>
      <c r="H180" s="890">
        <f>ListaMaterial[[#This Row],[TOTAL]]*(1+ListaMaterial[[#This Row],[PERDA]])</f>
        <v>8</v>
      </c>
      <c r="I180" s="887" t="s">
        <v>4243</v>
      </c>
      <c r="J180" s="891">
        <f>_xlfn.XLOOKUP(ListaMaterial[[#This Row],[ITEM]],M:M,N:N,,0)</f>
        <v>13.42</v>
      </c>
      <c r="K180" s="891">
        <f>J180*ListaMaterial[[#This Row],[TOTAL C/PERDA]]</f>
        <v>107.36</v>
      </c>
      <c r="M180" s="883" t="s">
        <v>4782</v>
      </c>
      <c r="N180" s="893">
        <v>44.5</v>
      </c>
    </row>
    <row r="181" spans="1:14" x14ac:dyDescent="0.25">
      <c r="A181" s="883" t="s">
        <v>4622</v>
      </c>
      <c r="B181" s="883" t="s">
        <v>4431</v>
      </c>
      <c r="C181" s="883" t="s">
        <v>4696</v>
      </c>
      <c r="D181" s="886">
        <v>1</v>
      </c>
      <c r="E181" s="887">
        <v>1</v>
      </c>
      <c r="F181" s="888">
        <f>ListaMaterial[[#This Row],[REPETIÇÃO]]*ListaMaterial[[#This Row],[QUANTIDADE]]</f>
        <v>1</v>
      </c>
      <c r="H181" s="890">
        <f>ListaMaterial[[#This Row],[TOTAL]]*(1+ListaMaterial[[#This Row],[PERDA]])</f>
        <v>1</v>
      </c>
      <c r="I181" s="887" t="s">
        <v>4243</v>
      </c>
      <c r="J181" s="891">
        <f>_xlfn.XLOOKUP(ListaMaterial[[#This Row],[ITEM]],M:M,N:N,,0)</f>
        <v>16.77</v>
      </c>
      <c r="K181" s="891">
        <f>J181*ListaMaterial[[#This Row],[TOTAL C/PERDA]]</f>
        <v>16.77</v>
      </c>
      <c r="M181" s="883" t="s">
        <v>4783</v>
      </c>
      <c r="N181" s="893">
        <v>150</v>
      </c>
    </row>
    <row r="182" spans="1:14" x14ac:dyDescent="0.25">
      <c r="A182" s="883" t="s">
        <v>4622</v>
      </c>
      <c r="B182" s="883" t="s">
        <v>4441</v>
      </c>
      <c r="C182" s="883" t="s">
        <v>4697</v>
      </c>
      <c r="D182" s="886">
        <v>4</v>
      </c>
      <c r="E182" s="887">
        <v>1</v>
      </c>
      <c r="F182" s="888">
        <f>ListaMaterial[[#This Row],[REPETIÇÃO]]*ListaMaterial[[#This Row],[QUANTIDADE]]</f>
        <v>4</v>
      </c>
      <c r="H182" s="890">
        <f>ListaMaterial[[#This Row],[TOTAL]]*(1+ListaMaterial[[#This Row],[PERDA]])</f>
        <v>4</v>
      </c>
      <c r="I182" s="887" t="s">
        <v>4243</v>
      </c>
      <c r="J182" s="891">
        <f>_xlfn.XLOOKUP(ListaMaterial[[#This Row],[ITEM]],M:M,N:N,,0)</f>
        <v>13.42</v>
      </c>
      <c r="K182" s="891">
        <f>J182*ListaMaterial[[#This Row],[TOTAL C/PERDA]]</f>
        <v>53.68</v>
      </c>
      <c r="M182" s="883" t="s">
        <v>4784</v>
      </c>
      <c r="N182" s="893">
        <v>115</v>
      </c>
    </row>
    <row r="183" spans="1:14" x14ac:dyDescent="0.25">
      <c r="A183" s="883" t="s">
        <v>4622</v>
      </c>
      <c r="B183" s="883" t="s">
        <v>4441</v>
      </c>
      <c r="C183" s="883" t="s">
        <v>4663</v>
      </c>
      <c r="D183" s="886">
        <v>2</v>
      </c>
      <c r="E183" s="887">
        <v>1</v>
      </c>
      <c r="F183" s="888">
        <f>ListaMaterial[[#This Row],[REPETIÇÃO]]*ListaMaterial[[#This Row],[QUANTIDADE]]</f>
        <v>2</v>
      </c>
      <c r="H183" s="890">
        <f>ListaMaterial[[#This Row],[TOTAL]]*(1+ListaMaterial[[#This Row],[PERDA]])</f>
        <v>2</v>
      </c>
      <c r="I183" s="887" t="s">
        <v>4243</v>
      </c>
      <c r="J183" s="891">
        <f>_xlfn.XLOOKUP(ListaMaterial[[#This Row],[ITEM]],M:M,N:N,,0)</f>
        <v>46.66</v>
      </c>
      <c r="K183" s="891">
        <f>J183*ListaMaterial[[#This Row],[TOTAL C/PERDA]]</f>
        <v>93.32</v>
      </c>
      <c r="M183" s="883" t="s">
        <v>4785</v>
      </c>
      <c r="N183" s="893">
        <v>100</v>
      </c>
    </row>
    <row r="184" spans="1:14" x14ac:dyDescent="0.25">
      <c r="A184" s="883" t="s">
        <v>4622</v>
      </c>
      <c r="B184" s="883" t="s">
        <v>4441</v>
      </c>
      <c r="C184" s="883" t="s">
        <v>4843</v>
      </c>
      <c r="D184" s="886">
        <v>14</v>
      </c>
      <c r="E184" s="887">
        <v>1</v>
      </c>
      <c r="F184" s="888">
        <f>ListaMaterial[[#This Row],[REPETIÇÃO]]*ListaMaterial[[#This Row],[QUANTIDADE]]</f>
        <v>14</v>
      </c>
      <c r="H184" s="890">
        <f>ListaMaterial[[#This Row],[TOTAL]]*(1+ListaMaterial[[#This Row],[PERDA]])</f>
        <v>14</v>
      </c>
      <c r="I184" s="887" t="s">
        <v>4243</v>
      </c>
      <c r="J184" s="891">
        <f>_xlfn.XLOOKUP(ListaMaterial[[#This Row],[ITEM]],M:M,N:N,,0)</f>
        <v>13.016999999999999</v>
      </c>
      <c r="K184" s="891">
        <f>J184*ListaMaterial[[#This Row],[TOTAL C/PERDA]]</f>
        <v>182.238</v>
      </c>
      <c r="M184" s="883" t="s">
        <v>4786</v>
      </c>
      <c r="N184" s="893">
        <v>10.220000000000001</v>
      </c>
    </row>
    <row r="185" spans="1:14" x14ac:dyDescent="0.25">
      <c r="A185" s="883" t="s">
        <v>4622</v>
      </c>
      <c r="B185" s="883" t="s">
        <v>4441</v>
      </c>
      <c r="C185" s="883" t="s">
        <v>4844</v>
      </c>
      <c r="D185" s="886">
        <v>4</v>
      </c>
      <c r="E185" s="887">
        <v>1</v>
      </c>
      <c r="F185" s="888">
        <f>ListaMaterial[[#This Row],[REPETIÇÃO]]*ListaMaterial[[#This Row],[QUANTIDADE]]</f>
        <v>4</v>
      </c>
      <c r="H185" s="890">
        <f>ListaMaterial[[#This Row],[TOTAL]]*(1+ListaMaterial[[#This Row],[PERDA]])</f>
        <v>4</v>
      </c>
      <c r="I185" s="887" t="s">
        <v>4243</v>
      </c>
      <c r="J185" s="891">
        <f>_xlfn.XLOOKUP(ListaMaterial[[#This Row],[ITEM]],M:M,N:N,,0)</f>
        <v>7.21</v>
      </c>
      <c r="K185" s="891">
        <f>J185*ListaMaterial[[#This Row],[TOTAL C/PERDA]]</f>
        <v>28.84</v>
      </c>
      <c r="M185" s="883" t="s">
        <v>4787</v>
      </c>
      <c r="N185" s="893">
        <v>10.69</v>
      </c>
    </row>
    <row r="186" spans="1:14" x14ac:dyDescent="0.25">
      <c r="A186" s="883" t="s">
        <v>4622</v>
      </c>
      <c r="B186" s="883" t="s">
        <v>4441</v>
      </c>
      <c r="C186" s="883" t="s">
        <v>4845</v>
      </c>
      <c r="D186" s="886">
        <v>12</v>
      </c>
      <c r="E186" s="887">
        <v>1</v>
      </c>
      <c r="F186" s="888">
        <f>ListaMaterial[[#This Row],[REPETIÇÃO]]*ListaMaterial[[#This Row],[QUANTIDADE]]</f>
        <v>12</v>
      </c>
      <c r="H186" s="890">
        <f>ListaMaterial[[#This Row],[TOTAL]]*(1+ListaMaterial[[#This Row],[PERDA]])</f>
        <v>12</v>
      </c>
      <c r="I186" s="887" t="s">
        <v>4243</v>
      </c>
      <c r="J186" s="891">
        <f>_xlfn.XLOOKUP(ListaMaterial[[#This Row],[ITEM]],M:M,N:N,,0)</f>
        <v>8.11</v>
      </c>
      <c r="K186" s="891">
        <f>J186*ListaMaterial[[#This Row],[TOTAL C/PERDA]]</f>
        <v>97.32</v>
      </c>
      <c r="M186" s="883" t="s">
        <v>4788</v>
      </c>
      <c r="N186" s="893">
        <v>60.83</v>
      </c>
    </row>
    <row r="187" spans="1:14" x14ac:dyDescent="0.25">
      <c r="A187" s="883" t="s">
        <v>4622</v>
      </c>
      <c r="B187" s="883" t="s">
        <v>4441</v>
      </c>
      <c r="C187" s="883" t="s">
        <v>4853</v>
      </c>
      <c r="D187" s="886">
        <v>8</v>
      </c>
      <c r="E187" s="887">
        <v>1</v>
      </c>
      <c r="F187" s="888">
        <f>ListaMaterial[[#This Row],[REPETIÇÃO]]*ListaMaterial[[#This Row],[QUANTIDADE]]</f>
        <v>8</v>
      </c>
      <c r="H187" s="890">
        <f>ListaMaterial[[#This Row],[TOTAL]]*(1+ListaMaterial[[#This Row],[PERDA]])</f>
        <v>8</v>
      </c>
      <c r="I187" s="887" t="s">
        <v>4243</v>
      </c>
      <c r="J187" s="891">
        <f>_xlfn.XLOOKUP(ListaMaterial[[#This Row],[ITEM]],M:M,N:N,,0)</f>
        <v>52.37</v>
      </c>
      <c r="K187" s="891">
        <f>J187*ListaMaterial[[#This Row],[TOTAL C/PERDA]]</f>
        <v>418.96</v>
      </c>
      <c r="M187" s="883" t="s">
        <v>4789</v>
      </c>
      <c r="N187" s="893">
        <v>160.28</v>
      </c>
    </row>
    <row r="188" spans="1:14" x14ac:dyDescent="0.25">
      <c r="A188" s="883" t="s">
        <v>4622</v>
      </c>
      <c r="B188" s="883" t="s">
        <v>4441</v>
      </c>
      <c r="C188" s="883" t="s">
        <v>4854</v>
      </c>
      <c r="D188" s="886">
        <v>4</v>
      </c>
      <c r="E188" s="887">
        <v>1</v>
      </c>
      <c r="F188" s="888">
        <f>ListaMaterial[[#This Row],[REPETIÇÃO]]*ListaMaterial[[#This Row],[QUANTIDADE]]</f>
        <v>4</v>
      </c>
      <c r="H188" s="890">
        <f>ListaMaterial[[#This Row],[TOTAL]]*(1+ListaMaterial[[#This Row],[PERDA]])</f>
        <v>4</v>
      </c>
      <c r="I188" s="887" t="s">
        <v>4243</v>
      </c>
      <c r="J188" s="891">
        <f>_xlfn.XLOOKUP(ListaMaterial[[#This Row],[ITEM]],M:M,N:N,,0)</f>
        <v>5.0599999999999996</v>
      </c>
      <c r="K188" s="891">
        <f>J188*ListaMaterial[[#This Row],[TOTAL C/PERDA]]</f>
        <v>20.239999999999998</v>
      </c>
      <c r="M188" s="883" t="s">
        <v>4790</v>
      </c>
      <c r="N188" s="893">
        <v>59.1</v>
      </c>
    </row>
    <row r="189" spans="1:14" x14ac:dyDescent="0.25">
      <c r="A189" s="883" t="s">
        <v>4622</v>
      </c>
      <c r="B189" s="883" t="s">
        <v>4441</v>
      </c>
      <c r="C189" s="883" t="s">
        <v>4856</v>
      </c>
      <c r="D189" s="886">
        <v>6</v>
      </c>
      <c r="E189" s="887">
        <v>1</v>
      </c>
      <c r="F189" s="888">
        <f>ListaMaterial[[#This Row],[REPETIÇÃO]]*ListaMaterial[[#This Row],[QUANTIDADE]]</f>
        <v>6</v>
      </c>
      <c r="H189" s="890">
        <f>ListaMaterial[[#This Row],[TOTAL]]*(1+ListaMaterial[[#This Row],[PERDA]])</f>
        <v>6</v>
      </c>
      <c r="I189" s="887" t="s">
        <v>4243</v>
      </c>
      <c r="J189" s="891">
        <f>_xlfn.XLOOKUP(ListaMaterial[[#This Row],[ITEM]],M:M,N:N,,0)</f>
        <v>14.13</v>
      </c>
      <c r="K189" s="891">
        <f>J189*ListaMaterial[[#This Row],[TOTAL C/PERDA]]</f>
        <v>84.78</v>
      </c>
      <c r="M189" s="883" t="s">
        <v>4791</v>
      </c>
      <c r="N189" s="893">
        <v>126.9</v>
      </c>
    </row>
    <row r="190" spans="1:14" x14ac:dyDescent="0.25">
      <c r="A190" s="883" t="s">
        <v>4622</v>
      </c>
      <c r="B190" s="883" t="s">
        <v>4441</v>
      </c>
      <c r="C190" s="883" t="s">
        <v>4857</v>
      </c>
      <c r="D190" s="886">
        <v>8</v>
      </c>
      <c r="E190" s="887">
        <v>1</v>
      </c>
      <c r="F190" s="888">
        <f>ListaMaterial[[#This Row],[REPETIÇÃO]]*ListaMaterial[[#This Row],[QUANTIDADE]]</f>
        <v>8</v>
      </c>
      <c r="H190" s="890">
        <f>ListaMaterial[[#This Row],[TOTAL]]*(1+ListaMaterial[[#This Row],[PERDA]])</f>
        <v>8</v>
      </c>
      <c r="I190" s="887" t="s">
        <v>4243</v>
      </c>
      <c r="J190" s="891">
        <f>_xlfn.XLOOKUP(ListaMaterial[[#This Row],[ITEM]],M:M,N:N,,0)</f>
        <v>60.59</v>
      </c>
      <c r="K190" s="891">
        <f>J190*ListaMaterial[[#This Row],[TOTAL C/PERDA]]</f>
        <v>484.72</v>
      </c>
      <c r="M190" s="883" t="s">
        <v>4792</v>
      </c>
      <c r="N190" s="893">
        <v>36.79</v>
      </c>
    </row>
    <row r="191" spans="1:14" x14ac:dyDescent="0.25">
      <c r="A191" s="883" t="s">
        <v>4622</v>
      </c>
      <c r="B191" s="883" t="s">
        <v>4441</v>
      </c>
      <c r="C191" s="883" t="s">
        <v>4863</v>
      </c>
      <c r="D191" s="886">
        <v>7</v>
      </c>
      <c r="E191" s="887">
        <v>1</v>
      </c>
      <c r="F191" s="888">
        <f>ListaMaterial[[#This Row],[REPETIÇÃO]]*ListaMaterial[[#This Row],[QUANTIDADE]]</f>
        <v>7</v>
      </c>
      <c r="H191" s="890">
        <f>ListaMaterial[[#This Row],[TOTAL]]*(1+ListaMaterial[[#This Row],[PERDA]])</f>
        <v>7</v>
      </c>
      <c r="I191" s="887" t="s">
        <v>4243</v>
      </c>
      <c r="J191" s="891">
        <f>_xlfn.XLOOKUP(ListaMaterial[[#This Row],[ITEM]],M:M,N:N,,0)</f>
        <v>27.96</v>
      </c>
      <c r="K191" s="891">
        <f>J191*ListaMaterial[[#This Row],[TOTAL C/PERDA]]</f>
        <v>195.72</v>
      </c>
      <c r="M191" s="883" t="s">
        <v>4793</v>
      </c>
      <c r="N191" s="893">
        <v>126.62</v>
      </c>
    </row>
    <row r="192" spans="1:14" x14ac:dyDescent="0.25">
      <c r="A192" s="883" t="s">
        <v>4622</v>
      </c>
      <c r="B192" s="883" t="s">
        <v>4441</v>
      </c>
      <c r="C192" s="883" t="s">
        <v>4864</v>
      </c>
      <c r="D192" s="886">
        <v>4</v>
      </c>
      <c r="E192" s="887">
        <v>1</v>
      </c>
      <c r="F192" s="888">
        <f>ListaMaterial[[#This Row],[REPETIÇÃO]]*ListaMaterial[[#This Row],[QUANTIDADE]]</f>
        <v>4</v>
      </c>
      <c r="H192" s="890">
        <f>ListaMaterial[[#This Row],[TOTAL]]*(1+ListaMaterial[[#This Row],[PERDA]])</f>
        <v>4</v>
      </c>
      <c r="I192" s="887" t="s">
        <v>4243</v>
      </c>
      <c r="J192" s="891">
        <f>_xlfn.XLOOKUP(ListaMaterial[[#This Row],[ITEM]],M:M,N:N,,0)</f>
        <v>31.32</v>
      </c>
      <c r="K192" s="891">
        <f>J192*ListaMaterial[[#This Row],[TOTAL C/PERDA]]</f>
        <v>125.28</v>
      </c>
      <c r="M192" s="883" t="s">
        <v>4794</v>
      </c>
      <c r="N192" s="893">
        <v>239.47</v>
      </c>
    </row>
    <row r="193" spans="1:14" x14ac:dyDescent="0.25">
      <c r="A193" s="883" t="s">
        <v>4622</v>
      </c>
      <c r="B193" s="883" t="s">
        <v>4441</v>
      </c>
      <c r="C193" s="883" t="s">
        <v>4860</v>
      </c>
      <c r="D193" s="886">
        <v>2</v>
      </c>
      <c r="E193" s="887">
        <v>1</v>
      </c>
      <c r="F193" s="888">
        <f>ListaMaterial[[#This Row],[REPETIÇÃO]]*ListaMaterial[[#This Row],[QUANTIDADE]]</f>
        <v>2</v>
      </c>
      <c r="H193" s="890">
        <f>ListaMaterial[[#This Row],[TOTAL]]*(1+ListaMaterial[[#This Row],[PERDA]])</f>
        <v>2</v>
      </c>
      <c r="I193" s="887" t="s">
        <v>4243</v>
      </c>
      <c r="J193" s="891">
        <f>_xlfn.XLOOKUP(ListaMaterial[[#This Row],[ITEM]],M:M,N:N,,0)</f>
        <v>22.9</v>
      </c>
      <c r="K193" s="891">
        <f>J193*ListaMaterial[[#This Row],[TOTAL C/PERDA]]</f>
        <v>45.8</v>
      </c>
      <c r="M193" s="883" t="s">
        <v>4795</v>
      </c>
      <c r="N193" s="893">
        <v>20.2</v>
      </c>
    </row>
    <row r="194" spans="1:14" x14ac:dyDescent="0.25">
      <c r="A194" s="883" t="s">
        <v>4622</v>
      </c>
      <c r="B194" s="883" t="s">
        <v>4441</v>
      </c>
      <c r="C194" s="883" t="s">
        <v>4865</v>
      </c>
      <c r="D194" s="886">
        <v>4</v>
      </c>
      <c r="E194" s="887">
        <v>1</v>
      </c>
      <c r="F194" s="888">
        <f>ListaMaterial[[#This Row],[REPETIÇÃO]]*ListaMaterial[[#This Row],[QUANTIDADE]]</f>
        <v>4</v>
      </c>
      <c r="H194" s="890">
        <f>ListaMaterial[[#This Row],[TOTAL]]*(1+ListaMaterial[[#This Row],[PERDA]])</f>
        <v>4</v>
      </c>
      <c r="I194" s="887" t="s">
        <v>4243</v>
      </c>
      <c r="J194" s="891">
        <f>_xlfn.XLOOKUP(ListaMaterial[[#This Row],[ITEM]],M:M,N:N,,0)</f>
        <v>79.900000000000006</v>
      </c>
      <c r="K194" s="891">
        <f>J194*ListaMaterial[[#This Row],[TOTAL C/PERDA]]</f>
        <v>319.60000000000002</v>
      </c>
      <c r="M194" s="883" t="s">
        <v>4796</v>
      </c>
      <c r="N194" s="893">
        <v>51.5</v>
      </c>
    </row>
    <row r="195" spans="1:14" x14ac:dyDescent="0.25">
      <c r="A195" s="883" t="s">
        <v>4622</v>
      </c>
      <c r="B195" s="883" t="s">
        <v>4441</v>
      </c>
      <c r="C195" s="883" t="s">
        <v>4866</v>
      </c>
      <c r="D195" s="886">
        <v>2</v>
      </c>
      <c r="E195" s="887">
        <v>1</v>
      </c>
      <c r="F195" s="888">
        <f>ListaMaterial[[#This Row],[REPETIÇÃO]]*ListaMaterial[[#This Row],[QUANTIDADE]]</f>
        <v>2</v>
      </c>
      <c r="H195" s="890">
        <f>ListaMaterial[[#This Row],[TOTAL]]*(1+ListaMaterial[[#This Row],[PERDA]])</f>
        <v>2</v>
      </c>
      <c r="I195" s="887" t="s">
        <v>4243</v>
      </c>
      <c r="J195" s="891">
        <f>_xlfn.XLOOKUP(ListaMaterial[[#This Row],[ITEM]],M:M,N:N,,0)</f>
        <v>124.9</v>
      </c>
      <c r="K195" s="891">
        <f>J195*ListaMaterial[[#This Row],[TOTAL C/PERDA]]</f>
        <v>249.8</v>
      </c>
      <c r="M195" s="883" t="s">
        <v>4797</v>
      </c>
      <c r="N195" s="893">
        <v>32.9</v>
      </c>
    </row>
    <row r="196" spans="1:14" x14ac:dyDescent="0.25">
      <c r="A196" s="883" t="s">
        <v>4622</v>
      </c>
      <c r="B196" s="883" t="s">
        <v>4441</v>
      </c>
      <c r="C196" s="883" t="s">
        <v>4672</v>
      </c>
      <c r="D196" s="886">
        <v>12</v>
      </c>
      <c r="E196" s="887">
        <v>1</v>
      </c>
      <c r="F196" s="888">
        <f>ListaMaterial[[#This Row],[REPETIÇÃO]]*ListaMaterial[[#This Row],[QUANTIDADE]]</f>
        <v>12</v>
      </c>
      <c r="H196" s="890">
        <f>ListaMaterial[[#This Row],[TOTAL]]*(1+ListaMaterial[[#This Row],[PERDA]])</f>
        <v>12</v>
      </c>
      <c r="I196" s="887" t="s">
        <v>4243</v>
      </c>
      <c r="J196" s="891">
        <f>_xlfn.XLOOKUP(ListaMaterial[[#This Row],[ITEM]],M:M,N:N,,0)</f>
        <v>8.94</v>
      </c>
      <c r="K196" s="891">
        <f>J196*ListaMaterial[[#This Row],[TOTAL C/PERDA]]</f>
        <v>107.28</v>
      </c>
      <c r="M196" s="883" t="s">
        <v>4798</v>
      </c>
      <c r="N196" s="893">
        <v>72.84</v>
      </c>
    </row>
    <row r="197" spans="1:14" x14ac:dyDescent="0.25">
      <c r="A197" s="883" t="s">
        <v>4622</v>
      </c>
      <c r="B197" s="883" t="s">
        <v>4441</v>
      </c>
      <c r="C197" s="883" t="s">
        <v>4673</v>
      </c>
      <c r="D197" s="886">
        <v>12</v>
      </c>
      <c r="E197" s="887">
        <v>1</v>
      </c>
      <c r="F197" s="888">
        <f>ListaMaterial[[#This Row],[REPETIÇÃO]]*ListaMaterial[[#This Row],[QUANTIDADE]]</f>
        <v>12</v>
      </c>
      <c r="H197" s="890">
        <f>ListaMaterial[[#This Row],[TOTAL]]*(1+ListaMaterial[[#This Row],[PERDA]])</f>
        <v>12</v>
      </c>
      <c r="I197" s="887" t="s">
        <v>4243</v>
      </c>
      <c r="J197" s="891">
        <f>_xlfn.XLOOKUP(ListaMaterial[[#This Row],[ITEM]],M:M,N:N,,0)</f>
        <v>5.95</v>
      </c>
      <c r="K197" s="891">
        <f>J197*ListaMaterial[[#This Row],[TOTAL C/PERDA]]</f>
        <v>71.400000000000006</v>
      </c>
      <c r="M197" s="883" t="s">
        <v>4799</v>
      </c>
      <c r="N197" s="893">
        <v>154.55000000000001</v>
      </c>
    </row>
    <row r="198" spans="1:14" x14ac:dyDescent="0.25">
      <c r="A198" s="883" t="s">
        <v>4622</v>
      </c>
      <c r="B198" s="883" t="s">
        <v>4441</v>
      </c>
      <c r="C198" s="883" t="s">
        <v>4674</v>
      </c>
      <c r="D198" s="886">
        <v>14</v>
      </c>
      <c r="E198" s="887">
        <v>1</v>
      </c>
      <c r="F198" s="888">
        <f>ListaMaterial[[#This Row],[REPETIÇÃO]]*ListaMaterial[[#This Row],[QUANTIDADE]]</f>
        <v>14</v>
      </c>
      <c r="H198" s="890">
        <f>ListaMaterial[[#This Row],[TOTAL]]*(1+ListaMaterial[[#This Row],[PERDA]])</f>
        <v>14</v>
      </c>
      <c r="I198" s="887" t="s">
        <v>4243</v>
      </c>
      <c r="J198" s="891">
        <f>_xlfn.XLOOKUP(ListaMaterial[[#This Row],[ITEM]],M:M,N:N,,0)</f>
        <v>7.59</v>
      </c>
      <c r="K198" s="891">
        <f>J198*ListaMaterial[[#This Row],[TOTAL C/PERDA]]</f>
        <v>106.25999999999999</v>
      </c>
      <c r="M198" s="883" t="s">
        <v>4800</v>
      </c>
      <c r="N198" s="893">
        <v>546.77</v>
      </c>
    </row>
    <row r="199" spans="1:14" x14ac:dyDescent="0.25">
      <c r="A199" s="883" t="s">
        <v>4622</v>
      </c>
      <c r="B199" s="883" t="s">
        <v>4441</v>
      </c>
      <c r="C199" s="883" t="s">
        <v>4675</v>
      </c>
      <c r="D199" s="886">
        <v>15</v>
      </c>
      <c r="E199" s="887">
        <v>1</v>
      </c>
      <c r="F199" s="888">
        <f>ListaMaterial[[#This Row],[REPETIÇÃO]]*ListaMaterial[[#This Row],[QUANTIDADE]]</f>
        <v>15</v>
      </c>
      <c r="H199" s="890">
        <f>ListaMaterial[[#This Row],[TOTAL]]*(1+ListaMaterial[[#This Row],[PERDA]])</f>
        <v>15</v>
      </c>
      <c r="I199" s="887" t="s">
        <v>4243</v>
      </c>
      <c r="J199" s="891">
        <f>_xlfn.XLOOKUP(ListaMaterial[[#This Row],[ITEM]],M:M,N:N,,0)</f>
        <v>45.89</v>
      </c>
      <c r="K199" s="891">
        <f>J199*ListaMaterial[[#This Row],[TOTAL C/PERDA]]</f>
        <v>688.35</v>
      </c>
      <c r="M199" s="883" t="s">
        <v>4801</v>
      </c>
      <c r="N199" s="893">
        <v>163.51</v>
      </c>
    </row>
    <row r="200" spans="1:14" x14ac:dyDescent="0.25">
      <c r="A200" s="883" t="s">
        <v>4622</v>
      </c>
      <c r="B200" s="883" t="s">
        <v>4441</v>
      </c>
      <c r="C200" s="883" t="s">
        <v>4698</v>
      </c>
      <c r="D200" s="886">
        <v>1</v>
      </c>
      <c r="E200" s="887">
        <v>1</v>
      </c>
      <c r="F200" s="888">
        <f>ListaMaterial[[#This Row],[REPETIÇÃO]]*ListaMaterial[[#This Row],[QUANTIDADE]]</f>
        <v>1</v>
      </c>
      <c r="H200" s="890">
        <f>ListaMaterial[[#This Row],[TOTAL]]*(1+ListaMaterial[[#This Row],[PERDA]])</f>
        <v>1</v>
      </c>
      <c r="I200" s="887" t="s">
        <v>4243</v>
      </c>
      <c r="J200" s="891">
        <f>_xlfn.XLOOKUP(ListaMaterial[[#This Row],[ITEM]],M:M,N:N,,0)</f>
        <v>20.13</v>
      </c>
      <c r="K200" s="891">
        <f>J200*ListaMaterial[[#This Row],[TOTAL C/PERDA]]</f>
        <v>20.13</v>
      </c>
      <c r="M200" s="883" t="s">
        <v>4802</v>
      </c>
      <c r="N200" s="893">
        <v>2.2519999999999998</v>
      </c>
    </row>
    <row r="201" spans="1:14" x14ac:dyDescent="0.25">
      <c r="A201" s="883" t="s">
        <v>4622</v>
      </c>
      <c r="B201" s="883" t="s">
        <v>4441</v>
      </c>
      <c r="C201" s="883" t="s">
        <v>4699</v>
      </c>
      <c r="D201" s="886">
        <v>1</v>
      </c>
      <c r="E201" s="887">
        <v>1</v>
      </c>
      <c r="F201" s="888">
        <f>ListaMaterial[[#This Row],[REPETIÇÃO]]*ListaMaterial[[#This Row],[QUANTIDADE]]</f>
        <v>1</v>
      </c>
      <c r="H201" s="890">
        <f>ListaMaterial[[#This Row],[TOTAL]]*(1+ListaMaterial[[#This Row],[PERDA]])</f>
        <v>1</v>
      </c>
      <c r="I201" s="887" t="s">
        <v>4243</v>
      </c>
      <c r="J201" s="891">
        <f>_xlfn.XLOOKUP(ListaMaterial[[#This Row],[ITEM]],M:M,N:N,,0)</f>
        <v>27.96</v>
      </c>
      <c r="K201" s="891">
        <f>J201*ListaMaterial[[#This Row],[TOTAL C/PERDA]]</f>
        <v>27.96</v>
      </c>
      <c r="M201" s="883" t="s">
        <v>4803</v>
      </c>
      <c r="N201" s="893">
        <v>4.5232000000000001</v>
      </c>
    </row>
    <row r="202" spans="1:14" x14ac:dyDescent="0.25">
      <c r="A202" s="883" t="s">
        <v>4622</v>
      </c>
      <c r="B202" s="883" t="s">
        <v>4440</v>
      </c>
      <c r="C202" s="883" t="s">
        <v>4700</v>
      </c>
      <c r="D202" s="886">
        <v>7.76</v>
      </c>
      <c r="E202" s="887">
        <v>1</v>
      </c>
      <c r="F202" s="888">
        <f>ListaMaterial[[#This Row],[REPETIÇÃO]]*ListaMaterial[[#This Row],[QUANTIDADE]]</f>
        <v>7.76</v>
      </c>
      <c r="G202" s="889">
        <v>0.15</v>
      </c>
      <c r="H202" s="890">
        <f>ListaMaterial[[#This Row],[TOTAL]]*(1+ListaMaterial[[#This Row],[PERDA]])</f>
        <v>8.9239999999999995</v>
      </c>
      <c r="I202" s="887" t="s">
        <v>3</v>
      </c>
      <c r="J202" s="891">
        <f>_xlfn.XLOOKUP(ListaMaterial[[#This Row],[ITEM]],M:M,N:N,,0)</f>
        <v>13.42</v>
      </c>
      <c r="K202" s="891">
        <f>J202*ListaMaterial[[#This Row],[TOTAL C/PERDA]]</f>
        <v>119.76007999999999</v>
      </c>
      <c r="M202" s="883" t="s">
        <v>4804</v>
      </c>
      <c r="N202" s="893">
        <v>3.1238000000000001</v>
      </c>
    </row>
    <row r="203" spans="1:14" x14ac:dyDescent="0.25">
      <c r="A203" s="883" t="s">
        <v>4622</v>
      </c>
      <c r="B203" s="883" t="s">
        <v>4440</v>
      </c>
      <c r="C203" s="883" t="s">
        <v>4701</v>
      </c>
      <c r="D203" s="886">
        <v>2.93</v>
      </c>
      <c r="E203" s="887">
        <v>1</v>
      </c>
      <c r="F203" s="888">
        <f>ListaMaterial[[#This Row],[REPETIÇÃO]]*ListaMaterial[[#This Row],[QUANTIDADE]]</f>
        <v>2.93</v>
      </c>
      <c r="G203" s="889">
        <v>0.15</v>
      </c>
      <c r="H203" s="890">
        <f>ListaMaterial[[#This Row],[TOTAL]]*(1+ListaMaterial[[#This Row],[PERDA]])</f>
        <v>3.3694999999999999</v>
      </c>
      <c r="I203" s="887" t="s">
        <v>3</v>
      </c>
      <c r="J203" s="891">
        <f>_xlfn.XLOOKUP(ListaMaterial[[#This Row],[ITEM]],M:M,N:N,,0)</f>
        <v>16.777999999999999</v>
      </c>
      <c r="K203" s="891">
        <f>J203*ListaMaterial[[#This Row],[TOTAL C/PERDA]]</f>
        <v>56.533470999999992</v>
      </c>
      <c r="M203" s="883" t="s">
        <v>4805</v>
      </c>
      <c r="N203" s="893">
        <v>18.616</v>
      </c>
    </row>
    <row r="204" spans="1:14" x14ac:dyDescent="0.25">
      <c r="A204" s="883" t="s">
        <v>4622</v>
      </c>
      <c r="B204" s="883" t="s">
        <v>4440</v>
      </c>
      <c r="C204" s="883" t="s">
        <v>4679</v>
      </c>
      <c r="D204" s="886">
        <v>15.96</v>
      </c>
      <c r="E204" s="887">
        <v>1</v>
      </c>
      <c r="F204" s="888">
        <f>ListaMaterial[[#This Row],[REPETIÇÃO]]*ListaMaterial[[#This Row],[QUANTIDADE]]</f>
        <v>15.96</v>
      </c>
      <c r="G204" s="889">
        <v>0.15</v>
      </c>
      <c r="H204" s="890">
        <f>ListaMaterial[[#This Row],[TOTAL]]*(1+ListaMaterial[[#This Row],[PERDA]])</f>
        <v>18.353999999999999</v>
      </c>
      <c r="I204" s="887" t="s">
        <v>3</v>
      </c>
      <c r="J204" s="891">
        <f>_xlfn.XLOOKUP(ListaMaterial[[#This Row],[ITEM]],M:M,N:N,,0)</f>
        <v>20.134399999999999</v>
      </c>
      <c r="K204" s="891">
        <f>J204*ListaMaterial[[#This Row],[TOTAL C/PERDA]]</f>
        <v>369.54677759999998</v>
      </c>
      <c r="M204" s="883" t="s">
        <v>4806</v>
      </c>
      <c r="N204" s="893">
        <v>109.13</v>
      </c>
    </row>
    <row r="205" spans="1:14" x14ac:dyDescent="0.25">
      <c r="A205" s="883" t="s">
        <v>4622</v>
      </c>
      <c r="B205" s="883" t="s">
        <v>4618</v>
      </c>
      <c r="C205" s="883" t="s">
        <v>4680</v>
      </c>
      <c r="D205" s="886">
        <v>20.58</v>
      </c>
      <c r="E205" s="887">
        <v>1</v>
      </c>
      <c r="F205" s="888">
        <f>ListaMaterial[[#This Row],[REPETIÇÃO]]*ListaMaterial[[#This Row],[QUANTIDADE]]</f>
        <v>20.58</v>
      </c>
      <c r="G205" s="889">
        <v>0.15</v>
      </c>
      <c r="H205" s="890">
        <f>ListaMaterial[[#This Row],[TOTAL]]*(1+ListaMaterial[[#This Row],[PERDA]])</f>
        <v>23.666999999999994</v>
      </c>
      <c r="I205" s="887" t="s">
        <v>3</v>
      </c>
      <c r="J205" s="891">
        <f>_xlfn.XLOOKUP(ListaMaterial[[#This Row],[ITEM]],M:M,N:N,,0)</f>
        <v>9.2899999999999991</v>
      </c>
      <c r="K205" s="891">
        <f>J205*ListaMaterial[[#This Row],[TOTAL C/PERDA]]</f>
        <v>219.86642999999992</v>
      </c>
      <c r="M205" s="883" t="s">
        <v>4807</v>
      </c>
      <c r="N205" s="893">
        <v>18.579999999999998</v>
      </c>
    </row>
    <row r="206" spans="1:14" x14ac:dyDescent="0.25">
      <c r="A206" s="883" t="s">
        <v>4622</v>
      </c>
      <c r="B206" s="883" t="s">
        <v>4618</v>
      </c>
      <c r="C206" s="883" t="s">
        <v>4681</v>
      </c>
      <c r="D206" s="886">
        <v>38.159999999999997</v>
      </c>
      <c r="E206" s="887">
        <v>1</v>
      </c>
      <c r="F206" s="888">
        <f>ListaMaterial[[#This Row],[REPETIÇÃO]]*ListaMaterial[[#This Row],[QUANTIDADE]]</f>
        <v>38.159999999999997</v>
      </c>
      <c r="G206" s="889">
        <v>0.15</v>
      </c>
      <c r="H206" s="890">
        <f>ListaMaterial[[#This Row],[TOTAL]]*(1+ListaMaterial[[#This Row],[PERDA]])</f>
        <v>43.883999999999993</v>
      </c>
      <c r="I206" s="887" t="s">
        <v>3</v>
      </c>
      <c r="J206" s="891">
        <f>_xlfn.XLOOKUP(ListaMaterial[[#This Row],[ITEM]],M:M,N:N,,0)</f>
        <v>15.99</v>
      </c>
      <c r="K206" s="891">
        <f>J206*ListaMaterial[[#This Row],[TOTAL C/PERDA]]</f>
        <v>701.70515999999986</v>
      </c>
      <c r="M206" s="883" t="s">
        <v>4808</v>
      </c>
      <c r="N206" s="893">
        <v>60.48</v>
      </c>
    </row>
    <row r="207" spans="1:14" x14ac:dyDescent="0.25">
      <c r="A207" s="883" t="s">
        <v>4622</v>
      </c>
      <c r="B207" s="883" t="s">
        <v>4618</v>
      </c>
      <c r="C207" s="883" t="s">
        <v>4682</v>
      </c>
      <c r="D207" s="886">
        <v>33.630000000000003</v>
      </c>
      <c r="E207" s="887">
        <v>1</v>
      </c>
      <c r="F207" s="888">
        <f>ListaMaterial[[#This Row],[REPETIÇÃO]]*ListaMaterial[[#This Row],[QUANTIDADE]]</f>
        <v>33.630000000000003</v>
      </c>
      <c r="G207" s="889">
        <v>0.15</v>
      </c>
      <c r="H207" s="890">
        <f>ListaMaterial[[#This Row],[TOTAL]]*(1+ListaMaterial[[#This Row],[PERDA]])</f>
        <v>38.674500000000002</v>
      </c>
      <c r="I207" s="887" t="s">
        <v>3</v>
      </c>
      <c r="J207" s="891">
        <f>_xlfn.XLOOKUP(ListaMaterial[[#This Row],[ITEM]],M:M,N:N,,0)</f>
        <v>8.99</v>
      </c>
      <c r="K207" s="891">
        <f>J207*ListaMaterial[[#This Row],[TOTAL C/PERDA]]</f>
        <v>347.68375500000002</v>
      </c>
      <c r="M207" s="883" t="s">
        <v>4809</v>
      </c>
      <c r="N207" s="893">
        <v>123.9</v>
      </c>
    </row>
    <row r="208" spans="1:14" x14ac:dyDescent="0.25">
      <c r="A208" s="883" t="s">
        <v>4622</v>
      </c>
      <c r="B208" s="883" t="s">
        <v>4618</v>
      </c>
      <c r="C208" s="883" t="s">
        <v>4683</v>
      </c>
      <c r="D208" s="886">
        <v>36.770000000000003</v>
      </c>
      <c r="E208" s="887">
        <v>1</v>
      </c>
      <c r="F208" s="888">
        <f>ListaMaterial[[#This Row],[REPETIÇÃO]]*ListaMaterial[[#This Row],[QUANTIDADE]]</f>
        <v>36.770000000000003</v>
      </c>
      <c r="G208" s="889">
        <v>0.15</v>
      </c>
      <c r="H208" s="890">
        <f>ListaMaterial[[#This Row],[TOTAL]]*(1+ListaMaterial[[#This Row],[PERDA]])</f>
        <v>42.285499999999999</v>
      </c>
      <c r="I208" s="887" t="s">
        <v>3</v>
      </c>
      <c r="J208" s="891">
        <f>_xlfn.XLOOKUP(ListaMaterial[[#This Row],[ITEM]],M:M,N:N,,0)</f>
        <v>29.99</v>
      </c>
      <c r="K208" s="891">
        <f>J208*ListaMaterial[[#This Row],[TOTAL C/PERDA]]</f>
        <v>1268.1421449999998</v>
      </c>
      <c r="M208" s="883" t="s">
        <v>4810</v>
      </c>
      <c r="N208" s="893">
        <v>2.7477999999999998</v>
      </c>
    </row>
    <row r="209" spans="1:14" x14ac:dyDescent="0.25">
      <c r="A209" s="883" t="s">
        <v>4622</v>
      </c>
      <c r="B209" s="883" t="s">
        <v>4619</v>
      </c>
      <c r="C209" s="883" t="s">
        <v>4684</v>
      </c>
      <c r="D209" s="886">
        <v>8.9600000000000009</v>
      </c>
      <c r="E209" s="887">
        <v>1</v>
      </c>
      <c r="F209" s="888">
        <f>ListaMaterial[[#This Row],[REPETIÇÃO]]*ListaMaterial[[#This Row],[QUANTIDADE]]</f>
        <v>8.9600000000000009</v>
      </c>
      <c r="G209" s="889">
        <v>0.15</v>
      </c>
      <c r="H209" s="890">
        <f>ListaMaterial[[#This Row],[TOTAL]]*(1+ListaMaterial[[#This Row],[PERDA]])</f>
        <v>10.304</v>
      </c>
      <c r="I209" s="887" t="s">
        <v>3</v>
      </c>
      <c r="J209" s="891">
        <f>_xlfn.XLOOKUP(ListaMaterial[[#This Row],[ITEM]],M:M,N:N,,0)</f>
        <v>2.5685666666666669</v>
      </c>
      <c r="K209" s="891">
        <f>J209*ListaMaterial[[#This Row],[TOTAL C/PERDA]]</f>
        <v>26.466510933333335</v>
      </c>
      <c r="M209" s="883" t="s">
        <v>4811</v>
      </c>
      <c r="N209" s="893">
        <v>22.4</v>
      </c>
    </row>
    <row r="210" spans="1:14" x14ac:dyDescent="0.25">
      <c r="A210" s="883" t="s">
        <v>4623</v>
      </c>
      <c r="B210" s="883" t="s">
        <v>4242</v>
      </c>
      <c r="C210" s="883" t="s">
        <v>4634</v>
      </c>
      <c r="D210" s="886">
        <v>10</v>
      </c>
      <c r="E210" s="887">
        <v>1</v>
      </c>
      <c r="F210" s="888">
        <f>ListaMaterial[[#This Row],[REPETIÇÃO]]*ListaMaterial[[#This Row],[QUANTIDADE]]</f>
        <v>10</v>
      </c>
      <c r="H210" s="890">
        <f>ListaMaterial[[#This Row],[TOTAL]]*(1+ListaMaterial[[#This Row],[PERDA]])</f>
        <v>10</v>
      </c>
      <c r="I210" s="887" t="s">
        <v>4243</v>
      </c>
      <c r="J210" s="891">
        <f>_xlfn.XLOOKUP(ListaMaterial[[#This Row],[ITEM]],M:M,N:N,,0)</f>
        <v>68.849999999999994</v>
      </c>
      <c r="K210" s="891">
        <f>J210*ListaMaterial[[#This Row],[TOTAL C/PERDA]]</f>
        <v>688.5</v>
      </c>
      <c r="M210" s="883" t="s">
        <v>4812</v>
      </c>
      <c r="N210" s="893">
        <v>45.77</v>
      </c>
    </row>
    <row r="211" spans="1:14" x14ac:dyDescent="0.25">
      <c r="A211" s="883" t="s">
        <v>4623</v>
      </c>
      <c r="B211" s="883" t="s">
        <v>4242</v>
      </c>
      <c r="C211" s="883" t="s">
        <v>4688</v>
      </c>
      <c r="D211" s="886">
        <v>4</v>
      </c>
      <c r="E211" s="887">
        <v>1</v>
      </c>
      <c r="F211" s="888">
        <f>ListaMaterial[[#This Row],[REPETIÇÃO]]*ListaMaterial[[#This Row],[QUANTIDADE]]</f>
        <v>4</v>
      </c>
      <c r="H211" s="890">
        <f>ListaMaterial[[#This Row],[TOTAL]]*(1+ListaMaterial[[#This Row],[PERDA]])</f>
        <v>4</v>
      </c>
      <c r="I211" s="887" t="s">
        <v>4243</v>
      </c>
      <c r="J211" s="891">
        <f>_xlfn.XLOOKUP(ListaMaterial[[#This Row],[ITEM]],M:M,N:N,,0)</f>
        <v>16.778600000000001</v>
      </c>
      <c r="K211" s="891">
        <f>J211*ListaMaterial[[#This Row],[TOTAL C/PERDA]]</f>
        <v>67.114400000000003</v>
      </c>
      <c r="M211" s="883" t="s">
        <v>4813</v>
      </c>
      <c r="N211" s="893">
        <v>0.91</v>
      </c>
    </row>
    <row r="212" spans="1:14" x14ac:dyDescent="0.25">
      <c r="A212" s="883" t="s">
        <v>4623</v>
      </c>
      <c r="B212" s="883" t="s">
        <v>4242</v>
      </c>
      <c r="C212" s="883" t="s">
        <v>4640</v>
      </c>
      <c r="D212" s="886">
        <v>8</v>
      </c>
      <c r="E212" s="887">
        <v>1</v>
      </c>
      <c r="F212" s="888">
        <f>ListaMaterial[[#This Row],[REPETIÇÃO]]*ListaMaterial[[#This Row],[QUANTIDADE]]</f>
        <v>8</v>
      </c>
      <c r="H212" s="890">
        <f>ListaMaterial[[#This Row],[TOTAL]]*(1+ListaMaterial[[#This Row],[PERDA]])</f>
        <v>8</v>
      </c>
      <c r="I212" s="887" t="s">
        <v>4243</v>
      </c>
      <c r="J212" s="891">
        <f>_xlfn.XLOOKUP(ListaMaterial[[#This Row],[ITEM]],M:M,N:N,,0)</f>
        <v>31.716699999999999</v>
      </c>
      <c r="K212" s="891">
        <f>J212*ListaMaterial[[#This Row],[TOTAL C/PERDA]]</f>
        <v>253.7336</v>
      </c>
      <c r="M212" s="883" t="s">
        <v>4814</v>
      </c>
      <c r="N212" s="893">
        <v>12.33</v>
      </c>
    </row>
    <row r="213" spans="1:14" x14ac:dyDescent="0.25">
      <c r="A213" s="883" t="s">
        <v>4623</v>
      </c>
      <c r="B213" s="883" t="s">
        <v>4616</v>
      </c>
      <c r="C213" s="883" t="s">
        <v>4646</v>
      </c>
      <c r="D213" s="886">
        <v>8</v>
      </c>
      <c r="E213" s="887">
        <v>1</v>
      </c>
      <c r="F213" s="888">
        <f>ListaMaterial[[#This Row],[REPETIÇÃO]]*ListaMaterial[[#This Row],[QUANTIDADE]]</f>
        <v>8</v>
      </c>
      <c r="H213" s="890">
        <f>ListaMaterial[[#This Row],[TOTAL]]*(1+ListaMaterial[[#This Row],[PERDA]])</f>
        <v>8</v>
      </c>
      <c r="I213" s="887" t="s">
        <v>4243</v>
      </c>
      <c r="J213" s="891">
        <f>_xlfn.XLOOKUP(ListaMaterial[[#This Row],[ITEM]],M:M,N:N,,0)</f>
        <v>2.02</v>
      </c>
      <c r="K213" s="891">
        <f>J213*ListaMaterial[[#This Row],[TOTAL C/PERDA]]</f>
        <v>16.16</v>
      </c>
      <c r="M213" s="883" t="s">
        <v>4815</v>
      </c>
      <c r="N213" s="893">
        <v>33.270000000000003</v>
      </c>
    </row>
    <row r="214" spans="1:14" x14ac:dyDescent="0.25">
      <c r="A214" s="883" t="s">
        <v>4623</v>
      </c>
      <c r="B214" s="883" t="s">
        <v>4429</v>
      </c>
      <c r="C214" s="883" t="s">
        <v>4647</v>
      </c>
      <c r="D214" s="886">
        <v>16</v>
      </c>
      <c r="E214" s="887">
        <v>1</v>
      </c>
      <c r="F214" s="888">
        <f>ListaMaterial[[#This Row],[REPETIÇÃO]]*ListaMaterial[[#This Row],[QUANTIDADE]]</f>
        <v>16</v>
      </c>
      <c r="H214" s="890">
        <f>ListaMaterial[[#This Row],[TOTAL]]*(1+ListaMaterial[[#This Row],[PERDA]])</f>
        <v>16</v>
      </c>
      <c r="I214" s="887" t="s">
        <v>4243</v>
      </c>
      <c r="J214" s="891">
        <f>_xlfn.XLOOKUP(ListaMaterial[[#This Row],[ITEM]],M:M,N:N,,0)</f>
        <v>0.59370000000000001</v>
      </c>
      <c r="K214" s="891">
        <f>J214*ListaMaterial[[#This Row],[TOTAL C/PERDA]]</f>
        <v>9.4992000000000001</v>
      </c>
      <c r="M214" s="883" t="s">
        <v>4816</v>
      </c>
      <c r="N214" s="893">
        <v>33.270000000000003</v>
      </c>
    </row>
    <row r="215" spans="1:14" x14ac:dyDescent="0.25">
      <c r="A215" s="883" t="s">
        <v>4623</v>
      </c>
      <c r="B215" s="883" t="s">
        <v>4429</v>
      </c>
      <c r="C215" s="883" t="s">
        <v>4702</v>
      </c>
      <c r="D215" s="886">
        <v>1</v>
      </c>
      <c r="E215" s="887">
        <v>1</v>
      </c>
      <c r="F215" s="888">
        <f>ListaMaterial[[#This Row],[REPETIÇÃO]]*ListaMaterial[[#This Row],[QUANTIDADE]]</f>
        <v>1</v>
      </c>
      <c r="H215" s="890">
        <f>ListaMaterial[[#This Row],[TOTAL]]*(1+ListaMaterial[[#This Row],[PERDA]])</f>
        <v>1</v>
      </c>
      <c r="I215" s="887" t="s">
        <v>4243</v>
      </c>
      <c r="J215" s="891">
        <f>_xlfn.XLOOKUP(ListaMaterial[[#This Row],[ITEM]],M:M,N:N,,0)</f>
        <v>5.89</v>
      </c>
      <c r="K215" s="891">
        <f>J215*ListaMaterial[[#This Row],[TOTAL C/PERDA]]</f>
        <v>5.89</v>
      </c>
      <c r="M215" s="883" t="s">
        <v>4817</v>
      </c>
      <c r="N215" s="893">
        <v>7.75</v>
      </c>
    </row>
    <row r="216" spans="1:14" x14ac:dyDescent="0.25">
      <c r="A216" s="883" t="s">
        <v>4623</v>
      </c>
      <c r="B216" s="883" t="s">
        <v>4429</v>
      </c>
      <c r="C216" s="883" t="s">
        <v>4652</v>
      </c>
      <c r="D216" s="886">
        <v>6</v>
      </c>
      <c r="E216" s="887">
        <v>1</v>
      </c>
      <c r="F216" s="888">
        <f>ListaMaterial[[#This Row],[REPETIÇÃO]]*ListaMaterial[[#This Row],[QUANTIDADE]]</f>
        <v>6</v>
      </c>
      <c r="H216" s="890">
        <f>ListaMaterial[[#This Row],[TOTAL]]*(1+ListaMaterial[[#This Row],[PERDA]])</f>
        <v>6</v>
      </c>
      <c r="I216" s="887" t="s">
        <v>4243</v>
      </c>
      <c r="J216" s="891">
        <f>_xlfn.XLOOKUP(ListaMaterial[[#This Row],[ITEM]],M:M,N:N,,0)</f>
        <v>5.4611000000000001</v>
      </c>
      <c r="K216" s="891">
        <f>J216*ListaMaterial[[#This Row],[TOTAL C/PERDA]]</f>
        <v>32.766599999999997</v>
      </c>
      <c r="M216" s="883" t="s">
        <v>4818</v>
      </c>
      <c r="N216" s="893">
        <v>17.28</v>
      </c>
    </row>
    <row r="217" spans="1:14" x14ac:dyDescent="0.25">
      <c r="A217" s="883" t="s">
        <v>4623</v>
      </c>
      <c r="B217" s="883" t="s">
        <v>4429</v>
      </c>
      <c r="C217" s="883" t="s">
        <v>4653</v>
      </c>
      <c r="D217" s="886">
        <v>28</v>
      </c>
      <c r="E217" s="887">
        <v>1</v>
      </c>
      <c r="F217" s="888">
        <f>ListaMaterial[[#This Row],[REPETIÇÃO]]*ListaMaterial[[#This Row],[QUANTIDADE]]</f>
        <v>28</v>
      </c>
      <c r="H217" s="890">
        <f>ListaMaterial[[#This Row],[TOTAL]]*(1+ListaMaterial[[#This Row],[PERDA]])</f>
        <v>28</v>
      </c>
      <c r="I217" s="887" t="s">
        <v>4243</v>
      </c>
      <c r="J217" s="891">
        <f>_xlfn.XLOOKUP(ListaMaterial[[#This Row],[ITEM]],M:M,N:N,,0)</f>
        <v>0.91449999999999998</v>
      </c>
      <c r="K217" s="891">
        <f>J217*ListaMaterial[[#This Row],[TOTAL C/PERDA]]</f>
        <v>25.605999999999998</v>
      </c>
      <c r="M217" s="883" t="s">
        <v>4819</v>
      </c>
      <c r="N217" s="893">
        <v>22.4</v>
      </c>
    </row>
    <row r="218" spans="1:14" x14ac:dyDescent="0.25">
      <c r="A218" s="883" t="s">
        <v>4623</v>
      </c>
      <c r="B218" s="883" t="s">
        <v>4429</v>
      </c>
      <c r="C218" s="883" t="s">
        <v>4654</v>
      </c>
      <c r="D218" s="886">
        <v>50</v>
      </c>
      <c r="E218" s="887">
        <v>1</v>
      </c>
      <c r="F218" s="888">
        <f>ListaMaterial[[#This Row],[REPETIÇÃO]]*ListaMaterial[[#This Row],[QUANTIDADE]]</f>
        <v>50</v>
      </c>
      <c r="H218" s="890">
        <f>ListaMaterial[[#This Row],[TOTAL]]*(1+ListaMaterial[[#This Row],[PERDA]])</f>
        <v>50</v>
      </c>
      <c r="I218" s="887" t="s">
        <v>4243</v>
      </c>
      <c r="J218" s="891">
        <f>_xlfn.XLOOKUP(ListaMaterial[[#This Row],[ITEM]],M:M,N:N,,0)</f>
        <v>0.47220000000000001</v>
      </c>
      <c r="K218" s="891">
        <f>J218*ListaMaterial[[#This Row],[TOTAL C/PERDA]]</f>
        <v>23.61</v>
      </c>
      <c r="M218" s="883" t="s">
        <v>4820</v>
      </c>
      <c r="N218" s="893">
        <v>4.7149999999999999</v>
      </c>
    </row>
    <row r="219" spans="1:14" x14ac:dyDescent="0.25">
      <c r="A219" s="883" t="s">
        <v>4623</v>
      </c>
      <c r="B219" s="883" t="s">
        <v>4429</v>
      </c>
      <c r="C219" s="883" t="s">
        <v>4658</v>
      </c>
      <c r="D219" s="886">
        <v>8</v>
      </c>
      <c r="E219" s="887">
        <v>1</v>
      </c>
      <c r="F219" s="888">
        <f>ListaMaterial[[#This Row],[REPETIÇÃO]]*ListaMaterial[[#This Row],[QUANTIDADE]]</f>
        <v>8</v>
      </c>
      <c r="H219" s="890">
        <f>ListaMaterial[[#This Row],[TOTAL]]*(1+ListaMaterial[[#This Row],[PERDA]])</f>
        <v>8</v>
      </c>
      <c r="I219" s="887" t="s">
        <v>4243</v>
      </c>
      <c r="J219" s="891">
        <f>_xlfn.XLOOKUP(ListaMaterial[[#This Row],[ITEM]],M:M,N:N,,0)</f>
        <v>13.005000000000001</v>
      </c>
      <c r="K219" s="891">
        <f>J219*ListaMaterial[[#This Row],[TOTAL C/PERDA]]</f>
        <v>104.04</v>
      </c>
      <c r="M219" s="883" t="s">
        <v>4821</v>
      </c>
      <c r="N219" s="893">
        <v>140</v>
      </c>
    </row>
    <row r="220" spans="1:14" x14ac:dyDescent="0.25">
      <c r="A220" s="883" t="s">
        <v>4623</v>
      </c>
      <c r="B220" s="883" t="s">
        <v>4429</v>
      </c>
      <c r="C220" s="883" t="s">
        <v>4660</v>
      </c>
      <c r="D220" s="886">
        <v>10</v>
      </c>
      <c r="E220" s="887">
        <v>1</v>
      </c>
      <c r="F220" s="888">
        <f>ListaMaterial[[#This Row],[REPETIÇÃO]]*ListaMaterial[[#This Row],[QUANTIDADE]]</f>
        <v>10</v>
      </c>
      <c r="H220" s="890">
        <f>ListaMaterial[[#This Row],[TOTAL]]*(1+ListaMaterial[[#This Row],[PERDA]])</f>
        <v>10</v>
      </c>
      <c r="I220" s="887" t="s">
        <v>4243</v>
      </c>
      <c r="J220" s="891">
        <f>_xlfn.XLOOKUP(ListaMaterial[[#This Row],[ITEM]],M:M,N:N,,0)</f>
        <v>0.98509999999999998</v>
      </c>
      <c r="K220" s="891">
        <f>J220*ListaMaterial[[#This Row],[TOTAL C/PERDA]]</f>
        <v>9.8509999999999991</v>
      </c>
      <c r="M220" s="883" t="s">
        <v>4822</v>
      </c>
      <c r="N220" s="893">
        <v>3.1238000000000001</v>
      </c>
    </row>
    <row r="221" spans="1:14" x14ac:dyDescent="0.25">
      <c r="A221" s="883" t="s">
        <v>4623</v>
      </c>
      <c r="B221" s="883" t="s">
        <v>4431</v>
      </c>
      <c r="C221" s="883" t="s">
        <v>4668</v>
      </c>
      <c r="D221" s="886">
        <v>1</v>
      </c>
      <c r="E221" s="887">
        <v>1</v>
      </c>
      <c r="F221" s="888">
        <f>ListaMaterial[[#This Row],[REPETIÇÃO]]*ListaMaterial[[#This Row],[QUANTIDADE]]</f>
        <v>1</v>
      </c>
      <c r="H221" s="890">
        <f>ListaMaterial[[#This Row],[TOTAL]]*(1+ListaMaterial[[#This Row],[PERDA]])</f>
        <v>1</v>
      </c>
      <c r="I221" s="887" t="s">
        <v>4243</v>
      </c>
      <c r="J221" s="891">
        <f>_xlfn.XLOOKUP(ListaMaterial[[#This Row],[ITEM]],M:M,N:N,,0)</f>
        <v>20.13</v>
      </c>
      <c r="K221" s="891">
        <f>J221*ListaMaterial[[#This Row],[TOTAL C/PERDA]]</f>
        <v>20.13</v>
      </c>
      <c r="M221" s="883" t="s">
        <v>4823</v>
      </c>
      <c r="N221" s="893">
        <v>314.08</v>
      </c>
    </row>
    <row r="222" spans="1:14" x14ac:dyDescent="0.25">
      <c r="A222" s="883" t="s">
        <v>4623</v>
      </c>
      <c r="B222" s="883" t="s">
        <v>4431</v>
      </c>
      <c r="C222" s="883" t="s">
        <v>4695</v>
      </c>
      <c r="D222" s="886">
        <v>1</v>
      </c>
      <c r="E222" s="887">
        <v>1</v>
      </c>
      <c r="F222" s="888">
        <f>ListaMaterial[[#This Row],[REPETIÇÃO]]*ListaMaterial[[#This Row],[QUANTIDADE]]</f>
        <v>1</v>
      </c>
      <c r="H222" s="890">
        <f>ListaMaterial[[#This Row],[TOTAL]]*(1+ListaMaterial[[#This Row],[PERDA]])</f>
        <v>1</v>
      </c>
      <c r="I222" s="887" t="s">
        <v>4243</v>
      </c>
      <c r="J222" s="891">
        <f>_xlfn.XLOOKUP(ListaMaterial[[#This Row],[ITEM]],M:M,N:N,,0)</f>
        <v>8.9486000000000008</v>
      </c>
      <c r="K222" s="891">
        <f>J222*ListaMaterial[[#This Row],[TOTAL C/PERDA]]</f>
        <v>8.9486000000000008</v>
      </c>
      <c r="M222" s="883" t="s">
        <v>4824</v>
      </c>
      <c r="N222" s="893">
        <v>288.08</v>
      </c>
    </row>
    <row r="223" spans="1:14" x14ac:dyDescent="0.25">
      <c r="A223" s="883" t="s">
        <v>4623</v>
      </c>
      <c r="B223" s="883" t="s">
        <v>4431</v>
      </c>
      <c r="C223" s="883" t="s">
        <v>4696</v>
      </c>
      <c r="D223" s="886">
        <v>1</v>
      </c>
      <c r="E223" s="887">
        <v>1</v>
      </c>
      <c r="F223" s="888">
        <f>ListaMaterial[[#This Row],[REPETIÇÃO]]*ListaMaterial[[#This Row],[QUANTIDADE]]</f>
        <v>1</v>
      </c>
      <c r="H223" s="890">
        <f>ListaMaterial[[#This Row],[TOTAL]]*(1+ListaMaterial[[#This Row],[PERDA]])</f>
        <v>1</v>
      </c>
      <c r="I223" s="887" t="s">
        <v>4243</v>
      </c>
      <c r="J223" s="891">
        <f>_xlfn.XLOOKUP(ListaMaterial[[#This Row],[ITEM]],M:M,N:N,,0)</f>
        <v>16.77</v>
      </c>
      <c r="K223" s="891">
        <f>J223*ListaMaterial[[#This Row],[TOTAL C/PERDA]]</f>
        <v>16.77</v>
      </c>
      <c r="M223" s="883" t="s">
        <v>4825</v>
      </c>
      <c r="N223" s="893">
        <v>15</v>
      </c>
    </row>
    <row r="224" spans="1:14" x14ac:dyDescent="0.25">
      <c r="A224" s="883" t="s">
        <v>4623</v>
      </c>
      <c r="B224" s="883" t="s">
        <v>4441</v>
      </c>
      <c r="C224" s="883" t="s">
        <v>4697</v>
      </c>
      <c r="D224" s="886">
        <v>4</v>
      </c>
      <c r="E224" s="887">
        <v>1</v>
      </c>
      <c r="F224" s="888">
        <f>ListaMaterial[[#This Row],[REPETIÇÃO]]*ListaMaterial[[#This Row],[QUANTIDADE]]</f>
        <v>4</v>
      </c>
      <c r="H224" s="890">
        <f>ListaMaterial[[#This Row],[TOTAL]]*(1+ListaMaterial[[#This Row],[PERDA]])</f>
        <v>4</v>
      </c>
      <c r="I224" s="887" t="s">
        <v>4243</v>
      </c>
      <c r="J224" s="891">
        <f>_xlfn.XLOOKUP(ListaMaterial[[#This Row],[ITEM]],M:M,N:N,,0)</f>
        <v>13.42</v>
      </c>
      <c r="K224" s="891">
        <f>J224*ListaMaterial[[#This Row],[TOTAL C/PERDA]]</f>
        <v>53.68</v>
      </c>
      <c r="M224" s="883" t="s">
        <v>4826</v>
      </c>
      <c r="N224" s="893">
        <v>10.300700000000001</v>
      </c>
    </row>
    <row r="225" spans="1:14" x14ac:dyDescent="0.25">
      <c r="A225" s="883" t="s">
        <v>4623</v>
      </c>
      <c r="B225" s="883" t="s">
        <v>4441</v>
      </c>
      <c r="C225" s="883" t="s">
        <v>4663</v>
      </c>
      <c r="D225" s="886">
        <v>2</v>
      </c>
      <c r="E225" s="887">
        <v>1</v>
      </c>
      <c r="F225" s="888">
        <f>ListaMaterial[[#This Row],[REPETIÇÃO]]*ListaMaterial[[#This Row],[QUANTIDADE]]</f>
        <v>2</v>
      </c>
      <c r="H225" s="890">
        <f>ListaMaterial[[#This Row],[TOTAL]]*(1+ListaMaterial[[#This Row],[PERDA]])</f>
        <v>2</v>
      </c>
      <c r="I225" s="887" t="s">
        <v>4243</v>
      </c>
      <c r="J225" s="891">
        <f>_xlfn.XLOOKUP(ListaMaterial[[#This Row],[ITEM]],M:M,N:N,,0)</f>
        <v>46.66</v>
      </c>
      <c r="K225" s="891">
        <f>J225*ListaMaterial[[#This Row],[TOTAL C/PERDA]]</f>
        <v>93.32</v>
      </c>
      <c r="M225" s="883" t="s">
        <v>4827</v>
      </c>
      <c r="N225" s="893">
        <v>17.28</v>
      </c>
    </row>
    <row r="226" spans="1:14" x14ac:dyDescent="0.25">
      <c r="A226" s="883" t="s">
        <v>4623</v>
      </c>
      <c r="B226" s="883" t="s">
        <v>4441</v>
      </c>
      <c r="C226" s="883" t="s">
        <v>4843</v>
      </c>
      <c r="D226" s="886">
        <v>17</v>
      </c>
      <c r="E226" s="887">
        <v>1</v>
      </c>
      <c r="F226" s="888">
        <f>ListaMaterial[[#This Row],[REPETIÇÃO]]*ListaMaterial[[#This Row],[QUANTIDADE]]</f>
        <v>17</v>
      </c>
      <c r="H226" s="890">
        <f>ListaMaterial[[#This Row],[TOTAL]]*(1+ListaMaterial[[#This Row],[PERDA]])</f>
        <v>17</v>
      </c>
      <c r="I226" s="887" t="s">
        <v>4243</v>
      </c>
      <c r="J226" s="891">
        <f>_xlfn.XLOOKUP(ListaMaterial[[#This Row],[ITEM]],M:M,N:N,,0)</f>
        <v>13.016999999999999</v>
      </c>
      <c r="K226" s="891">
        <f>J226*ListaMaterial[[#This Row],[TOTAL C/PERDA]]</f>
        <v>221.28899999999999</v>
      </c>
      <c r="M226" s="883" t="s">
        <v>4828</v>
      </c>
      <c r="N226" s="893">
        <v>44.51</v>
      </c>
    </row>
    <row r="227" spans="1:14" x14ac:dyDescent="0.25">
      <c r="A227" s="883" t="s">
        <v>4623</v>
      </c>
      <c r="B227" s="883" t="s">
        <v>4441</v>
      </c>
      <c r="C227" s="883" t="s">
        <v>4845</v>
      </c>
      <c r="D227" s="886">
        <v>13</v>
      </c>
      <c r="E227" s="887">
        <v>1</v>
      </c>
      <c r="F227" s="888">
        <f>ListaMaterial[[#This Row],[REPETIÇÃO]]*ListaMaterial[[#This Row],[QUANTIDADE]]</f>
        <v>13</v>
      </c>
      <c r="H227" s="890">
        <f>ListaMaterial[[#This Row],[TOTAL]]*(1+ListaMaterial[[#This Row],[PERDA]])</f>
        <v>13</v>
      </c>
      <c r="I227" s="887" t="s">
        <v>4243</v>
      </c>
      <c r="J227" s="891">
        <f>_xlfn.XLOOKUP(ListaMaterial[[#This Row],[ITEM]],M:M,N:N,,0)</f>
        <v>8.11</v>
      </c>
      <c r="K227" s="891">
        <f>J227*ListaMaterial[[#This Row],[TOTAL C/PERDA]]</f>
        <v>105.42999999999999</v>
      </c>
      <c r="M227" s="883" t="s">
        <v>4829</v>
      </c>
      <c r="N227" s="893">
        <v>70</v>
      </c>
    </row>
    <row r="228" spans="1:14" x14ac:dyDescent="0.25">
      <c r="A228" s="883" t="s">
        <v>4623</v>
      </c>
      <c r="B228" s="883" t="s">
        <v>4441</v>
      </c>
      <c r="C228" s="883" t="s">
        <v>4853</v>
      </c>
      <c r="D228" s="886">
        <v>7</v>
      </c>
      <c r="E228" s="887">
        <v>1</v>
      </c>
      <c r="F228" s="888">
        <f>ListaMaterial[[#This Row],[REPETIÇÃO]]*ListaMaterial[[#This Row],[QUANTIDADE]]</f>
        <v>7</v>
      </c>
      <c r="H228" s="890">
        <f>ListaMaterial[[#This Row],[TOTAL]]*(1+ListaMaterial[[#This Row],[PERDA]])</f>
        <v>7</v>
      </c>
      <c r="I228" s="887" t="s">
        <v>4243</v>
      </c>
      <c r="J228" s="891">
        <f>_xlfn.XLOOKUP(ListaMaterial[[#This Row],[ITEM]],M:M,N:N,,0)</f>
        <v>52.37</v>
      </c>
      <c r="K228" s="891">
        <f>J228*ListaMaterial[[#This Row],[TOTAL C/PERDA]]</f>
        <v>366.59</v>
      </c>
      <c r="M228" s="883" t="s">
        <v>4830</v>
      </c>
      <c r="N228" s="893">
        <v>90.2</v>
      </c>
    </row>
    <row r="229" spans="1:14" x14ac:dyDescent="0.25">
      <c r="A229" s="883" t="s">
        <v>4623</v>
      </c>
      <c r="B229" s="883" t="s">
        <v>4441</v>
      </c>
      <c r="C229" s="883" t="s">
        <v>4854</v>
      </c>
      <c r="D229" s="886">
        <v>5</v>
      </c>
      <c r="E229" s="887">
        <v>1</v>
      </c>
      <c r="F229" s="888">
        <f>ListaMaterial[[#This Row],[REPETIÇÃO]]*ListaMaterial[[#This Row],[QUANTIDADE]]</f>
        <v>5</v>
      </c>
      <c r="H229" s="890">
        <f>ListaMaterial[[#This Row],[TOTAL]]*(1+ListaMaterial[[#This Row],[PERDA]])</f>
        <v>5</v>
      </c>
      <c r="I229" s="887" t="s">
        <v>4243</v>
      </c>
      <c r="J229" s="891">
        <f>_xlfn.XLOOKUP(ListaMaterial[[#This Row],[ITEM]],M:M,N:N,,0)</f>
        <v>5.0599999999999996</v>
      </c>
      <c r="K229" s="891">
        <f>J229*ListaMaterial[[#This Row],[TOTAL C/PERDA]]</f>
        <v>25.299999999999997</v>
      </c>
      <c r="M229" s="883" t="s">
        <v>4831</v>
      </c>
      <c r="N229" s="893">
        <v>7.39</v>
      </c>
    </row>
    <row r="230" spans="1:14" x14ac:dyDescent="0.25">
      <c r="A230" s="883" t="s">
        <v>4623</v>
      </c>
      <c r="B230" s="883" t="s">
        <v>4441</v>
      </c>
      <c r="C230" s="883" t="s">
        <v>4855</v>
      </c>
      <c r="D230" s="886">
        <v>4</v>
      </c>
      <c r="E230" s="887">
        <v>1</v>
      </c>
      <c r="F230" s="888">
        <f>ListaMaterial[[#This Row],[REPETIÇÃO]]*ListaMaterial[[#This Row],[QUANTIDADE]]</f>
        <v>4</v>
      </c>
      <c r="H230" s="890">
        <f>ListaMaterial[[#This Row],[TOTAL]]*(1+ListaMaterial[[#This Row],[PERDA]])</f>
        <v>4</v>
      </c>
      <c r="I230" s="887" t="s">
        <v>4243</v>
      </c>
      <c r="J230" s="891">
        <f>_xlfn.XLOOKUP(ListaMaterial[[#This Row],[ITEM]],M:M,N:N,,0)</f>
        <v>13.79</v>
      </c>
      <c r="K230" s="891">
        <f>J230*ListaMaterial[[#This Row],[TOTAL C/PERDA]]</f>
        <v>55.16</v>
      </c>
      <c r="M230" s="883" t="s">
        <v>4832</v>
      </c>
      <c r="N230" s="893">
        <v>7.1167999999999996</v>
      </c>
    </row>
    <row r="231" spans="1:14" x14ac:dyDescent="0.25">
      <c r="A231" s="883" t="s">
        <v>4623</v>
      </c>
      <c r="B231" s="883" t="s">
        <v>4441</v>
      </c>
      <c r="C231" s="883" t="s">
        <v>4856</v>
      </c>
      <c r="D231" s="886">
        <v>10</v>
      </c>
      <c r="E231" s="887">
        <v>1</v>
      </c>
      <c r="F231" s="888">
        <f>ListaMaterial[[#This Row],[REPETIÇÃO]]*ListaMaterial[[#This Row],[QUANTIDADE]]</f>
        <v>10</v>
      </c>
      <c r="H231" s="890">
        <f>ListaMaterial[[#This Row],[TOTAL]]*(1+ListaMaterial[[#This Row],[PERDA]])</f>
        <v>10</v>
      </c>
      <c r="I231" s="887" t="s">
        <v>4243</v>
      </c>
      <c r="J231" s="891">
        <f>_xlfn.XLOOKUP(ListaMaterial[[#This Row],[ITEM]],M:M,N:N,,0)</f>
        <v>14.13</v>
      </c>
      <c r="K231" s="891">
        <f>J231*ListaMaterial[[#This Row],[TOTAL C/PERDA]]</f>
        <v>141.30000000000001</v>
      </c>
      <c r="M231" s="883" t="s">
        <v>4833</v>
      </c>
      <c r="N231" s="893">
        <v>120.6</v>
      </c>
    </row>
    <row r="232" spans="1:14" x14ac:dyDescent="0.25">
      <c r="A232" s="883" t="s">
        <v>4623</v>
      </c>
      <c r="B232" s="883" t="s">
        <v>4441</v>
      </c>
      <c r="C232" s="883" t="s">
        <v>4857</v>
      </c>
      <c r="D232" s="886">
        <v>2</v>
      </c>
      <c r="E232" s="887">
        <v>1</v>
      </c>
      <c r="F232" s="888">
        <f>ListaMaterial[[#This Row],[REPETIÇÃO]]*ListaMaterial[[#This Row],[QUANTIDADE]]</f>
        <v>2</v>
      </c>
      <c r="H232" s="890">
        <f>ListaMaterial[[#This Row],[TOTAL]]*(1+ListaMaterial[[#This Row],[PERDA]])</f>
        <v>2</v>
      </c>
      <c r="I232" s="887" t="s">
        <v>4243</v>
      </c>
      <c r="J232" s="891">
        <f>_xlfn.XLOOKUP(ListaMaterial[[#This Row],[ITEM]],M:M,N:N,,0)</f>
        <v>60.59</v>
      </c>
      <c r="K232" s="891">
        <f>J232*ListaMaterial[[#This Row],[TOTAL C/PERDA]]</f>
        <v>121.18</v>
      </c>
      <c r="M232" s="883" t="s">
        <v>4834</v>
      </c>
      <c r="N232" s="893">
        <v>200.8</v>
      </c>
    </row>
    <row r="233" spans="1:14" x14ac:dyDescent="0.25">
      <c r="A233" s="883" t="s">
        <v>4623</v>
      </c>
      <c r="B233" s="883" t="s">
        <v>4441</v>
      </c>
      <c r="C233" s="883" t="s">
        <v>4863</v>
      </c>
      <c r="D233" s="886">
        <v>7</v>
      </c>
      <c r="E233" s="887">
        <v>1</v>
      </c>
      <c r="F233" s="888">
        <f>ListaMaterial[[#This Row],[REPETIÇÃO]]*ListaMaterial[[#This Row],[QUANTIDADE]]</f>
        <v>7</v>
      </c>
      <c r="H233" s="890">
        <f>ListaMaterial[[#This Row],[TOTAL]]*(1+ListaMaterial[[#This Row],[PERDA]])</f>
        <v>7</v>
      </c>
      <c r="I233" s="887" t="s">
        <v>4243</v>
      </c>
      <c r="J233" s="891">
        <f>_xlfn.XLOOKUP(ListaMaterial[[#This Row],[ITEM]],M:M,N:N,,0)</f>
        <v>27.96</v>
      </c>
      <c r="K233" s="891">
        <f>J233*ListaMaterial[[#This Row],[TOTAL C/PERDA]]</f>
        <v>195.72</v>
      </c>
      <c r="M233" s="883" t="s">
        <v>4835</v>
      </c>
      <c r="N233" s="893">
        <v>43.8</v>
      </c>
    </row>
    <row r="234" spans="1:14" x14ac:dyDescent="0.25">
      <c r="A234" s="883" t="s">
        <v>4623</v>
      </c>
      <c r="B234" s="883" t="s">
        <v>4441</v>
      </c>
      <c r="C234" s="883" t="s">
        <v>4865</v>
      </c>
      <c r="D234" s="886">
        <v>5</v>
      </c>
      <c r="E234" s="887">
        <v>1</v>
      </c>
      <c r="F234" s="888">
        <f>ListaMaterial[[#This Row],[REPETIÇÃO]]*ListaMaterial[[#This Row],[QUANTIDADE]]</f>
        <v>5</v>
      </c>
      <c r="H234" s="890">
        <f>ListaMaterial[[#This Row],[TOTAL]]*(1+ListaMaterial[[#This Row],[PERDA]])</f>
        <v>5</v>
      </c>
      <c r="I234" s="887" t="s">
        <v>4243</v>
      </c>
      <c r="J234" s="891">
        <f>_xlfn.XLOOKUP(ListaMaterial[[#This Row],[ITEM]],M:M,N:N,,0)</f>
        <v>79.900000000000006</v>
      </c>
      <c r="K234" s="891">
        <f>J234*ListaMaterial[[#This Row],[TOTAL C/PERDA]]</f>
        <v>399.5</v>
      </c>
      <c r="M234" s="883" t="s">
        <v>4836</v>
      </c>
      <c r="N234" s="893">
        <v>39.85</v>
      </c>
    </row>
    <row r="235" spans="1:14" x14ac:dyDescent="0.25">
      <c r="A235" s="883" t="s">
        <v>4623</v>
      </c>
      <c r="B235" s="883" t="s">
        <v>4441</v>
      </c>
      <c r="C235" s="883" t="s">
        <v>4866</v>
      </c>
      <c r="D235" s="886">
        <v>3</v>
      </c>
      <c r="E235" s="887">
        <v>1</v>
      </c>
      <c r="F235" s="888">
        <f>ListaMaterial[[#This Row],[REPETIÇÃO]]*ListaMaterial[[#This Row],[QUANTIDADE]]</f>
        <v>3</v>
      </c>
      <c r="H235" s="890">
        <f>ListaMaterial[[#This Row],[TOTAL]]*(1+ListaMaterial[[#This Row],[PERDA]])</f>
        <v>3</v>
      </c>
      <c r="I235" s="887" t="s">
        <v>4243</v>
      </c>
      <c r="J235" s="891">
        <f>_xlfn.XLOOKUP(ListaMaterial[[#This Row],[ITEM]],M:M,N:N,,0)</f>
        <v>124.9</v>
      </c>
      <c r="K235" s="891">
        <f>J235*ListaMaterial[[#This Row],[TOTAL C/PERDA]]</f>
        <v>374.70000000000005</v>
      </c>
      <c r="M235" s="883" t="s">
        <v>4837</v>
      </c>
      <c r="N235" s="893">
        <f>192.78/2</f>
        <v>96.39</v>
      </c>
    </row>
    <row r="236" spans="1:14" x14ac:dyDescent="0.25">
      <c r="A236" s="883" t="s">
        <v>4623</v>
      </c>
      <c r="B236" s="883" t="s">
        <v>4441</v>
      </c>
      <c r="C236" s="883" t="s">
        <v>4672</v>
      </c>
      <c r="D236" s="886">
        <v>17</v>
      </c>
      <c r="E236" s="887">
        <v>1</v>
      </c>
      <c r="F236" s="888">
        <f>ListaMaterial[[#This Row],[REPETIÇÃO]]*ListaMaterial[[#This Row],[QUANTIDADE]]</f>
        <v>17</v>
      </c>
      <c r="H236" s="890">
        <f>ListaMaterial[[#This Row],[TOTAL]]*(1+ListaMaterial[[#This Row],[PERDA]])</f>
        <v>17</v>
      </c>
      <c r="I236" s="887" t="s">
        <v>4243</v>
      </c>
      <c r="J236" s="891">
        <f>_xlfn.XLOOKUP(ListaMaterial[[#This Row],[ITEM]],M:M,N:N,,0)</f>
        <v>8.94</v>
      </c>
      <c r="K236" s="891">
        <f>J236*ListaMaterial[[#This Row],[TOTAL C/PERDA]]</f>
        <v>151.97999999999999</v>
      </c>
      <c r="M236" s="883" t="s">
        <v>4838</v>
      </c>
      <c r="N236" s="893">
        <f>217.8/2</f>
        <v>108.9</v>
      </c>
    </row>
    <row r="237" spans="1:14" x14ac:dyDescent="0.25">
      <c r="A237" s="883" t="s">
        <v>4623</v>
      </c>
      <c r="B237" s="883" t="s">
        <v>4441</v>
      </c>
      <c r="C237" s="883" t="s">
        <v>4673</v>
      </c>
      <c r="D237" s="886">
        <v>11</v>
      </c>
      <c r="E237" s="887">
        <v>1</v>
      </c>
      <c r="F237" s="888">
        <f>ListaMaterial[[#This Row],[REPETIÇÃO]]*ListaMaterial[[#This Row],[QUANTIDADE]]</f>
        <v>11</v>
      </c>
      <c r="H237" s="890">
        <f>ListaMaterial[[#This Row],[TOTAL]]*(1+ListaMaterial[[#This Row],[PERDA]])</f>
        <v>11</v>
      </c>
      <c r="I237" s="887" t="s">
        <v>4243</v>
      </c>
      <c r="J237" s="891">
        <f>_xlfn.XLOOKUP(ListaMaterial[[#This Row],[ITEM]],M:M,N:N,,0)</f>
        <v>5.95</v>
      </c>
      <c r="K237" s="891">
        <f>J237*ListaMaterial[[#This Row],[TOTAL C/PERDA]]</f>
        <v>65.45</v>
      </c>
      <c r="M237" s="883" t="s">
        <v>4846</v>
      </c>
      <c r="N237" s="893">
        <f>73.06/3</f>
        <v>24.353333333333335</v>
      </c>
    </row>
    <row r="238" spans="1:14" x14ac:dyDescent="0.25">
      <c r="A238" s="883" t="s">
        <v>4623</v>
      </c>
      <c r="B238" s="883" t="s">
        <v>4441</v>
      </c>
      <c r="C238" s="883" t="s">
        <v>4674</v>
      </c>
      <c r="D238" s="886">
        <v>11</v>
      </c>
      <c r="E238" s="887">
        <v>1</v>
      </c>
      <c r="F238" s="888">
        <f>ListaMaterial[[#This Row],[REPETIÇÃO]]*ListaMaterial[[#This Row],[QUANTIDADE]]</f>
        <v>11</v>
      </c>
      <c r="H238" s="890">
        <f>ListaMaterial[[#This Row],[TOTAL]]*(1+ListaMaterial[[#This Row],[PERDA]])</f>
        <v>11</v>
      </c>
      <c r="I238" s="887" t="s">
        <v>4243</v>
      </c>
      <c r="J238" s="891">
        <f>_xlfn.XLOOKUP(ListaMaterial[[#This Row],[ITEM]],M:M,N:N,,0)</f>
        <v>7.59</v>
      </c>
      <c r="K238" s="891">
        <f>J238*ListaMaterial[[#This Row],[TOTAL C/PERDA]]</f>
        <v>83.49</v>
      </c>
      <c r="M238" s="883" t="s">
        <v>4847</v>
      </c>
      <c r="N238" s="893">
        <f>41.67/3</f>
        <v>13.89</v>
      </c>
    </row>
    <row r="239" spans="1:14" x14ac:dyDescent="0.25">
      <c r="A239" s="883" t="s">
        <v>4623</v>
      </c>
      <c r="B239" s="883" t="s">
        <v>4441</v>
      </c>
      <c r="C239" s="883" t="s">
        <v>4675</v>
      </c>
      <c r="D239" s="886">
        <v>9</v>
      </c>
      <c r="E239" s="887">
        <v>1</v>
      </c>
      <c r="F239" s="888">
        <f>ListaMaterial[[#This Row],[REPETIÇÃO]]*ListaMaterial[[#This Row],[QUANTIDADE]]</f>
        <v>9</v>
      </c>
      <c r="H239" s="890">
        <f>ListaMaterial[[#This Row],[TOTAL]]*(1+ListaMaterial[[#This Row],[PERDA]])</f>
        <v>9</v>
      </c>
      <c r="I239" s="887" t="s">
        <v>4243</v>
      </c>
      <c r="J239" s="891">
        <f>_xlfn.XLOOKUP(ListaMaterial[[#This Row],[ITEM]],M:M,N:N,,0)</f>
        <v>45.89</v>
      </c>
      <c r="K239" s="891">
        <f>J239*ListaMaterial[[#This Row],[TOTAL C/PERDA]]</f>
        <v>413.01</v>
      </c>
      <c r="M239" s="883" t="s">
        <v>4848</v>
      </c>
      <c r="N239" s="893">
        <f>69.59/3</f>
        <v>23.196666666666669</v>
      </c>
    </row>
    <row r="240" spans="1:14" x14ac:dyDescent="0.25">
      <c r="A240" s="883" t="s">
        <v>4623</v>
      </c>
      <c r="B240" s="883" t="s">
        <v>4441</v>
      </c>
      <c r="C240" s="883" t="s">
        <v>4698</v>
      </c>
      <c r="D240" s="886">
        <v>2</v>
      </c>
      <c r="E240" s="887">
        <v>1</v>
      </c>
      <c r="F240" s="888">
        <f>ListaMaterial[[#This Row],[REPETIÇÃO]]*ListaMaterial[[#This Row],[QUANTIDADE]]</f>
        <v>2</v>
      </c>
      <c r="H240" s="890">
        <f>ListaMaterial[[#This Row],[TOTAL]]*(1+ListaMaterial[[#This Row],[PERDA]])</f>
        <v>2</v>
      </c>
      <c r="I240" s="887" t="s">
        <v>4243</v>
      </c>
      <c r="J240" s="891">
        <f>_xlfn.XLOOKUP(ListaMaterial[[#This Row],[ITEM]],M:M,N:N,,0)</f>
        <v>20.13</v>
      </c>
      <c r="K240" s="891">
        <f>J240*ListaMaterial[[#This Row],[TOTAL C/PERDA]]</f>
        <v>40.26</v>
      </c>
      <c r="M240" s="883" t="s">
        <v>4849</v>
      </c>
      <c r="N240" s="893">
        <f>105.77/3</f>
        <v>35.256666666666668</v>
      </c>
    </row>
    <row r="241" spans="1:14" x14ac:dyDescent="0.25">
      <c r="A241" s="883" t="s">
        <v>4623</v>
      </c>
      <c r="B241" s="883" t="s">
        <v>4441</v>
      </c>
      <c r="C241" s="883" t="s">
        <v>4699</v>
      </c>
      <c r="D241" s="886">
        <v>2</v>
      </c>
      <c r="E241" s="887">
        <v>1</v>
      </c>
      <c r="F241" s="888">
        <f>ListaMaterial[[#This Row],[REPETIÇÃO]]*ListaMaterial[[#This Row],[QUANTIDADE]]</f>
        <v>2</v>
      </c>
      <c r="H241" s="890">
        <f>ListaMaterial[[#This Row],[TOTAL]]*(1+ListaMaterial[[#This Row],[PERDA]])</f>
        <v>2</v>
      </c>
      <c r="I241" s="887" t="s">
        <v>4243</v>
      </c>
      <c r="J241" s="891">
        <f>_xlfn.XLOOKUP(ListaMaterial[[#This Row],[ITEM]],M:M,N:N,,0)</f>
        <v>27.96</v>
      </c>
      <c r="K241" s="891">
        <f>J241*ListaMaterial[[#This Row],[TOTAL C/PERDA]]</f>
        <v>55.92</v>
      </c>
      <c r="M241" s="883" t="s">
        <v>4850</v>
      </c>
      <c r="N241" s="893">
        <f>249.71/3</f>
        <v>83.236666666666665</v>
      </c>
    </row>
    <row r="242" spans="1:14" x14ac:dyDescent="0.25">
      <c r="A242" s="883" t="s">
        <v>4623</v>
      </c>
      <c r="B242" s="883" t="s">
        <v>4440</v>
      </c>
      <c r="C242" s="883" t="s">
        <v>4700</v>
      </c>
      <c r="D242" s="886">
        <v>3.71</v>
      </c>
      <c r="E242" s="887">
        <v>1</v>
      </c>
      <c r="F242" s="888">
        <f>ListaMaterial[[#This Row],[REPETIÇÃO]]*ListaMaterial[[#This Row],[QUANTIDADE]]</f>
        <v>3.71</v>
      </c>
      <c r="G242" s="889">
        <v>0.15</v>
      </c>
      <c r="H242" s="890">
        <f>ListaMaterial[[#This Row],[TOTAL]]*(1+ListaMaterial[[#This Row],[PERDA]])</f>
        <v>4.2664999999999997</v>
      </c>
      <c r="I242" s="887" t="s">
        <v>3</v>
      </c>
      <c r="J242" s="891">
        <f>_xlfn.XLOOKUP(ListaMaterial[[#This Row],[ITEM]],M:M,N:N,,0)</f>
        <v>13.42</v>
      </c>
      <c r="K242" s="891">
        <f>J242*ListaMaterial[[#This Row],[TOTAL C/PERDA]]</f>
        <v>57.256429999999995</v>
      </c>
      <c r="M242" s="883" t="s">
        <v>4851</v>
      </c>
      <c r="N242" s="893">
        <v>13.708133333333334</v>
      </c>
    </row>
    <row r="243" spans="1:14" x14ac:dyDescent="0.25">
      <c r="A243" s="883" t="s">
        <v>4623</v>
      </c>
      <c r="B243" s="883" t="s">
        <v>4440</v>
      </c>
      <c r="C243" s="883" t="s">
        <v>4701</v>
      </c>
      <c r="D243" s="886">
        <v>1.26</v>
      </c>
      <c r="E243" s="887">
        <v>1</v>
      </c>
      <c r="F243" s="888">
        <f>ListaMaterial[[#This Row],[REPETIÇÃO]]*ListaMaterial[[#This Row],[QUANTIDADE]]</f>
        <v>1.26</v>
      </c>
      <c r="G243" s="889">
        <v>0.15</v>
      </c>
      <c r="H243" s="890">
        <f>ListaMaterial[[#This Row],[TOTAL]]*(1+ListaMaterial[[#This Row],[PERDA]])</f>
        <v>1.4489999999999998</v>
      </c>
      <c r="I243" s="887" t="s">
        <v>3</v>
      </c>
      <c r="J243" s="891">
        <f>_xlfn.XLOOKUP(ListaMaterial[[#This Row],[ITEM]],M:M,N:N,,0)</f>
        <v>16.777999999999999</v>
      </c>
      <c r="K243" s="891">
        <f>J243*ListaMaterial[[#This Row],[TOTAL C/PERDA]]</f>
        <v>24.311321999999997</v>
      </c>
      <c r="M243" s="883" t="s">
        <v>4852</v>
      </c>
      <c r="N243" s="893">
        <f>452.99/3</f>
        <v>150.99666666666667</v>
      </c>
    </row>
    <row r="244" spans="1:14" x14ac:dyDescent="0.25">
      <c r="A244" s="883" t="s">
        <v>4623</v>
      </c>
      <c r="B244" s="883" t="s">
        <v>4440</v>
      </c>
      <c r="C244" s="883" t="s">
        <v>4679</v>
      </c>
      <c r="D244" s="886">
        <v>4.68</v>
      </c>
      <c r="E244" s="887">
        <v>1</v>
      </c>
      <c r="F244" s="888">
        <f>ListaMaterial[[#This Row],[REPETIÇÃO]]*ListaMaterial[[#This Row],[QUANTIDADE]]</f>
        <v>4.68</v>
      </c>
      <c r="G244" s="889">
        <v>0.15</v>
      </c>
      <c r="H244" s="890">
        <f>ListaMaterial[[#This Row],[TOTAL]]*(1+ListaMaterial[[#This Row],[PERDA]])</f>
        <v>5.3819999999999997</v>
      </c>
      <c r="I244" s="887" t="s">
        <v>3</v>
      </c>
      <c r="J244" s="891">
        <f>_xlfn.XLOOKUP(ListaMaterial[[#This Row],[ITEM]],M:M,N:N,,0)</f>
        <v>20.134399999999999</v>
      </c>
      <c r="K244" s="891">
        <f>J244*ListaMaterial[[#This Row],[TOTAL C/PERDA]]</f>
        <v>108.36334079999999</v>
      </c>
      <c r="M244" s="883" t="s">
        <v>4839</v>
      </c>
      <c r="N244" s="893">
        <v>62.834299999999999</v>
      </c>
    </row>
    <row r="245" spans="1:14" x14ac:dyDescent="0.25">
      <c r="A245" s="883" t="s">
        <v>4623</v>
      </c>
      <c r="B245" s="883" t="s">
        <v>4618</v>
      </c>
      <c r="C245" s="883" t="s">
        <v>4680</v>
      </c>
      <c r="D245" s="886">
        <v>31.96</v>
      </c>
      <c r="E245" s="887">
        <v>1</v>
      </c>
      <c r="F245" s="888">
        <f>ListaMaterial[[#This Row],[REPETIÇÃO]]*ListaMaterial[[#This Row],[QUANTIDADE]]</f>
        <v>31.96</v>
      </c>
      <c r="G245" s="889">
        <v>0.15</v>
      </c>
      <c r="H245" s="890">
        <f>ListaMaterial[[#This Row],[TOTAL]]*(1+ListaMaterial[[#This Row],[PERDA]])</f>
        <v>36.753999999999998</v>
      </c>
      <c r="I245" s="887" t="s">
        <v>3</v>
      </c>
      <c r="J245" s="891">
        <f>_xlfn.XLOOKUP(ListaMaterial[[#This Row],[ITEM]],M:M,N:N,,0)</f>
        <v>9.2899999999999991</v>
      </c>
      <c r="K245" s="891">
        <f>J245*ListaMaterial[[#This Row],[TOTAL C/PERDA]]</f>
        <v>341.44465999999994</v>
      </c>
      <c r="M245" s="883" t="s">
        <v>4840</v>
      </c>
      <c r="N245" s="893">
        <f>363.97/6</f>
        <v>60.661666666666669</v>
      </c>
    </row>
    <row r="246" spans="1:14" x14ac:dyDescent="0.25">
      <c r="A246" s="883" t="s">
        <v>4623</v>
      </c>
      <c r="B246" s="883" t="s">
        <v>4618</v>
      </c>
      <c r="C246" s="883" t="s">
        <v>4681</v>
      </c>
      <c r="D246" s="886">
        <v>23.33</v>
      </c>
      <c r="E246" s="887">
        <v>1</v>
      </c>
      <c r="F246" s="888">
        <f>ListaMaterial[[#This Row],[REPETIÇÃO]]*ListaMaterial[[#This Row],[QUANTIDADE]]</f>
        <v>23.33</v>
      </c>
      <c r="G246" s="889">
        <v>0.15</v>
      </c>
      <c r="H246" s="890">
        <f>ListaMaterial[[#This Row],[TOTAL]]*(1+ListaMaterial[[#This Row],[PERDA]])</f>
        <v>26.829499999999996</v>
      </c>
      <c r="I246" s="887" t="s">
        <v>3</v>
      </c>
      <c r="J246" s="891">
        <f>_xlfn.XLOOKUP(ListaMaterial[[#This Row],[ITEM]],M:M,N:N,,0)</f>
        <v>15.99</v>
      </c>
      <c r="K246" s="891">
        <f>J246*ListaMaterial[[#This Row],[TOTAL C/PERDA]]</f>
        <v>429.00370499999997</v>
      </c>
      <c r="M246" s="883" t="s">
        <v>4841</v>
      </c>
      <c r="N246" s="893">
        <f>479.1/6</f>
        <v>79.850000000000009</v>
      </c>
    </row>
    <row r="247" spans="1:14" x14ac:dyDescent="0.25">
      <c r="A247" s="883" t="s">
        <v>4623</v>
      </c>
      <c r="B247" s="883" t="s">
        <v>4618</v>
      </c>
      <c r="C247" s="883" t="s">
        <v>4682</v>
      </c>
      <c r="D247" s="886">
        <v>47.47</v>
      </c>
      <c r="E247" s="887">
        <v>1</v>
      </c>
      <c r="F247" s="888">
        <f>ListaMaterial[[#This Row],[REPETIÇÃO]]*ListaMaterial[[#This Row],[QUANTIDADE]]</f>
        <v>47.47</v>
      </c>
      <c r="G247" s="889">
        <v>0.15</v>
      </c>
      <c r="H247" s="890">
        <f>ListaMaterial[[#This Row],[TOTAL]]*(1+ListaMaterial[[#This Row],[PERDA]])</f>
        <v>54.590499999999992</v>
      </c>
      <c r="I247" s="887" t="s">
        <v>3</v>
      </c>
      <c r="J247" s="891">
        <f>_xlfn.XLOOKUP(ListaMaterial[[#This Row],[ITEM]],M:M,N:N,,0)</f>
        <v>8.99</v>
      </c>
      <c r="K247" s="891">
        <f>J247*ListaMaterial[[#This Row],[TOTAL C/PERDA]]</f>
        <v>490.76859499999995</v>
      </c>
      <c r="M247" s="883" t="s">
        <v>4842</v>
      </c>
      <c r="N247" s="893">
        <f>743.91/6</f>
        <v>123.985</v>
      </c>
    </row>
    <row r="248" spans="1:14" x14ac:dyDescent="0.25">
      <c r="A248" s="883" t="s">
        <v>4623</v>
      </c>
      <c r="B248" s="883" t="s">
        <v>4618</v>
      </c>
      <c r="C248" s="883" t="s">
        <v>4683</v>
      </c>
      <c r="D248" s="886">
        <v>35.020000000000003</v>
      </c>
      <c r="E248" s="887">
        <v>1</v>
      </c>
      <c r="F248" s="888">
        <f>ListaMaterial[[#This Row],[REPETIÇÃO]]*ListaMaterial[[#This Row],[QUANTIDADE]]</f>
        <v>35.020000000000003</v>
      </c>
      <c r="G248" s="889">
        <v>0.15</v>
      </c>
      <c r="H248" s="890">
        <f>ListaMaterial[[#This Row],[TOTAL]]*(1+ListaMaterial[[#This Row],[PERDA]])</f>
        <v>40.273000000000003</v>
      </c>
      <c r="I248" s="887" t="s">
        <v>3</v>
      </c>
      <c r="J248" s="891">
        <f>_xlfn.XLOOKUP(ListaMaterial[[#This Row],[ITEM]],M:M,N:N,,0)</f>
        <v>29.99</v>
      </c>
      <c r="K248" s="891">
        <f>J248*ListaMaterial[[#This Row],[TOTAL C/PERDA]]</f>
        <v>1207.78727</v>
      </c>
      <c r="M248" s="901"/>
      <c r="N248" s="902"/>
    </row>
    <row r="249" spans="1:14" x14ac:dyDescent="0.25">
      <c r="A249" s="883" t="s">
        <v>4623</v>
      </c>
      <c r="B249" s="883" t="s">
        <v>4619</v>
      </c>
      <c r="C249" s="883" t="s">
        <v>4684</v>
      </c>
      <c r="D249" s="886">
        <v>161.53</v>
      </c>
      <c r="E249" s="887">
        <v>1</v>
      </c>
      <c r="F249" s="888">
        <f>ListaMaterial[[#This Row],[REPETIÇÃO]]*ListaMaterial[[#This Row],[QUANTIDADE]]</f>
        <v>161.53</v>
      </c>
      <c r="G249" s="889">
        <v>0.15</v>
      </c>
      <c r="H249" s="890">
        <f>ListaMaterial[[#This Row],[TOTAL]]*(1+ListaMaterial[[#This Row],[PERDA]])</f>
        <v>185.75949999999997</v>
      </c>
      <c r="I249" s="887" t="s">
        <v>3</v>
      </c>
      <c r="J249" s="891">
        <f>_xlfn.XLOOKUP(ListaMaterial[[#This Row],[ITEM]],M:M,N:N,,0)</f>
        <v>2.5685666666666669</v>
      </c>
      <c r="K249" s="891">
        <f>J249*ListaMaterial[[#This Row],[TOTAL C/PERDA]]</f>
        <v>477.13565971666662</v>
      </c>
      <c r="M249" s="901"/>
      <c r="N249" s="902"/>
    </row>
    <row r="250" spans="1:14" x14ac:dyDescent="0.25">
      <c r="A250" s="894"/>
      <c r="B250" s="917" t="s">
        <v>4994</v>
      </c>
      <c r="C250" s="894"/>
      <c r="D250" s="895"/>
      <c r="E250" s="896"/>
      <c r="F250" s="897">
        <f>ListaMaterial[[#This Row],[REPETIÇÃO]]*ListaMaterial[[#This Row],[QUANTIDADE]]</f>
        <v>0</v>
      </c>
      <c r="G250" s="898"/>
      <c r="H250" s="899">
        <f>ListaMaterial[[#This Row],[TOTAL]]*(1+ListaMaterial[[#This Row],[PERDA]])</f>
        <v>0</v>
      </c>
      <c r="I250" s="896"/>
      <c r="J250" s="900"/>
      <c r="K250" s="900">
        <f>SUM(K63:K249)</f>
        <v>36871.026882150014</v>
      </c>
      <c r="M250" s="901"/>
      <c r="N250" s="902"/>
    </row>
    <row r="251" spans="1:14" x14ac:dyDescent="0.25">
      <c r="A251" s="883" t="s">
        <v>4444</v>
      </c>
      <c r="B251" s="883" t="s">
        <v>4242</v>
      </c>
      <c r="C251" s="883" t="s">
        <v>4703</v>
      </c>
      <c r="D251" s="886">
        <v>1</v>
      </c>
      <c r="E251" s="887">
        <v>1</v>
      </c>
      <c r="F251" s="888">
        <f>ListaMaterial[[#This Row],[REPETIÇÃO]]*ListaMaterial[[#This Row],[QUANTIDADE]]</f>
        <v>1</v>
      </c>
      <c r="H251" s="890">
        <f>ListaMaterial[[#This Row],[TOTAL]]*(1+ListaMaterial[[#This Row],[PERDA]])</f>
        <v>1</v>
      </c>
      <c r="I251" s="887" t="s">
        <v>4243</v>
      </c>
      <c r="J251" s="891">
        <f>_xlfn.XLOOKUP(ListaMaterial[[#This Row],[ITEM]],M:M,N:N,,0)</f>
        <v>201.34</v>
      </c>
      <c r="K251" s="891">
        <f>J251*ListaMaterial[[#This Row],[TOTAL C/PERDA]]</f>
        <v>201.34</v>
      </c>
      <c r="M251" s="901"/>
      <c r="N251" s="902"/>
    </row>
    <row r="252" spans="1:14" x14ac:dyDescent="0.25">
      <c r="A252" s="883" t="s">
        <v>4444</v>
      </c>
      <c r="B252" s="883" t="s">
        <v>4242</v>
      </c>
      <c r="C252" s="883" t="s">
        <v>4704</v>
      </c>
      <c r="D252" s="886">
        <v>11</v>
      </c>
      <c r="E252" s="887">
        <v>1</v>
      </c>
      <c r="F252" s="888">
        <f>ListaMaterial[[#This Row],[REPETIÇÃO]]*ListaMaterial[[#This Row],[QUANTIDADE]]</f>
        <v>11</v>
      </c>
      <c r="H252" s="890">
        <f>ListaMaterial[[#This Row],[TOTAL]]*(1+ListaMaterial[[#This Row],[PERDA]])</f>
        <v>11</v>
      </c>
      <c r="I252" s="887" t="s">
        <v>4243</v>
      </c>
      <c r="J252" s="891">
        <f>_xlfn.XLOOKUP(ListaMaterial[[#This Row],[ITEM]],M:M,N:N,,0)</f>
        <v>167.78659999999999</v>
      </c>
      <c r="K252" s="891">
        <f>J252*ListaMaterial[[#This Row],[TOTAL C/PERDA]]</f>
        <v>1845.6525999999999</v>
      </c>
      <c r="M252" s="901"/>
      <c r="N252" s="902"/>
    </row>
    <row r="253" spans="1:14" x14ac:dyDescent="0.25">
      <c r="A253" s="883" t="s">
        <v>4444</v>
      </c>
      <c r="B253" s="883" t="s">
        <v>4242</v>
      </c>
      <c r="C253" s="883" t="s">
        <v>4705</v>
      </c>
      <c r="D253" s="886">
        <v>4</v>
      </c>
      <c r="E253" s="887">
        <v>1</v>
      </c>
      <c r="F253" s="888">
        <f>ListaMaterial[[#This Row],[REPETIÇÃO]]*ListaMaterial[[#This Row],[QUANTIDADE]]</f>
        <v>4</v>
      </c>
      <c r="H253" s="890">
        <f>ListaMaterial[[#This Row],[TOTAL]]*(1+ListaMaterial[[#This Row],[PERDA]])</f>
        <v>4</v>
      </c>
      <c r="I253" s="887" t="s">
        <v>4243</v>
      </c>
      <c r="J253" s="891">
        <f>_xlfn.XLOOKUP(ListaMaterial[[#This Row],[ITEM]],M:M,N:N,,0)</f>
        <v>50.36</v>
      </c>
      <c r="K253" s="891">
        <f>J253*ListaMaterial[[#This Row],[TOTAL C/PERDA]]</f>
        <v>201.44</v>
      </c>
      <c r="M253" s="901"/>
      <c r="N253" s="902"/>
    </row>
    <row r="254" spans="1:14" x14ac:dyDescent="0.25">
      <c r="A254" s="883" t="s">
        <v>4444</v>
      </c>
      <c r="B254" s="883" t="s">
        <v>4242</v>
      </c>
      <c r="C254" s="883" t="s">
        <v>4688</v>
      </c>
      <c r="D254" s="886">
        <v>1</v>
      </c>
      <c r="E254" s="887">
        <v>1</v>
      </c>
      <c r="F254" s="888">
        <f>ListaMaterial[[#This Row],[REPETIÇÃO]]*ListaMaterial[[#This Row],[QUANTIDADE]]</f>
        <v>1</v>
      </c>
      <c r="H254" s="890">
        <f>ListaMaterial[[#This Row],[TOTAL]]*(1+ListaMaterial[[#This Row],[PERDA]])</f>
        <v>1</v>
      </c>
      <c r="I254" s="887" t="s">
        <v>4243</v>
      </c>
      <c r="J254" s="891">
        <f>_xlfn.XLOOKUP(ListaMaterial[[#This Row],[ITEM]],M:M,N:N,,0)</f>
        <v>16.778600000000001</v>
      </c>
      <c r="K254" s="891">
        <f>J254*ListaMaterial[[#This Row],[TOTAL C/PERDA]]</f>
        <v>16.778600000000001</v>
      </c>
      <c r="M254" s="901"/>
      <c r="N254" s="902"/>
    </row>
    <row r="255" spans="1:14" x14ac:dyDescent="0.25">
      <c r="A255" s="883" t="s">
        <v>4444</v>
      </c>
      <c r="B255" s="883" t="s">
        <v>4242</v>
      </c>
      <c r="C255" s="883" t="s">
        <v>4706</v>
      </c>
      <c r="D255" s="886">
        <v>21</v>
      </c>
      <c r="E255" s="887">
        <v>1</v>
      </c>
      <c r="F255" s="888">
        <f>ListaMaterial[[#This Row],[REPETIÇÃO]]*ListaMaterial[[#This Row],[QUANTIDADE]]</f>
        <v>21</v>
      </c>
      <c r="H255" s="890">
        <f>ListaMaterial[[#This Row],[TOTAL]]*(1+ListaMaterial[[#This Row],[PERDA]])</f>
        <v>21</v>
      </c>
      <c r="I255" s="887" t="s">
        <v>4243</v>
      </c>
      <c r="J255" s="891">
        <f>_xlfn.XLOOKUP(ListaMaterial[[#This Row],[ITEM]],M:M,N:N,,0)</f>
        <v>27.96</v>
      </c>
      <c r="K255" s="891">
        <f>J255*ListaMaterial[[#This Row],[TOTAL C/PERDA]]</f>
        <v>587.16</v>
      </c>
      <c r="M255" s="901"/>
      <c r="N255" s="902"/>
    </row>
    <row r="256" spans="1:14" x14ac:dyDescent="0.25">
      <c r="A256" s="883" t="s">
        <v>4444</v>
      </c>
      <c r="B256" s="883" t="s">
        <v>4242</v>
      </c>
      <c r="C256" s="883" t="s">
        <v>4637</v>
      </c>
      <c r="D256" s="886">
        <v>3</v>
      </c>
      <c r="E256" s="887">
        <v>1</v>
      </c>
      <c r="F256" s="888">
        <f>ListaMaterial[[#This Row],[REPETIÇÃO]]*ListaMaterial[[#This Row],[QUANTIDADE]]</f>
        <v>3</v>
      </c>
      <c r="H256" s="890">
        <f>ListaMaterial[[#This Row],[TOTAL]]*(1+ListaMaterial[[#This Row],[PERDA]])</f>
        <v>3</v>
      </c>
      <c r="I256" s="887" t="s">
        <v>4243</v>
      </c>
      <c r="J256" s="891">
        <f>_xlfn.XLOOKUP(ListaMaterial[[#This Row],[ITEM]],M:M,N:N,,0)</f>
        <v>105.9</v>
      </c>
      <c r="K256" s="891">
        <f>J256*ListaMaterial[[#This Row],[TOTAL C/PERDA]]</f>
        <v>317.70000000000005</v>
      </c>
      <c r="M256" s="901"/>
      <c r="N256" s="902"/>
    </row>
    <row r="257" spans="1:14" x14ac:dyDescent="0.25">
      <c r="A257" s="883" t="s">
        <v>4444</v>
      </c>
      <c r="B257" s="883" t="s">
        <v>4242</v>
      </c>
      <c r="C257" s="883" t="s">
        <v>4640</v>
      </c>
      <c r="D257" s="886">
        <v>22</v>
      </c>
      <c r="E257" s="887">
        <v>1</v>
      </c>
      <c r="F257" s="888">
        <f>ListaMaterial[[#This Row],[REPETIÇÃO]]*ListaMaterial[[#This Row],[QUANTIDADE]]</f>
        <v>22</v>
      </c>
      <c r="H257" s="890">
        <f>ListaMaterial[[#This Row],[TOTAL]]*(1+ListaMaterial[[#This Row],[PERDA]])</f>
        <v>22</v>
      </c>
      <c r="I257" s="887" t="s">
        <v>4243</v>
      </c>
      <c r="J257" s="891">
        <f>_xlfn.XLOOKUP(ListaMaterial[[#This Row],[ITEM]],M:M,N:N,,0)</f>
        <v>31.716699999999999</v>
      </c>
      <c r="K257" s="891">
        <f>J257*ListaMaterial[[#This Row],[TOTAL C/PERDA]]</f>
        <v>697.76739999999995</v>
      </c>
      <c r="M257" s="901"/>
      <c r="N257" s="902"/>
    </row>
    <row r="258" spans="1:14" x14ac:dyDescent="0.25">
      <c r="A258" s="883" t="s">
        <v>4444</v>
      </c>
      <c r="B258" s="883" t="s">
        <v>4242</v>
      </c>
      <c r="C258" s="883" t="s">
        <v>4707</v>
      </c>
      <c r="D258" s="886">
        <v>4</v>
      </c>
      <c r="E258" s="887">
        <v>1</v>
      </c>
      <c r="F258" s="888">
        <f>ListaMaterial[[#This Row],[REPETIÇÃO]]*ListaMaterial[[#This Row],[QUANTIDADE]]</f>
        <v>4</v>
      </c>
      <c r="H258" s="890">
        <f>ListaMaterial[[#This Row],[TOTAL]]*(1+ListaMaterial[[#This Row],[PERDA]])</f>
        <v>4</v>
      </c>
      <c r="I258" s="887" t="s">
        <v>4243</v>
      </c>
      <c r="J258" s="891">
        <f>_xlfn.XLOOKUP(ListaMaterial[[#This Row],[ITEM]],M:M,N:N,,0)</f>
        <v>32.680300000000003</v>
      </c>
      <c r="K258" s="891">
        <f>J258*ListaMaterial[[#This Row],[TOTAL C/PERDA]]</f>
        <v>130.72120000000001</v>
      </c>
      <c r="M258" s="901"/>
      <c r="N258" s="902"/>
    </row>
    <row r="259" spans="1:14" x14ac:dyDescent="0.25">
      <c r="A259" s="883" t="s">
        <v>4444</v>
      </c>
      <c r="B259" s="883" t="s">
        <v>4242</v>
      </c>
      <c r="C259" s="883" t="s">
        <v>4708</v>
      </c>
      <c r="D259" s="886">
        <v>1</v>
      </c>
      <c r="E259" s="887">
        <v>1</v>
      </c>
      <c r="F259" s="888">
        <f>ListaMaterial[[#This Row],[REPETIÇÃO]]*ListaMaterial[[#This Row],[QUANTIDADE]]</f>
        <v>1</v>
      </c>
      <c r="H259" s="890">
        <f>ListaMaterial[[#This Row],[TOTAL]]*(1+ListaMaterial[[#This Row],[PERDA]])</f>
        <v>1</v>
      </c>
      <c r="I259" s="887" t="s">
        <v>4243</v>
      </c>
      <c r="J259" s="891">
        <f>_xlfn.XLOOKUP(ListaMaterial[[#This Row],[ITEM]],M:M,N:N,,0)</f>
        <v>72.7</v>
      </c>
      <c r="K259" s="891">
        <f>J259*ListaMaterial[[#This Row],[TOTAL C/PERDA]]</f>
        <v>72.7</v>
      </c>
      <c r="M259" s="901"/>
      <c r="N259" s="902"/>
    </row>
    <row r="260" spans="1:14" x14ac:dyDescent="0.25">
      <c r="A260" s="883" t="s">
        <v>4444</v>
      </c>
      <c r="B260" s="883" t="s">
        <v>4616</v>
      </c>
      <c r="C260" s="883" t="s">
        <v>4709</v>
      </c>
      <c r="D260" s="886">
        <v>2</v>
      </c>
      <c r="E260" s="887">
        <v>1</v>
      </c>
      <c r="F260" s="888">
        <f>ListaMaterial[[#This Row],[REPETIÇÃO]]*ListaMaterial[[#This Row],[QUANTIDADE]]</f>
        <v>2</v>
      </c>
      <c r="H260" s="890">
        <f>ListaMaterial[[#This Row],[TOTAL]]*(1+ListaMaterial[[#This Row],[PERDA]])</f>
        <v>2</v>
      </c>
      <c r="I260" s="887" t="s">
        <v>4243</v>
      </c>
      <c r="J260" s="891">
        <f>_xlfn.XLOOKUP(ListaMaterial[[#This Row],[ITEM]],M:M,N:N,,0)</f>
        <v>76.739999999999995</v>
      </c>
      <c r="K260" s="891">
        <f>J260*ListaMaterial[[#This Row],[TOTAL C/PERDA]]</f>
        <v>153.47999999999999</v>
      </c>
      <c r="M260" s="901"/>
      <c r="N260" s="902"/>
    </row>
    <row r="261" spans="1:14" x14ac:dyDescent="0.25">
      <c r="A261" s="883" t="s">
        <v>4444</v>
      </c>
      <c r="B261" s="883" t="s">
        <v>4616</v>
      </c>
      <c r="C261" s="883" t="s">
        <v>4645</v>
      </c>
      <c r="D261" s="886">
        <v>31</v>
      </c>
      <c r="E261" s="887">
        <v>1</v>
      </c>
      <c r="F261" s="888">
        <f>ListaMaterial[[#This Row],[REPETIÇÃO]]*ListaMaterial[[#This Row],[QUANTIDADE]]</f>
        <v>31</v>
      </c>
      <c r="H261" s="890">
        <f>ListaMaterial[[#This Row],[TOTAL]]*(1+ListaMaterial[[#This Row],[PERDA]])</f>
        <v>31</v>
      </c>
      <c r="I261" s="887" t="s">
        <v>4243</v>
      </c>
      <c r="J261" s="891">
        <f>_xlfn.XLOOKUP(ListaMaterial[[#This Row],[ITEM]],M:M,N:N,,0)</f>
        <v>1.79</v>
      </c>
      <c r="K261" s="891">
        <f>J261*ListaMaterial[[#This Row],[TOTAL C/PERDA]]</f>
        <v>55.49</v>
      </c>
      <c r="M261" s="901"/>
      <c r="N261" s="902"/>
    </row>
    <row r="262" spans="1:14" x14ac:dyDescent="0.25">
      <c r="A262" s="883" t="s">
        <v>4444</v>
      </c>
      <c r="B262" s="883" t="s">
        <v>4616</v>
      </c>
      <c r="C262" s="883" t="s">
        <v>4646</v>
      </c>
      <c r="D262" s="886">
        <v>6</v>
      </c>
      <c r="E262" s="887">
        <v>1</v>
      </c>
      <c r="F262" s="888">
        <f>ListaMaterial[[#This Row],[REPETIÇÃO]]*ListaMaterial[[#This Row],[QUANTIDADE]]</f>
        <v>6</v>
      </c>
      <c r="H262" s="890">
        <f>ListaMaterial[[#This Row],[TOTAL]]*(1+ListaMaterial[[#This Row],[PERDA]])</f>
        <v>6</v>
      </c>
      <c r="I262" s="887" t="s">
        <v>4243</v>
      </c>
      <c r="J262" s="891">
        <f>_xlfn.XLOOKUP(ListaMaterial[[#This Row],[ITEM]],M:M,N:N,,0)</f>
        <v>2.02</v>
      </c>
      <c r="K262" s="891">
        <f>J262*ListaMaterial[[#This Row],[TOTAL C/PERDA]]</f>
        <v>12.120000000000001</v>
      </c>
      <c r="M262" s="901"/>
      <c r="N262" s="902"/>
    </row>
    <row r="263" spans="1:14" x14ac:dyDescent="0.25">
      <c r="A263" s="883" t="s">
        <v>4444</v>
      </c>
      <c r="B263" s="883" t="s">
        <v>4429</v>
      </c>
      <c r="C263" s="883" t="s">
        <v>4647</v>
      </c>
      <c r="D263" s="886">
        <v>48</v>
      </c>
      <c r="E263" s="887">
        <v>1</v>
      </c>
      <c r="F263" s="888">
        <f>ListaMaterial[[#This Row],[REPETIÇÃO]]*ListaMaterial[[#This Row],[QUANTIDADE]]</f>
        <v>48</v>
      </c>
      <c r="H263" s="890">
        <f>ListaMaterial[[#This Row],[TOTAL]]*(1+ListaMaterial[[#This Row],[PERDA]])</f>
        <v>48</v>
      </c>
      <c r="I263" s="887" t="s">
        <v>4243</v>
      </c>
      <c r="J263" s="891">
        <f>_xlfn.XLOOKUP(ListaMaterial[[#This Row],[ITEM]],M:M,N:N,,0)</f>
        <v>0.59370000000000001</v>
      </c>
      <c r="K263" s="891">
        <f>J263*ListaMaterial[[#This Row],[TOTAL C/PERDA]]</f>
        <v>28.497599999999998</v>
      </c>
      <c r="M263" s="901"/>
      <c r="N263" s="902"/>
    </row>
    <row r="264" spans="1:14" x14ac:dyDescent="0.25">
      <c r="A264" s="883" t="s">
        <v>4444</v>
      </c>
      <c r="B264" s="883" t="s">
        <v>4429</v>
      </c>
      <c r="C264" s="883" t="s">
        <v>4710</v>
      </c>
      <c r="D264" s="886">
        <v>1</v>
      </c>
      <c r="E264" s="887">
        <v>1</v>
      </c>
      <c r="F264" s="888">
        <f>ListaMaterial[[#This Row],[REPETIÇÃO]]*ListaMaterial[[#This Row],[QUANTIDADE]]</f>
        <v>1</v>
      </c>
      <c r="H264" s="890">
        <f>ListaMaterial[[#This Row],[TOTAL]]*(1+ListaMaterial[[#This Row],[PERDA]])</f>
        <v>1</v>
      </c>
      <c r="I264" s="887" t="s">
        <v>4243</v>
      </c>
      <c r="J264" s="891">
        <f>_xlfn.XLOOKUP(ListaMaterial[[#This Row],[ITEM]],M:M,N:N,,0)</f>
        <v>3.9845999999999999</v>
      </c>
      <c r="K264" s="891">
        <f>J264*ListaMaterial[[#This Row],[TOTAL C/PERDA]]</f>
        <v>3.9845999999999999</v>
      </c>
      <c r="M264" s="901"/>
      <c r="N264" s="902"/>
    </row>
    <row r="265" spans="1:14" x14ac:dyDescent="0.25">
      <c r="A265" s="883" t="s">
        <v>4444</v>
      </c>
      <c r="B265" s="883" t="s">
        <v>4429</v>
      </c>
      <c r="C265" s="883" t="s">
        <v>4711</v>
      </c>
      <c r="D265" s="886">
        <v>4</v>
      </c>
      <c r="E265" s="887">
        <v>1</v>
      </c>
      <c r="F265" s="888">
        <f>ListaMaterial[[#This Row],[REPETIÇÃO]]*ListaMaterial[[#This Row],[QUANTIDADE]]</f>
        <v>4</v>
      </c>
      <c r="H265" s="890">
        <f>ListaMaterial[[#This Row],[TOTAL]]*(1+ListaMaterial[[#This Row],[PERDA]])</f>
        <v>4</v>
      </c>
      <c r="I265" s="887" t="s">
        <v>4243</v>
      </c>
      <c r="J265" s="891">
        <f>_xlfn.XLOOKUP(ListaMaterial[[#This Row],[ITEM]],M:M,N:N,,0)</f>
        <v>0.66579999999999995</v>
      </c>
      <c r="K265" s="891">
        <f>J265*ListaMaterial[[#This Row],[TOTAL C/PERDA]]</f>
        <v>2.6631999999999998</v>
      </c>
      <c r="M265" s="901"/>
      <c r="N265" s="902"/>
    </row>
    <row r="266" spans="1:14" x14ac:dyDescent="0.25">
      <c r="A266" s="883" t="s">
        <v>4444</v>
      </c>
      <c r="B266" s="883" t="s">
        <v>4429</v>
      </c>
      <c r="C266" s="883" t="s">
        <v>4702</v>
      </c>
      <c r="D266" s="886">
        <v>1</v>
      </c>
      <c r="E266" s="887">
        <v>1</v>
      </c>
      <c r="F266" s="888">
        <f>ListaMaterial[[#This Row],[REPETIÇÃO]]*ListaMaterial[[#This Row],[QUANTIDADE]]</f>
        <v>1</v>
      </c>
      <c r="H266" s="890">
        <f>ListaMaterial[[#This Row],[TOTAL]]*(1+ListaMaterial[[#This Row],[PERDA]])</f>
        <v>1</v>
      </c>
      <c r="I266" s="887" t="s">
        <v>4243</v>
      </c>
      <c r="J266" s="891">
        <f>_xlfn.XLOOKUP(ListaMaterial[[#This Row],[ITEM]],M:M,N:N,,0)</f>
        <v>5.89</v>
      </c>
      <c r="K266" s="891">
        <f>J266*ListaMaterial[[#This Row],[TOTAL C/PERDA]]</f>
        <v>5.89</v>
      </c>
      <c r="M266" s="901"/>
      <c r="N266" s="902"/>
    </row>
    <row r="267" spans="1:14" x14ac:dyDescent="0.25">
      <c r="A267" s="883" t="s">
        <v>4444</v>
      </c>
      <c r="B267" s="883" t="s">
        <v>4429</v>
      </c>
      <c r="C267" s="883" t="s">
        <v>4650</v>
      </c>
      <c r="D267" s="886">
        <v>7</v>
      </c>
      <c r="E267" s="887">
        <v>1</v>
      </c>
      <c r="F267" s="888">
        <f>ListaMaterial[[#This Row],[REPETIÇÃO]]*ListaMaterial[[#This Row],[QUANTIDADE]]</f>
        <v>7</v>
      </c>
      <c r="H267" s="890">
        <f>ListaMaterial[[#This Row],[TOTAL]]*(1+ListaMaterial[[#This Row],[PERDA]])</f>
        <v>7</v>
      </c>
      <c r="I267" s="887" t="s">
        <v>4243</v>
      </c>
      <c r="J267" s="891">
        <f>_xlfn.XLOOKUP(ListaMaterial[[#This Row],[ITEM]],M:M,N:N,,0)</f>
        <v>1.91</v>
      </c>
      <c r="K267" s="891">
        <f>J267*ListaMaterial[[#This Row],[TOTAL C/PERDA]]</f>
        <v>13.37</v>
      </c>
      <c r="M267" s="901"/>
      <c r="N267" s="902"/>
    </row>
    <row r="268" spans="1:14" x14ac:dyDescent="0.25">
      <c r="A268" s="883" t="s">
        <v>4444</v>
      </c>
      <c r="B268" s="883" t="s">
        <v>4429</v>
      </c>
      <c r="C268" s="883" t="s">
        <v>4653</v>
      </c>
      <c r="D268" s="886">
        <v>30</v>
      </c>
      <c r="E268" s="887">
        <v>1</v>
      </c>
      <c r="F268" s="888">
        <f>ListaMaterial[[#This Row],[REPETIÇÃO]]*ListaMaterial[[#This Row],[QUANTIDADE]]</f>
        <v>30</v>
      </c>
      <c r="H268" s="890">
        <f>ListaMaterial[[#This Row],[TOTAL]]*(1+ListaMaterial[[#This Row],[PERDA]])</f>
        <v>30</v>
      </c>
      <c r="I268" s="887" t="s">
        <v>4243</v>
      </c>
      <c r="J268" s="891">
        <f>_xlfn.XLOOKUP(ListaMaterial[[#This Row],[ITEM]],M:M,N:N,,0)</f>
        <v>0.91449999999999998</v>
      </c>
      <c r="K268" s="891">
        <f>J268*ListaMaterial[[#This Row],[TOTAL C/PERDA]]</f>
        <v>27.434999999999999</v>
      </c>
      <c r="M268" s="901"/>
      <c r="N268" s="902"/>
    </row>
    <row r="269" spans="1:14" x14ac:dyDescent="0.25">
      <c r="A269" s="883" t="s">
        <v>4444</v>
      </c>
      <c r="B269" s="883" t="s">
        <v>4429</v>
      </c>
      <c r="C269" s="883" t="s">
        <v>4712</v>
      </c>
      <c r="D269" s="886">
        <v>8</v>
      </c>
      <c r="E269" s="887">
        <v>1</v>
      </c>
      <c r="F269" s="888">
        <f>ListaMaterial[[#This Row],[REPETIÇÃO]]*ListaMaterial[[#This Row],[QUANTIDADE]]</f>
        <v>8</v>
      </c>
      <c r="H269" s="890">
        <f>ListaMaterial[[#This Row],[TOTAL]]*(1+ListaMaterial[[#This Row],[PERDA]])</f>
        <v>8</v>
      </c>
      <c r="I269" s="887" t="s">
        <v>4243</v>
      </c>
      <c r="J269" s="891">
        <f>_xlfn.XLOOKUP(ListaMaterial[[#This Row],[ITEM]],M:M,N:N,,0)</f>
        <v>2.8849999999999998</v>
      </c>
      <c r="K269" s="891">
        <f>J269*ListaMaterial[[#This Row],[TOTAL C/PERDA]]</f>
        <v>23.08</v>
      </c>
      <c r="M269" s="901"/>
      <c r="N269" s="902"/>
    </row>
    <row r="270" spans="1:14" x14ac:dyDescent="0.25">
      <c r="A270" s="883" t="s">
        <v>4444</v>
      </c>
      <c r="B270" s="883" t="s">
        <v>4429</v>
      </c>
      <c r="C270" s="883" t="s">
        <v>4654</v>
      </c>
      <c r="D270" s="886">
        <v>93</v>
      </c>
      <c r="E270" s="887">
        <v>1</v>
      </c>
      <c r="F270" s="888">
        <f>ListaMaterial[[#This Row],[REPETIÇÃO]]*ListaMaterial[[#This Row],[QUANTIDADE]]</f>
        <v>93</v>
      </c>
      <c r="H270" s="890">
        <f>ListaMaterial[[#This Row],[TOTAL]]*(1+ListaMaterial[[#This Row],[PERDA]])</f>
        <v>93</v>
      </c>
      <c r="I270" s="887" t="s">
        <v>4243</v>
      </c>
      <c r="J270" s="891">
        <f>_xlfn.XLOOKUP(ListaMaterial[[#This Row],[ITEM]],M:M,N:N,,0)</f>
        <v>0.47220000000000001</v>
      </c>
      <c r="K270" s="891">
        <f>J270*ListaMaterial[[#This Row],[TOTAL C/PERDA]]</f>
        <v>43.9146</v>
      </c>
      <c r="M270" s="901"/>
      <c r="N270" s="902"/>
    </row>
    <row r="271" spans="1:14" x14ac:dyDescent="0.25">
      <c r="A271" s="883" t="s">
        <v>4444</v>
      </c>
      <c r="B271" s="883" t="s">
        <v>4429</v>
      </c>
      <c r="C271" s="883" t="s">
        <v>4655</v>
      </c>
      <c r="D271" s="886">
        <v>6</v>
      </c>
      <c r="E271" s="887">
        <v>1</v>
      </c>
      <c r="F271" s="888">
        <f>ListaMaterial[[#This Row],[REPETIÇÃO]]*ListaMaterial[[#This Row],[QUANTIDADE]]</f>
        <v>6</v>
      </c>
      <c r="H271" s="890">
        <f>ListaMaterial[[#This Row],[TOTAL]]*(1+ListaMaterial[[#This Row],[PERDA]])</f>
        <v>6</v>
      </c>
      <c r="I271" s="887" t="s">
        <v>4243</v>
      </c>
      <c r="J271" s="891">
        <f>_xlfn.XLOOKUP(ListaMaterial[[#This Row],[ITEM]],M:M,N:N,,0)</f>
        <v>2.2519999999999998</v>
      </c>
      <c r="K271" s="891">
        <f>J271*ListaMaterial[[#This Row],[TOTAL C/PERDA]]</f>
        <v>13.511999999999999</v>
      </c>
      <c r="M271" s="901"/>
      <c r="N271" s="902"/>
    </row>
    <row r="272" spans="1:14" x14ac:dyDescent="0.25">
      <c r="A272" s="883" t="s">
        <v>4444</v>
      </c>
      <c r="B272" s="883" t="s">
        <v>4429</v>
      </c>
      <c r="C272" s="883" t="s">
        <v>4657</v>
      </c>
      <c r="D272" s="886">
        <v>28</v>
      </c>
      <c r="E272" s="887">
        <v>1</v>
      </c>
      <c r="F272" s="888">
        <f>ListaMaterial[[#This Row],[REPETIÇÃO]]*ListaMaterial[[#This Row],[QUANTIDADE]]</f>
        <v>28</v>
      </c>
      <c r="H272" s="890">
        <f>ListaMaterial[[#This Row],[TOTAL]]*(1+ListaMaterial[[#This Row],[PERDA]])</f>
        <v>28</v>
      </c>
      <c r="I272" s="887" t="s">
        <v>4243</v>
      </c>
      <c r="J272" s="891">
        <f>_xlfn.XLOOKUP(ListaMaterial[[#This Row],[ITEM]],M:M,N:N,,0)</f>
        <v>3.2107000000000001</v>
      </c>
      <c r="K272" s="891">
        <f>J272*ListaMaterial[[#This Row],[TOTAL C/PERDA]]</f>
        <v>89.899600000000007</v>
      </c>
      <c r="M272" s="901"/>
      <c r="N272" s="902"/>
    </row>
    <row r="273" spans="1:14" x14ac:dyDescent="0.25">
      <c r="A273" s="883" t="s">
        <v>4444</v>
      </c>
      <c r="B273" s="883" t="s">
        <v>4429</v>
      </c>
      <c r="C273" s="883" t="s">
        <v>4658</v>
      </c>
      <c r="D273" s="886">
        <v>7</v>
      </c>
      <c r="E273" s="887">
        <v>1</v>
      </c>
      <c r="F273" s="888">
        <f>ListaMaterial[[#This Row],[REPETIÇÃO]]*ListaMaterial[[#This Row],[QUANTIDADE]]</f>
        <v>7</v>
      </c>
      <c r="H273" s="890">
        <f>ListaMaterial[[#This Row],[TOTAL]]*(1+ListaMaterial[[#This Row],[PERDA]])</f>
        <v>7</v>
      </c>
      <c r="I273" s="887" t="s">
        <v>4243</v>
      </c>
      <c r="J273" s="891">
        <f>_xlfn.XLOOKUP(ListaMaterial[[#This Row],[ITEM]],M:M,N:N,,0)</f>
        <v>13.005000000000001</v>
      </c>
      <c r="K273" s="891">
        <f>J273*ListaMaterial[[#This Row],[TOTAL C/PERDA]]</f>
        <v>91.035000000000011</v>
      </c>
      <c r="M273" s="901"/>
      <c r="N273" s="902"/>
    </row>
    <row r="274" spans="1:14" x14ac:dyDescent="0.25">
      <c r="A274" s="883" t="s">
        <v>4444</v>
      </c>
      <c r="B274" s="883" t="s">
        <v>4429</v>
      </c>
      <c r="C274" s="883" t="s">
        <v>4457</v>
      </c>
      <c r="D274" s="886">
        <v>3</v>
      </c>
      <c r="E274" s="887">
        <v>1</v>
      </c>
      <c r="F274" s="888">
        <f>ListaMaterial[[#This Row],[REPETIÇÃO]]*ListaMaterial[[#This Row],[QUANTIDADE]]</f>
        <v>3</v>
      </c>
      <c r="H274" s="890">
        <f>ListaMaterial[[#This Row],[TOTAL]]*(1+ListaMaterial[[#This Row],[PERDA]])</f>
        <v>3</v>
      </c>
      <c r="I274" s="887" t="s">
        <v>4243</v>
      </c>
      <c r="J274" s="891">
        <f>_xlfn.XLOOKUP(ListaMaterial[[#This Row],[ITEM]],M:M,N:N,,0)</f>
        <v>11.18</v>
      </c>
      <c r="K274" s="891">
        <f>J274*ListaMaterial[[#This Row],[TOTAL C/PERDA]]</f>
        <v>33.54</v>
      </c>
      <c r="M274" s="901"/>
      <c r="N274" s="902"/>
    </row>
    <row r="275" spans="1:14" x14ac:dyDescent="0.25">
      <c r="A275" s="883" t="s">
        <v>4444</v>
      </c>
      <c r="B275" s="883" t="s">
        <v>4429</v>
      </c>
      <c r="C275" s="883" t="s">
        <v>4713</v>
      </c>
      <c r="D275" s="886">
        <v>7</v>
      </c>
      <c r="E275" s="887">
        <v>1</v>
      </c>
      <c r="F275" s="888">
        <f>ListaMaterial[[#This Row],[REPETIÇÃO]]*ListaMaterial[[#This Row],[QUANTIDADE]]</f>
        <v>7</v>
      </c>
      <c r="H275" s="890">
        <f>ListaMaterial[[#This Row],[TOTAL]]*(1+ListaMaterial[[#This Row],[PERDA]])</f>
        <v>7</v>
      </c>
      <c r="I275" s="887" t="s">
        <v>4243</v>
      </c>
      <c r="J275" s="891">
        <f>_xlfn.XLOOKUP(ListaMaterial[[#This Row],[ITEM]],M:M,N:N,,0)</f>
        <v>16.77</v>
      </c>
      <c r="K275" s="891">
        <f>J275*ListaMaterial[[#This Row],[TOTAL C/PERDA]]</f>
        <v>117.39</v>
      </c>
      <c r="M275" s="901"/>
      <c r="N275" s="902"/>
    </row>
    <row r="276" spans="1:14" x14ac:dyDescent="0.25">
      <c r="A276" s="883" t="s">
        <v>4444</v>
      </c>
      <c r="B276" s="883" t="s">
        <v>4429</v>
      </c>
      <c r="C276" s="883" t="s">
        <v>4714</v>
      </c>
      <c r="D276" s="886">
        <v>4</v>
      </c>
      <c r="E276" s="887">
        <v>1</v>
      </c>
      <c r="F276" s="888">
        <f>ListaMaterial[[#This Row],[REPETIÇÃO]]*ListaMaterial[[#This Row],[QUANTIDADE]]</f>
        <v>4</v>
      </c>
      <c r="H276" s="890">
        <f>ListaMaterial[[#This Row],[TOTAL]]*(1+ListaMaterial[[#This Row],[PERDA]])</f>
        <v>4</v>
      </c>
      <c r="I276" s="887" t="s">
        <v>4243</v>
      </c>
      <c r="J276" s="891">
        <f>_xlfn.XLOOKUP(ListaMaterial[[#This Row],[ITEM]],M:M,N:N,,0)</f>
        <v>4.5960000000000001</v>
      </c>
      <c r="K276" s="891">
        <f>J276*ListaMaterial[[#This Row],[TOTAL C/PERDA]]</f>
        <v>18.384</v>
      </c>
      <c r="M276" s="901"/>
      <c r="N276" s="902"/>
    </row>
    <row r="277" spans="1:14" x14ac:dyDescent="0.25">
      <c r="A277" s="883" t="s">
        <v>4444</v>
      </c>
      <c r="B277" s="883" t="s">
        <v>4429</v>
      </c>
      <c r="C277" s="883" t="s">
        <v>4715</v>
      </c>
      <c r="D277" s="886">
        <v>12</v>
      </c>
      <c r="E277" s="887">
        <v>1</v>
      </c>
      <c r="F277" s="888">
        <f>ListaMaterial[[#This Row],[REPETIÇÃO]]*ListaMaterial[[#This Row],[QUANTIDADE]]</f>
        <v>12</v>
      </c>
      <c r="H277" s="890">
        <f>ListaMaterial[[#This Row],[TOTAL]]*(1+ListaMaterial[[#This Row],[PERDA]])</f>
        <v>12</v>
      </c>
      <c r="I277" s="887" t="s">
        <v>4243</v>
      </c>
      <c r="J277" s="891">
        <f>_xlfn.XLOOKUP(ListaMaterial[[#This Row],[ITEM]],M:M,N:N,,0)</f>
        <v>5.3247999999999998</v>
      </c>
      <c r="K277" s="891">
        <f>J277*ListaMaterial[[#This Row],[TOTAL C/PERDA]]</f>
        <v>63.897599999999997</v>
      </c>
      <c r="M277" s="901"/>
      <c r="N277" s="902"/>
    </row>
    <row r="278" spans="1:14" x14ac:dyDescent="0.25">
      <c r="A278" s="883" t="s">
        <v>4444</v>
      </c>
      <c r="B278" s="883" t="s">
        <v>4429</v>
      </c>
      <c r="C278" s="883" t="s">
        <v>4660</v>
      </c>
      <c r="D278" s="886">
        <v>19</v>
      </c>
      <c r="E278" s="887">
        <v>1</v>
      </c>
      <c r="F278" s="888">
        <f>ListaMaterial[[#This Row],[REPETIÇÃO]]*ListaMaterial[[#This Row],[QUANTIDADE]]</f>
        <v>19</v>
      </c>
      <c r="H278" s="890">
        <f>ListaMaterial[[#This Row],[TOTAL]]*(1+ListaMaterial[[#This Row],[PERDA]])</f>
        <v>19</v>
      </c>
      <c r="I278" s="887" t="s">
        <v>4243</v>
      </c>
      <c r="J278" s="891">
        <f>_xlfn.XLOOKUP(ListaMaterial[[#This Row],[ITEM]],M:M,N:N,,0)</f>
        <v>0.98509999999999998</v>
      </c>
      <c r="K278" s="891">
        <f>J278*ListaMaterial[[#This Row],[TOTAL C/PERDA]]</f>
        <v>18.716899999999999</v>
      </c>
      <c r="M278" s="901"/>
      <c r="N278" s="902"/>
    </row>
    <row r="279" spans="1:14" x14ac:dyDescent="0.25">
      <c r="A279" s="883" t="s">
        <v>4444</v>
      </c>
      <c r="B279" s="883" t="s">
        <v>4429</v>
      </c>
      <c r="C279" s="883" t="s">
        <v>4716</v>
      </c>
      <c r="D279" s="886">
        <v>3</v>
      </c>
      <c r="E279" s="887">
        <v>1</v>
      </c>
      <c r="F279" s="888">
        <f>ListaMaterial[[#This Row],[REPETIÇÃO]]*ListaMaterial[[#This Row],[QUANTIDADE]]</f>
        <v>3</v>
      </c>
      <c r="H279" s="890">
        <f>ListaMaterial[[#This Row],[TOTAL]]*(1+ListaMaterial[[#This Row],[PERDA]])</f>
        <v>3</v>
      </c>
      <c r="I279" s="887" t="s">
        <v>4243</v>
      </c>
      <c r="J279" s="891">
        <f>_xlfn.XLOOKUP(ListaMaterial[[#This Row],[ITEM]],M:M,N:N,,0)</f>
        <v>2.5177999999999998</v>
      </c>
      <c r="K279" s="891">
        <f>J279*ListaMaterial[[#This Row],[TOTAL C/PERDA]]</f>
        <v>7.5533999999999999</v>
      </c>
      <c r="M279" s="901"/>
      <c r="N279" s="902"/>
    </row>
    <row r="280" spans="1:14" x14ac:dyDescent="0.25">
      <c r="A280" s="883" t="s">
        <v>4444</v>
      </c>
      <c r="B280" s="883" t="s">
        <v>4431</v>
      </c>
      <c r="C280" s="883" t="s">
        <v>4717</v>
      </c>
      <c r="D280" s="886">
        <v>1</v>
      </c>
      <c r="E280" s="887">
        <v>1</v>
      </c>
      <c r="F280" s="888">
        <f>ListaMaterial[[#This Row],[REPETIÇÃO]]*ListaMaterial[[#This Row],[QUANTIDADE]]</f>
        <v>1</v>
      </c>
      <c r="H280" s="890">
        <f>ListaMaterial[[#This Row],[TOTAL]]*(1+ListaMaterial[[#This Row],[PERDA]])</f>
        <v>1</v>
      </c>
      <c r="I280" s="887" t="s">
        <v>4243</v>
      </c>
      <c r="J280" s="891">
        <f>_xlfn.XLOOKUP(ListaMaterial[[#This Row],[ITEM]],M:M,N:N,,0)</f>
        <v>9.4</v>
      </c>
      <c r="K280" s="891">
        <f>J280*ListaMaterial[[#This Row],[TOTAL C/PERDA]]</f>
        <v>9.4</v>
      </c>
      <c r="M280" s="901"/>
      <c r="N280" s="902"/>
    </row>
    <row r="281" spans="1:14" x14ac:dyDescent="0.25">
      <c r="A281" s="883" t="s">
        <v>4444</v>
      </c>
      <c r="B281" s="883" t="s">
        <v>4431</v>
      </c>
      <c r="C281" s="883" t="s">
        <v>4718</v>
      </c>
      <c r="D281" s="886">
        <v>12</v>
      </c>
      <c r="E281" s="887">
        <v>1</v>
      </c>
      <c r="F281" s="888">
        <f>ListaMaterial[[#This Row],[REPETIÇÃO]]*ListaMaterial[[#This Row],[QUANTIDADE]]</f>
        <v>12</v>
      </c>
      <c r="H281" s="890">
        <f>ListaMaterial[[#This Row],[TOTAL]]*(1+ListaMaterial[[#This Row],[PERDA]])</f>
        <v>12</v>
      </c>
      <c r="I281" s="887" t="s">
        <v>4243</v>
      </c>
      <c r="J281" s="891">
        <f>_xlfn.XLOOKUP(ListaMaterial[[#This Row],[ITEM]],M:M,N:N,,0)</f>
        <v>5.59</v>
      </c>
      <c r="K281" s="891">
        <f>J281*ListaMaterial[[#This Row],[TOTAL C/PERDA]]</f>
        <v>67.08</v>
      </c>
      <c r="M281" s="901"/>
      <c r="N281" s="902"/>
    </row>
    <row r="282" spans="1:14" x14ac:dyDescent="0.25">
      <c r="A282" s="883" t="s">
        <v>4444</v>
      </c>
      <c r="B282" s="883" t="s">
        <v>4431</v>
      </c>
      <c r="C282" s="883" t="s">
        <v>4719</v>
      </c>
      <c r="D282" s="886">
        <v>7</v>
      </c>
      <c r="E282" s="887">
        <v>1</v>
      </c>
      <c r="F282" s="888">
        <f>ListaMaterial[[#This Row],[REPETIÇÃO]]*ListaMaterial[[#This Row],[QUANTIDADE]]</f>
        <v>7</v>
      </c>
      <c r="H282" s="890">
        <f>ListaMaterial[[#This Row],[TOTAL]]*(1+ListaMaterial[[#This Row],[PERDA]])</f>
        <v>7</v>
      </c>
      <c r="I282" s="887" t="s">
        <v>4243</v>
      </c>
      <c r="J282" s="891">
        <f>_xlfn.XLOOKUP(ListaMaterial[[#This Row],[ITEM]],M:M,N:N,,0)</f>
        <v>6.7110000000000003</v>
      </c>
      <c r="K282" s="891">
        <f>J282*ListaMaterial[[#This Row],[TOTAL C/PERDA]]</f>
        <v>46.977000000000004</v>
      </c>
      <c r="M282" s="901"/>
      <c r="N282" s="902"/>
    </row>
    <row r="283" spans="1:14" x14ac:dyDescent="0.25">
      <c r="A283" s="883" t="s">
        <v>4444</v>
      </c>
      <c r="B283" s="883" t="s">
        <v>4431</v>
      </c>
      <c r="C283" s="883" t="s">
        <v>4689</v>
      </c>
      <c r="D283" s="886">
        <v>2</v>
      </c>
      <c r="E283" s="887">
        <v>1</v>
      </c>
      <c r="F283" s="888">
        <f>ListaMaterial[[#This Row],[REPETIÇÃO]]*ListaMaterial[[#This Row],[QUANTIDADE]]</f>
        <v>2</v>
      </c>
      <c r="H283" s="890">
        <f>ListaMaterial[[#This Row],[TOTAL]]*(1+ListaMaterial[[#This Row],[PERDA]])</f>
        <v>2</v>
      </c>
      <c r="I283" s="887" t="s">
        <v>4243</v>
      </c>
      <c r="J283" s="891">
        <f>_xlfn.XLOOKUP(ListaMaterial[[#This Row],[ITEM]],M:M,N:N,,0)</f>
        <v>8.9486000000000008</v>
      </c>
      <c r="K283" s="891">
        <f>J283*ListaMaterial[[#This Row],[TOTAL C/PERDA]]</f>
        <v>17.897200000000002</v>
      </c>
      <c r="M283" s="901"/>
      <c r="N283" s="902"/>
    </row>
    <row r="284" spans="1:14" x14ac:dyDescent="0.25">
      <c r="A284" s="883" t="s">
        <v>4444</v>
      </c>
      <c r="B284" s="883" t="s">
        <v>4431</v>
      </c>
      <c r="C284" s="883" t="s">
        <v>4690</v>
      </c>
      <c r="D284" s="886">
        <v>12</v>
      </c>
      <c r="E284" s="887">
        <v>1</v>
      </c>
      <c r="F284" s="888">
        <f>ListaMaterial[[#This Row],[REPETIÇÃO]]*ListaMaterial[[#This Row],[QUANTIDADE]]</f>
        <v>12</v>
      </c>
      <c r="H284" s="890">
        <f>ListaMaterial[[#This Row],[TOTAL]]*(1+ListaMaterial[[#This Row],[PERDA]])</f>
        <v>12</v>
      </c>
      <c r="I284" s="887" t="s">
        <v>4243</v>
      </c>
      <c r="J284" s="891">
        <f>_xlfn.XLOOKUP(ListaMaterial[[#This Row],[ITEM]],M:M,N:N,,0)</f>
        <v>11.18</v>
      </c>
      <c r="K284" s="891">
        <f>J284*ListaMaterial[[#This Row],[TOTAL C/PERDA]]</f>
        <v>134.16</v>
      </c>
      <c r="M284" s="901"/>
      <c r="N284" s="902"/>
    </row>
    <row r="285" spans="1:14" x14ac:dyDescent="0.25">
      <c r="A285" s="883" t="s">
        <v>4444</v>
      </c>
      <c r="B285" s="883" t="s">
        <v>4431</v>
      </c>
      <c r="C285" s="883" t="s">
        <v>4720</v>
      </c>
      <c r="D285" s="886">
        <v>27</v>
      </c>
      <c r="E285" s="887">
        <v>1</v>
      </c>
      <c r="F285" s="888">
        <f>ListaMaterial[[#This Row],[REPETIÇÃO]]*ListaMaterial[[#This Row],[QUANTIDADE]]</f>
        <v>27</v>
      </c>
      <c r="H285" s="890">
        <f>ListaMaterial[[#This Row],[TOTAL]]*(1+ListaMaterial[[#This Row],[PERDA]])</f>
        <v>27</v>
      </c>
      <c r="I285" s="887" t="s">
        <v>4243</v>
      </c>
      <c r="J285" s="891">
        <f>_xlfn.XLOOKUP(ListaMaterial[[#This Row],[ITEM]],M:M,N:N,,0)</f>
        <v>7.83</v>
      </c>
      <c r="K285" s="891">
        <f>J285*ListaMaterial[[#This Row],[TOTAL C/PERDA]]</f>
        <v>211.41</v>
      </c>
      <c r="M285" s="901"/>
      <c r="N285" s="902"/>
    </row>
    <row r="286" spans="1:14" x14ac:dyDescent="0.25">
      <c r="A286" s="883" t="s">
        <v>4444</v>
      </c>
      <c r="B286" s="883" t="s">
        <v>4431</v>
      </c>
      <c r="C286" s="883" t="s">
        <v>4664</v>
      </c>
      <c r="D286" s="886">
        <v>62</v>
      </c>
      <c r="E286" s="887">
        <v>1</v>
      </c>
      <c r="F286" s="888">
        <f>ListaMaterial[[#This Row],[REPETIÇÃO]]*ListaMaterial[[#This Row],[QUANTIDADE]]</f>
        <v>62</v>
      </c>
      <c r="H286" s="890">
        <f>ListaMaterial[[#This Row],[TOTAL]]*(1+ListaMaterial[[#This Row],[PERDA]])</f>
        <v>62</v>
      </c>
      <c r="I286" s="887" t="s">
        <v>4243</v>
      </c>
      <c r="J286" s="891">
        <f>_xlfn.XLOOKUP(ListaMaterial[[#This Row],[ITEM]],M:M,N:N,,0)</f>
        <v>10.06</v>
      </c>
      <c r="K286" s="891">
        <f>J286*ListaMaterial[[#This Row],[TOTAL C/PERDA]]</f>
        <v>623.72</v>
      </c>
      <c r="M286" s="901"/>
      <c r="N286" s="902"/>
    </row>
    <row r="287" spans="1:14" x14ac:dyDescent="0.25">
      <c r="A287" s="883" t="s">
        <v>4444</v>
      </c>
      <c r="B287" s="883" t="s">
        <v>4431</v>
      </c>
      <c r="C287" s="883" t="s">
        <v>4666</v>
      </c>
      <c r="D287" s="886">
        <v>40</v>
      </c>
      <c r="E287" s="887">
        <v>1</v>
      </c>
      <c r="F287" s="888">
        <f>ListaMaterial[[#This Row],[REPETIÇÃO]]*ListaMaterial[[#This Row],[QUANTIDADE]]</f>
        <v>40</v>
      </c>
      <c r="H287" s="890">
        <f>ListaMaterial[[#This Row],[TOTAL]]*(1+ListaMaterial[[#This Row],[PERDA]])</f>
        <v>40</v>
      </c>
      <c r="I287" s="887" t="s">
        <v>4243</v>
      </c>
      <c r="J287" s="891">
        <f>_xlfn.XLOOKUP(ListaMaterial[[#This Row],[ITEM]],M:M,N:N,,0)</f>
        <v>24.6</v>
      </c>
      <c r="K287" s="891">
        <f>J287*ListaMaterial[[#This Row],[TOTAL C/PERDA]]</f>
        <v>984</v>
      </c>
      <c r="M287" s="901"/>
      <c r="N287" s="902"/>
    </row>
    <row r="288" spans="1:14" x14ac:dyDescent="0.25">
      <c r="A288" s="883" t="s">
        <v>4444</v>
      </c>
      <c r="B288" s="883" t="s">
        <v>4431</v>
      </c>
      <c r="C288" s="883" t="s">
        <v>4691</v>
      </c>
      <c r="D288" s="886">
        <v>8</v>
      </c>
      <c r="E288" s="887">
        <v>1</v>
      </c>
      <c r="F288" s="888">
        <f>ListaMaterial[[#This Row],[REPETIÇÃO]]*ListaMaterial[[#This Row],[QUANTIDADE]]</f>
        <v>8</v>
      </c>
      <c r="H288" s="890">
        <f>ListaMaterial[[#This Row],[TOTAL]]*(1+ListaMaterial[[#This Row],[PERDA]])</f>
        <v>8</v>
      </c>
      <c r="I288" s="887" t="s">
        <v>4243</v>
      </c>
      <c r="J288" s="891">
        <f>_xlfn.XLOOKUP(ListaMaterial[[#This Row],[ITEM]],M:M,N:N,,0)</f>
        <v>16.77</v>
      </c>
      <c r="K288" s="891">
        <f>J288*ListaMaterial[[#This Row],[TOTAL C/PERDA]]</f>
        <v>134.16</v>
      </c>
      <c r="M288" s="901"/>
      <c r="N288" s="902"/>
    </row>
    <row r="289" spans="1:14" x14ac:dyDescent="0.25">
      <c r="A289" s="883" t="s">
        <v>4444</v>
      </c>
      <c r="B289" s="883" t="s">
        <v>4431</v>
      </c>
      <c r="C289" s="883" t="s">
        <v>4721</v>
      </c>
      <c r="D289" s="886">
        <v>27</v>
      </c>
      <c r="E289" s="887">
        <v>1</v>
      </c>
      <c r="F289" s="888">
        <f>ListaMaterial[[#This Row],[REPETIÇÃO]]*ListaMaterial[[#This Row],[QUANTIDADE]]</f>
        <v>27</v>
      </c>
      <c r="H289" s="890">
        <f>ListaMaterial[[#This Row],[TOTAL]]*(1+ListaMaterial[[#This Row],[PERDA]])</f>
        <v>27</v>
      </c>
      <c r="I289" s="887" t="s">
        <v>4243</v>
      </c>
      <c r="J289" s="891">
        <f>_xlfn.XLOOKUP(ListaMaterial[[#This Row],[ITEM]],M:M,N:N,,0)</f>
        <v>8.94</v>
      </c>
      <c r="K289" s="891">
        <f>J289*ListaMaterial[[#This Row],[TOTAL C/PERDA]]</f>
        <v>241.38</v>
      </c>
      <c r="M289" s="901"/>
      <c r="N289" s="902"/>
    </row>
    <row r="290" spans="1:14" x14ac:dyDescent="0.25">
      <c r="A290" s="883" t="s">
        <v>4444</v>
      </c>
      <c r="B290" s="883" t="s">
        <v>4431</v>
      </c>
      <c r="C290" s="883" t="s">
        <v>4667</v>
      </c>
      <c r="D290" s="886">
        <v>38</v>
      </c>
      <c r="E290" s="887">
        <v>1</v>
      </c>
      <c r="F290" s="888">
        <f>ListaMaterial[[#This Row],[REPETIÇÃO]]*ListaMaterial[[#This Row],[QUANTIDADE]]</f>
        <v>38</v>
      </c>
      <c r="H290" s="890">
        <f>ListaMaterial[[#This Row],[TOTAL]]*(1+ListaMaterial[[#This Row],[PERDA]])</f>
        <v>38</v>
      </c>
      <c r="I290" s="887" t="s">
        <v>4243</v>
      </c>
      <c r="J290" s="891">
        <f>_xlfn.XLOOKUP(ListaMaterial[[#This Row],[ITEM]],M:M,N:N,,0)</f>
        <v>11.18</v>
      </c>
      <c r="K290" s="891">
        <f>J290*ListaMaterial[[#This Row],[TOTAL C/PERDA]]</f>
        <v>424.84</v>
      </c>
      <c r="M290" s="901"/>
      <c r="N290" s="902"/>
    </row>
    <row r="291" spans="1:14" x14ac:dyDescent="0.25">
      <c r="A291" s="883" t="s">
        <v>4444</v>
      </c>
      <c r="B291" s="883" t="s">
        <v>4431</v>
      </c>
      <c r="C291" s="883" t="s">
        <v>4668</v>
      </c>
      <c r="D291" s="886">
        <v>12</v>
      </c>
      <c r="E291" s="887">
        <v>1</v>
      </c>
      <c r="F291" s="888">
        <f>ListaMaterial[[#This Row],[REPETIÇÃO]]*ListaMaterial[[#This Row],[QUANTIDADE]]</f>
        <v>12</v>
      </c>
      <c r="H291" s="890">
        <f>ListaMaterial[[#This Row],[TOTAL]]*(1+ListaMaterial[[#This Row],[PERDA]])</f>
        <v>12</v>
      </c>
      <c r="I291" s="887" t="s">
        <v>4243</v>
      </c>
      <c r="J291" s="891">
        <f>_xlfn.XLOOKUP(ListaMaterial[[#This Row],[ITEM]],M:M,N:N,,0)</f>
        <v>20.13</v>
      </c>
      <c r="K291" s="891">
        <f>J291*ListaMaterial[[#This Row],[TOTAL C/PERDA]]</f>
        <v>241.56</v>
      </c>
      <c r="M291" s="901"/>
      <c r="N291" s="902"/>
    </row>
    <row r="292" spans="1:14" x14ac:dyDescent="0.25">
      <c r="A292" s="883" t="s">
        <v>4444</v>
      </c>
      <c r="B292" s="883" t="s">
        <v>4431</v>
      </c>
      <c r="C292" s="883" t="s">
        <v>4458</v>
      </c>
      <c r="D292" s="886">
        <v>40</v>
      </c>
      <c r="E292" s="887">
        <v>1</v>
      </c>
      <c r="F292" s="888">
        <f>ListaMaterial[[#This Row],[REPETIÇÃO]]*ListaMaterial[[#This Row],[QUANTIDADE]]</f>
        <v>40</v>
      </c>
      <c r="H292" s="890">
        <f>ListaMaterial[[#This Row],[TOTAL]]*(1+ListaMaterial[[#This Row],[PERDA]])</f>
        <v>40</v>
      </c>
      <c r="I292" s="887" t="s">
        <v>4243</v>
      </c>
      <c r="J292" s="891">
        <f>_xlfn.XLOOKUP(ListaMaterial[[#This Row],[ITEM]],M:M,N:N,,0)</f>
        <v>27.96</v>
      </c>
      <c r="K292" s="891">
        <f>J292*ListaMaterial[[#This Row],[TOTAL C/PERDA]]</f>
        <v>1118.4000000000001</v>
      </c>
      <c r="M292" s="901"/>
      <c r="N292" s="902"/>
    </row>
    <row r="293" spans="1:14" x14ac:dyDescent="0.25">
      <c r="A293" s="883" t="s">
        <v>4444</v>
      </c>
      <c r="B293" s="883" t="s">
        <v>4431</v>
      </c>
      <c r="C293" s="883" t="s">
        <v>4722</v>
      </c>
      <c r="D293" s="886">
        <v>12</v>
      </c>
      <c r="E293" s="887">
        <v>1</v>
      </c>
      <c r="F293" s="888">
        <f>ListaMaterial[[#This Row],[REPETIÇÃO]]*ListaMaterial[[#This Row],[QUANTIDADE]]</f>
        <v>12</v>
      </c>
      <c r="H293" s="890">
        <f>ListaMaterial[[#This Row],[TOTAL]]*(1+ListaMaterial[[#This Row],[PERDA]])</f>
        <v>12</v>
      </c>
      <c r="I293" s="887" t="s">
        <v>4243</v>
      </c>
      <c r="J293" s="891">
        <f>_xlfn.XLOOKUP(ListaMaterial[[#This Row],[ITEM]],M:M,N:N,,0)</f>
        <v>13.42</v>
      </c>
      <c r="K293" s="891">
        <f>J293*ListaMaterial[[#This Row],[TOTAL C/PERDA]]</f>
        <v>161.04</v>
      </c>
      <c r="M293" s="901"/>
      <c r="N293" s="902"/>
    </row>
    <row r="294" spans="1:14" x14ac:dyDescent="0.25">
      <c r="A294" s="883" t="s">
        <v>4444</v>
      </c>
      <c r="B294" s="883" t="s">
        <v>4431</v>
      </c>
      <c r="C294" s="883" t="s">
        <v>4723</v>
      </c>
      <c r="D294" s="886">
        <v>5</v>
      </c>
      <c r="E294" s="887">
        <v>1</v>
      </c>
      <c r="F294" s="888">
        <f>ListaMaterial[[#This Row],[REPETIÇÃO]]*ListaMaterial[[#This Row],[QUANTIDADE]]</f>
        <v>5</v>
      </c>
      <c r="H294" s="890">
        <f>ListaMaterial[[#This Row],[TOTAL]]*(1+ListaMaterial[[#This Row],[PERDA]])</f>
        <v>5</v>
      </c>
      <c r="I294" s="887" t="s">
        <v>4243</v>
      </c>
      <c r="J294" s="891">
        <f>_xlfn.XLOOKUP(ListaMaterial[[#This Row],[ITEM]],M:M,N:N,,0)</f>
        <v>39.150199999999998</v>
      </c>
      <c r="K294" s="891">
        <f>J294*ListaMaterial[[#This Row],[TOTAL C/PERDA]]</f>
        <v>195.75099999999998</v>
      </c>
      <c r="M294" s="901"/>
      <c r="N294" s="902"/>
    </row>
    <row r="295" spans="1:14" x14ac:dyDescent="0.25">
      <c r="A295" s="883" t="s">
        <v>4444</v>
      </c>
      <c r="B295" s="883" t="s">
        <v>4431</v>
      </c>
      <c r="C295" s="883" t="s">
        <v>4724</v>
      </c>
      <c r="D295" s="886">
        <v>2</v>
      </c>
      <c r="E295" s="887">
        <v>1</v>
      </c>
      <c r="F295" s="888">
        <f>ListaMaterial[[#This Row],[REPETIÇÃO]]*ListaMaterial[[#This Row],[QUANTIDADE]]</f>
        <v>2</v>
      </c>
      <c r="H295" s="890">
        <f>ListaMaterial[[#This Row],[TOTAL]]*(1+ListaMaterial[[#This Row],[PERDA]])</f>
        <v>2</v>
      </c>
      <c r="I295" s="887" t="s">
        <v>4243</v>
      </c>
      <c r="J295" s="891">
        <f>_xlfn.XLOOKUP(ListaMaterial[[#This Row],[ITEM]],M:M,N:N,,0)</f>
        <v>44.74</v>
      </c>
      <c r="K295" s="891">
        <f>J295*ListaMaterial[[#This Row],[TOTAL C/PERDA]]</f>
        <v>89.48</v>
      </c>
      <c r="M295" s="901"/>
      <c r="N295" s="902"/>
    </row>
    <row r="296" spans="1:14" x14ac:dyDescent="0.25">
      <c r="A296" s="883" t="s">
        <v>4444</v>
      </c>
      <c r="B296" s="883" t="s">
        <v>4431</v>
      </c>
      <c r="C296" s="883" t="s">
        <v>4725</v>
      </c>
      <c r="D296" s="886">
        <v>1</v>
      </c>
      <c r="E296" s="887">
        <v>1</v>
      </c>
      <c r="F296" s="888">
        <f>ListaMaterial[[#This Row],[REPETIÇÃO]]*ListaMaterial[[#This Row],[QUANTIDADE]]</f>
        <v>1</v>
      </c>
      <c r="H296" s="890">
        <f>ListaMaterial[[#This Row],[TOTAL]]*(1+ListaMaterial[[#This Row],[PERDA]])</f>
        <v>1</v>
      </c>
      <c r="I296" s="887" t="s">
        <v>4243</v>
      </c>
      <c r="J296" s="891">
        <f>_xlfn.XLOOKUP(ListaMaterial[[#This Row],[ITEM]],M:M,N:N,,0)</f>
        <v>13.422000000000001</v>
      </c>
      <c r="K296" s="891">
        <f>J296*ListaMaterial[[#This Row],[TOTAL C/PERDA]]</f>
        <v>13.422000000000001</v>
      </c>
      <c r="M296" s="901"/>
      <c r="N296" s="902"/>
    </row>
    <row r="297" spans="1:14" x14ac:dyDescent="0.25">
      <c r="A297" s="883" t="s">
        <v>4444</v>
      </c>
      <c r="B297" s="883" t="s">
        <v>4431</v>
      </c>
      <c r="C297" s="883" t="s">
        <v>4726</v>
      </c>
      <c r="D297" s="886">
        <v>5</v>
      </c>
      <c r="E297" s="887">
        <v>1</v>
      </c>
      <c r="F297" s="888">
        <f>ListaMaterial[[#This Row],[REPETIÇÃO]]*ListaMaterial[[#This Row],[QUANTIDADE]]</f>
        <v>5</v>
      </c>
      <c r="H297" s="890">
        <f>ListaMaterial[[#This Row],[TOTAL]]*(1+ListaMaterial[[#This Row],[PERDA]])</f>
        <v>5</v>
      </c>
      <c r="I297" s="887" t="s">
        <v>4243</v>
      </c>
      <c r="J297" s="891">
        <f>_xlfn.XLOOKUP(ListaMaterial[[#This Row],[ITEM]],M:M,N:N,,0)</f>
        <v>16.77</v>
      </c>
      <c r="K297" s="891">
        <f>J297*ListaMaterial[[#This Row],[TOTAL C/PERDA]]</f>
        <v>83.85</v>
      </c>
      <c r="M297" s="901"/>
      <c r="N297" s="902"/>
    </row>
    <row r="298" spans="1:14" x14ac:dyDescent="0.25">
      <c r="A298" s="883" t="s">
        <v>4444</v>
      </c>
      <c r="B298" s="883" t="s">
        <v>4431</v>
      </c>
      <c r="C298" s="883" t="s">
        <v>4669</v>
      </c>
      <c r="D298" s="886">
        <v>10</v>
      </c>
      <c r="E298" s="887">
        <v>1</v>
      </c>
      <c r="F298" s="888">
        <f>ListaMaterial[[#This Row],[REPETIÇÃO]]*ListaMaterial[[#This Row],[QUANTIDADE]]</f>
        <v>10</v>
      </c>
      <c r="H298" s="890">
        <f>ListaMaterial[[#This Row],[TOTAL]]*(1+ListaMaterial[[#This Row],[PERDA]])</f>
        <v>10</v>
      </c>
      <c r="I298" s="887" t="s">
        <v>4243</v>
      </c>
      <c r="J298" s="891">
        <f>_xlfn.XLOOKUP(ListaMaterial[[#This Row],[ITEM]],M:M,N:N,,0)</f>
        <v>33.549999999999997</v>
      </c>
      <c r="K298" s="891">
        <f>J298*ListaMaterial[[#This Row],[TOTAL C/PERDA]]</f>
        <v>335.5</v>
      </c>
      <c r="M298" s="901"/>
      <c r="N298" s="902"/>
    </row>
    <row r="299" spans="1:14" x14ac:dyDescent="0.25">
      <c r="A299" s="883" t="s">
        <v>4444</v>
      </c>
      <c r="B299" s="883" t="s">
        <v>4431</v>
      </c>
      <c r="C299" s="883" t="s">
        <v>4671</v>
      </c>
      <c r="D299" s="886">
        <v>7</v>
      </c>
      <c r="E299" s="887">
        <v>1</v>
      </c>
      <c r="F299" s="888">
        <f>ListaMaterial[[#This Row],[REPETIÇÃO]]*ListaMaterial[[#This Row],[QUANTIDADE]]</f>
        <v>7</v>
      </c>
      <c r="H299" s="890">
        <f>ListaMaterial[[#This Row],[TOTAL]]*(1+ListaMaterial[[#This Row],[PERDA]])</f>
        <v>7</v>
      </c>
      <c r="I299" s="887" t="s">
        <v>4243</v>
      </c>
      <c r="J299" s="891">
        <f>_xlfn.XLOOKUP(ListaMaterial[[#This Row],[ITEM]],M:M,N:N,,0)</f>
        <v>44.74</v>
      </c>
      <c r="K299" s="891">
        <f>J299*ListaMaterial[[#This Row],[TOTAL C/PERDA]]</f>
        <v>313.18</v>
      </c>
      <c r="M299" s="901"/>
      <c r="N299" s="902"/>
    </row>
    <row r="300" spans="1:14" x14ac:dyDescent="0.25">
      <c r="A300" s="883" t="s">
        <v>4444</v>
      </c>
      <c r="B300" s="883" t="s">
        <v>4431</v>
      </c>
      <c r="C300" s="883" t="s">
        <v>4694</v>
      </c>
      <c r="D300" s="886">
        <v>94</v>
      </c>
      <c r="E300" s="887">
        <v>1</v>
      </c>
      <c r="F300" s="888">
        <f>ListaMaterial[[#This Row],[REPETIÇÃO]]*ListaMaterial[[#This Row],[QUANTIDADE]]</f>
        <v>94</v>
      </c>
      <c r="H300" s="890">
        <f>ListaMaterial[[#This Row],[TOTAL]]*(1+ListaMaterial[[#This Row],[PERDA]])</f>
        <v>94</v>
      </c>
      <c r="I300" s="887" t="s">
        <v>4243</v>
      </c>
      <c r="J300" s="891">
        <f>_xlfn.XLOOKUP(ListaMaterial[[#This Row],[ITEM]],M:M,N:N,,0)</f>
        <v>6.7110000000000003</v>
      </c>
      <c r="K300" s="891">
        <f>J300*ListaMaterial[[#This Row],[TOTAL C/PERDA]]</f>
        <v>630.83400000000006</v>
      </c>
      <c r="M300" s="901"/>
      <c r="N300" s="902"/>
    </row>
    <row r="301" spans="1:14" x14ac:dyDescent="0.25">
      <c r="A301" s="883" t="s">
        <v>4444</v>
      </c>
      <c r="B301" s="883" t="s">
        <v>4431</v>
      </c>
      <c r="C301" s="883" t="s">
        <v>4695</v>
      </c>
      <c r="D301" s="886">
        <v>19</v>
      </c>
      <c r="E301" s="887">
        <v>1</v>
      </c>
      <c r="F301" s="888">
        <f>ListaMaterial[[#This Row],[REPETIÇÃO]]*ListaMaterial[[#This Row],[QUANTIDADE]]</f>
        <v>19</v>
      </c>
      <c r="H301" s="890">
        <f>ListaMaterial[[#This Row],[TOTAL]]*(1+ListaMaterial[[#This Row],[PERDA]])</f>
        <v>19</v>
      </c>
      <c r="I301" s="887" t="s">
        <v>4243</v>
      </c>
      <c r="J301" s="891">
        <f>_xlfn.XLOOKUP(ListaMaterial[[#This Row],[ITEM]],M:M,N:N,,0)</f>
        <v>8.9486000000000008</v>
      </c>
      <c r="K301" s="891">
        <f>J301*ListaMaterial[[#This Row],[TOTAL C/PERDA]]</f>
        <v>170.02340000000001</v>
      </c>
      <c r="M301" s="901"/>
      <c r="N301" s="902"/>
    </row>
    <row r="302" spans="1:14" x14ac:dyDescent="0.25">
      <c r="A302" s="883" t="s">
        <v>4444</v>
      </c>
      <c r="B302" s="883" t="s">
        <v>4431</v>
      </c>
      <c r="C302" s="883" t="s">
        <v>4459</v>
      </c>
      <c r="D302" s="886">
        <v>90</v>
      </c>
      <c r="E302" s="887">
        <v>1</v>
      </c>
      <c r="F302" s="888">
        <f>ListaMaterial[[#This Row],[REPETIÇÃO]]*ListaMaterial[[#This Row],[QUANTIDADE]]</f>
        <v>90</v>
      </c>
      <c r="H302" s="890">
        <f>ListaMaterial[[#This Row],[TOTAL]]*(1+ListaMaterial[[#This Row],[PERDA]])</f>
        <v>90</v>
      </c>
      <c r="I302" s="887" t="s">
        <v>4243</v>
      </c>
      <c r="J302" s="891">
        <f>_xlfn.XLOOKUP(ListaMaterial[[#This Row],[ITEM]],M:M,N:N,,0)</f>
        <v>13.42</v>
      </c>
      <c r="K302" s="891">
        <f>J302*ListaMaterial[[#This Row],[TOTAL C/PERDA]]</f>
        <v>1207.8</v>
      </c>
      <c r="M302" s="901"/>
      <c r="N302" s="902"/>
    </row>
    <row r="303" spans="1:14" x14ac:dyDescent="0.25">
      <c r="A303" s="883" t="s">
        <v>4444</v>
      </c>
      <c r="B303" s="883" t="s">
        <v>4431</v>
      </c>
      <c r="C303" s="883" t="s">
        <v>4696</v>
      </c>
      <c r="D303" s="886">
        <v>4</v>
      </c>
      <c r="E303" s="887">
        <v>1</v>
      </c>
      <c r="F303" s="888">
        <f>ListaMaterial[[#This Row],[REPETIÇÃO]]*ListaMaterial[[#This Row],[QUANTIDADE]]</f>
        <v>4</v>
      </c>
      <c r="H303" s="890">
        <f>ListaMaterial[[#This Row],[TOTAL]]*(1+ListaMaterial[[#This Row],[PERDA]])</f>
        <v>4</v>
      </c>
      <c r="I303" s="887" t="s">
        <v>4243</v>
      </c>
      <c r="J303" s="891">
        <f>_xlfn.XLOOKUP(ListaMaterial[[#This Row],[ITEM]],M:M,N:N,,0)</f>
        <v>16.77</v>
      </c>
      <c r="K303" s="891">
        <f>J303*ListaMaterial[[#This Row],[TOTAL C/PERDA]]</f>
        <v>67.08</v>
      </c>
      <c r="M303" s="901"/>
      <c r="N303" s="902"/>
    </row>
    <row r="304" spans="1:14" x14ac:dyDescent="0.25">
      <c r="A304" s="883" t="s">
        <v>4444</v>
      </c>
      <c r="B304" s="883" t="s">
        <v>4431</v>
      </c>
      <c r="C304" s="883" t="s">
        <v>4727</v>
      </c>
      <c r="D304" s="886">
        <v>4</v>
      </c>
      <c r="E304" s="887">
        <v>1</v>
      </c>
      <c r="F304" s="888">
        <f>ListaMaterial[[#This Row],[REPETIÇÃO]]*ListaMaterial[[#This Row],[QUANTIDADE]]</f>
        <v>4</v>
      </c>
      <c r="H304" s="890">
        <f>ListaMaterial[[#This Row],[TOTAL]]*(1+ListaMaterial[[#This Row],[PERDA]])</f>
        <v>4</v>
      </c>
      <c r="I304" s="887" t="s">
        <v>4243</v>
      </c>
      <c r="J304" s="891">
        <f>_xlfn.XLOOKUP(ListaMaterial[[#This Row],[ITEM]],M:M,N:N,,0)</f>
        <v>22.37</v>
      </c>
      <c r="K304" s="891">
        <f>J304*ListaMaterial[[#This Row],[TOTAL C/PERDA]]</f>
        <v>89.48</v>
      </c>
      <c r="M304" s="901"/>
      <c r="N304" s="902"/>
    </row>
    <row r="305" spans="1:14" x14ac:dyDescent="0.25">
      <c r="A305" s="883" t="s">
        <v>4444</v>
      </c>
      <c r="B305" s="883" t="s">
        <v>4431</v>
      </c>
      <c r="C305" s="883" t="s">
        <v>4728</v>
      </c>
      <c r="D305" s="886">
        <v>1</v>
      </c>
      <c r="E305" s="887">
        <v>1</v>
      </c>
      <c r="F305" s="888">
        <f>ListaMaterial[[#This Row],[REPETIÇÃO]]*ListaMaterial[[#This Row],[QUANTIDADE]]</f>
        <v>1</v>
      </c>
      <c r="H305" s="890">
        <f>ListaMaterial[[#This Row],[TOTAL]]*(1+ListaMaterial[[#This Row],[PERDA]])</f>
        <v>1</v>
      </c>
      <c r="I305" s="887" t="s">
        <v>4243</v>
      </c>
      <c r="J305" s="891">
        <f>_xlfn.XLOOKUP(ListaMaterial[[#This Row],[ITEM]],M:M,N:N,,0)</f>
        <v>39.15</v>
      </c>
      <c r="K305" s="891">
        <f>J305*ListaMaterial[[#This Row],[TOTAL C/PERDA]]</f>
        <v>39.15</v>
      </c>
      <c r="M305" s="901"/>
      <c r="N305" s="902"/>
    </row>
    <row r="306" spans="1:14" x14ac:dyDescent="0.25">
      <c r="A306" s="883" t="s">
        <v>4444</v>
      </c>
      <c r="B306" s="883" t="s">
        <v>4431</v>
      </c>
      <c r="C306" s="883" t="s">
        <v>4729</v>
      </c>
      <c r="D306" s="886">
        <v>2</v>
      </c>
      <c r="E306" s="887">
        <v>1</v>
      </c>
      <c r="F306" s="888">
        <f>ListaMaterial[[#This Row],[REPETIÇÃO]]*ListaMaterial[[#This Row],[QUANTIDADE]]</f>
        <v>2</v>
      </c>
      <c r="H306" s="890">
        <f>ListaMaterial[[#This Row],[TOTAL]]*(1+ListaMaterial[[#This Row],[PERDA]])</f>
        <v>2</v>
      </c>
      <c r="I306" s="887" t="s">
        <v>4243</v>
      </c>
      <c r="J306" s="891">
        <f>_xlfn.XLOOKUP(ListaMaterial[[#This Row],[ITEM]],M:M,N:N,,0)</f>
        <v>16.777999999999999</v>
      </c>
      <c r="K306" s="891">
        <f>J306*ListaMaterial[[#This Row],[TOTAL C/PERDA]]</f>
        <v>33.555999999999997</v>
      </c>
      <c r="M306" s="901"/>
      <c r="N306" s="902"/>
    </row>
    <row r="307" spans="1:14" x14ac:dyDescent="0.25">
      <c r="A307" s="883" t="s">
        <v>4444</v>
      </c>
      <c r="B307" s="883" t="s">
        <v>4431</v>
      </c>
      <c r="C307" s="883" t="s">
        <v>4730</v>
      </c>
      <c r="D307" s="886">
        <v>19</v>
      </c>
      <c r="E307" s="887">
        <v>1</v>
      </c>
      <c r="F307" s="888">
        <f>ListaMaterial[[#This Row],[REPETIÇÃO]]*ListaMaterial[[#This Row],[QUANTIDADE]]</f>
        <v>19</v>
      </c>
      <c r="H307" s="890">
        <f>ListaMaterial[[#This Row],[TOTAL]]*(1+ListaMaterial[[#This Row],[PERDA]])</f>
        <v>19</v>
      </c>
      <c r="I307" s="887" t="s">
        <v>4243</v>
      </c>
      <c r="J307" s="891">
        <f>_xlfn.XLOOKUP(ListaMaterial[[#This Row],[ITEM]],M:M,N:N,,0)</f>
        <v>9.14</v>
      </c>
      <c r="K307" s="891">
        <f>J307*ListaMaterial[[#This Row],[TOTAL C/PERDA]]</f>
        <v>173.66000000000003</v>
      </c>
      <c r="M307" s="901"/>
      <c r="N307" s="902"/>
    </row>
    <row r="308" spans="1:14" x14ac:dyDescent="0.25">
      <c r="A308" s="883" t="s">
        <v>4444</v>
      </c>
      <c r="B308" s="883" t="s">
        <v>4431</v>
      </c>
      <c r="C308" s="883" t="s">
        <v>4731</v>
      </c>
      <c r="D308" s="886">
        <v>3</v>
      </c>
      <c r="E308" s="887">
        <v>1</v>
      </c>
      <c r="F308" s="888">
        <f>ListaMaterial[[#This Row],[REPETIÇÃO]]*ListaMaterial[[#This Row],[QUANTIDADE]]</f>
        <v>3</v>
      </c>
      <c r="H308" s="890">
        <f>ListaMaterial[[#This Row],[TOTAL]]*(1+ListaMaterial[[#This Row],[PERDA]])</f>
        <v>3</v>
      </c>
      <c r="I308" s="887" t="s">
        <v>4243</v>
      </c>
      <c r="J308" s="891">
        <f>_xlfn.XLOOKUP(ListaMaterial[[#This Row],[ITEM]],M:M,N:N,,0)</f>
        <v>12.15</v>
      </c>
      <c r="K308" s="891">
        <f>J308*ListaMaterial[[#This Row],[TOTAL C/PERDA]]</f>
        <v>36.450000000000003</v>
      </c>
      <c r="M308" s="901"/>
      <c r="N308" s="902"/>
    </row>
    <row r="309" spans="1:14" x14ac:dyDescent="0.25">
      <c r="A309" s="883" t="s">
        <v>4444</v>
      </c>
      <c r="B309" s="883" t="s">
        <v>4431</v>
      </c>
      <c r="C309" s="883" t="s">
        <v>4732</v>
      </c>
      <c r="D309" s="886">
        <v>1</v>
      </c>
      <c r="E309" s="887">
        <v>1</v>
      </c>
      <c r="F309" s="888">
        <f>ListaMaterial[[#This Row],[REPETIÇÃO]]*ListaMaterial[[#This Row],[QUANTIDADE]]</f>
        <v>1</v>
      </c>
      <c r="H309" s="890">
        <f>ListaMaterial[[#This Row],[TOTAL]]*(1+ListaMaterial[[#This Row],[PERDA]])</f>
        <v>1</v>
      </c>
      <c r="I309" s="887" t="s">
        <v>4243</v>
      </c>
      <c r="J309" s="891">
        <f>_xlfn.XLOOKUP(ListaMaterial[[#This Row],[ITEM]],M:M,N:N,,0)</f>
        <v>108.85</v>
      </c>
      <c r="K309" s="891">
        <f>J309*ListaMaterial[[#This Row],[TOTAL C/PERDA]]</f>
        <v>108.85</v>
      </c>
      <c r="M309" s="901"/>
      <c r="N309" s="902"/>
    </row>
    <row r="310" spans="1:14" x14ac:dyDescent="0.25">
      <c r="A310" s="883" t="s">
        <v>4444</v>
      </c>
      <c r="B310" s="883" t="s">
        <v>4431</v>
      </c>
      <c r="C310" s="883" t="s">
        <v>4733</v>
      </c>
      <c r="D310" s="886">
        <v>1</v>
      </c>
      <c r="E310" s="887">
        <v>1</v>
      </c>
      <c r="F310" s="888">
        <f>ListaMaterial[[#This Row],[REPETIÇÃO]]*ListaMaterial[[#This Row],[QUANTIDADE]]</f>
        <v>1</v>
      </c>
      <c r="H310" s="890">
        <f>ListaMaterial[[#This Row],[TOTAL]]*(1+ListaMaterial[[#This Row],[PERDA]])</f>
        <v>1</v>
      </c>
      <c r="I310" s="887" t="s">
        <v>4243</v>
      </c>
      <c r="J310" s="891">
        <f>_xlfn.XLOOKUP(ListaMaterial[[#This Row],[ITEM]],M:M,N:N,,0)</f>
        <v>28.9</v>
      </c>
      <c r="K310" s="891">
        <f>J310*ListaMaterial[[#This Row],[TOTAL C/PERDA]]</f>
        <v>28.9</v>
      </c>
      <c r="M310" s="901"/>
      <c r="N310" s="902"/>
    </row>
    <row r="311" spans="1:14" x14ac:dyDescent="0.25">
      <c r="A311" s="883" t="s">
        <v>4444</v>
      </c>
      <c r="B311" s="883" t="s">
        <v>4431</v>
      </c>
      <c r="C311" s="883" t="s">
        <v>4676</v>
      </c>
      <c r="D311" s="886">
        <v>1</v>
      </c>
      <c r="E311" s="887">
        <v>1</v>
      </c>
      <c r="F311" s="888">
        <f>ListaMaterial[[#This Row],[REPETIÇÃO]]*ListaMaterial[[#This Row],[QUANTIDADE]]</f>
        <v>1</v>
      </c>
      <c r="H311" s="890">
        <f>ListaMaterial[[#This Row],[TOTAL]]*(1+ListaMaterial[[#This Row],[PERDA]])</f>
        <v>1</v>
      </c>
      <c r="I311" s="887" t="s">
        <v>4243</v>
      </c>
      <c r="J311" s="891">
        <f>_xlfn.XLOOKUP(ListaMaterial[[#This Row],[ITEM]],M:M,N:N,,0)</f>
        <v>9.8000000000000007</v>
      </c>
      <c r="K311" s="891">
        <f>J311*ListaMaterial[[#This Row],[TOTAL C/PERDA]]</f>
        <v>9.8000000000000007</v>
      </c>
      <c r="M311" s="901"/>
      <c r="N311" s="902"/>
    </row>
    <row r="312" spans="1:14" x14ac:dyDescent="0.25">
      <c r="A312" s="883" t="s">
        <v>4444</v>
      </c>
      <c r="B312" s="883" t="s">
        <v>4431</v>
      </c>
      <c r="C312" s="883" t="s">
        <v>4734</v>
      </c>
      <c r="D312" s="886">
        <v>8</v>
      </c>
      <c r="E312" s="887">
        <v>1</v>
      </c>
      <c r="F312" s="888">
        <f>ListaMaterial[[#This Row],[REPETIÇÃO]]*ListaMaterial[[#This Row],[QUANTIDADE]]</f>
        <v>8</v>
      </c>
      <c r="H312" s="890">
        <f>ListaMaterial[[#This Row],[TOTAL]]*(1+ListaMaterial[[#This Row],[PERDA]])</f>
        <v>8</v>
      </c>
      <c r="I312" s="887" t="s">
        <v>4243</v>
      </c>
      <c r="J312" s="891">
        <f>_xlfn.XLOOKUP(ListaMaterial[[#This Row],[ITEM]],M:M,N:N,,0)</f>
        <v>20.18</v>
      </c>
      <c r="K312" s="891">
        <f>J312*ListaMaterial[[#This Row],[TOTAL C/PERDA]]</f>
        <v>161.44</v>
      </c>
      <c r="M312" s="901"/>
      <c r="N312" s="902"/>
    </row>
    <row r="313" spans="1:14" x14ac:dyDescent="0.25">
      <c r="A313" s="883" t="s">
        <v>4444</v>
      </c>
      <c r="B313" s="883" t="s">
        <v>4431</v>
      </c>
      <c r="C313" s="883" t="s">
        <v>4735</v>
      </c>
      <c r="D313" s="886">
        <v>4</v>
      </c>
      <c r="E313" s="887">
        <v>1</v>
      </c>
      <c r="F313" s="888">
        <f>ListaMaterial[[#This Row],[REPETIÇÃO]]*ListaMaterial[[#This Row],[QUANTIDADE]]</f>
        <v>4</v>
      </c>
      <c r="H313" s="890">
        <f>ListaMaterial[[#This Row],[TOTAL]]*(1+ListaMaterial[[#This Row],[PERDA]])</f>
        <v>4</v>
      </c>
      <c r="I313" s="887" t="s">
        <v>4243</v>
      </c>
      <c r="J313" s="891">
        <f>_xlfn.XLOOKUP(ListaMaterial[[#This Row],[ITEM]],M:M,N:N,,0)</f>
        <v>44.9</v>
      </c>
      <c r="K313" s="891">
        <f>J313*ListaMaterial[[#This Row],[TOTAL C/PERDA]]</f>
        <v>179.6</v>
      </c>
      <c r="M313" s="901"/>
      <c r="N313" s="902"/>
    </row>
    <row r="314" spans="1:14" x14ac:dyDescent="0.25">
      <c r="A314" s="883" t="s">
        <v>4444</v>
      </c>
      <c r="B314" s="883" t="s">
        <v>4431</v>
      </c>
      <c r="C314" s="883" t="s">
        <v>4736</v>
      </c>
      <c r="D314" s="886">
        <v>46</v>
      </c>
      <c r="E314" s="887">
        <v>1</v>
      </c>
      <c r="F314" s="888">
        <f>ListaMaterial[[#This Row],[REPETIÇÃO]]*ListaMaterial[[#This Row],[QUANTIDADE]]</f>
        <v>46</v>
      </c>
      <c r="H314" s="890">
        <f>ListaMaterial[[#This Row],[TOTAL]]*(1+ListaMaterial[[#This Row],[PERDA]])</f>
        <v>46</v>
      </c>
      <c r="I314" s="887" t="s">
        <v>4243</v>
      </c>
      <c r="J314" s="891">
        <f>_xlfn.XLOOKUP(ListaMaterial[[#This Row],[ITEM]],M:M,N:N,,0)</f>
        <v>94.39</v>
      </c>
      <c r="K314" s="891">
        <f>J314*ListaMaterial[[#This Row],[TOTAL C/PERDA]]</f>
        <v>4341.9399999999996</v>
      </c>
      <c r="M314" s="901"/>
      <c r="N314" s="902"/>
    </row>
    <row r="315" spans="1:14" x14ac:dyDescent="0.25">
      <c r="A315" s="883" t="s">
        <v>4444</v>
      </c>
      <c r="B315" s="883" t="s">
        <v>4441</v>
      </c>
      <c r="C315" s="883" t="s">
        <v>4662</v>
      </c>
      <c r="D315" s="886">
        <v>20</v>
      </c>
      <c r="E315" s="887">
        <v>1</v>
      </c>
      <c r="F315" s="888">
        <f>ListaMaterial[[#This Row],[REPETIÇÃO]]*ListaMaterial[[#This Row],[QUANTIDADE]]</f>
        <v>20</v>
      </c>
      <c r="H315" s="890">
        <f>ListaMaterial[[#This Row],[TOTAL]]*(1+ListaMaterial[[#This Row],[PERDA]])</f>
        <v>20</v>
      </c>
      <c r="I315" s="887" t="s">
        <v>4243</v>
      </c>
      <c r="J315" s="891">
        <f>_xlfn.XLOOKUP(ListaMaterial[[#This Row],[ITEM]],M:M,N:N,,0)</f>
        <v>8.8800000000000008</v>
      </c>
      <c r="K315" s="891">
        <f>J315*ListaMaterial[[#This Row],[TOTAL C/PERDA]]</f>
        <v>177.60000000000002</v>
      </c>
      <c r="M315" s="901"/>
      <c r="N315" s="902"/>
    </row>
    <row r="316" spans="1:14" x14ac:dyDescent="0.25">
      <c r="A316" s="883" t="s">
        <v>4444</v>
      </c>
      <c r="B316" s="883" t="s">
        <v>4441</v>
      </c>
      <c r="C316" s="883" t="s">
        <v>4663</v>
      </c>
      <c r="D316" s="886">
        <v>12</v>
      </c>
      <c r="E316" s="887">
        <v>1</v>
      </c>
      <c r="F316" s="888">
        <f>ListaMaterial[[#This Row],[REPETIÇÃO]]*ListaMaterial[[#This Row],[QUANTIDADE]]</f>
        <v>12</v>
      </c>
      <c r="H316" s="890">
        <f>ListaMaterial[[#This Row],[TOTAL]]*(1+ListaMaterial[[#This Row],[PERDA]])</f>
        <v>12</v>
      </c>
      <c r="I316" s="887" t="s">
        <v>4243</v>
      </c>
      <c r="J316" s="891">
        <f>_xlfn.XLOOKUP(ListaMaterial[[#This Row],[ITEM]],M:M,N:N,,0)</f>
        <v>46.66</v>
      </c>
      <c r="K316" s="891">
        <f>J316*ListaMaterial[[#This Row],[TOTAL C/PERDA]]</f>
        <v>559.91999999999996</v>
      </c>
      <c r="M316" s="901"/>
      <c r="N316" s="902"/>
    </row>
    <row r="317" spans="1:14" x14ac:dyDescent="0.25">
      <c r="A317" s="883" t="s">
        <v>4444</v>
      </c>
      <c r="B317" s="883" t="s">
        <v>4441</v>
      </c>
      <c r="C317" s="883" t="s">
        <v>4843</v>
      </c>
      <c r="D317" s="886">
        <v>14</v>
      </c>
      <c r="E317" s="887">
        <v>1</v>
      </c>
      <c r="F317" s="888">
        <f>ListaMaterial[[#This Row],[REPETIÇÃO]]*ListaMaterial[[#This Row],[QUANTIDADE]]</f>
        <v>14</v>
      </c>
      <c r="H317" s="890">
        <f>ListaMaterial[[#This Row],[TOTAL]]*(1+ListaMaterial[[#This Row],[PERDA]])</f>
        <v>14</v>
      </c>
      <c r="I317" s="887" t="s">
        <v>4243</v>
      </c>
      <c r="J317" s="891">
        <f>_xlfn.XLOOKUP(ListaMaterial[[#This Row],[ITEM]],M:M,N:N,,0)</f>
        <v>13.016999999999999</v>
      </c>
      <c r="K317" s="891">
        <f>J317*ListaMaterial[[#This Row],[TOTAL C/PERDA]]</f>
        <v>182.238</v>
      </c>
      <c r="M317" s="901"/>
      <c r="N317" s="902"/>
    </row>
    <row r="318" spans="1:14" x14ac:dyDescent="0.25">
      <c r="A318" s="883" t="s">
        <v>4444</v>
      </c>
      <c r="B318" s="883" t="s">
        <v>4441</v>
      </c>
      <c r="C318" s="883" t="s">
        <v>4844</v>
      </c>
      <c r="D318" s="886">
        <v>25</v>
      </c>
      <c r="E318" s="887">
        <v>1</v>
      </c>
      <c r="F318" s="888">
        <f>ListaMaterial[[#This Row],[REPETIÇÃO]]*ListaMaterial[[#This Row],[QUANTIDADE]]</f>
        <v>25</v>
      </c>
      <c r="H318" s="890">
        <f>ListaMaterial[[#This Row],[TOTAL]]*(1+ListaMaterial[[#This Row],[PERDA]])</f>
        <v>25</v>
      </c>
      <c r="I318" s="887" t="s">
        <v>4243</v>
      </c>
      <c r="J318" s="891">
        <f>_xlfn.XLOOKUP(ListaMaterial[[#This Row],[ITEM]],M:M,N:N,,0)</f>
        <v>7.21</v>
      </c>
      <c r="K318" s="891">
        <f>J318*ListaMaterial[[#This Row],[TOTAL C/PERDA]]</f>
        <v>180.25</v>
      </c>
      <c r="M318" s="901"/>
      <c r="N318" s="902"/>
    </row>
    <row r="319" spans="1:14" x14ac:dyDescent="0.25">
      <c r="A319" s="883" t="s">
        <v>4444</v>
      </c>
      <c r="B319" s="883" t="s">
        <v>4441</v>
      </c>
      <c r="C319" s="883" t="s">
        <v>4845</v>
      </c>
      <c r="D319" s="886">
        <v>176</v>
      </c>
      <c r="E319" s="887">
        <v>1</v>
      </c>
      <c r="F319" s="888">
        <f>ListaMaterial[[#This Row],[REPETIÇÃO]]*ListaMaterial[[#This Row],[QUANTIDADE]]</f>
        <v>176</v>
      </c>
      <c r="H319" s="890">
        <f>ListaMaterial[[#This Row],[TOTAL]]*(1+ListaMaterial[[#This Row],[PERDA]])</f>
        <v>176</v>
      </c>
      <c r="I319" s="887" t="s">
        <v>4243</v>
      </c>
      <c r="J319" s="891">
        <f>_xlfn.XLOOKUP(ListaMaterial[[#This Row],[ITEM]],M:M,N:N,,0)</f>
        <v>8.11</v>
      </c>
      <c r="K319" s="891">
        <f>J319*ListaMaterial[[#This Row],[TOTAL C/PERDA]]</f>
        <v>1427.36</v>
      </c>
      <c r="M319" s="901"/>
      <c r="N319" s="902"/>
    </row>
    <row r="320" spans="1:14" x14ac:dyDescent="0.25">
      <c r="A320" s="883" t="s">
        <v>4444</v>
      </c>
      <c r="B320" s="883" t="s">
        <v>4441</v>
      </c>
      <c r="C320" s="883" t="s">
        <v>4853</v>
      </c>
      <c r="D320" s="886">
        <v>9</v>
      </c>
      <c r="E320" s="887">
        <v>1</v>
      </c>
      <c r="F320" s="888">
        <f>ListaMaterial[[#This Row],[REPETIÇÃO]]*ListaMaterial[[#This Row],[QUANTIDADE]]</f>
        <v>9</v>
      </c>
      <c r="H320" s="890">
        <f>ListaMaterial[[#This Row],[TOTAL]]*(1+ListaMaterial[[#This Row],[PERDA]])</f>
        <v>9</v>
      </c>
      <c r="I320" s="887" t="s">
        <v>4243</v>
      </c>
      <c r="J320" s="891">
        <f>_xlfn.XLOOKUP(ListaMaterial[[#This Row],[ITEM]],M:M,N:N,,0)</f>
        <v>52.37</v>
      </c>
      <c r="K320" s="891">
        <f>J320*ListaMaterial[[#This Row],[TOTAL C/PERDA]]</f>
        <v>471.33</v>
      </c>
      <c r="M320" s="901"/>
      <c r="N320" s="902"/>
    </row>
    <row r="321" spans="1:14" x14ac:dyDescent="0.25">
      <c r="A321" s="883" t="s">
        <v>4444</v>
      </c>
      <c r="B321" s="883" t="s">
        <v>4441</v>
      </c>
      <c r="C321" s="883" t="s">
        <v>4854</v>
      </c>
      <c r="D321" s="886">
        <v>26</v>
      </c>
      <c r="E321" s="887">
        <v>1</v>
      </c>
      <c r="F321" s="888">
        <f>ListaMaterial[[#This Row],[REPETIÇÃO]]*ListaMaterial[[#This Row],[QUANTIDADE]]</f>
        <v>26</v>
      </c>
      <c r="H321" s="890">
        <f>ListaMaterial[[#This Row],[TOTAL]]*(1+ListaMaterial[[#This Row],[PERDA]])</f>
        <v>26</v>
      </c>
      <c r="I321" s="887" t="s">
        <v>4243</v>
      </c>
      <c r="J321" s="891">
        <f>_xlfn.XLOOKUP(ListaMaterial[[#This Row],[ITEM]],M:M,N:N,,0)</f>
        <v>5.0599999999999996</v>
      </c>
      <c r="K321" s="891">
        <f>J321*ListaMaterial[[#This Row],[TOTAL C/PERDA]]</f>
        <v>131.56</v>
      </c>
      <c r="M321" s="901"/>
      <c r="N321" s="902"/>
    </row>
    <row r="322" spans="1:14" x14ac:dyDescent="0.25">
      <c r="A322" s="883" t="s">
        <v>4444</v>
      </c>
      <c r="B322" s="883" t="s">
        <v>4441</v>
      </c>
      <c r="C322" s="883" t="s">
        <v>4855</v>
      </c>
      <c r="D322" s="886">
        <v>14</v>
      </c>
      <c r="E322" s="887">
        <v>1</v>
      </c>
      <c r="F322" s="888">
        <f>ListaMaterial[[#This Row],[REPETIÇÃO]]*ListaMaterial[[#This Row],[QUANTIDADE]]</f>
        <v>14</v>
      </c>
      <c r="H322" s="890">
        <f>ListaMaterial[[#This Row],[TOTAL]]*(1+ListaMaterial[[#This Row],[PERDA]])</f>
        <v>14</v>
      </c>
      <c r="I322" s="887" t="s">
        <v>4243</v>
      </c>
      <c r="J322" s="891">
        <f>_xlfn.XLOOKUP(ListaMaterial[[#This Row],[ITEM]],M:M,N:N,,0)</f>
        <v>13.79</v>
      </c>
      <c r="K322" s="891">
        <f>J322*ListaMaterial[[#This Row],[TOTAL C/PERDA]]</f>
        <v>193.06</v>
      </c>
      <c r="M322" s="901"/>
      <c r="N322" s="902"/>
    </row>
    <row r="323" spans="1:14" x14ac:dyDescent="0.25">
      <c r="A323" s="883" t="s">
        <v>4444</v>
      </c>
      <c r="B323" s="883" t="s">
        <v>4441</v>
      </c>
      <c r="C323" s="883" t="s">
        <v>4856</v>
      </c>
      <c r="D323" s="886">
        <v>118</v>
      </c>
      <c r="E323" s="887">
        <v>1</v>
      </c>
      <c r="F323" s="888">
        <f>ListaMaterial[[#This Row],[REPETIÇÃO]]*ListaMaterial[[#This Row],[QUANTIDADE]]</f>
        <v>118</v>
      </c>
      <c r="H323" s="890">
        <f>ListaMaterial[[#This Row],[TOTAL]]*(1+ListaMaterial[[#This Row],[PERDA]])</f>
        <v>118</v>
      </c>
      <c r="I323" s="887" t="s">
        <v>4243</v>
      </c>
      <c r="J323" s="891">
        <f>_xlfn.XLOOKUP(ListaMaterial[[#This Row],[ITEM]],M:M,N:N,,0)</f>
        <v>14.13</v>
      </c>
      <c r="K323" s="891">
        <f>J323*ListaMaterial[[#This Row],[TOTAL C/PERDA]]</f>
        <v>1667.3400000000001</v>
      </c>
      <c r="M323" s="901"/>
      <c r="N323" s="902"/>
    </row>
    <row r="324" spans="1:14" x14ac:dyDescent="0.25">
      <c r="A324" s="883" t="s">
        <v>4444</v>
      </c>
      <c r="B324" s="883" t="s">
        <v>4441</v>
      </c>
      <c r="C324" s="883" t="s">
        <v>4857</v>
      </c>
      <c r="D324" s="886">
        <v>11</v>
      </c>
      <c r="E324" s="887">
        <v>1</v>
      </c>
      <c r="F324" s="888">
        <f>ListaMaterial[[#This Row],[REPETIÇÃO]]*ListaMaterial[[#This Row],[QUANTIDADE]]</f>
        <v>11</v>
      </c>
      <c r="H324" s="890">
        <f>ListaMaterial[[#This Row],[TOTAL]]*(1+ListaMaterial[[#This Row],[PERDA]])</f>
        <v>11</v>
      </c>
      <c r="I324" s="887" t="s">
        <v>4243</v>
      </c>
      <c r="J324" s="891">
        <f>_xlfn.XLOOKUP(ListaMaterial[[#This Row],[ITEM]],M:M,N:N,,0)</f>
        <v>60.59</v>
      </c>
      <c r="K324" s="891">
        <f>J324*ListaMaterial[[#This Row],[TOTAL C/PERDA]]</f>
        <v>666.49</v>
      </c>
      <c r="M324" s="901"/>
      <c r="N324" s="902"/>
    </row>
    <row r="325" spans="1:14" x14ac:dyDescent="0.25">
      <c r="A325" s="883" t="s">
        <v>4444</v>
      </c>
      <c r="B325" s="883" t="s">
        <v>4441</v>
      </c>
      <c r="C325" s="883" t="s">
        <v>4867</v>
      </c>
      <c r="D325" s="886">
        <v>1</v>
      </c>
      <c r="E325" s="887">
        <v>1</v>
      </c>
      <c r="F325" s="888">
        <f>ListaMaterial[[#This Row],[REPETIÇÃO]]*ListaMaterial[[#This Row],[QUANTIDADE]]</f>
        <v>1</v>
      </c>
      <c r="H325" s="890">
        <f>ListaMaterial[[#This Row],[TOTAL]]*(1+ListaMaterial[[#This Row],[PERDA]])</f>
        <v>1</v>
      </c>
      <c r="I325" s="887" t="s">
        <v>4243</v>
      </c>
      <c r="J325" s="891">
        <f>_xlfn.XLOOKUP(ListaMaterial[[#This Row],[ITEM]],M:M,N:N,,0)</f>
        <v>184.9</v>
      </c>
      <c r="K325" s="891">
        <f>J325*ListaMaterial[[#This Row],[TOTAL C/PERDA]]</f>
        <v>184.9</v>
      </c>
      <c r="M325" s="901"/>
      <c r="N325" s="902"/>
    </row>
    <row r="326" spans="1:14" x14ac:dyDescent="0.25">
      <c r="A326" s="883" t="s">
        <v>4444</v>
      </c>
      <c r="B326" s="883" t="s">
        <v>4441</v>
      </c>
      <c r="C326" s="883" t="s">
        <v>4868</v>
      </c>
      <c r="D326" s="886">
        <v>1</v>
      </c>
      <c r="E326" s="887">
        <v>1</v>
      </c>
      <c r="F326" s="888">
        <f>ListaMaterial[[#This Row],[REPETIÇÃO]]*ListaMaterial[[#This Row],[QUANTIDADE]]</f>
        <v>1</v>
      </c>
      <c r="H326" s="890">
        <f>ListaMaterial[[#This Row],[TOTAL]]*(1+ListaMaterial[[#This Row],[PERDA]])</f>
        <v>1</v>
      </c>
      <c r="I326" s="887" t="s">
        <v>4243</v>
      </c>
      <c r="J326" s="891">
        <f>_xlfn.XLOOKUP(ListaMaterial[[#This Row],[ITEM]],M:M,N:N,,0)</f>
        <v>10.72</v>
      </c>
      <c r="K326" s="891">
        <f>J326*ListaMaterial[[#This Row],[TOTAL C/PERDA]]</f>
        <v>10.72</v>
      </c>
      <c r="M326" s="901"/>
      <c r="N326" s="902"/>
    </row>
    <row r="327" spans="1:14" x14ac:dyDescent="0.25">
      <c r="A327" s="883" t="s">
        <v>4444</v>
      </c>
      <c r="B327" s="883" t="s">
        <v>4441</v>
      </c>
      <c r="C327" s="883" t="s">
        <v>4858</v>
      </c>
      <c r="D327" s="886">
        <v>14</v>
      </c>
      <c r="E327" s="887">
        <v>1</v>
      </c>
      <c r="F327" s="888">
        <f>ListaMaterial[[#This Row],[REPETIÇÃO]]*ListaMaterial[[#This Row],[QUANTIDADE]]</f>
        <v>14</v>
      </c>
      <c r="H327" s="890">
        <f>ListaMaterial[[#This Row],[TOTAL]]*(1+ListaMaterial[[#This Row],[PERDA]])</f>
        <v>14</v>
      </c>
      <c r="I327" s="887" t="s">
        <v>4243</v>
      </c>
      <c r="J327" s="891">
        <f>_xlfn.XLOOKUP(ListaMaterial[[#This Row],[ITEM]],M:M,N:N,,0)</f>
        <v>21.99</v>
      </c>
      <c r="K327" s="891">
        <f>J327*ListaMaterial[[#This Row],[TOTAL C/PERDA]]</f>
        <v>307.85999999999996</v>
      </c>
      <c r="M327" s="901"/>
      <c r="N327" s="902"/>
    </row>
    <row r="328" spans="1:14" x14ac:dyDescent="0.25">
      <c r="A328" s="883" t="s">
        <v>4444</v>
      </c>
      <c r="B328" s="883" t="s">
        <v>4441</v>
      </c>
      <c r="C328" s="883" t="s">
        <v>4859</v>
      </c>
      <c r="D328" s="886">
        <v>4</v>
      </c>
      <c r="E328" s="887">
        <v>1</v>
      </c>
      <c r="F328" s="888">
        <f>ListaMaterial[[#This Row],[REPETIÇÃO]]*ListaMaterial[[#This Row],[QUANTIDADE]]</f>
        <v>4</v>
      </c>
      <c r="H328" s="890">
        <f>ListaMaterial[[#This Row],[TOTAL]]*(1+ListaMaterial[[#This Row],[PERDA]])</f>
        <v>4</v>
      </c>
      <c r="I328" s="887" t="s">
        <v>4243</v>
      </c>
      <c r="J328" s="891">
        <f>_xlfn.XLOOKUP(ListaMaterial[[#This Row],[ITEM]],M:M,N:N,,0)</f>
        <v>50.335999999999999</v>
      </c>
      <c r="K328" s="891">
        <f>J328*ListaMaterial[[#This Row],[TOTAL C/PERDA]]</f>
        <v>201.34399999999999</v>
      </c>
      <c r="M328" s="901"/>
      <c r="N328" s="902"/>
    </row>
    <row r="329" spans="1:14" x14ac:dyDescent="0.25">
      <c r="A329" s="883" t="s">
        <v>4444</v>
      </c>
      <c r="B329" s="883" t="s">
        <v>4441</v>
      </c>
      <c r="C329" s="883" t="s">
        <v>4860</v>
      </c>
      <c r="D329" s="886">
        <v>62</v>
      </c>
      <c r="E329" s="887">
        <v>1</v>
      </c>
      <c r="F329" s="888">
        <f>ListaMaterial[[#This Row],[REPETIÇÃO]]*ListaMaterial[[#This Row],[QUANTIDADE]]</f>
        <v>62</v>
      </c>
      <c r="H329" s="890">
        <f>ListaMaterial[[#This Row],[TOTAL]]*(1+ListaMaterial[[#This Row],[PERDA]])</f>
        <v>62</v>
      </c>
      <c r="I329" s="887" t="s">
        <v>4243</v>
      </c>
      <c r="J329" s="891">
        <f>_xlfn.XLOOKUP(ListaMaterial[[#This Row],[ITEM]],M:M,N:N,,0)</f>
        <v>22.9</v>
      </c>
      <c r="K329" s="891">
        <f>J329*ListaMaterial[[#This Row],[TOTAL C/PERDA]]</f>
        <v>1419.8</v>
      </c>
      <c r="M329" s="901"/>
      <c r="N329" s="902"/>
    </row>
    <row r="330" spans="1:14" x14ac:dyDescent="0.25">
      <c r="A330" s="883" t="s">
        <v>4444</v>
      </c>
      <c r="B330" s="883" t="s">
        <v>4441</v>
      </c>
      <c r="C330" s="883" t="s">
        <v>4865</v>
      </c>
      <c r="D330" s="886">
        <v>48</v>
      </c>
      <c r="E330" s="887">
        <v>1</v>
      </c>
      <c r="F330" s="888">
        <f>ListaMaterial[[#This Row],[REPETIÇÃO]]*ListaMaterial[[#This Row],[QUANTIDADE]]</f>
        <v>48</v>
      </c>
      <c r="H330" s="890">
        <f>ListaMaterial[[#This Row],[TOTAL]]*(1+ListaMaterial[[#This Row],[PERDA]])</f>
        <v>48</v>
      </c>
      <c r="I330" s="887" t="s">
        <v>4243</v>
      </c>
      <c r="J330" s="891">
        <f>_xlfn.XLOOKUP(ListaMaterial[[#This Row],[ITEM]],M:M,N:N,,0)</f>
        <v>79.900000000000006</v>
      </c>
      <c r="K330" s="891">
        <f>J330*ListaMaterial[[#This Row],[TOTAL C/PERDA]]</f>
        <v>3835.2000000000003</v>
      </c>
      <c r="M330" s="901"/>
      <c r="N330" s="902"/>
    </row>
    <row r="331" spans="1:14" x14ac:dyDescent="0.25">
      <c r="A331" s="883" t="s">
        <v>4444</v>
      </c>
      <c r="B331" s="883" t="s">
        <v>4441</v>
      </c>
      <c r="C331" s="883" t="s">
        <v>4866</v>
      </c>
      <c r="D331" s="886">
        <v>2</v>
      </c>
      <c r="E331" s="887">
        <v>1</v>
      </c>
      <c r="F331" s="888">
        <f>ListaMaterial[[#This Row],[REPETIÇÃO]]*ListaMaterial[[#This Row],[QUANTIDADE]]</f>
        <v>2</v>
      </c>
      <c r="H331" s="890">
        <f>ListaMaterial[[#This Row],[TOTAL]]*(1+ListaMaterial[[#This Row],[PERDA]])</f>
        <v>2</v>
      </c>
      <c r="I331" s="887" t="s">
        <v>4243</v>
      </c>
      <c r="J331" s="891">
        <f>_xlfn.XLOOKUP(ListaMaterial[[#This Row],[ITEM]],M:M,N:N,,0)</f>
        <v>124.9</v>
      </c>
      <c r="K331" s="891">
        <f>J331*ListaMaterial[[#This Row],[TOTAL C/PERDA]]</f>
        <v>249.8</v>
      </c>
      <c r="M331" s="901"/>
      <c r="N331" s="902"/>
    </row>
    <row r="332" spans="1:14" x14ac:dyDescent="0.25">
      <c r="A332" s="883" t="s">
        <v>4444</v>
      </c>
      <c r="B332" s="883" t="s">
        <v>4441</v>
      </c>
      <c r="C332" s="883" t="s">
        <v>4672</v>
      </c>
      <c r="D332" s="886">
        <v>34</v>
      </c>
      <c r="E332" s="887">
        <v>1</v>
      </c>
      <c r="F332" s="888">
        <f>ListaMaterial[[#This Row],[REPETIÇÃO]]*ListaMaterial[[#This Row],[QUANTIDADE]]</f>
        <v>34</v>
      </c>
      <c r="H332" s="890">
        <f>ListaMaterial[[#This Row],[TOTAL]]*(1+ListaMaterial[[#This Row],[PERDA]])</f>
        <v>34</v>
      </c>
      <c r="I332" s="887" t="s">
        <v>4243</v>
      </c>
      <c r="J332" s="891">
        <f>_xlfn.XLOOKUP(ListaMaterial[[#This Row],[ITEM]],M:M,N:N,,0)</f>
        <v>8.94</v>
      </c>
      <c r="K332" s="891">
        <f>J332*ListaMaterial[[#This Row],[TOTAL C/PERDA]]</f>
        <v>303.95999999999998</v>
      </c>
      <c r="M332" s="901"/>
      <c r="N332" s="902"/>
    </row>
    <row r="333" spans="1:14" x14ac:dyDescent="0.25">
      <c r="A333" s="883" t="s">
        <v>4444</v>
      </c>
      <c r="B333" s="883" t="s">
        <v>4441</v>
      </c>
      <c r="C333" s="883" t="s">
        <v>4673</v>
      </c>
      <c r="D333" s="886">
        <v>33</v>
      </c>
      <c r="E333" s="887">
        <v>1</v>
      </c>
      <c r="F333" s="888">
        <f>ListaMaterial[[#This Row],[REPETIÇÃO]]*ListaMaterial[[#This Row],[QUANTIDADE]]</f>
        <v>33</v>
      </c>
      <c r="H333" s="890">
        <f>ListaMaterial[[#This Row],[TOTAL]]*(1+ListaMaterial[[#This Row],[PERDA]])</f>
        <v>33</v>
      </c>
      <c r="I333" s="887" t="s">
        <v>4243</v>
      </c>
      <c r="J333" s="891">
        <f>_xlfn.XLOOKUP(ListaMaterial[[#This Row],[ITEM]],M:M,N:N,,0)</f>
        <v>5.95</v>
      </c>
      <c r="K333" s="891">
        <f>J333*ListaMaterial[[#This Row],[TOTAL C/PERDA]]</f>
        <v>196.35</v>
      </c>
      <c r="M333" s="901"/>
      <c r="N333" s="902"/>
    </row>
    <row r="334" spans="1:14" x14ac:dyDescent="0.25">
      <c r="A334" s="883" t="s">
        <v>4444</v>
      </c>
      <c r="B334" s="883" t="s">
        <v>4441</v>
      </c>
      <c r="C334" s="883" t="s">
        <v>4674</v>
      </c>
      <c r="D334" s="886">
        <v>330</v>
      </c>
      <c r="E334" s="887">
        <v>1</v>
      </c>
      <c r="F334" s="888">
        <f>ListaMaterial[[#This Row],[REPETIÇÃO]]*ListaMaterial[[#This Row],[QUANTIDADE]]</f>
        <v>330</v>
      </c>
      <c r="H334" s="890">
        <f>ListaMaterial[[#This Row],[TOTAL]]*(1+ListaMaterial[[#This Row],[PERDA]])</f>
        <v>330</v>
      </c>
      <c r="I334" s="887" t="s">
        <v>4243</v>
      </c>
      <c r="J334" s="891">
        <f>_xlfn.XLOOKUP(ListaMaterial[[#This Row],[ITEM]],M:M,N:N,,0)</f>
        <v>7.59</v>
      </c>
      <c r="K334" s="891">
        <f>J334*ListaMaterial[[#This Row],[TOTAL C/PERDA]]</f>
        <v>2504.6999999999998</v>
      </c>
      <c r="M334" s="901"/>
      <c r="N334" s="902"/>
    </row>
    <row r="335" spans="1:14" x14ac:dyDescent="0.25">
      <c r="A335" s="883" t="s">
        <v>4444</v>
      </c>
      <c r="B335" s="883" t="s">
        <v>4441</v>
      </c>
      <c r="C335" s="883" t="s">
        <v>4675</v>
      </c>
      <c r="D335" s="886">
        <v>52</v>
      </c>
      <c r="E335" s="887">
        <v>1</v>
      </c>
      <c r="F335" s="888">
        <f>ListaMaterial[[#This Row],[REPETIÇÃO]]*ListaMaterial[[#This Row],[QUANTIDADE]]</f>
        <v>52</v>
      </c>
      <c r="H335" s="890">
        <f>ListaMaterial[[#This Row],[TOTAL]]*(1+ListaMaterial[[#This Row],[PERDA]])</f>
        <v>52</v>
      </c>
      <c r="I335" s="887" t="s">
        <v>4243</v>
      </c>
      <c r="J335" s="891">
        <f>_xlfn.XLOOKUP(ListaMaterial[[#This Row],[ITEM]],M:M,N:N,,0)</f>
        <v>45.89</v>
      </c>
      <c r="K335" s="891">
        <f>J335*ListaMaterial[[#This Row],[TOTAL C/PERDA]]</f>
        <v>2386.2800000000002</v>
      </c>
      <c r="M335" s="901"/>
      <c r="N335" s="902"/>
    </row>
    <row r="336" spans="1:14" x14ac:dyDescent="0.25">
      <c r="A336" s="883" t="s">
        <v>4444</v>
      </c>
      <c r="B336" s="883" t="s">
        <v>4441</v>
      </c>
      <c r="C336" s="883" t="s">
        <v>4698</v>
      </c>
      <c r="D336" s="886">
        <v>2</v>
      </c>
      <c r="E336" s="887">
        <v>1</v>
      </c>
      <c r="F336" s="888">
        <f>ListaMaterial[[#This Row],[REPETIÇÃO]]*ListaMaterial[[#This Row],[QUANTIDADE]]</f>
        <v>2</v>
      </c>
      <c r="H336" s="890">
        <f>ListaMaterial[[#This Row],[TOTAL]]*(1+ListaMaterial[[#This Row],[PERDA]])</f>
        <v>2</v>
      </c>
      <c r="I336" s="887" t="s">
        <v>4243</v>
      </c>
      <c r="J336" s="891">
        <f>_xlfn.XLOOKUP(ListaMaterial[[#This Row],[ITEM]],M:M,N:N,,0)</f>
        <v>20.13</v>
      </c>
      <c r="K336" s="891">
        <f>J336*ListaMaterial[[#This Row],[TOTAL C/PERDA]]</f>
        <v>40.26</v>
      </c>
      <c r="M336" s="901"/>
      <c r="N336" s="902"/>
    </row>
    <row r="337" spans="1:14" x14ac:dyDescent="0.25">
      <c r="A337" s="883" t="s">
        <v>4444</v>
      </c>
      <c r="B337" s="883" t="s">
        <v>4441</v>
      </c>
      <c r="C337" s="883" t="s">
        <v>4699</v>
      </c>
      <c r="D337" s="886">
        <v>13</v>
      </c>
      <c r="E337" s="887">
        <v>1</v>
      </c>
      <c r="F337" s="888">
        <f>ListaMaterial[[#This Row],[REPETIÇÃO]]*ListaMaterial[[#This Row],[QUANTIDADE]]</f>
        <v>13</v>
      </c>
      <c r="H337" s="890">
        <f>ListaMaterial[[#This Row],[TOTAL]]*(1+ListaMaterial[[#This Row],[PERDA]])</f>
        <v>13</v>
      </c>
      <c r="I337" s="887" t="s">
        <v>4243</v>
      </c>
      <c r="J337" s="891">
        <f>_xlfn.XLOOKUP(ListaMaterial[[#This Row],[ITEM]],M:M,N:N,,0)</f>
        <v>27.96</v>
      </c>
      <c r="K337" s="891">
        <f>J337*ListaMaterial[[#This Row],[TOTAL C/PERDA]]</f>
        <v>363.48</v>
      </c>
      <c r="M337" s="901"/>
      <c r="N337" s="902"/>
    </row>
    <row r="338" spans="1:14" x14ac:dyDescent="0.25">
      <c r="A338" s="883" t="s">
        <v>4444</v>
      </c>
      <c r="B338" s="883" t="s">
        <v>4441</v>
      </c>
      <c r="C338" s="883" t="s">
        <v>4737</v>
      </c>
      <c r="D338" s="886">
        <v>4</v>
      </c>
      <c r="E338" s="887">
        <v>1</v>
      </c>
      <c r="F338" s="888">
        <f>ListaMaterial[[#This Row],[REPETIÇÃO]]*ListaMaterial[[#This Row],[QUANTIDADE]]</f>
        <v>4</v>
      </c>
      <c r="H338" s="890">
        <f>ListaMaterial[[#This Row],[TOTAL]]*(1+ListaMaterial[[#This Row],[PERDA]])</f>
        <v>4</v>
      </c>
      <c r="I338" s="887" t="s">
        <v>4243</v>
      </c>
      <c r="J338" s="891">
        <f>_xlfn.XLOOKUP(ListaMaterial[[#This Row],[ITEM]],M:M,N:N,,0)</f>
        <v>33.9</v>
      </c>
      <c r="K338" s="891">
        <f>J338*ListaMaterial[[#This Row],[TOTAL C/PERDA]]</f>
        <v>135.6</v>
      </c>
      <c r="M338" s="901"/>
      <c r="N338" s="902"/>
    </row>
    <row r="339" spans="1:14" x14ac:dyDescent="0.25">
      <c r="A339" s="883" t="s">
        <v>4444</v>
      </c>
      <c r="B339" s="883" t="s">
        <v>4441</v>
      </c>
      <c r="C339" s="883" t="s">
        <v>4869</v>
      </c>
      <c r="D339" s="886">
        <v>5</v>
      </c>
      <c r="E339" s="887">
        <v>1</v>
      </c>
      <c r="F339" s="888">
        <f>ListaMaterial[[#This Row],[REPETIÇÃO]]*ListaMaterial[[#This Row],[QUANTIDADE]]</f>
        <v>5</v>
      </c>
      <c r="H339" s="890">
        <f>ListaMaterial[[#This Row],[TOTAL]]*(1+ListaMaterial[[#This Row],[PERDA]])</f>
        <v>5</v>
      </c>
      <c r="I339" s="887" t="s">
        <v>4243</v>
      </c>
      <c r="J339" s="891">
        <f>_xlfn.XLOOKUP(ListaMaterial[[#This Row],[ITEM]],M:M,N:N,,0)</f>
        <v>19.489999999999998</v>
      </c>
      <c r="K339" s="891">
        <f>J339*ListaMaterial[[#This Row],[TOTAL C/PERDA]]</f>
        <v>97.449999999999989</v>
      </c>
      <c r="M339" s="901"/>
      <c r="N339" s="902"/>
    </row>
    <row r="340" spans="1:14" x14ac:dyDescent="0.25">
      <c r="A340" s="883" t="s">
        <v>4444</v>
      </c>
      <c r="B340" s="883" t="s">
        <v>4440</v>
      </c>
      <c r="C340" s="883" t="s">
        <v>4738</v>
      </c>
      <c r="D340" s="886">
        <v>31.46</v>
      </c>
      <c r="E340" s="887">
        <v>1</v>
      </c>
      <c r="F340" s="888">
        <f>ListaMaterial[[#This Row],[REPETIÇÃO]]*ListaMaterial[[#This Row],[QUANTIDADE]]</f>
        <v>31.46</v>
      </c>
      <c r="G340" s="889">
        <v>0.15</v>
      </c>
      <c r="H340" s="890">
        <f>ListaMaterial[[#This Row],[TOTAL]]*(1+ListaMaterial[[#This Row],[PERDA]])</f>
        <v>36.178999999999995</v>
      </c>
      <c r="I340" s="887" t="s">
        <v>3</v>
      </c>
      <c r="J340" s="891">
        <f>_xlfn.XLOOKUP(ListaMaterial[[#This Row],[ITEM]],M:M,N:N,,0)</f>
        <v>5.3983333333333334</v>
      </c>
      <c r="K340" s="891">
        <f>J340*ListaMaterial[[#This Row],[TOTAL C/PERDA]]</f>
        <v>195.30630166666666</v>
      </c>
      <c r="M340" s="901"/>
      <c r="N340" s="902"/>
    </row>
    <row r="341" spans="1:14" x14ac:dyDescent="0.25">
      <c r="A341" s="883" t="s">
        <v>4444</v>
      </c>
      <c r="B341" s="883" t="s">
        <v>4440</v>
      </c>
      <c r="C341" s="883" t="s">
        <v>4700</v>
      </c>
      <c r="D341" s="886">
        <v>93.68</v>
      </c>
      <c r="E341" s="887">
        <v>1</v>
      </c>
      <c r="F341" s="888">
        <f>ListaMaterial[[#This Row],[REPETIÇÃO]]*ListaMaterial[[#This Row],[QUANTIDADE]]</f>
        <v>93.68</v>
      </c>
      <c r="G341" s="889">
        <v>0.15</v>
      </c>
      <c r="H341" s="890">
        <f>ListaMaterial[[#This Row],[TOTAL]]*(1+ListaMaterial[[#This Row],[PERDA]])</f>
        <v>107.732</v>
      </c>
      <c r="I341" s="887" t="s">
        <v>3</v>
      </c>
      <c r="J341" s="891">
        <f>_xlfn.XLOOKUP(ListaMaterial[[#This Row],[ITEM]],M:M,N:N,,0)</f>
        <v>13.42</v>
      </c>
      <c r="K341" s="891">
        <f>J341*ListaMaterial[[#This Row],[TOTAL C/PERDA]]</f>
        <v>1445.7634399999999</v>
      </c>
      <c r="M341" s="901"/>
      <c r="N341" s="902"/>
    </row>
    <row r="342" spans="1:14" x14ac:dyDescent="0.25">
      <c r="A342" s="883" t="s">
        <v>4444</v>
      </c>
      <c r="B342" s="883" t="s">
        <v>4440</v>
      </c>
      <c r="C342" s="883" t="s">
        <v>4701</v>
      </c>
      <c r="D342" s="886">
        <v>14.72</v>
      </c>
      <c r="E342" s="887">
        <v>1</v>
      </c>
      <c r="F342" s="888">
        <f>ListaMaterial[[#This Row],[REPETIÇÃO]]*ListaMaterial[[#This Row],[QUANTIDADE]]</f>
        <v>14.72</v>
      </c>
      <c r="G342" s="889">
        <v>0.15</v>
      </c>
      <c r="H342" s="890">
        <f>ListaMaterial[[#This Row],[TOTAL]]*(1+ListaMaterial[[#This Row],[PERDA]])</f>
        <v>16.928000000000001</v>
      </c>
      <c r="I342" s="887" t="s">
        <v>3</v>
      </c>
      <c r="J342" s="891">
        <f>_xlfn.XLOOKUP(ListaMaterial[[#This Row],[ITEM]],M:M,N:N,,0)</f>
        <v>16.777999999999999</v>
      </c>
      <c r="K342" s="891">
        <f>J342*ListaMaterial[[#This Row],[TOTAL C/PERDA]]</f>
        <v>284.01798400000001</v>
      </c>
      <c r="M342" s="901"/>
      <c r="N342" s="902"/>
    </row>
    <row r="343" spans="1:14" x14ac:dyDescent="0.25">
      <c r="A343" s="883" t="s">
        <v>4444</v>
      </c>
      <c r="B343" s="883" t="s">
        <v>4440</v>
      </c>
      <c r="C343" s="883" t="s">
        <v>4679</v>
      </c>
      <c r="D343" s="886">
        <v>94.89</v>
      </c>
      <c r="E343" s="887">
        <v>1</v>
      </c>
      <c r="F343" s="888">
        <f>ListaMaterial[[#This Row],[REPETIÇÃO]]*ListaMaterial[[#This Row],[QUANTIDADE]]</f>
        <v>94.89</v>
      </c>
      <c r="G343" s="889">
        <v>0.15</v>
      </c>
      <c r="H343" s="890">
        <f>ListaMaterial[[#This Row],[TOTAL]]*(1+ListaMaterial[[#This Row],[PERDA]])</f>
        <v>109.12349999999999</v>
      </c>
      <c r="I343" s="887" t="s">
        <v>3</v>
      </c>
      <c r="J343" s="891">
        <f>_xlfn.XLOOKUP(ListaMaterial[[#This Row],[ITEM]],M:M,N:N,,0)</f>
        <v>20.134399999999999</v>
      </c>
      <c r="K343" s="891">
        <f>J343*ListaMaterial[[#This Row],[TOTAL C/PERDA]]</f>
        <v>2197.1361984</v>
      </c>
      <c r="M343" s="901"/>
      <c r="N343" s="902"/>
    </row>
    <row r="344" spans="1:14" x14ac:dyDescent="0.25">
      <c r="A344" s="883" t="s">
        <v>4444</v>
      </c>
      <c r="B344" s="883" t="s">
        <v>4440</v>
      </c>
      <c r="C344" s="883" t="s">
        <v>4739</v>
      </c>
      <c r="D344" s="886">
        <v>0.25</v>
      </c>
      <c r="E344" s="887">
        <v>1</v>
      </c>
      <c r="F344" s="888">
        <f>ListaMaterial[[#This Row],[REPETIÇÃO]]*ListaMaterial[[#This Row],[QUANTIDADE]]</f>
        <v>0.25</v>
      </c>
      <c r="G344" s="889">
        <v>0.15</v>
      </c>
      <c r="H344" s="890">
        <f>ListaMaterial[[#This Row],[TOTAL]]*(1+ListaMaterial[[#This Row],[PERDA]])</f>
        <v>0.28749999999999998</v>
      </c>
      <c r="I344" s="887" t="s">
        <v>3</v>
      </c>
      <c r="J344" s="891">
        <f>_xlfn.XLOOKUP(ListaMaterial[[#This Row],[ITEM]],M:M,N:N,,0)</f>
        <v>29.966666666666669</v>
      </c>
      <c r="K344" s="891">
        <f>J344*ListaMaterial[[#This Row],[TOTAL C/PERDA]]</f>
        <v>8.6154166666666665</v>
      </c>
      <c r="M344" s="901"/>
      <c r="N344" s="902"/>
    </row>
    <row r="345" spans="1:14" x14ac:dyDescent="0.25">
      <c r="A345" s="883" t="s">
        <v>4444</v>
      </c>
      <c r="B345" s="883" t="s">
        <v>4618</v>
      </c>
      <c r="C345" s="883" t="s">
        <v>4680</v>
      </c>
      <c r="D345" s="886">
        <v>31.89</v>
      </c>
      <c r="E345" s="887">
        <v>1</v>
      </c>
      <c r="F345" s="888">
        <f>ListaMaterial[[#This Row],[REPETIÇÃO]]*ListaMaterial[[#This Row],[QUANTIDADE]]</f>
        <v>31.89</v>
      </c>
      <c r="G345" s="889">
        <v>0.15</v>
      </c>
      <c r="H345" s="890">
        <f>ListaMaterial[[#This Row],[TOTAL]]*(1+ListaMaterial[[#This Row],[PERDA]])</f>
        <v>36.673499999999997</v>
      </c>
      <c r="I345" s="887" t="s">
        <v>3</v>
      </c>
      <c r="J345" s="891">
        <f>_xlfn.XLOOKUP(ListaMaterial[[#This Row],[ITEM]],M:M,N:N,,0)</f>
        <v>9.2899999999999991</v>
      </c>
      <c r="K345" s="891">
        <f>J345*ListaMaterial[[#This Row],[TOTAL C/PERDA]]</f>
        <v>340.69681499999996</v>
      </c>
      <c r="M345" s="901"/>
      <c r="N345" s="902"/>
    </row>
    <row r="346" spans="1:14" x14ac:dyDescent="0.25">
      <c r="A346" s="883" t="s">
        <v>4444</v>
      </c>
      <c r="B346" s="883" t="s">
        <v>4618</v>
      </c>
      <c r="C346" s="883" t="s">
        <v>4681</v>
      </c>
      <c r="D346" s="886">
        <v>51.26</v>
      </c>
      <c r="E346" s="887">
        <v>1</v>
      </c>
      <c r="F346" s="888">
        <f>ListaMaterial[[#This Row],[REPETIÇÃO]]*ListaMaterial[[#This Row],[QUANTIDADE]]</f>
        <v>51.26</v>
      </c>
      <c r="G346" s="889">
        <v>0.15</v>
      </c>
      <c r="H346" s="890">
        <f>ListaMaterial[[#This Row],[TOTAL]]*(1+ListaMaterial[[#This Row],[PERDA]])</f>
        <v>58.948999999999991</v>
      </c>
      <c r="I346" s="887" t="s">
        <v>3</v>
      </c>
      <c r="J346" s="891">
        <f>_xlfn.XLOOKUP(ListaMaterial[[#This Row],[ITEM]],M:M,N:N,,0)</f>
        <v>15.99</v>
      </c>
      <c r="K346" s="891">
        <f>J346*ListaMaterial[[#This Row],[TOTAL C/PERDA]]</f>
        <v>942.5945099999999</v>
      </c>
      <c r="M346" s="901"/>
      <c r="N346" s="902"/>
    </row>
    <row r="347" spans="1:14" x14ac:dyDescent="0.25">
      <c r="A347" s="883" t="s">
        <v>4444</v>
      </c>
      <c r="B347" s="883" t="s">
        <v>4618</v>
      </c>
      <c r="C347" s="883" t="s">
        <v>4682</v>
      </c>
      <c r="D347" s="886">
        <v>450.57</v>
      </c>
      <c r="E347" s="887">
        <v>1</v>
      </c>
      <c r="F347" s="888">
        <f>ListaMaterial[[#This Row],[REPETIÇÃO]]*ListaMaterial[[#This Row],[QUANTIDADE]]</f>
        <v>450.57</v>
      </c>
      <c r="G347" s="889">
        <v>0.15</v>
      </c>
      <c r="H347" s="890">
        <f>ListaMaterial[[#This Row],[TOTAL]]*(1+ListaMaterial[[#This Row],[PERDA]])</f>
        <v>518.15549999999996</v>
      </c>
      <c r="I347" s="887" t="s">
        <v>3</v>
      </c>
      <c r="J347" s="891">
        <f>_xlfn.XLOOKUP(ListaMaterial[[#This Row],[ITEM]],M:M,N:N,,0)</f>
        <v>8.99</v>
      </c>
      <c r="K347" s="891">
        <f>J347*ListaMaterial[[#This Row],[TOTAL C/PERDA]]</f>
        <v>4658.2179449999994</v>
      </c>
      <c r="M347" s="901"/>
      <c r="N347" s="902"/>
    </row>
    <row r="348" spans="1:14" x14ac:dyDescent="0.25">
      <c r="A348" s="883" t="s">
        <v>4444</v>
      </c>
      <c r="B348" s="883" t="s">
        <v>4618</v>
      </c>
      <c r="C348" s="883" t="s">
        <v>4683</v>
      </c>
      <c r="D348" s="886">
        <v>59.87</v>
      </c>
      <c r="E348" s="887">
        <v>1</v>
      </c>
      <c r="F348" s="888">
        <f>ListaMaterial[[#This Row],[REPETIÇÃO]]*ListaMaterial[[#This Row],[QUANTIDADE]]</f>
        <v>59.87</v>
      </c>
      <c r="G348" s="889">
        <v>0.15</v>
      </c>
      <c r="H348" s="890">
        <f>ListaMaterial[[#This Row],[TOTAL]]*(1+ListaMaterial[[#This Row],[PERDA]])</f>
        <v>68.850499999999997</v>
      </c>
      <c r="I348" s="887" t="s">
        <v>3</v>
      </c>
      <c r="J348" s="891">
        <f>_xlfn.XLOOKUP(ListaMaterial[[#This Row],[ITEM]],M:M,N:N,,0)</f>
        <v>29.99</v>
      </c>
      <c r="K348" s="891">
        <f>J348*ListaMaterial[[#This Row],[TOTAL C/PERDA]]</f>
        <v>2064.8264949999998</v>
      </c>
      <c r="M348" s="901"/>
      <c r="N348" s="902"/>
    </row>
    <row r="349" spans="1:14" x14ac:dyDescent="0.25">
      <c r="A349" s="883" t="s">
        <v>4444</v>
      </c>
      <c r="B349" s="883" t="s">
        <v>4619</v>
      </c>
      <c r="C349" s="883" t="s">
        <v>4684</v>
      </c>
      <c r="D349" s="886">
        <v>189.7</v>
      </c>
      <c r="E349" s="887">
        <v>1</v>
      </c>
      <c r="F349" s="888">
        <f>ListaMaterial[[#This Row],[REPETIÇÃO]]*ListaMaterial[[#This Row],[QUANTIDADE]]</f>
        <v>189.7</v>
      </c>
      <c r="G349" s="889">
        <v>0.15</v>
      </c>
      <c r="H349" s="890">
        <f>ListaMaterial[[#This Row],[TOTAL]]*(1+ListaMaterial[[#This Row],[PERDA]])</f>
        <v>218.15499999999997</v>
      </c>
      <c r="I349" s="887" t="s">
        <v>3</v>
      </c>
      <c r="J349" s="891">
        <f>_xlfn.XLOOKUP(ListaMaterial[[#This Row],[ITEM]],M:M,N:N,,0)</f>
        <v>2.5685666666666669</v>
      </c>
      <c r="K349" s="891">
        <f>J349*ListaMaterial[[#This Row],[TOTAL C/PERDA]]</f>
        <v>560.34566116666667</v>
      </c>
      <c r="M349" s="901"/>
      <c r="N349" s="902"/>
    </row>
    <row r="350" spans="1:14" x14ac:dyDescent="0.25">
      <c r="A350" s="883" t="s">
        <v>4444</v>
      </c>
      <c r="B350" s="883" t="s">
        <v>4619</v>
      </c>
      <c r="C350" s="883" t="s">
        <v>4685</v>
      </c>
      <c r="D350" s="886">
        <v>48.5</v>
      </c>
      <c r="E350" s="887">
        <v>1</v>
      </c>
      <c r="F350" s="888">
        <f>ListaMaterial[[#This Row],[REPETIÇÃO]]*ListaMaterial[[#This Row],[QUANTIDADE]]</f>
        <v>48.5</v>
      </c>
      <c r="G350" s="889">
        <v>0.15</v>
      </c>
      <c r="H350" s="890">
        <f>ListaMaterial[[#This Row],[TOTAL]]*(1+ListaMaterial[[#This Row],[PERDA]])</f>
        <v>55.774999999999999</v>
      </c>
      <c r="I350" s="887" t="s">
        <v>3</v>
      </c>
      <c r="J350" s="891">
        <f>_xlfn.XLOOKUP(ListaMaterial[[#This Row],[ITEM]],M:M,N:N,,0)</f>
        <v>7.7985833333333332</v>
      </c>
      <c r="K350" s="891">
        <f>J350*ListaMaterial[[#This Row],[TOTAL C/PERDA]]</f>
        <v>434.96598541666663</v>
      </c>
      <c r="M350" s="901"/>
      <c r="N350" s="902"/>
    </row>
    <row r="351" spans="1:14" x14ac:dyDescent="0.25">
      <c r="A351" s="883" t="s">
        <v>4444</v>
      </c>
      <c r="B351" s="883" t="s">
        <v>4619</v>
      </c>
      <c r="C351" s="883" t="s">
        <v>4740</v>
      </c>
      <c r="D351" s="886">
        <v>0.01</v>
      </c>
      <c r="E351" s="887">
        <v>1</v>
      </c>
      <c r="F351" s="888">
        <f>ListaMaterial[[#This Row],[REPETIÇÃO]]*ListaMaterial[[#This Row],[QUANTIDADE]]</f>
        <v>0.01</v>
      </c>
      <c r="G351" s="889">
        <v>0.15</v>
      </c>
      <c r="H351" s="890">
        <f>ListaMaterial[[#This Row],[TOTAL]]*(1+ListaMaterial[[#This Row],[PERDA]])</f>
        <v>1.15E-2</v>
      </c>
      <c r="I351" s="887" t="s">
        <v>3</v>
      </c>
      <c r="J351" s="891">
        <f>_xlfn.XLOOKUP(ListaMaterial[[#This Row],[ITEM]],M:M,N:N,,0)</f>
        <v>12.832716666666668</v>
      </c>
      <c r="K351" s="891">
        <f>J351*ListaMaterial[[#This Row],[TOTAL C/PERDA]]</f>
        <v>0.14757624166666669</v>
      </c>
      <c r="M351" s="901"/>
      <c r="N351" s="902"/>
    </row>
    <row r="352" spans="1:14" x14ac:dyDescent="0.25">
      <c r="A352" s="894"/>
      <c r="B352" s="917" t="s">
        <v>754</v>
      </c>
      <c r="C352" s="894"/>
      <c r="D352" s="895"/>
      <c r="E352" s="896"/>
      <c r="F352" s="897">
        <f>ListaMaterial[[#This Row],[REPETIÇÃO]]*ListaMaterial[[#This Row],[QUANTIDADE]]</f>
        <v>0</v>
      </c>
      <c r="G352" s="898"/>
      <c r="H352" s="899">
        <f>ListaMaterial[[#This Row],[TOTAL]]*(1+ListaMaterial[[#This Row],[PERDA]])</f>
        <v>0</v>
      </c>
      <c r="I352" s="896"/>
      <c r="J352" s="900" t="s">
        <v>8</v>
      </c>
      <c r="K352" s="900">
        <f>SUM(K251:K351)</f>
        <v>48648.370228558349</v>
      </c>
      <c r="M352" s="901"/>
      <c r="N352" s="902"/>
    </row>
    <row r="353" spans="1:14" x14ac:dyDescent="0.25">
      <c r="A353" s="883" t="s">
        <v>4445</v>
      </c>
      <c r="B353" s="883" t="s">
        <v>4242</v>
      </c>
      <c r="C353" s="883" t="s">
        <v>4741</v>
      </c>
      <c r="D353" s="886">
        <v>11</v>
      </c>
      <c r="E353" s="887">
        <v>13</v>
      </c>
      <c r="F353" s="888">
        <f>ListaMaterial[[#This Row],[REPETIÇÃO]]*ListaMaterial[[#This Row],[QUANTIDADE]]</f>
        <v>143</v>
      </c>
      <c r="H353" s="890">
        <f>ListaMaterial[[#This Row],[TOTAL]]*(1+ListaMaterial[[#This Row],[PERDA]])</f>
        <v>143</v>
      </c>
      <c r="I353" s="887" t="s">
        <v>4243</v>
      </c>
      <c r="J353" s="891">
        <f>_xlfn.XLOOKUP(ListaMaterial[[#This Row],[ITEM]],M:M,N:N,,0)</f>
        <v>66.989999999999995</v>
      </c>
      <c r="K353" s="891">
        <f>J353*ListaMaterial[[#This Row],[TOTAL C/PERDA]]</f>
        <v>9579.57</v>
      </c>
      <c r="M353" s="901"/>
      <c r="N353" s="902"/>
    </row>
    <row r="354" spans="1:14" x14ac:dyDescent="0.25">
      <c r="A354" s="883" t="s">
        <v>4445</v>
      </c>
      <c r="B354" s="883" t="s">
        <v>4242</v>
      </c>
      <c r="C354" s="883" t="s">
        <v>4704</v>
      </c>
      <c r="D354" s="886">
        <v>13</v>
      </c>
      <c r="E354" s="887">
        <v>13</v>
      </c>
      <c r="F354" s="888">
        <f>ListaMaterial[[#This Row],[REPETIÇÃO]]*ListaMaterial[[#This Row],[QUANTIDADE]]</f>
        <v>169</v>
      </c>
      <c r="H354" s="890">
        <f>ListaMaterial[[#This Row],[TOTAL]]*(1+ListaMaterial[[#This Row],[PERDA]])</f>
        <v>169</v>
      </c>
      <c r="I354" s="887" t="s">
        <v>4243</v>
      </c>
      <c r="J354" s="891">
        <f>_xlfn.XLOOKUP(ListaMaterial[[#This Row],[ITEM]],M:M,N:N,,0)</f>
        <v>167.78659999999999</v>
      </c>
      <c r="K354" s="891">
        <f>J354*ListaMaterial[[#This Row],[TOTAL C/PERDA]]</f>
        <v>28355.935399999998</v>
      </c>
      <c r="M354" s="901"/>
      <c r="N354" s="902"/>
    </row>
    <row r="355" spans="1:14" x14ac:dyDescent="0.25">
      <c r="A355" s="883" t="s">
        <v>4445</v>
      </c>
      <c r="B355" s="883" t="s">
        <v>4242</v>
      </c>
      <c r="C355" s="883" t="s">
        <v>4742</v>
      </c>
      <c r="D355" s="886">
        <v>6</v>
      </c>
      <c r="E355" s="887">
        <v>13</v>
      </c>
      <c r="F355" s="888">
        <f>ListaMaterial[[#This Row],[REPETIÇÃO]]*ListaMaterial[[#This Row],[QUANTIDADE]]</f>
        <v>78</v>
      </c>
      <c r="H355" s="890">
        <f>ListaMaterial[[#This Row],[TOTAL]]*(1+ListaMaterial[[#This Row],[PERDA]])</f>
        <v>78</v>
      </c>
      <c r="I355" s="887" t="s">
        <v>4243</v>
      </c>
      <c r="J355" s="891">
        <f>_xlfn.XLOOKUP(ListaMaterial[[#This Row],[ITEM]],M:M,N:N,,0)</f>
        <v>154</v>
      </c>
      <c r="K355" s="891">
        <f>J355*ListaMaterial[[#This Row],[TOTAL C/PERDA]]</f>
        <v>12012</v>
      </c>
      <c r="M355" s="901"/>
      <c r="N355" s="902"/>
    </row>
    <row r="356" spans="1:14" x14ac:dyDescent="0.25">
      <c r="A356" s="883" t="s">
        <v>4445</v>
      </c>
      <c r="B356" s="883" t="s">
        <v>4242</v>
      </c>
      <c r="C356" s="883" t="s">
        <v>4743</v>
      </c>
      <c r="D356" s="886">
        <v>7</v>
      </c>
      <c r="E356" s="887">
        <v>13</v>
      </c>
      <c r="F356" s="888">
        <f>ListaMaterial[[#This Row],[REPETIÇÃO]]*ListaMaterial[[#This Row],[QUANTIDADE]]</f>
        <v>91</v>
      </c>
      <c r="H356" s="890">
        <f>ListaMaterial[[#This Row],[TOTAL]]*(1+ListaMaterial[[#This Row],[PERDA]])</f>
        <v>91</v>
      </c>
      <c r="I356" s="887" t="s">
        <v>4243</v>
      </c>
      <c r="J356" s="891">
        <f>_xlfn.XLOOKUP(ListaMaterial[[#This Row],[ITEM]],M:M,N:N,,0)</f>
        <v>29.54</v>
      </c>
      <c r="K356" s="891">
        <f>J356*ListaMaterial[[#This Row],[TOTAL C/PERDA]]</f>
        <v>2688.14</v>
      </c>
      <c r="M356" s="901"/>
      <c r="N356" s="902"/>
    </row>
    <row r="357" spans="1:14" x14ac:dyDescent="0.25">
      <c r="A357" s="883" t="s">
        <v>4445</v>
      </c>
      <c r="B357" s="883" t="s">
        <v>4242</v>
      </c>
      <c r="C357" s="883" t="s">
        <v>4640</v>
      </c>
      <c r="D357" s="886">
        <v>25</v>
      </c>
      <c r="E357" s="887">
        <v>13</v>
      </c>
      <c r="F357" s="888">
        <f>ListaMaterial[[#This Row],[REPETIÇÃO]]*ListaMaterial[[#This Row],[QUANTIDADE]]</f>
        <v>325</v>
      </c>
      <c r="H357" s="890">
        <f>ListaMaterial[[#This Row],[TOTAL]]*(1+ListaMaterial[[#This Row],[PERDA]])</f>
        <v>325</v>
      </c>
      <c r="I357" s="887" t="s">
        <v>4243</v>
      </c>
      <c r="J357" s="891">
        <f>_xlfn.XLOOKUP(ListaMaterial[[#This Row],[ITEM]],M:M,N:N,,0)</f>
        <v>31.716699999999999</v>
      </c>
      <c r="K357" s="891">
        <f>J357*ListaMaterial[[#This Row],[TOTAL C/PERDA]]</f>
        <v>10307.9275</v>
      </c>
      <c r="M357" s="901"/>
      <c r="N357" s="902"/>
    </row>
    <row r="358" spans="1:14" x14ac:dyDescent="0.25">
      <c r="A358" s="883" t="s">
        <v>4445</v>
      </c>
      <c r="B358" s="883" t="s">
        <v>4242</v>
      </c>
      <c r="C358" s="883" t="s">
        <v>4707</v>
      </c>
      <c r="D358" s="886">
        <v>11</v>
      </c>
      <c r="E358" s="887">
        <v>13</v>
      </c>
      <c r="F358" s="888">
        <f>ListaMaterial[[#This Row],[REPETIÇÃO]]*ListaMaterial[[#This Row],[QUANTIDADE]]</f>
        <v>143</v>
      </c>
      <c r="H358" s="890">
        <f>ListaMaterial[[#This Row],[TOTAL]]*(1+ListaMaterial[[#This Row],[PERDA]])</f>
        <v>143</v>
      </c>
      <c r="I358" s="887" t="s">
        <v>4243</v>
      </c>
      <c r="J358" s="891">
        <f>_xlfn.XLOOKUP(ListaMaterial[[#This Row],[ITEM]],M:M,N:N,,0)</f>
        <v>32.680300000000003</v>
      </c>
      <c r="K358" s="891">
        <f>J358*ListaMaterial[[#This Row],[TOTAL C/PERDA]]</f>
        <v>4673.2829000000002</v>
      </c>
      <c r="M358" s="901"/>
      <c r="N358" s="902"/>
    </row>
    <row r="359" spans="1:14" x14ac:dyDescent="0.25">
      <c r="A359" s="883" t="s">
        <v>4445</v>
      </c>
      <c r="B359" s="883" t="s">
        <v>4242</v>
      </c>
      <c r="C359" s="883" t="s">
        <v>4744</v>
      </c>
      <c r="D359" s="886">
        <v>12</v>
      </c>
      <c r="E359" s="887">
        <v>13</v>
      </c>
      <c r="F359" s="888">
        <f>ListaMaterial[[#This Row],[REPETIÇÃO]]*ListaMaterial[[#This Row],[QUANTIDADE]]</f>
        <v>156</v>
      </c>
      <c r="H359" s="890">
        <f>ListaMaterial[[#This Row],[TOTAL]]*(1+ListaMaterial[[#This Row],[PERDA]])</f>
        <v>156</v>
      </c>
      <c r="I359" s="887" t="s">
        <v>4243</v>
      </c>
      <c r="J359" s="891">
        <f>_xlfn.XLOOKUP(ListaMaterial[[#This Row],[ITEM]],M:M,N:N,,0)</f>
        <v>3.84</v>
      </c>
      <c r="K359" s="891">
        <f>J359*ListaMaterial[[#This Row],[TOTAL C/PERDA]]</f>
        <v>599.04</v>
      </c>
      <c r="M359" s="901"/>
      <c r="N359" s="902"/>
    </row>
    <row r="360" spans="1:14" x14ac:dyDescent="0.25">
      <c r="A360" s="883" t="s">
        <v>4445</v>
      </c>
      <c r="B360" s="883" t="s">
        <v>4242</v>
      </c>
      <c r="C360" s="883" t="s">
        <v>4708</v>
      </c>
      <c r="D360" s="886">
        <v>12</v>
      </c>
      <c r="E360" s="887">
        <v>13</v>
      </c>
      <c r="F360" s="888">
        <f>ListaMaterial[[#This Row],[REPETIÇÃO]]*ListaMaterial[[#This Row],[QUANTIDADE]]</f>
        <v>156</v>
      </c>
      <c r="H360" s="890">
        <f>ListaMaterial[[#This Row],[TOTAL]]*(1+ListaMaterial[[#This Row],[PERDA]])</f>
        <v>156</v>
      </c>
      <c r="I360" s="887" t="s">
        <v>4243</v>
      </c>
      <c r="J360" s="891">
        <f>_xlfn.XLOOKUP(ListaMaterial[[#This Row],[ITEM]],M:M,N:N,,0)</f>
        <v>72.7</v>
      </c>
      <c r="K360" s="891">
        <f>J360*ListaMaterial[[#This Row],[TOTAL C/PERDA]]</f>
        <v>11341.2</v>
      </c>
      <c r="M360" s="901"/>
      <c r="N360" s="902"/>
    </row>
    <row r="361" spans="1:14" x14ac:dyDescent="0.25">
      <c r="A361" s="883" t="s">
        <v>4445</v>
      </c>
      <c r="B361" s="883" t="s">
        <v>4616</v>
      </c>
      <c r="C361" s="883" t="s">
        <v>4745</v>
      </c>
      <c r="D361" s="886">
        <v>12</v>
      </c>
      <c r="E361" s="887">
        <v>13</v>
      </c>
      <c r="F361" s="888">
        <f>ListaMaterial[[#This Row],[REPETIÇÃO]]*ListaMaterial[[#This Row],[QUANTIDADE]]</f>
        <v>156</v>
      </c>
      <c r="H361" s="890">
        <f>ListaMaterial[[#This Row],[TOTAL]]*(1+ListaMaterial[[#This Row],[PERDA]])</f>
        <v>156</v>
      </c>
      <c r="I361" s="887" t="s">
        <v>4243</v>
      </c>
      <c r="J361" s="891">
        <f>_xlfn.XLOOKUP(ListaMaterial[[#This Row],[ITEM]],M:M,N:N,,0)</f>
        <v>7.11</v>
      </c>
      <c r="K361" s="891">
        <f>J361*ListaMaterial[[#This Row],[TOTAL C/PERDA]]</f>
        <v>1109.1600000000001</v>
      </c>
      <c r="M361" s="901"/>
      <c r="N361" s="902"/>
    </row>
    <row r="362" spans="1:14" x14ac:dyDescent="0.25">
      <c r="A362" s="883" t="s">
        <v>4445</v>
      </c>
      <c r="B362" s="883" t="s">
        <v>4616</v>
      </c>
      <c r="C362" s="883" t="s">
        <v>4645</v>
      </c>
      <c r="D362" s="886">
        <v>55</v>
      </c>
      <c r="E362" s="887">
        <v>13</v>
      </c>
      <c r="F362" s="888">
        <f>ListaMaterial[[#This Row],[REPETIÇÃO]]*ListaMaterial[[#This Row],[QUANTIDADE]]</f>
        <v>715</v>
      </c>
      <c r="H362" s="890">
        <f>ListaMaterial[[#This Row],[TOTAL]]*(1+ListaMaterial[[#This Row],[PERDA]])</f>
        <v>715</v>
      </c>
      <c r="I362" s="887" t="s">
        <v>4243</v>
      </c>
      <c r="J362" s="891">
        <f>_xlfn.XLOOKUP(ListaMaterial[[#This Row],[ITEM]],M:M,N:N,,0)</f>
        <v>1.79</v>
      </c>
      <c r="K362" s="891">
        <f>J362*ListaMaterial[[#This Row],[TOTAL C/PERDA]]</f>
        <v>1279.8500000000001</v>
      </c>
      <c r="M362" s="901"/>
      <c r="N362" s="902"/>
    </row>
    <row r="363" spans="1:14" x14ac:dyDescent="0.25">
      <c r="A363" s="883" t="s">
        <v>4445</v>
      </c>
      <c r="B363" s="883" t="s">
        <v>4616</v>
      </c>
      <c r="C363" s="883" t="s">
        <v>4646</v>
      </c>
      <c r="D363" s="886">
        <v>6</v>
      </c>
      <c r="E363" s="887">
        <v>13</v>
      </c>
      <c r="F363" s="888">
        <f>ListaMaterial[[#This Row],[REPETIÇÃO]]*ListaMaterial[[#This Row],[QUANTIDADE]]</f>
        <v>78</v>
      </c>
      <c r="H363" s="890">
        <f>ListaMaterial[[#This Row],[TOTAL]]*(1+ListaMaterial[[#This Row],[PERDA]])</f>
        <v>78</v>
      </c>
      <c r="I363" s="887" t="s">
        <v>4243</v>
      </c>
      <c r="J363" s="891">
        <f>_xlfn.XLOOKUP(ListaMaterial[[#This Row],[ITEM]],M:M,N:N,,0)</f>
        <v>2.02</v>
      </c>
      <c r="K363" s="891">
        <f>J363*ListaMaterial[[#This Row],[TOTAL C/PERDA]]</f>
        <v>157.56</v>
      </c>
      <c r="M363" s="901"/>
      <c r="N363" s="902"/>
    </row>
    <row r="364" spans="1:14" x14ac:dyDescent="0.25">
      <c r="A364" s="883" t="s">
        <v>4445</v>
      </c>
      <c r="B364" s="883" t="s">
        <v>4429</v>
      </c>
      <c r="C364" s="883" t="s">
        <v>4647</v>
      </c>
      <c r="D364" s="886">
        <v>61</v>
      </c>
      <c r="E364" s="887">
        <v>13</v>
      </c>
      <c r="F364" s="888">
        <f>ListaMaterial[[#This Row],[REPETIÇÃO]]*ListaMaterial[[#This Row],[QUANTIDADE]]</f>
        <v>793</v>
      </c>
      <c r="H364" s="890">
        <f>ListaMaterial[[#This Row],[TOTAL]]*(1+ListaMaterial[[#This Row],[PERDA]])</f>
        <v>793</v>
      </c>
      <c r="I364" s="887" t="s">
        <v>4243</v>
      </c>
      <c r="J364" s="891">
        <f>_xlfn.XLOOKUP(ListaMaterial[[#This Row],[ITEM]],M:M,N:N,,0)</f>
        <v>0.59370000000000001</v>
      </c>
      <c r="K364" s="891">
        <f>J364*ListaMaterial[[#This Row],[TOTAL C/PERDA]]</f>
        <v>470.80410000000001</v>
      </c>
      <c r="M364" s="901"/>
      <c r="N364" s="902"/>
    </row>
    <row r="365" spans="1:14" x14ac:dyDescent="0.25">
      <c r="A365" s="883" t="s">
        <v>4445</v>
      </c>
      <c r="B365" s="883" t="s">
        <v>4429</v>
      </c>
      <c r="C365" s="883" t="s">
        <v>4648</v>
      </c>
      <c r="D365" s="886">
        <v>12</v>
      </c>
      <c r="E365" s="887">
        <v>13</v>
      </c>
      <c r="F365" s="888">
        <f>ListaMaterial[[#This Row],[REPETIÇÃO]]*ListaMaterial[[#This Row],[QUANTIDADE]]</f>
        <v>156</v>
      </c>
      <c r="H365" s="890">
        <f>ListaMaterial[[#This Row],[TOTAL]]*(1+ListaMaterial[[#This Row],[PERDA]])</f>
        <v>156</v>
      </c>
      <c r="I365" s="887" t="s">
        <v>4243</v>
      </c>
      <c r="J365" s="891">
        <f>_xlfn.XLOOKUP(ListaMaterial[[#This Row],[ITEM]],M:M,N:N,,0)</f>
        <v>1.4224000000000001</v>
      </c>
      <c r="K365" s="891">
        <f>J365*ListaMaterial[[#This Row],[TOTAL C/PERDA]]</f>
        <v>221.89440000000002</v>
      </c>
      <c r="M365" s="901"/>
      <c r="N365" s="902"/>
    </row>
    <row r="366" spans="1:14" x14ac:dyDescent="0.25">
      <c r="A366" s="883" t="s">
        <v>4445</v>
      </c>
      <c r="B366" s="883" t="s">
        <v>4429</v>
      </c>
      <c r="C366" s="883" t="s">
        <v>4711</v>
      </c>
      <c r="D366" s="886">
        <v>10</v>
      </c>
      <c r="E366" s="887">
        <v>13</v>
      </c>
      <c r="F366" s="888">
        <f>ListaMaterial[[#This Row],[REPETIÇÃO]]*ListaMaterial[[#This Row],[QUANTIDADE]]</f>
        <v>130</v>
      </c>
      <c r="H366" s="890">
        <f>ListaMaterial[[#This Row],[TOTAL]]*(1+ListaMaterial[[#This Row],[PERDA]])</f>
        <v>130</v>
      </c>
      <c r="I366" s="887" t="s">
        <v>4243</v>
      </c>
      <c r="J366" s="891">
        <f>_xlfn.XLOOKUP(ListaMaterial[[#This Row],[ITEM]],M:M,N:N,,0)</f>
        <v>0.66579999999999995</v>
      </c>
      <c r="K366" s="891">
        <f>J366*ListaMaterial[[#This Row],[TOTAL C/PERDA]]</f>
        <v>86.553999999999988</v>
      </c>
      <c r="M366" s="901"/>
      <c r="N366" s="902"/>
    </row>
    <row r="367" spans="1:14" x14ac:dyDescent="0.25">
      <c r="A367" s="883" t="s">
        <v>4445</v>
      </c>
      <c r="B367" s="883" t="s">
        <v>4429</v>
      </c>
      <c r="C367" s="883" t="s">
        <v>4650</v>
      </c>
      <c r="D367" s="886">
        <v>20</v>
      </c>
      <c r="E367" s="887">
        <v>13</v>
      </c>
      <c r="F367" s="888">
        <f>ListaMaterial[[#This Row],[REPETIÇÃO]]*ListaMaterial[[#This Row],[QUANTIDADE]]</f>
        <v>260</v>
      </c>
      <c r="H367" s="890">
        <f>ListaMaterial[[#This Row],[TOTAL]]*(1+ListaMaterial[[#This Row],[PERDA]])</f>
        <v>260</v>
      </c>
      <c r="I367" s="887" t="s">
        <v>4243</v>
      </c>
      <c r="J367" s="891">
        <f>_xlfn.XLOOKUP(ListaMaterial[[#This Row],[ITEM]],M:M,N:N,,0)</f>
        <v>1.91</v>
      </c>
      <c r="K367" s="891">
        <f>J367*ListaMaterial[[#This Row],[TOTAL C/PERDA]]</f>
        <v>496.59999999999997</v>
      </c>
      <c r="M367" s="901"/>
      <c r="N367" s="902"/>
    </row>
    <row r="368" spans="1:14" x14ac:dyDescent="0.25">
      <c r="A368" s="883" t="s">
        <v>4445</v>
      </c>
      <c r="B368" s="883" t="s">
        <v>4429</v>
      </c>
      <c r="C368" s="883" t="s">
        <v>4653</v>
      </c>
      <c r="D368" s="886">
        <v>28</v>
      </c>
      <c r="E368" s="887">
        <v>13</v>
      </c>
      <c r="F368" s="888">
        <f>ListaMaterial[[#This Row],[REPETIÇÃO]]*ListaMaterial[[#This Row],[QUANTIDADE]]</f>
        <v>364</v>
      </c>
      <c r="H368" s="890">
        <f>ListaMaterial[[#This Row],[TOTAL]]*(1+ListaMaterial[[#This Row],[PERDA]])</f>
        <v>364</v>
      </c>
      <c r="I368" s="887" t="s">
        <v>4243</v>
      </c>
      <c r="J368" s="891">
        <f>_xlfn.XLOOKUP(ListaMaterial[[#This Row],[ITEM]],M:M,N:N,,0)</f>
        <v>0.91449999999999998</v>
      </c>
      <c r="K368" s="891">
        <f>J368*ListaMaterial[[#This Row],[TOTAL C/PERDA]]</f>
        <v>332.87799999999999</v>
      </c>
      <c r="M368" s="901"/>
      <c r="N368" s="902"/>
    </row>
    <row r="369" spans="1:14" x14ac:dyDescent="0.25">
      <c r="A369" s="883" t="s">
        <v>4445</v>
      </c>
      <c r="B369" s="883" t="s">
        <v>4429</v>
      </c>
      <c r="C369" s="883" t="s">
        <v>4712</v>
      </c>
      <c r="D369" s="886">
        <v>6</v>
      </c>
      <c r="E369" s="887">
        <v>13</v>
      </c>
      <c r="F369" s="888">
        <f>ListaMaterial[[#This Row],[REPETIÇÃO]]*ListaMaterial[[#This Row],[QUANTIDADE]]</f>
        <v>78</v>
      </c>
      <c r="H369" s="890">
        <f>ListaMaterial[[#This Row],[TOTAL]]*(1+ListaMaterial[[#This Row],[PERDA]])</f>
        <v>78</v>
      </c>
      <c r="I369" s="887" t="s">
        <v>4243</v>
      </c>
      <c r="J369" s="891">
        <f>_xlfn.XLOOKUP(ListaMaterial[[#This Row],[ITEM]],M:M,N:N,,0)</f>
        <v>2.8849999999999998</v>
      </c>
      <c r="K369" s="891">
        <f>J369*ListaMaterial[[#This Row],[TOTAL C/PERDA]]</f>
        <v>225.02999999999997</v>
      </c>
      <c r="M369" s="901"/>
      <c r="N369" s="902"/>
    </row>
    <row r="370" spans="1:14" x14ac:dyDescent="0.25">
      <c r="A370" s="883" t="s">
        <v>4445</v>
      </c>
      <c r="B370" s="883" t="s">
        <v>4429</v>
      </c>
      <c r="C370" s="883" t="s">
        <v>4654</v>
      </c>
      <c r="D370" s="886">
        <v>286</v>
      </c>
      <c r="E370" s="887">
        <v>13</v>
      </c>
      <c r="F370" s="888">
        <f>ListaMaterial[[#This Row],[REPETIÇÃO]]*ListaMaterial[[#This Row],[QUANTIDADE]]</f>
        <v>3718</v>
      </c>
      <c r="H370" s="890">
        <f>ListaMaterial[[#This Row],[TOTAL]]*(1+ListaMaterial[[#This Row],[PERDA]])</f>
        <v>3718</v>
      </c>
      <c r="I370" s="887" t="s">
        <v>4243</v>
      </c>
      <c r="J370" s="891">
        <f>_xlfn.XLOOKUP(ListaMaterial[[#This Row],[ITEM]],M:M,N:N,,0)</f>
        <v>0.47220000000000001</v>
      </c>
      <c r="K370" s="891">
        <f>J370*ListaMaterial[[#This Row],[TOTAL C/PERDA]]</f>
        <v>1755.6396</v>
      </c>
      <c r="M370" s="901"/>
      <c r="N370" s="902"/>
    </row>
    <row r="371" spans="1:14" x14ac:dyDescent="0.25">
      <c r="A371" s="883" t="s">
        <v>4445</v>
      </c>
      <c r="B371" s="883" t="s">
        <v>4429</v>
      </c>
      <c r="C371" s="883" t="s">
        <v>4655</v>
      </c>
      <c r="D371" s="886">
        <v>32</v>
      </c>
      <c r="E371" s="887">
        <v>13</v>
      </c>
      <c r="F371" s="888">
        <f>ListaMaterial[[#This Row],[REPETIÇÃO]]*ListaMaterial[[#This Row],[QUANTIDADE]]</f>
        <v>416</v>
      </c>
      <c r="H371" s="890">
        <f>ListaMaterial[[#This Row],[TOTAL]]*(1+ListaMaterial[[#This Row],[PERDA]])</f>
        <v>416</v>
      </c>
      <c r="I371" s="887" t="s">
        <v>4243</v>
      </c>
      <c r="J371" s="891">
        <f>_xlfn.XLOOKUP(ListaMaterial[[#This Row],[ITEM]],M:M,N:N,,0)</f>
        <v>2.2519999999999998</v>
      </c>
      <c r="K371" s="891">
        <f>J371*ListaMaterial[[#This Row],[TOTAL C/PERDA]]</f>
        <v>936.83199999999988</v>
      </c>
      <c r="M371" s="901"/>
      <c r="N371" s="902"/>
    </row>
    <row r="372" spans="1:14" x14ac:dyDescent="0.25">
      <c r="A372" s="883" t="s">
        <v>4445</v>
      </c>
      <c r="B372" s="883" t="s">
        <v>4429</v>
      </c>
      <c r="C372" s="883" t="s">
        <v>4657</v>
      </c>
      <c r="D372" s="886">
        <v>55</v>
      </c>
      <c r="E372" s="887">
        <v>13</v>
      </c>
      <c r="F372" s="888">
        <f>ListaMaterial[[#This Row],[REPETIÇÃO]]*ListaMaterial[[#This Row],[QUANTIDADE]]</f>
        <v>715</v>
      </c>
      <c r="H372" s="890">
        <f>ListaMaterial[[#This Row],[TOTAL]]*(1+ListaMaterial[[#This Row],[PERDA]])</f>
        <v>715</v>
      </c>
      <c r="I372" s="887" t="s">
        <v>4243</v>
      </c>
      <c r="J372" s="891">
        <f>_xlfn.XLOOKUP(ListaMaterial[[#This Row],[ITEM]],M:M,N:N,,0)</f>
        <v>3.2107000000000001</v>
      </c>
      <c r="K372" s="891">
        <f>J372*ListaMaterial[[#This Row],[TOTAL C/PERDA]]</f>
        <v>2295.6505000000002</v>
      </c>
      <c r="M372" s="901"/>
      <c r="N372" s="902"/>
    </row>
    <row r="373" spans="1:14" x14ac:dyDescent="0.25">
      <c r="A373" s="883" t="s">
        <v>4445</v>
      </c>
      <c r="B373" s="883" t="s">
        <v>4429</v>
      </c>
      <c r="C373" s="883" t="s">
        <v>4658</v>
      </c>
      <c r="D373" s="886">
        <v>6</v>
      </c>
      <c r="E373" s="887">
        <v>13</v>
      </c>
      <c r="F373" s="888">
        <f>ListaMaterial[[#This Row],[REPETIÇÃO]]*ListaMaterial[[#This Row],[QUANTIDADE]]</f>
        <v>78</v>
      </c>
      <c r="H373" s="890">
        <f>ListaMaterial[[#This Row],[TOTAL]]*(1+ListaMaterial[[#This Row],[PERDA]])</f>
        <v>78</v>
      </c>
      <c r="I373" s="887" t="s">
        <v>4243</v>
      </c>
      <c r="J373" s="891">
        <f>_xlfn.XLOOKUP(ListaMaterial[[#This Row],[ITEM]],M:M,N:N,,0)</f>
        <v>13.005000000000001</v>
      </c>
      <c r="K373" s="891">
        <f>J373*ListaMaterial[[#This Row],[TOTAL C/PERDA]]</f>
        <v>1014.3900000000001</v>
      </c>
      <c r="M373" s="901"/>
      <c r="N373" s="902"/>
    </row>
    <row r="374" spans="1:14" x14ac:dyDescent="0.25">
      <c r="A374" s="883" t="s">
        <v>4445</v>
      </c>
      <c r="B374" s="883" t="s">
        <v>4429</v>
      </c>
      <c r="C374" s="883" t="s">
        <v>4457</v>
      </c>
      <c r="D374" s="886">
        <v>8</v>
      </c>
      <c r="E374" s="887">
        <v>13</v>
      </c>
      <c r="F374" s="888">
        <f>ListaMaterial[[#This Row],[REPETIÇÃO]]*ListaMaterial[[#This Row],[QUANTIDADE]]</f>
        <v>104</v>
      </c>
      <c r="H374" s="890">
        <f>ListaMaterial[[#This Row],[TOTAL]]*(1+ListaMaterial[[#This Row],[PERDA]])</f>
        <v>104</v>
      </c>
      <c r="I374" s="887" t="s">
        <v>4243</v>
      </c>
      <c r="J374" s="891">
        <f>_xlfn.XLOOKUP(ListaMaterial[[#This Row],[ITEM]],M:M,N:N,,0)</f>
        <v>11.18</v>
      </c>
      <c r="K374" s="891">
        <f>J374*ListaMaterial[[#This Row],[TOTAL C/PERDA]]</f>
        <v>1162.72</v>
      </c>
      <c r="M374" s="901"/>
      <c r="N374" s="902"/>
    </row>
    <row r="375" spans="1:14" x14ac:dyDescent="0.25">
      <c r="A375" s="883" t="s">
        <v>4445</v>
      </c>
      <c r="B375" s="883" t="s">
        <v>4429</v>
      </c>
      <c r="C375" s="883" t="s">
        <v>4713</v>
      </c>
      <c r="D375" s="886">
        <v>6</v>
      </c>
      <c r="E375" s="887">
        <v>13</v>
      </c>
      <c r="F375" s="888">
        <f>ListaMaterial[[#This Row],[REPETIÇÃO]]*ListaMaterial[[#This Row],[QUANTIDADE]]</f>
        <v>78</v>
      </c>
      <c r="H375" s="890">
        <f>ListaMaterial[[#This Row],[TOTAL]]*(1+ListaMaterial[[#This Row],[PERDA]])</f>
        <v>78</v>
      </c>
      <c r="I375" s="887" t="s">
        <v>4243</v>
      </c>
      <c r="J375" s="891">
        <f>_xlfn.XLOOKUP(ListaMaterial[[#This Row],[ITEM]],M:M,N:N,,0)</f>
        <v>16.77</v>
      </c>
      <c r="K375" s="891">
        <f>J375*ListaMaterial[[#This Row],[TOTAL C/PERDA]]</f>
        <v>1308.06</v>
      </c>
      <c r="M375" s="901"/>
      <c r="N375" s="902"/>
    </row>
    <row r="376" spans="1:14" x14ac:dyDescent="0.25">
      <c r="A376" s="883" t="s">
        <v>4445</v>
      </c>
      <c r="B376" s="883" t="s">
        <v>4429</v>
      </c>
      <c r="C376" s="883" t="s">
        <v>4714</v>
      </c>
      <c r="D376" s="886">
        <v>25</v>
      </c>
      <c r="E376" s="887">
        <v>13</v>
      </c>
      <c r="F376" s="888">
        <f>ListaMaterial[[#This Row],[REPETIÇÃO]]*ListaMaterial[[#This Row],[QUANTIDADE]]</f>
        <v>325</v>
      </c>
      <c r="H376" s="890">
        <f>ListaMaterial[[#This Row],[TOTAL]]*(1+ListaMaterial[[#This Row],[PERDA]])</f>
        <v>325</v>
      </c>
      <c r="I376" s="887" t="s">
        <v>4243</v>
      </c>
      <c r="J376" s="891">
        <f>_xlfn.XLOOKUP(ListaMaterial[[#This Row],[ITEM]],M:M,N:N,,0)</f>
        <v>4.5960000000000001</v>
      </c>
      <c r="K376" s="891">
        <f>J376*ListaMaterial[[#This Row],[TOTAL C/PERDA]]</f>
        <v>1493.7</v>
      </c>
      <c r="M376" s="901"/>
      <c r="N376" s="902"/>
    </row>
    <row r="377" spans="1:14" x14ac:dyDescent="0.25">
      <c r="A377" s="883" t="s">
        <v>4445</v>
      </c>
      <c r="B377" s="883" t="s">
        <v>4429</v>
      </c>
      <c r="C377" s="883" t="s">
        <v>4715</v>
      </c>
      <c r="D377" s="886">
        <v>2</v>
      </c>
      <c r="E377" s="887">
        <v>13</v>
      </c>
      <c r="F377" s="888">
        <f>ListaMaterial[[#This Row],[REPETIÇÃO]]*ListaMaterial[[#This Row],[QUANTIDADE]]</f>
        <v>26</v>
      </c>
      <c r="H377" s="890">
        <f>ListaMaterial[[#This Row],[TOTAL]]*(1+ListaMaterial[[#This Row],[PERDA]])</f>
        <v>26</v>
      </c>
      <c r="I377" s="887" t="s">
        <v>4243</v>
      </c>
      <c r="J377" s="891">
        <f>_xlfn.XLOOKUP(ListaMaterial[[#This Row],[ITEM]],M:M,N:N,,0)</f>
        <v>5.3247999999999998</v>
      </c>
      <c r="K377" s="891">
        <f>J377*ListaMaterial[[#This Row],[TOTAL C/PERDA]]</f>
        <v>138.44479999999999</v>
      </c>
      <c r="M377" s="901"/>
      <c r="N377" s="902"/>
    </row>
    <row r="378" spans="1:14" x14ac:dyDescent="0.25">
      <c r="A378" s="883" t="s">
        <v>4445</v>
      </c>
      <c r="B378" s="883" t="s">
        <v>4429</v>
      </c>
      <c r="C378" s="883" t="s">
        <v>4660</v>
      </c>
      <c r="D378" s="886">
        <v>50</v>
      </c>
      <c r="E378" s="887">
        <v>13</v>
      </c>
      <c r="F378" s="888">
        <f>ListaMaterial[[#This Row],[REPETIÇÃO]]*ListaMaterial[[#This Row],[QUANTIDADE]]</f>
        <v>650</v>
      </c>
      <c r="H378" s="890">
        <f>ListaMaterial[[#This Row],[TOTAL]]*(1+ListaMaterial[[#This Row],[PERDA]])</f>
        <v>650</v>
      </c>
      <c r="I378" s="887" t="s">
        <v>4243</v>
      </c>
      <c r="J378" s="891">
        <f>_xlfn.XLOOKUP(ListaMaterial[[#This Row],[ITEM]],M:M,N:N,,0)</f>
        <v>0.98509999999999998</v>
      </c>
      <c r="K378" s="891">
        <f>J378*ListaMaterial[[#This Row],[TOTAL C/PERDA]]</f>
        <v>640.31499999999994</v>
      </c>
      <c r="M378" s="901"/>
      <c r="N378" s="902"/>
    </row>
    <row r="379" spans="1:14" x14ac:dyDescent="0.25">
      <c r="A379" s="883" t="s">
        <v>4445</v>
      </c>
      <c r="B379" s="883" t="s">
        <v>4429</v>
      </c>
      <c r="C379" s="883" t="s">
        <v>4716</v>
      </c>
      <c r="D379" s="886">
        <v>4</v>
      </c>
      <c r="E379" s="887">
        <v>13</v>
      </c>
      <c r="F379" s="888">
        <f>ListaMaterial[[#This Row],[REPETIÇÃO]]*ListaMaterial[[#This Row],[QUANTIDADE]]</f>
        <v>52</v>
      </c>
      <c r="H379" s="890">
        <f>ListaMaterial[[#This Row],[TOTAL]]*(1+ListaMaterial[[#This Row],[PERDA]])</f>
        <v>52</v>
      </c>
      <c r="I379" s="887" t="s">
        <v>4243</v>
      </c>
      <c r="J379" s="891">
        <f>_xlfn.XLOOKUP(ListaMaterial[[#This Row],[ITEM]],M:M,N:N,,0)</f>
        <v>2.5177999999999998</v>
      </c>
      <c r="K379" s="891">
        <f>J379*ListaMaterial[[#This Row],[TOTAL C/PERDA]]</f>
        <v>130.9256</v>
      </c>
      <c r="M379" s="901"/>
      <c r="N379" s="902"/>
    </row>
    <row r="380" spans="1:14" x14ac:dyDescent="0.25">
      <c r="A380" s="883" t="s">
        <v>4445</v>
      </c>
      <c r="B380" s="883" t="s">
        <v>4431</v>
      </c>
      <c r="C380" s="883" t="s">
        <v>4746</v>
      </c>
      <c r="D380" s="886">
        <v>6</v>
      </c>
      <c r="E380" s="887">
        <v>13</v>
      </c>
      <c r="F380" s="888">
        <f>ListaMaterial[[#This Row],[REPETIÇÃO]]*ListaMaterial[[#This Row],[QUANTIDADE]]</f>
        <v>78</v>
      </c>
      <c r="H380" s="890">
        <f>ListaMaterial[[#This Row],[TOTAL]]*(1+ListaMaterial[[#This Row],[PERDA]])</f>
        <v>78</v>
      </c>
      <c r="I380" s="887" t="s">
        <v>4243</v>
      </c>
      <c r="J380" s="891">
        <f>_xlfn.XLOOKUP(ListaMaterial[[#This Row],[ITEM]],M:M,N:N,,0)</f>
        <v>21.8</v>
      </c>
      <c r="K380" s="891">
        <f>J380*ListaMaterial[[#This Row],[TOTAL C/PERDA]]</f>
        <v>1700.4</v>
      </c>
      <c r="M380" s="901"/>
      <c r="N380" s="902"/>
    </row>
    <row r="381" spans="1:14" x14ac:dyDescent="0.25">
      <c r="A381" s="883" t="s">
        <v>4445</v>
      </c>
      <c r="B381" s="883" t="s">
        <v>4431</v>
      </c>
      <c r="C381" s="883" t="s">
        <v>4717</v>
      </c>
      <c r="D381" s="886">
        <v>12</v>
      </c>
      <c r="E381" s="887">
        <v>13</v>
      </c>
      <c r="F381" s="888">
        <f>ListaMaterial[[#This Row],[REPETIÇÃO]]*ListaMaterial[[#This Row],[QUANTIDADE]]</f>
        <v>156</v>
      </c>
      <c r="H381" s="890">
        <f>ListaMaterial[[#This Row],[TOTAL]]*(1+ListaMaterial[[#This Row],[PERDA]])</f>
        <v>156</v>
      </c>
      <c r="I381" s="887" t="s">
        <v>4243</v>
      </c>
      <c r="J381" s="891">
        <f>_xlfn.XLOOKUP(ListaMaterial[[#This Row],[ITEM]],M:M,N:N,,0)</f>
        <v>9.4</v>
      </c>
      <c r="K381" s="891">
        <f>J381*ListaMaterial[[#This Row],[TOTAL C/PERDA]]</f>
        <v>1466.4</v>
      </c>
      <c r="M381" s="901"/>
      <c r="N381" s="902"/>
    </row>
    <row r="382" spans="1:14" x14ac:dyDescent="0.25">
      <c r="A382" s="883" t="s">
        <v>4445</v>
      </c>
      <c r="B382" s="883" t="s">
        <v>4431</v>
      </c>
      <c r="C382" s="883" t="s">
        <v>4718</v>
      </c>
      <c r="D382" s="886">
        <v>21</v>
      </c>
      <c r="E382" s="887">
        <v>13</v>
      </c>
      <c r="F382" s="888">
        <f>ListaMaterial[[#This Row],[REPETIÇÃO]]*ListaMaterial[[#This Row],[QUANTIDADE]]</f>
        <v>273</v>
      </c>
      <c r="H382" s="890">
        <f>ListaMaterial[[#This Row],[TOTAL]]*(1+ListaMaterial[[#This Row],[PERDA]])</f>
        <v>273</v>
      </c>
      <c r="I382" s="887" t="s">
        <v>4243</v>
      </c>
      <c r="J382" s="891">
        <f>_xlfn.XLOOKUP(ListaMaterial[[#This Row],[ITEM]],M:M,N:N,,0)</f>
        <v>5.59</v>
      </c>
      <c r="K382" s="891">
        <f>J382*ListaMaterial[[#This Row],[TOTAL C/PERDA]]</f>
        <v>1526.07</v>
      </c>
      <c r="M382" s="901"/>
      <c r="N382" s="902"/>
    </row>
    <row r="383" spans="1:14" x14ac:dyDescent="0.25">
      <c r="A383" s="883" t="s">
        <v>4445</v>
      </c>
      <c r="B383" s="883" t="s">
        <v>4431</v>
      </c>
      <c r="C383" s="883" t="s">
        <v>4719</v>
      </c>
      <c r="D383" s="886">
        <v>9</v>
      </c>
      <c r="E383" s="887">
        <v>13</v>
      </c>
      <c r="F383" s="888">
        <f>ListaMaterial[[#This Row],[REPETIÇÃO]]*ListaMaterial[[#This Row],[QUANTIDADE]]</f>
        <v>117</v>
      </c>
      <c r="H383" s="890">
        <f>ListaMaterial[[#This Row],[TOTAL]]*(1+ListaMaterial[[#This Row],[PERDA]])</f>
        <v>117</v>
      </c>
      <c r="I383" s="887" t="s">
        <v>4243</v>
      </c>
      <c r="J383" s="891">
        <f>_xlfn.XLOOKUP(ListaMaterial[[#This Row],[ITEM]],M:M,N:N,,0)</f>
        <v>6.7110000000000003</v>
      </c>
      <c r="K383" s="891">
        <f>J383*ListaMaterial[[#This Row],[TOTAL C/PERDA]]</f>
        <v>785.18700000000001</v>
      </c>
      <c r="M383" s="901"/>
      <c r="N383" s="902"/>
    </row>
    <row r="384" spans="1:14" x14ac:dyDescent="0.25">
      <c r="A384" s="883" t="s">
        <v>4445</v>
      </c>
      <c r="B384" s="883" t="s">
        <v>4431</v>
      </c>
      <c r="C384" s="883" t="s">
        <v>4690</v>
      </c>
      <c r="D384" s="886">
        <v>16</v>
      </c>
      <c r="E384" s="887">
        <v>13</v>
      </c>
      <c r="F384" s="888">
        <f>ListaMaterial[[#This Row],[REPETIÇÃO]]*ListaMaterial[[#This Row],[QUANTIDADE]]</f>
        <v>208</v>
      </c>
      <c r="H384" s="890">
        <f>ListaMaterial[[#This Row],[TOTAL]]*(1+ListaMaterial[[#This Row],[PERDA]])</f>
        <v>208</v>
      </c>
      <c r="I384" s="887" t="s">
        <v>4243</v>
      </c>
      <c r="J384" s="891">
        <f>_xlfn.XLOOKUP(ListaMaterial[[#This Row],[ITEM]],M:M,N:N,,0)</f>
        <v>11.18</v>
      </c>
      <c r="K384" s="891">
        <f>J384*ListaMaterial[[#This Row],[TOTAL C/PERDA]]</f>
        <v>2325.44</v>
      </c>
      <c r="M384" s="901"/>
      <c r="N384" s="902"/>
    </row>
    <row r="385" spans="1:14" x14ac:dyDescent="0.25">
      <c r="A385" s="883" t="s">
        <v>4445</v>
      </c>
      <c r="B385" s="883" t="s">
        <v>4431</v>
      </c>
      <c r="C385" s="883" t="s">
        <v>4747</v>
      </c>
      <c r="D385" s="886">
        <v>12</v>
      </c>
      <c r="E385" s="887">
        <v>13</v>
      </c>
      <c r="F385" s="888">
        <f>ListaMaterial[[#This Row],[REPETIÇÃO]]*ListaMaterial[[#This Row],[QUANTIDADE]]</f>
        <v>156</v>
      </c>
      <c r="H385" s="890">
        <f>ListaMaterial[[#This Row],[TOTAL]]*(1+ListaMaterial[[#This Row],[PERDA]])</f>
        <v>156</v>
      </c>
      <c r="I385" s="887" t="s">
        <v>4243</v>
      </c>
      <c r="J385" s="891">
        <f>_xlfn.XLOOKUP(ListaMaterial[[#This Row],[ITEM]],M:M,N:N,,0)</f>
        <v>9.52</v>
      </c>
      <c r="K385" s="891">
        <f>J385*ListaMaterial[[#This Row],[TOTAL C/PERDA]]</f>
        <v>1485.12</v>
      </c>
      <c r="M385" s="901"/>
      <c r="N385" s="902"/>
    </row>
    <row r="386" spans="1:14" x14ac:dyDescent="0.25">
      <c r="A386" s="883" t="s">
        <v>4445</v>
      </c>
      <c r="B386" s="883" t="s">
        <v>4431</v>
      </c>
      <c r="C386" s="883" t="s">
        <v>4720</v>
      </c>
      <c r="D386" s="886">
        <v>24</v>
      </c>
      <c r="E386" s="887">
        <v>13</v>
      </c>
      <c r="F386" s="888">
        <f>ListaMaterial[[#This Row],[REPETIÇÃO]]*ListaMaterial[[#This Row],[QUANTIDADE]]</f>
        <v>312</v>
      </c>
      <c r="H386" s="890">
        <f>ListaMaterial[[#This Row],[TOTAL]]*(1+ListaMaterial[[#This Row],[PERDA]])</f>
        <v>312</v>
      </c>
      <c r="I386" s="887" t="s">
        <v>4243</v>
      </c>
      <c r="J386" s="891">
        <f>_xlfn.XLOOKUP(ListaMaterial[[#This Row],[ITEM]],M:M,N:N,,0)</f>
        <v>7.83</v>
      </c>
      <c r="K386" s="891">
        <f>J386*ListaMaterial[[#This Row],[TOTAL C/PERDA]]</f>
        <v>2442.96</v>
      </c>
      <c r="M386" s="901"/>
      <c r="N386" s="902"/>
    </row>
    <row r="387" spans="1:14" x14ac:dyDescent="0.25">
      <c r="A387" s="883" t="s">
        <v>4445</v>
      </c>
      <c r="B387" s="883" t="s">
        <v>4431</v>
      </c>
      <c r="C387" s="883" t="s">
        <v>4664</v>
      </c>
      <c r="D387" s="886">
        <v>121</v>
      </c>
      <c r="E387" s="887">
        <v>13</v>
      </c>
      <c r="F387" s="888">
        <f>ListaMaterial[[#This Row],[REPETIÇÃO]]*ListaMaterial[[#This Row],[QUANTIDADE]]</f>
        <v>1573</v>
      </c>
      <c r="H387" s="890">
        <f>ListaMaterial[[#This Row],[TOTAL]]*(1+ListaMaterial[[#This Row],[PERDA]])</f>
        <v>1573</v>
      </c>
      <c r="I387" s="887" t="s">
        <v>4243</v>
      </c>
      <c r="J387" s="891">
        <f>_xlfn.XLOOKUP(ListaMaterial[[#This Row],[ITEM]],M:M,N:N,,0)</f>
        <v>10.06</v>
      </c>
      <c r="K387" s="891">
        <f>J387*ListaMaterial[[#This Row],[TOTAL C/PERDA]]</f>
        <v>15824.380000000001</v>
      </c>
      <c r="M387" s="901"/>
      <c r="N387" s="902"/>
    </row>
    <row r="388" spans="1:14" x14ac:dyDescent="0.25">
      <c r="A388" s="883" t="s">
        <v>4445</v>
      </c>
      <c r="B388" s="883" t="s">
        <v>4431</v>
      </c>
      <c r="C388" s="883" t="s">
        <v>4666</v>
      </c>
      <c r="D388" s="886">
        <v>33</v>
      </c>
      <c r="E388" s="887">
        <v>13</v>
      </c>
      <c r="F388" s="888">
        <f>ListaMaterial[[#This Row],[REPETIÇÃO]]*ListaMaterial[[#This Row],[QUANTIDADE]]</f>
        <v>429</v>
      </c>
      <c r="H388" s="890">
        <f>ListaMaterial[[#This Row],[TOTAL]]*(1+ListaMaterial[[#This Row],[PERDA]])</f>
        <v>429</v>
      </c>
      <c r="I388" s="887" t="s">
        <v>4243</v>
      </c>
      <c r="J388" s="891">
        <f>_xlfn.XLOOKUP(ListaMaterial[[#This Row],[ITEM]],M:M,N:N,,0)</f>
        <v>24.6</v>
      </c>
      <c r="K388" s="891">
        <f>J388*ListaMaterial[[#This Row],[TOTAL C/PERDA]]</f>
        <v>10553.400000000001</v>
      </c>
      <c r="M388" s="901"/>
      <c r="N388" s="902"/>
    </row>
    <row r="389" spans="1:14" x14ac:dyDescent="0.25">
      <c r="A389" s="883" t="s">
        <v>4445</v>
      </c>
      <c r="B389" s="883" t="s">
        <v>4431</v>
      </c>
      <c r="C389" s="883" t="s">
        <v>4721</v>
      </c>
      <c r="D389" s="886">
        <v>23</v>
      </c>
      <c r="E389" s="887">
        <v>13</v>
      </c>
      <c r="F389" s="888">
        <f>ListaMaterial[[#This Row],[REPETIÇÃO]]*ListaMaterial[[#This Row],[QUANTIDADE]]</f>
        <v>299</v>
      </c>
      <c r="H389" s="890">
        <f>ListaMaterial[[#This Row],[TOTAL]]*(1+ListaMaterial[[#This Row],[PERDA]])</f>
        <v>299</v>
      </c>
      <c r="I389" s="887" t="s">
        <v>4243</v>
      </c>
      <c r="J389" s="891">
        <f>_xlfn.XLOOKUP(ListaMaterial[[#This Row],[ITEM]],M:M,N:N,,0)</f>
        <v>8.94</v>
      </c>
      <c r="K389" s="891">
        <f>J389*ListaMaterial[[#This Row],[TOTAL C/PERDA]]</f>
        <v>2673.06</v>
      </c>
      <c r="M389" s="901"/>
      <c r="N389" s="902"/>
    </row>
    <row r="390" spans="1:14" x14ac:dyDescent="0.25">
      <c r="A390" s="883" t="s">
        <v>4445</v>
      </c>
      <c r="B390" s="883" t="s">
        <v>4431</v>
      </c>
      <c r="C390" s="883" t="s">
        <v>4667</v>
      </c>
      <c r="D390" s="886">
        <v>61</v>
      </c>
      <c r="E390" s="887">
        <v>13</v>
      </c>
      <c r="F390" s="888">
        <f>ListaMaterial[[#This Row],[REPETIÇÃO]]*ListaMaterial[[#This Row],[QUANTIDADE]]</f>
        <v>793</v>
      </c>
      <c r="H390" s="890">
        <f>ListaMaterial[[#This Row],[TOTAL]]*(1+ListaMaterial[[#This Row],[PERDA]])</f>
        <v>793</v>
      </c>
      <c r="I390" s="887" t="s">
        <v>4243</v>
      </c>
      <c r="J390" s="891">
        <f>_xlfn.XLOOKUP(ListaMaterial[[#This Row],[ITEM]],M:M,N:N,,0)</f>
        <v>11.18</v>
      </c>
      <c r="K390" s="891">
        <f>J390*ListaMaterial[[#This Row],[TOTAL C/PERDA]]</f>
        <v>8865.74</v>
      </c>
      <c r="M390" s="901"/>
      <c r="N390" s="902"/>
    </row>
    <row r="391" spans="1:14" x14ac:dyDescent="0.25">
      <c r="A391" s="883" t="s">
        <v>4445</v>
      </c>
      <c r="B391" s="883" t="s">
        <v>4431</v>
      </c>
      <c r="C391" s="883" t="s">
        <v>4458</v>
      </c>
      <c r="D391" s="886">
        <v>18</v>
      </c>
      <c r="E391" s="887">
        <v>13</v>
      </c>
      <c r="F391" s="888">
        <f>ListaMaterial[[#This Row],[REPETIÇÃO]]*ListaMaterial[[#This Row],[QUANTIDADE]]</f>
        <v>234</v>
      </c>
      <c r="H391" s="890">
        <f>ListaMaterial[[#This Row],[TOTAL]]*(1+ListaMaterial[[#This Row],[PERDA]])</f>
        <v>234</v>
      </c>
      <c r="I391" s="887" t="s">
        <v>4243</v>
      </c>
      <c r="J391" s="891">
        <f>_xlfn.XLOOKUP(ListaMaterial[[#This Row],[ITEM]],M:M,N:N,,0)</f>
        <v>27.96</v>
      </c>
      <c r="K391" s="891">
        <f>J391*ListaMaterial[[#This Row],[TOTAL C/PERDA]]</f>
        <v>6542.64</v>
      </c>
      <c r="M391" s="901"/>
      <c r="N391" s="902"/>
    </row>
    <row r="392" spans="1:14" x14ac:dyDescent="0.25">
      <c r="A392" s="883" t="s">
        <v>4445</v>
      </c>
      <c r="B392" s="883" t="s">
        <v>4431</v>
      </c>
      <c r="C392" s="883" t="s">
        <v>4722</v>
      </c>
      <c r="D392" s="886">
        <v>21</v>
      </c>
      <c r="E392" s="887">
        <v>13</v>
      </c>
      <c r="F392" s="888">
        <f>ListaMaterial[[#This Row],[REPETIÇÃO]]*ListaMaterial[[#This Row],[QUANTIDADE]]</f>
        <v>273</v>
      </c>
      <c r="H392" s="890">
        <f>ListaMaterial[[#This Row],[TOTAL]]*(1+ListaMaterial[[#This Row],[PERDA]])</f>
        <v>273</v>
      </c>
      <c r="I392" s="887" t="s">
        <v>4243</v>
      </c>
      <c r="J392" s="891">
        <f>_xlfn.XLOOKUP(ListaMaterial[[#This Row],[ITEM]],M:M,N:N,,0)</f>
        <v>13.42</v>
      </c>
      <c r="K392" s="891">
        <f>J392*ListaMaterial[[#This Row],[TOTAL C/PERDA]]</f>
        <v>3663.66</v>
      </c>
      <c r="M392" s="901"/>
      <c r="N392" s="902"/>
    </row>
    <row r="393" spans="1:14" x14ac:dyDescent="0.25">
      <c r="A393" s="883" t="s">
        <v>4445</v>
      </c>
      <c r="B393" s="883" t="s">
        <v>4431</v>
      </c>
      <c r="C393" s="883" t="s">
        <v>4723</v>
      </c>
      <c r="D393" s="886">
        <v>29</v>
      </c>
      <c r="E393" s="887">
        <v>13</v>
      </c>
      <c r="F393" s="888">
        <f>ListaMaterial[[#This Row],[REPETIÇÃO]]*ListaMaterial[[#This Row],[QUANTIDADE]]</f>
        <v>377</v>
      </c>
      <c r="H393" s="890">
        <f>ListaMaterial[[#This Row],[TOTAL]]*(1+ListaMaterial[[#This Row],[PERDA]])</f>
        <v>377</v>
      </c>
      <c r="I393" s="887" t="s">
        <v>4243</v>
      </c>
      <c r="J393" s="891">
        <f>_xlfn.XLOOKUP(ListaMaterial[[#This Row],[ITEM]],M:M,N:N,,0)</f>
        <v>39.150199999999998</v>
      </c>
      <c r="K393" s="891">
        <f>J393*ListaMaterial[[#This Row],[TOTAL C/PERDA]]</f>
        <v>14759.625399999999</v>
      </c>
      <c r="M393" s="901"/>
      <c r="N393" s="902"/>
    </row>
    <row r="394" spans="1:14" x14ac:dyDescent="0.25">
      <c r="A394" s="883" t="s">
        <v>4445</v>
      </c>
      <c r="B394" s="883" t="s">
        <v>4431</v>
      </c>
      <c r="C394" s="883" t="s">
        <v>4726</v>
      </c>
      <c r="D394" s="886">
        <v>8</v>
      </c>
      <c r="E394" s="887">
        <v>13</v>
      </c>
      <c r="F394" s="888">
        <f>ListaMaterial[[#This Row],[REPETIÇÃO]]*ListaMaterial[[#This Row],[QUANTIDADE]]</f>
        <v>104</v>
      </c>
      <c r="H394" s="890">
        <f>ListaMaterial[[#This Row],[TOTAL]]*(1+ListaMaterial[[#This Row],[PERDA]])</f>
        <v>104</v>
      </c>
      <c r="I394" s="887" t="s">
        <v>4243</v>
      </c>
      <c r="J394" s="891">
        <f>_xlfn.XLOOKUP(ListaMaterial[[#This Row],[ITEM]],M:M,N:N,,0)</f>
        <v>16.77</v>
      </c>
      <c r="K394" s="891">
        <f>J394*ListaMaterial[[#This Row],[TOTAL C/PERDA]]</f>
        <v>1744.08</v>
      </c>
      <c r="M394" s="901"/>
      <c r="N394" s="902"/>
    </row>
    <row r="395" spans="1:14" x14ac:dyDescent="0.25">
      <c r="A395" s="883" t="s">
        <v>4445</v>
      </c>
      <c r="B395" s="883" t="s">
        <v>4431</v>
      </c>
      <c r="C395" s="883" t="s">
        <v>4669</v>
      </c>
      <c r="D395" s="886">
        <v>7</v>
      </c>
      <c r="E395" s="887">
        <v>13</v>
      </c>
      <c r="F395" s="888">
        <f>ListaMaterial[[#This Row],[REPETIÇÃO]]*ListaMaterial[[#This Row],[QUANTIDADE]]</f>
        <v>91</v>
      </c>
      <c r="H395" s="890">
        <f>ListaMaterial[[#This Row],[TOTAL]]*(1+ListaMaterial[[#This Row],[PERDA]])</f>
        <v>91</v>
      </c>
      <c r="I395" s="887" t="s">
        <v>4243</v>
      </c>
      <c r="J395" s="891">
        <f>_xlfn.XLOOKUP(ListaMaterial[[#This Row],[ITEM]],M:M,N:N,,0)</f>
        <v>33.549999999999997</v>
      </c>
      <c r="K395" s="891">
        <f>J395*ListaMaterial[[#This Row],[TOTAL C/PERDA]]</f>
        <v>3053.0499999999997</v>
      </c>
      <c r="M395" s="901"/>
      <c r="N395" s="902"/>
    </row>
    <row r="396" spans="1:14" x14ac:dyDescent="0.25">
      <c r="A396" s="883" t="s">
        <v>4445</v>
      </c>
      <c r="B396" s="883" t="s">
        <v>4431</v>
      </c>
      <c r="C396" s="883" t="s">
        <v>4694</v>
      </c>
      <c r="D396" s="886">
        <v>148</v>
      </c>
      <c r="E396" s="887">
        <v>13</v>
      </c>
      <c r="F396" s="888">
        <f>ListaMaterial[[#This Row],[REPETIÇÃO]]*ListaMaterial[[#This Row],[QUANTIDADE]]</f>
        <v>1924</v>
      </c>
      <c r="H396" s="890">
        <f>ListaMaterial[[#This Row],[TOTAL]]*(1+ListaMaterial[[#This Row],[PERDA]])</f>
        <v>1924</v>
      </c>
      <c r="I396" s="887" t="s">
        <v>4243</v>
      </c>
      <c r="J396" s="891">
        <f>_xlfn.XLOOKUP(ListaMaterial[[#This Row],[ITEM]],M:M,N:N,,0)</f>
        <v>6.7110000000000003</v>
      </c>
      <c r="K396" s="891">
        <f>J396*ListaMaterial[[#This Row],[TOTAL C/PERDA]]</f>
        <v>12911.964</v>
      </c>
      <c r="M396" s="901"/>
      <c r="N396" s="902"/>
    </row>
    <row r="397" spans="1:14" x14ac:dyDescent="0.25">
      <c r="A397" s="883" t="s">
        <v>4445</v>
      </c>
      <c r="B397" s="883" t="s">
        <v>4431</v>
      </c>
      <c r="C397" s="883" t="s">
        <v>4695</v>
      </c>
      <c r="D397" s="886">
        <v>1</v>
      </c>
      <c r="E397" s="887">
        <v>13</v>
      </c>
      <c r="F397" s="888">
        <f>ListaMaterial[[#This Row],[REPETIÇÃO]]*ListaMaterial[[#This Row],[QUANTIDADE]]</f>
        <v>13</v>
      </c>
      <c r="H397" s="890">
        <f>ListaMaterial[[#This Row],[TOTAL]]*(1+ListaMaterial[[#This Row],[PERDA]])</f>
        <v>13</v>
      </c>
      <c r="I397" s="887" t="s">
        <v>4243</v>
      </c>
      <c r="J397" s="891">
        <f>_xlfn.XLOOKUP(ListaMaterial[[#This Row],[ITEM]],M:M,N:N,,0)</f>
        <v>8.9486000000000008</v>
      </c>
      <c r="K397" s="891">
        <f>J397*ListaMaterial[[#This Row],[TOTAL C/PERDA]]</f>
        <v>116.33180000000002</v>
      </c>
      <c r="M397" s="901"/>
      <c r="N397" s="902"/>
    </row>
    <row r="398" spans="1:14" x14ac:dyDescent="0.25">
      <c r="A398" s="883" t="s">
        <v>4445</v>
      </c>
      <c r="B398" s="883" t="s">
        <v>4431</v>
      </c>
      <c r="C398" s="883" t="s">
        <v>4459</v>
      </c>
      <c r="D398" s="886">
        <v>67</v>
      </c>
      <c r="E398" s="887">
        <v>13</v>
      </c>
      <c r="F398" s="888">
        <f>ListaMaterial[[#This Row],[REPETIÇÃO]]*ListaMaterial[[#This Row],[QUANTIDADE]]</f>
        <v>871</v>
      </c>
      <c r="H398" s="890">
        <f>ListaMaterial[[#This Row],[TOTAL]]*(1+ListaMaterial[[#This Row],[PERDA]])</f>
        <v>871</v>
      </c>
      <c r="I398" s="887" t="s">
        <v>4243</v>
      </c>
      <c r="J398" s="891">
        <f>_xlfn.XLOOKUP(ListaMaterial[[#This Row],[ITEM]],M:M,N:N,,0)</f>
        <v>13.42</v>
      </c>
      <c r="K398" s="891">
        <f>J398*ListaMaterial[[#This Row],[TOTAL C/PERDA]]</f>
        <v>11688.82</v>
      </c>
      <c r="M398" s="901"/>
      <c r="N398" s="902"/>
    </row>
    <row r="399" spans="1:14" x14ac:dyDescent="0.25">
      <c r="A399" s="883" t="s">
        <v>4445</v>
      </c>
      <c r="B399" s="883" t="s">
        <v>4431</v>
      </c>
      <c r="C399" s="883" t="s">
        <v>4730</v>
      </c>
      <c r="D399" s="886">
        <v>29</v>
      </c>
      <c r="E399" s="887">
        <v>13</v>
      </c>
      <c r="F399" s="888">
        <f>ListaMaterial[[#This Row],[REPETIÇÃO]]*ListaMaterial[[#This Row],[QUANTIDADE]]</f>
        <v>377</v>
      </c>
      <c r="H399" s="890">
        <f>ListaMaterial[[#This Row],[TOTAL]]*(1+ListaMaterial[[#This Row],[PERDA]])</f>
        <v>377</v>
      </c>
      <c r="I399" s="887" t="s">
        <v>4243</v>
      </c>
      <c r="J399" s="891">
        <f>_xlfn.XLOOKUP(ListaMaterial[[#This Row],[ITEM]],M:M,N:N,,0)</f>
        <v>9.14</v>
      </c>
      <c r="K399" s="891">
        <f>J399*ListaMaterial[[#This Row],[TOTAL C/PERDA]]</f>
        <v>3445.78</v>
      </c>
      <c r="M399" s="901"/>
      <c r="N399" s="902"/>
    </row>
    <row r="400" spans="1:14" x14ac:dyDescent="0.25">
      <c r="A400" s="883" t="s">
        <v>4445</v>
      </c>
      <c r="B400" s="883" t="s">
        <v>4431</v>
      </c>
      <c r="C400" s="883" t="s">
        <v>4731</v>
      </c>
      <c r="D400" s="886">
        <v>1</v>
      </c>
      <c r="E400" s="887">
        <v>13</v>
      </c>
      <c r="F400" s="888">
        <f>ListaMaterial[[#This Row],[REPETIÇÃO]]*ListaMaterial[[#This Row],[QUANTIDADE]]</f>
        <v>13</v>
      </c>
      <c r="H400" s="890">
        <f>ListaMaterial[[#This Row],[TOTAL]]*(1+ListaMaterial[[#This Row],[PERDA]])</f>
        <v>13</v>
      </c>
      <c r="I400" s="887" t="s">
        <v>4243</v>
      </c>
      <c r="J400" s="891">
        <f>_xlfn.XLOOKUP(ListaMaterial[[#This Row],[ITEM]],M:M,N:N,,0)</f>
        <v>12.15</v>
      </c>
      <c r="K400" s="891">
        <f>J400*ListaMaterial[[#This Row],[TOTAL C/PERDA]]</f>
        <v>157.95000000000002</v>
      </c>
      <c r="M400" s="901"/>
      <c r="N400" s="902"/>
    </row>
    <row r="401" spans="1:14" x14ac:dyDescent="0.25">
      <c r="A401" s="883" t="s">
        <v>4445</v>
      </c>
      <c r="B401" s="883" t="s">
        <v>4441</v>
      </c>
      <c r="C401" s="883" t="s">
        <v>4748</v>
      </c>
      <c r="D401" s="886">
        <v>8</v>
      </c>
      <c r="E401" s="887">
        <v>13</v>
      </c>
      <c r="F401" s="888">
        <f>ListaMaterial[[#This Row],[REPETIÇÃO]]*ListaMaterial[[#This Row],[QUANTIDADE]]</f>
        <v>104</v>
      </c>
      <c r="H401" s="890">
        <f>ListaMaterial[[#This Row],[TOTAL]]*(1+ListaMaterial[[#This Row],[PERDA]])</f>
        <v>104</v>
      </c>
      <c r="I401" s="887" t="s">
        <v>4243</v>
      </c>
      <c r="J401" s="891">
        <f>_xlfn.XLOOKUP(ListaMaterial[[#This Row],[ITEM]],M:M,N:N,,0)</f>
        <v>3.8</v>
      </c>
      <c r="K401" s="891">
        <f>J401*ListaMaterial[[#This Row],[TOTAL C/PERDA]]</f>
        <v>395.2</v>
      </c>
      <c r="M401" s="901"/>
      <c r="N401" s="902"/>
    </row>
    <row r="402" spans="1:14" x14ac:dyDescent="0.25">
      <c r="A402" s="883" t="s">
        <v>4445</v>
      </c>
      <c r="B402" s="883" t="s">
        <v>4441</v>
      </c>
      <c r="C402" s="883" t="s">
        <v>4870</v>
      </c>
      <c r="D402" s="886">
        <v>8</v>
      </c>
      <c r="E402" s="887">
        <v>13</v>
      </c>
      <c r="F402" s="888">
        <f>ListaMaterial[[#This Row],[REPETIÇÃO]]*ListaMaterial[[#This Row],[QUANTIDADE]]</f>
        <v>104</v>
      </c>
      <c r="H402" s="890">
        <f>ListaMaterial[[#This Row],[TOTAL]]*(1+ListaMaterial[[#This Row],[PERDA]])</f>
        <v>104</v>
      </c>
      <c r="I402" s="887" t="s">
        <v>4243</v>
      </c>
      <c r="J402" s="891">
        <f>_xlfn.XLOOKUP(ListaMaterial[[#This Row],[ITEM]],M:M,N:N,,0)</f>
        <v>4.3099999999999996</v>
      </c>
      <c r="K402" s="891">
        <f>J402*ListaMaterial[[#This Row],[TOTAL C/PERDA]]</f>
        <v>448.23999999999995</v>
      </c>
      <c r="M402" s="901"/>
      <c r="N402" s="902"/>
    </row>
    <row r="403" spans="1:14" x14ac:dyDescent="0.25">
      <c r="A403" s="883" t="s">
        <v>4445</v>
      </c>
      <c r="B403" s="883" t="s">
        <v>4441</v>
      </c>
      <c r="C403" s="883" t="s">
        <v>4843</v>
      </c>
      <c r="D403" s="886">
        <v>29</v>
      </c>
      <c r="E403" s="887">
        <v>13</v>
      </c>
      <c r="F403" s="888">
        <f>ListaMaterial[[#This Row],[REPETIÇÃO]]*ListaMaterial[[#This Row],[QUANTIDADE]]</f>
        <v>377</v>
      </c>
      <c r="H403" s="890">
        <f>ListaMaterial[[#This Row],[TOTAL]]*(1+ListaMaterial[[#This Row],[PERDA]])</f>
        <v>377</v>
      </c>
      <c r="I403" s="887" t="s">
        <v>4243</v>
      </c>
      <c r="J403" s="891">
        <f>_xlfn.XLOOKUP(ListaMaterial[[#This Row],[ITEM]],M:M,N:N,,0)</f>
        <v>13.016999999999999</v>
      </c>
      <c r="K403" s="891">
        <f>J403*ListaMaterial[[#This Row],[TOTAL C/PERDA]]</f>
        <v>4907.4089999999997</v>
      </c>
      <c r="M403" s="901"/>
      <c r="N403" s="902"/>
    </row>
    <row r="404" spans="1:14" x14ac:dyDescent="0.25">
      <c r="A404" s="883" t="s">
        <v>4445</v>
      </c>
      <c r="B404" s="883" t="s">
        <v>4441</v>
      </c>
      <c r="C404" s="883" t="s">
        <v>4871</v>
      </c>
      <c r="D404" s="886">
        <v>8</v>
      </c>
      <c r="E404" s="887">
        <v>13</v>
      </c>
      <c r="F404" s="888">
        <f>ListaMaterial[[#This Row],[REPETIÇÃO]]*ListaMaterial[[#This Row],[QUANTIDADE]]</f>
        <v>104</v>
      </c>
      <c r="H404" s="890">
        <f>ListaMaterial[[#This Row],[TOTAL]]*(1+ListaMaterial[[#This Row],[PERDA]])</f>
        <v>104</v>
      </c>
      <c r="I404" s="887" t="s">
        <v>4243</v>
      </c>
      <c r="J404" s="891">
        <f>_xlfn.XLOOKUP(ListaMaterial[[#This Row],[ITEM]],M:M,N:N,,0)</f>
        <v>4.78</v>
      </c>
      <c r="K404" s="891">
        <f>J404*ListaMaterial[[#This Row],[TOTAL C/PERDA]]</f>
        <v>497.12</v>
      </c>
      <c r="M404" s="901"/>
      <c r="N404" s="902"/>
    </row>
    <row r="405" spans="1:14" x14ac:dyDescent="0.25">
      <c r="A405" s="883" t="s">
        <v>4445</v>
      </c>
      <c r="B405" s="883" t="s">
        <v>4441</v>
      </c>
      <c r="C405" s="883" t="s">
        <v>4854</v>
      </c>
      <c r="D405" s="886">
        <v>23</v>
      </c>
      <c r="E405" s="887">
        <v>13</v>
      </c>
      <c r="F405" s="888">
        <f>ListaMaterial[[#This Row],[REPETIÇÃO]]*ListaMaterial[[#This Row],[QUANTIDADE]]</f>
        <v>299</v>
      </c>
      <c r="H405" s="890">
        <f>ListaMaterial[[#This Row],[TOTAL]]*(1+ListaMaterial[[#This Row],[PERDA]])</f>
        <v>299</v>
      </c>
      <c r="I405" s="887" t="s">
        <v>4243</v>
      </c>
      <c r="J405" s="891">
        <f>_xlfn.XLOOKUP(ListaMaterial[[#This Row],[ITEM]],M:M,N:N,,0)</f>
        <v>5.0599999999999996</v>
      </c>
      <c r="K405" s="891">
        <f>J405*ListaMaterial[[#This Row],[TOTAL C/PERDA]]</f>
        <v>1512.9399999999998</v>
      </c>
      <c r="M405" s="901"/>
      <c r="N405" s="902"/>
    </row>
    <row r="406" spans="1:14" x14ac:dyDescent="0.25">
      <c r="A406" s="883" t="s">
        <v>4445</v>
      </c>
      <c r="B406" s="883" t="s">
        <v>4441</v>
      </c>
      <c r="C406" s="883" t="s">
        <v>4726</v>
      </c>
      <c r="D406" s="886">
        <v>1</v>
      </c>
      <c r="E406" s="887">
        <v>13</v>
      </c>
      <c r="F406" s="888">
        <f>ListaMaterial[[#This Row],[REPETIÇÃO]]*ListaMaterial[[#This Row],[QUANTIDADE]]</f>
        <v>13</v>
      </c>
      <c r="H406" s="890">
        <f>ListaMaterial[[#This Row],[TOTAL]]*(1+ListaMaterial[[#This Row],[PERDA]])</f>
        <v>13</v>
      </c>
      <c r="I406" s="887" t="s">
        <v>4243</v>
      </c>
      <c r="J406" s="891">
        <f>_xlfn.XLOOKUP(ListaMaterial[[#This Row],[ITEM]],M:M,N:N,,0)</f>
        <v>16.77</v>
      </c>
      <c r="K406" s="891">
        <f>J406*ListaMaterial[[#This Row],[TOTAL C/PERDA]]</f>
        <v>218.01</v>
      </c>
      <c r="M406" s="901"/>
      <c r="N406" s="902"/>
    </row>
    <row r="407" spans="1:14" x14ac:dyDescent="0.25">
      <c r="A407" s="883" t="s">
        <v>4445</v>
      </c>
      <c r="B407" s="883" t="s">
        <v>4441</v>
      </c>
      <c r="C407" s="883" t="s">
        <v>4692</v>
      </c>
      <c r="D407" s="886">
        <v>7</v>
      </c>
      <c r="E407" s="887">
        <v>13</v>
      </c>
      <c r="F407" s="888">
        <f>ListaMaterial[[#This Row],[REPETIÇÃO]]*ListaMaterial[[#This Row],[QUANTIDADE]]</f>
        <v>91</v>
      </c>
      <c r="H407" s="890">
        <f>ListaMaterial[[#This Row],[TOTAL]]*(1+ListaMaterial[[#This Row],[PERDA]])</f>
        <v>91</v>
      </c>
      <c r="I407" s="887" t="s">
        <v>4243</v>
      </c>
      <c r="J407" s="891">
        <f>_xlfn.XLOOKUP(ListaMaterial[[#This Row],[ITEM]],M:M,N:N,,0)</f>
        <v>22.37</v>
      </c>
      <c r="K407" s="891">
        <f>J407*ListaMaterial[[#This Row],[TOTAL C/PERDA]]</f>
        <v>2035.67</v>
      </c>
      <c r="M407" s="901"/>
      <c r="N407" s="902"/>
    </row>
    <row r="408" spans="1:14" x14ac:dyDescent="0.25">
      <c r="A408" s="883" t="s">
        <v>4445</v>
      </c>
      <c r="B408" s="883" t="s">
        <v>4441</v>
      </c>
      <c r="C408" s="883" t="s">
        <v>4669</v>
      </c>
      <c r="D408" s="886">
        <v>28</v>
      </c>
      <c r="E408" s="887">
        <v>13</v>
      </c>
      <c r="F408" s="888">
        <f>ListaMaterial[[#This Row],[REPETIÇÃO]]*ListaMaterial[[#This Row],[QUANTIDADE]]</f>
        <v>364</v>
      </c>
      <c r="H408" s="890">
        <f>ListaMaterial[[#This Row],[TOTAL]]*(1+ListaMaterial[[#This Row],[PERDA]])</f>
        <v>364</v>
      </c>
      <c r="I408" s="887" t="s">
        <v>4243</v>
      </c>
      <c r="J408" s="891">
        <f>_xlfn.XLOOKUP(ListaMaterial[[#This Row],[ITEM]],M:M,N:N,,0)</f>
        <v>33.549999999999997</v>
      </c>
      <c r="K408" s="891">
        <f>J408*ListaMaterial[[#This Row],[TOTAL C/PERDA]]</f>
        <v>12212.199999999999</v>
      </c>
      <c r="M408" s="901"/>
      <c r="N408" s="902"/>
    </row>
    <row r="409" spans="1:14" x14ac:dyDescent="0.25">
      <c r="A409" s="883" t="s">
        <v>4445</v>
      </c>
      <c r="B409" s="883" t="s">
        <v>4441</v>
      </c>
      <c r="C409" s="883" t="s">
        <v>4671</v>
      </c>
      <c r="D409" s="886">
        <v>16</v>
      </c>
      <c r="E409" s="887">
        <v>13</v>
      </c>
      <c r="F409" s="888">
        <f>ListaMaterial[[#This Row],[REPETIÇÃO]]*ListaMaterial[[#This Row],[QUANTIDADE]]</f>
        <v>208</v>
      </c>
      <c r="H409" s="890">
        <f>ListaMaterial[[#This Row],[TOTAL]]*(1+ListaMaterial[[#This Row],[PERDA]])</f>
        <v>208</v>
      </c>
      <c r="I409" s="887" t="s">
        <v>4243</v>
      </c>
      <c r="J409" s="891">
        <f>_xlfn.XLOOKUP(ListaMaterial[[#This Row],[ITEM]],M:M,N:N,,0)</f>
        <v>44.74</v>
      </c>
      <c r="K409" s="891">
        <f>J409*ListaMaterial[[#This Row],[TOTAL C/PERDA]]</f>
        <v>9305.92</v>
      </c>
      <c r="M409" s="901"/>
      <c r="N409" s="902"/>
    </row>
    <row r="410" spans="1:14" x14ac:dyDescent="0.25">
      <c r="A410" s="883" t="s">
        <v>4445</v>
      </c>
      <c r="B410" s="883" t="s">
        <v>4441</v>
      </c>
      <c r="C410" s="883" t="s">
        <v>4672</v>
      </c>
      <c r="D410" s="886">
        <v>42</v>
      </c>
      <c r="E410" s="887">
        <v>13</v>
      </c>
      <c r="F410" s="888">
        <f>ListaMaterial[[#This Row],[REPETIÇÃO]]*ListaMaterial[[#This Row],[QUANTIDADE]]</f>
        <v>546</v>
      </c>
      <c r="H410" s="890">
        <f>ListaMaterial[[#This Row],[TOTAL]]*(1+ListaMaterial[[#This Row],[PERDA]])</f>
        <v>546</v>
      </c>
      <c r="I410" s="887" t="s">
        <v>4243</v>
      </c>
      <c r="J410" s="891">
        <f>_xlfn.XLOOKUP(ListaMaterial[[#This Row],[ITEM]],M:M,N:N,,0)</f>
        <v>8.94</v>
      </c>
      <c r="K410" s="891">
        <f>J410*ListaMaterial[[#This Row],[TOTAL C/PERDA]]</f>
        <v>4881.24</v>
      </c>
      <c r="M410" s="901"/>
      <c r="N410" s="902"/>
    </row>
    <row r="411" spans="1:14" x14ac:dyDescent="0.25">
      <c r="A411" s="883" t="s">
        <v>4445</v>
      </c>
      <c r="B411" s="883" t="s">
        <v>4441</v>
      </c>
      <c r="C411" s="883" t="s">
        <v>4673</v>
      </c>
      <c r="D411" s="886">
        <v>7</v>
      </c>
      <c r="E411" s="887">
        <v>13</v>
      </c>
      <c r="F411" s="888">
        <f>ListaMaterial[[#This Row],[REPETIÇÃO]]*ListaMaterial[[#This Row],[QUANTIDADE]]</f>
        <v>91</v>
      </c>
      <c r="H411" s="890">
        <f>ListaMaterial[[#This Row],[TOTAL]]*(1+ListaMaterial[[#This Row],[PERDA]])</f>
        <v>91</v>
      </c>
      <c r="I411" s="887" t="s">
        <v>4243</v>
      </c>
      <c r="J411" s="891">
        <f>_xlfn.XLOOKUP(ListaMaterial[[#This Row],[ITEM]],M:M,N:N,,0)</f>
        <v>5.95</v>
      </c>
      <c r="K411" s="891">
        <f>J411*ListaMaterial[[#This Row],[TOTAL C/PERDA]]</f>
        <v>541.45000000000005</v>
      </c>
      <c r="M411" s="901"/>
      <c r="N411" s="902"/>
    </row>
    <row r="412" spans="1:14" x14ac:dyDescent="0.25">
      <c r="A412" s="883" t="s">
        <v>4445</v>
      </c>
      <c r="B412" s="883" t="s">
        <v>4441</v>
      </c>
      <c r="C412" s="883" t="s">
        <v>4674</v>
      </c>
      <c r="D412" s="886">
        <v>33</v>
      </c>
      <c r="E412" s="887">
        <v>13</v>
      </c>
      <c r="F412" s="888">
        <f>ListaMaterial[[#This Row],[REPETIÇÃO]]*ListaMaterial[[#This Row],[QUANTIDADE]]</f>
        <v>429</v>
      </c>
      <c r="H412" s="890">
        <f>ListaMaterial[[#This Row],[TOTAL]]*(1+ListaMaterial[[#This Row],[PERDA]])</f>
        <v>429</v>
      </c>
      <c r="I412" s="887" t="s">
        <v>4243</v>
      </c>
      <c r="J412" s="891">
        <f>_xlfn.XLOOKUP(ListaMaterial[[#This Row],[ITEM]],M:M,N:N,,0)</f>
        <v>7.59</v>
      </c>
      <c r="K412" s="891">
        <f>J412*ListaMaterial[[#This Row],[TOTAL C/PERDA]]</f>
        <v>3256.11</v>
      </c>
      <c r="M412" s="901"/>
      <c r="N412" s="902"/>
    </row>
    <row r="413" spans="1:14" x14ac:dyDescent="0.25">
      <c r="A413" s="883" t="s">
        <v>4445</v>
      </c>
      <c r="B413" s="883" t="s">
        <v>4441</v>
      </c>
      <c r="C413" s="883" t="s">
        <v>4730</v>
      </c>
      <c r="D413" s="886">
        <v>8</v>
      </c>
      <c r="E413" s="887">
        <v>13</v>
      </c>
      <c r="F413" s="888">
        <f>ListaMaterial[[#This Row],[REPETIÇÃO]]*ListaMaterial[[#This Row],[QUANTIDADE]]</f>
        <v>104</v>
      </c>
      <c r="H413" s="890">
        <f>ListaMaterial[[#This Row],[TOTAL]]*(1+ListaMaterial[[#This Row],[PERDA]])</f>
        <v>104</v>
      </c>
      <c r="I413" s="887" t="s">
        <v>4243</v>
      </c>
      <c r="J413" s="891">
        <f>_xlfn.XLOOKUP(ListaMaterial[[#This Row],[ITEM]],M:M,N:N,,0)</f>
        <v>9.14</v>
      </c>
      <c r="K413" s="891">
        <f>J413*ListaMaterial[[#This Row],[TOTAL C/PERDA]]</f>
        <v>950.56000000000006</v>
      </c>
      <c r="M413" s="901"/>
      <c r="N413" s="902"/>
    </row>
    <row r="414" spans="1:14" x14ac:dyDescent="0.25">
      <c r="A414" s="883" t="s">
        <v>4445</v>
      </c>
      <c r="B414" s="883" t="s">
        <v>4441</v>
      </c>
      <c r="C414" s="883" t="s">
        <v>4733</v>
      </c>
      <c r="D414" s="886">
        <v>2</v>
      </c>
      <c r="E414" s="887">
        <v>13</v>
      </c>
      <c r="F414" s="888">
        <f>ListaMaterial[[#This Row],[REPETIÇÃO]]*ListaMaterial[[#This Row],[QUANTIDADE]]</f>
        <v>26</v>
      </c>
      <c r="H414" s="890">
        <f>ListaMaterial[[#This Row],[TOTAL]]*(1+ListaMaterial[[#This Row],[PERDA]])</f>
        <v>26</v>
      </c>
      <c r="I414" s="887" t="s">
        <v>4243</v>
      </c>
      <c r="J414" s="891">
        <f>_xlfn.XLOOKUP(ListaMaterial[[#This Row],[ITEM]],M:M,N:N,,0)</f>
        <v>28.9</v>
      </c>
      <c r="K414" s="891">
        <f>J414*ListaMaterial[[#This Row],[TOTAL C/PERDA]]</f>
        <v>751.4</v>
      </c>
      <c r="M414" s="901"/>
      <c r="N414" s="902"/>
    </row>
    <row r="415" spans="1:14" x14ac:dyDescent="0.25">
      <c r="A415" s="883" t="s">
        <v>4445</v>
      </c>
      <c r="B415" s="883" t="s">
        <v>4440</v>
      </c>
      <c r="C415" s="883" t="s">
        <v>4738</v>
      </c>
      <c r="D415" s="886">
        <v>49.41</v>
      </c>
      <c r="E415" s="887">
        <v>13</v>
      </c>
      <c r="F415" s="888">
        <f>ListaMaterial[[#This Row],[REPETIÇÃO]]*ListaMaterial[[#This Row],[QUANTIDADE]]</f>
        <v>642.32999999999993</v>
      </c>
      <c r="G415" s="889">
        <v>0.15</v>
      </c>
      <c r="H415" s="890">
        <f>ListaMaterial[[#This Row],[TOTAL]]*(1+ListaMaterial[[#This Row],[PERDA]])</f>
        <v>738.67949999999985</v>
      </c>
      <c r="I415" s="887" t="s">
        <v>3</v>
      </c>
      <c r="J415" s="891">
        <f>_xlfn.XLOOKUP(ListaMaterial[[#This Row],[ITEM]],M:M,N:N,,0)</f>
        <v>5.3983333333333334</v>
      </c>
      <c r="K415" s="891">
        <f>J415*ListaMaterial[[#This Row],[TOTAL C/PERDA]]</f>
        <v>3987.6381674999993</v>
      </c>
      <c r="M415" s="901"/>
      <c r="N415" s="902"/>
    </row>
    <row r="416" spans="1:14" x14ac:dyDescent="0.25">
      <c r="A416" s="883" t="s">
        <v>4445</v>
      </c>
      <c r="B416" s="883" t="s">
        <v>4440</v>
      </c>
      <c r="C416" s="883" t="s">
        <v>4700</v>
      </c>
      <c r="D416" s="886">
        <v>115.86</v>
      </c>
      <c r="E416" s="887">
        <v>13</v>
      </c>
      <c r="F416" s="888">
        <f>ListaMaterial[[#This Row],[REPETIÇÃO]]*ListaMaterial[[#This Row],[QUANTIDADE]]</f>
        <v>1506.18</v>
      </c>
      <c r="G416" s="889">
        <v>0.15</v>
      </c>
      <c r="H416" s="890">
        <f>ListaMaterial[[#This Row],[TOTAL]]*(1+ListaMaterial[[#This Row],[PERDA]])</f>
        <v>1732.107</v>
      </c>
      <c r="I416" s="887" t="s">
        <v>3</v>
      </c>
      <c r="J416" s="891">
        <f>_xlfn.XLOOKUP(ListaMaterial[[#This Row],[ITEM]],M:M,N:N,,0)</f>
        <v>13.42</v>
      </c>
      <c r="K416" s="891">
        <f>J416*ListaMaterial[[#This Row],[TOTAL C/PERDA]]</f>
        <v>23244.875939999998</v>
      </c>
      <c r="M416" s="901"/>
      <c r="N416" s="902"/>
    </row>
    <row r="417" spans="1:14" x14ac:dyDescent="0.25">
      <c r="A417" s="883" t="s">
        <v>4445</v>
      </c>
      <c r="B417" s="883" t="s">
        <v>4440</v>
      </c>
      <c r="C417" s="883" t="s">
        <v>4679</v>
      </c>
      <c r="D417" s="886">
        <v>93.28</v>
      </c>
      <c r="E417" s="887">
        <v>13</v>
      </c>
      <c r="F417" s="888">
        <f>ListaMaterial[[#This Row],[REPETIÇÃO]]*ListaMaterial[[#This Row],[QUANTIDADE]]</f>
        <v>1212.6400000000001</v>
      </c>
      <c r="G417" s="889">
        <v>0.15</v>
      </c>
      <c r="H417" s="890">
        <f>ListaMaterial[[#This Row],[TOTAL]]*(1+ListaMaterial[[#This Row],[PERDA]])</f>
        <v>1394.5360000000001</v>
      </c>
      <c r="I417" s="887" t="s">
        <v>3</v>
      </c>
      <c r="J417" s="891">
        <f>_xlfn.XLOOKUP(ListaMaterial[[#This Row],[ITEM]],M:M,N:N,,0)</f>
        <v>20.134399999999999</v>
      </c>
      <c r="K417" s="891">
        <f>J417*ListaMaterial[[#This Row],[TOTAL C/PERDA]]</f>
        <v>28078.145638400001</v>
      </c>
      <c r="M417" s="901"/>
      <c r="N417" s="902"/>
    </row>
    <row r="418" spans="1:14" x14ac:dyDescent="0.25">
      <c r="A418" s="883" t="s">
        <v>4445</v>
      </c>
      <c r="B418" s="883" t="s">
        <v>4440</v>
      </c>
      <c r="C418" s="883" t="s">
        <v>4739</v>
      </c>
      <c r="D418" s="886">
        <v>2.86</v>
      </c>
      <c r="E418" s="887">
        <v>13</v>
      </c>
      <c r="F418" s="888">
        <f>ListaMaterial[[#This Row],[REPETIÇÃO]]*ListaMaterial[[#This Row],[QUANTIDADE]]</f>
        <v>37.18</v>
      </c>
      <c r="G418" s="889">
        <v>0.15</v>
      </c>
      <c r="H418" s="890">
        <f>ListaMaterial[[#This Row],[TOTAL]]*(1+ListaMaterial[[#This Row],[PERDA]])</f>
        <v>42.756999999999998</v>
      </c>
      <c r="I418" s="887" t="s">
        <v>3</v>
      </c>
      <c r="J418" s="891">
        <f>_xlfn.XLOOKUP(ListaMaterial[[#This Row],[ITEM]],M:M,N:N,,0)</f>
        <v>29.966666666666669</v>
      </c>
      <c r="K418" s="891">
        <f>J418*ListaMaterial[[#This Row],[TOTAL C/PERDA]]</f>
        <v>1281.2847666666667</v>
      </c>
      <c r="M418" s="901"/>
      <c r="N418" s="902"/>
    </row>
    <row r="419" spans="1:14" x14ac:dyDescent="0.25">
      <c r="A419" s="883" t="s">
        <v>4445</v>
      </c>
      <c r="B419" s="883" t="s">
        <v>4618</v>
      </c>
      <c r="C419" s="883" t="s">
        <v>4749</v>
      </c>
      <c r="D419" s="886">
        <v>3.95</v>
      </c>
      <c r="E419" s="887">
        <v>13</v>
      </c>
      <c r="F419" s="888">
        <f>ListaMaterial[[#This Row],[REPETIÇÃO]]*ListaMaterial[[#This Row],[QUANTIDADE]]</f>
        <v>51.35</v>
      </c>
      <c r="G419" s="889">
        <v>0.15</v>
      </c>
      <c r="H419" s="890">
        <f>ListaMaterial[[#This Row],[TOTAL]]*(1+ListaMaterial[[#This Row],[PERDA]])</f>
        <v>59.052499999999995</v>
      </c>
      <c r="I419" s="887" t="s">
        <v>3</v>
      </c>
      <c r="J419" s="891">
        <f>_xlfn.XLOOKUP(ListaMaterial[[#This Row],[ITEM]],M:M,N:N,,0)</f>
        <v>18.898333333333333</v>
      </c>
      <c r="K419" s="891">
        <f>J419*ListaMaterial[[#This Row],[TOTAL C/PERDA]]</f>
        <v>1115.9938291666665</v>
      </c>
      <c r="M419" s="901"/>
      <c r="N419" s="902"/>
    </row>
    <row r="420" spans="1:14" x14ac:dyDescent="0.25">
      <c r="A420" s="883" t="s">
        <v>4445</v>
      </c>
      <c r="B420" s="883" t="s">
        <v>4618</v>
      </c>
      <c r="C420" s="883" t="s">
        <v>4680</v>
      </c>
      <c r="D420" s="886">
        <v>32.020000000000003</v>
      </c>
      <c r="E420" s="887">
        <v>13</v>
      </c>
      <c r="F420" s="888">
        <f>ListaMaterial[[#This Row],[REPETIÇÃO]]*ListaMaterial[[#This Row],[QUANTIDADE]]</f>
        <v>416.26000000000005</v>
      </c>
      <c r="G420" s="889">
        <v>0.15</v>
      </c>
      <c r="H420" s="890">
        <f>ListaMaterial[[#This Row],[TOTAL]]*(1+ListaMaterial[[#This Row],[PERDA]])</f>
        <v>478.69900000000001</v>
      </c>
      <c r="I420" s="887" t="s">
        <v>3</v>
      </c>
      <c r="J420" s="891">
        <f>_xlfn.XLOOKUP(ListaMaterial[[#This Row],[ITEM]],M:M,N:N,,0)</f>
        <v>9.2899999999999991</v>
      </c>
      <c r="K420" s="891">
        <f>J420*ListaMaterial[[#This Row],[TOTAL C/PERDA]]</f>
        <v>4447.1137099999996</v>
      </c>
      <c r="M420" s="901"/>
      <c r="N420" s="902"/>
    </row>
    <row r="421" spans="1:14" x14ac:dyDescent="0.25">
      <c r="A421" s="883" t="s">
        <v>4445</v>
      </c>
      <c r="B421" s="883" t="s">
        <v>4618</v>
      </c>
      <c r="C421" s="883" t="s">
        <v>4681</v>
      </c>
      <c r="D421" s="886">
        <v>45.65</v>
      </c>
      <c r="E421" s="887">
        <v>13</v>
      </c>
      <c r="F421" s="888">
        <f>ListaMaterial[[#This Row],[REPETIÇÃO]]*ListaMaterial[[#This Row],[QUANTIDADE]]</f>
        <v>593.44999999999993</v>
      </c>
      <c r="G421" s="889">
        <v>0.15</v>
      </c>
      <c r="H421" s="890">
        <f>ListaMaterial[[#This Row],[TOTAL]]*(1+ListaMaterial[[#This Row],[PERDA]])</f>
        <v>682.46749999999986</v>
      </c>
      <c r="I421" s="887" t="s">
        <v>3</v>
      </c>
      <c r="J421" s="891">
        <f>_xlfn.XLOOKUP(ListaMaterial[[#This Row],[ITEM]],M:M,N:N,,0)</f>
        <v>15.99</v>
      </c>
      <c r="K421" s="891">
        <f>J421*ListaMaterial[[#This Row],[TOTAL C/PERDA]]</f>
        <v>10912.655324999998</v>
      </c>
      <c r="M421" s="901"/>
      <c r="N421" s="902"/>
    </row>
    <row r="422" spans="1:14" x14ac:dyDescent="0.25">
      <c r="A422" s="883" t="s">
        <v>4445</v>
      </c>
      <c r="B422" s="883" t="s">
        <v>4618</v>
      </c>
      <c r="C422" s="883" t="s">
        <v>4682</v>
      </c>
      <c r="D422" s="886">
        <v>128.65</v>
      </c>
      <c r="E422" s="887">
        <v>13</v>
      </c>
      <c r="F422" s="888">
        <f>ListaMaterial[[#This Row],[REPETIÇÃO]]*ListaMaterial[[#This Row],[QUANTIDADE]]</f>
        <v>1672.45</v>
      </c>
      <c r="G422" s="889">
        <v>0.15</v>
      </c>
      <c r="H422" s="890">
        <f>ListaMaterial[[#This Row],[TOTAL]]*(1+ListaMaterial[[#This Row],[PERDA]])</f>
        <v>1923.3174999999999</v>
      </c>
      <c r="I422" s="887" t="s">
        <v>3</v>
      </c>
      <c r="J422" s="891">
        <f>_xlfn.XLOOKUP(ListaMaterial[[#This Row],[ITEM]],M:M,N:N,,0)</f>
        <v>8.99</v>
      </c>
      <c r="K422" s="891">
        <f>J422*ListaMaterial[[#This Row],[TOTAL C/PERDA]]</f>
        <v>17290.624325000001</v>
      </c>
      <c r="M422" s="901"/>
      <c r="N422" s="902"/>
    </row>
    <row r="423" spans="1:14" x14ac:dyDescent="0.25">
      <c r="A423" s="883" t="s">
        <v>4445</v>
      </c>
      <c r="B423" s="883" t="s">
        <v>4619</v>
      </c>
      <c r="C423" s="883" t="s">
        <v>4684</v>
      </c>
      <c r="D423" s="886">
        <v>425.64</v>
      </c>
      <c r="E423" s="887">
        <v>13</v>
      </c>
      <c r="F423" s="888">
        <f>ListaMaterial[[#This Row],[REPETIÇÃO]]*ListaMaterial[[#This Row],[QUANTIDADE]]</f>
        <v>5533.32</v>
      </c>
      <c r="G423" s="889">
        <v>0.15</v>
      </c>
      <c r="H423" s="890">
        <f>ListaMaterial[[#This Row],[TOTAL]]*(1+ListaMaterial[[#This Row],[PERDA]])</f>
        <v>6363.3179999999993</v>
      </c>
      <c r="I423" s="887" t="s">
        <v>3</v>
      </c>
      <c r="J423" s="891">
        <f>_xlfn.XLOOKUP(ListaMaterial[[#This Row],[ITEM]],M:M,N:N,,0)</f>
        <v>2.5685666666666669</v>
      </c>
      <c r="K423" s="891">
        <f>J423*ListaMaterial[[#This Row],[TOTAL C/PERDA]]</f>
        <v>16344.606504199999</v>
      </c>
      <c r="M423" s="901"/>
      <c r="N423" s="902"/>
    </row>
    <row r="424" spans="1:14" x14ac:dyDescent="0.25">
      <c r="A424" s="883" t="s">
        <v>4445</v>
      </c>
      <c r="B424" s="883" t="s">
        <v>4619</v>
      </c>
      <c r="C424" s="883" t="s">
        <v>4685</v>
      </c>
      <c r="D424" s="886">
        <v>66.569999999999993</v>
      </c>
      <c r="E424" s="887">
        <v>13</v>
      </c>
      <c r="F424" s="888">
        <f>ListaMaterial[[#This Row],[REPETIÇÃO]]*ListaMaterial[[#This Row],[QUANTIDADE]]</f>
        <v>865.40999999999985</v>
      </c>
      <c r="G424" s="889">
        <v>0.15</v>
      </c>
      <c r="H424" s="890">
        <f>ListaMaterial[[#This Row],[TOTAL]]*(1+ListaMaterial[[#This Row],[PERDA]])</f>
        <v>995.22149999999976</v>
      </c>
      <c r="I424" s="887" t="s">
        <v>3</v>
      </c>
      <c r="J424" s="891">
        <f>_xlfn.XLOOKUP(ListaMaterial[[#This Row],[ITEM]],M:M,N:N,,0)</f>
        <v>7.7985833333333332</v>
      </c>
      <c r="K424" s="891">
        <f>J424*ListaMaterial[[#This Row],[TOTAL C/PERDA]]</f>
        <v>7761.3178028749981</v>
      </c>
      <c r="M424" s="901"/>
      <c r="N424" s="902"/>
    </row>
    <row r="425" spans="1:14" x14ac:dyDescent="0.25">
      <c r="A425" s="894"/>
      <c r="B425" s="917" t="s">
        <v>756</v>
      </c>
      <c r="C425" s="894"/>
      <c r="D425" s="895"/>
      <c r="E425" s="896"/>
      <c r="F425" s="897">
        <f>ListaMaterial[[#This Row],[REPETIÇÃO]]*ListaMaterial[[#This Row],[QUANTIDADE]]</f>
        <v>0</v>
      </c>
      <c r="G425" s="898"/>
      <c r="H425" s="899">
        <f>ListaMaterial[[#This Row],[TOTAL]]*(1+ListaMaterial[[#This Row],[PERDA]])</f>
        <v>0</v>
      </c>
      <c r="I425" s="896"/>
      <c r="J425" s="900"/>
      <c r="K425" s="900">
        <f>SUM(K353:K424)</f>
        <v>358923.88700880838</v>
      </c>
      <c r="M425" s="901"/>
      <c r="N425" s="902"/>
    </row>
    <row r="426" spans="1:14" x14ac:dyDescent="0.25">
      <c r="A426" s="883" t="s">
        <v>4446</v>
      </c>
      <c r="B426" s="883" t="s">
        <v>4242</v>
      </c>
      <c r="C426" s="883" t="s">
        <v>4741</v>
      </c>
      <c r="D426" s="886">
        <v>14</v>
      </c>
      <c r="E426" s="887">
        <v>1</v>
      </c>
      <c r="F426" s="888">
        <f>ListaMaterial[[#This Row],[REPETIÇÃO]]*ListaMaterial[[#This Row],[QUANTIDADE]]</f>
        <v>14</v>
      </c>
      <c r="H426" s="890">
        <f>ListaMaterial[[#This Row],[TOTAL]]*(1+ListaMaterial[[#This Row],[PERDA]])</f>
        <v>14</v>
      </c>
      <c r="I426" s="887" t="s">
        <v>4243</v>
      </c>
      <c r="J426" s="891">
        <f>_xlfn.XLOOKUP(ListaMaterial[[#This Row],[ITEM]],M:M,N:N,,0)</f>
        <v>66.989999999999995</v>
      </c>
      <c r="K426" s="891">
        <f>J426*ListaMaterial[[#This Row],[TOTAL C/PERDA]]</f>
        <v>937.8599999999999</v>
      </c>
      <c r="M426" s="901"/>
      <c r="N426" s="902"/>
    </row>
    <row r="427" spans="1:14" x14ac:dyDescent="0.25">
      <c r="A427" s="883" t="s">
        <v>4446</v>
      </c>
      <c r="B427" s="883" t="s">
        <v>4242</v>
      </c>
      <c r="C427" s="883" t="s">
        <v>4704</v>
      </c>
      <c r="D427" s="886">
        <v>9</v>
      </c>
      <c r="E427" s="887">
        <v>1</v>
      </c>
      <c r="F427" s="888">
        <f>ListaMaterial[[#This Row],[REPETIÇÃO]]*ListaMaterial[[#This Row],[QUANTIDADE]]</f>
        <v>9</v>
      </c>
      <c r="H427" s="890">
        <f>ListaMaterial[[#This Row],[TOTAL]]*(1+ListaMaterial[[#This Row],[PERDA]])</f>
        <v>9</v>
      </c>
      <c r="I427" s="887" t="s">
        <v>4243</v>
      </c>
      <c r="J427" s="891">
        <f>_xlfn.XLOOKUP(ListaMaterial[[#This Row],[ITEM]],M:M,N:N,,0)</f>
        <v>167.78659999999999</v>
      </c>
      <c r="K427" s="891">
        <f>J427*ListaMaterial[[#This Row],[TOTAL C/PERDA]]</f>
        <v>1510.0793999999999</v>
      </c>
      <c r="M427" s="901"/>
      <c r="N427" s="902"/>
    </row>
    <row r="428" spans="1:14" x14ac:dyDescent="0.25">
      <c r="A428" s="883" t="s">
        <v>4446</v>
      </c>
      <c r="B428" s="883" t="s">
        <v>4242</v>
      </c>
      <c r="C428" s="883" t="s">
        <v>4742</v>
      </c>
      <c r="D428" s="886">
        <v>4</v>
      </c>
      <c r="E428" s="887">
        <v>1</v>
      </c>
      <c r="F428" s="888">
        <f>ListaMaterial[[#This Row],[REPETIÇÃO]]*ListaMaterial[[#This Row],[QUANTIDADE]]</f>
        <v>4</v>
      </c>
      <c r="H428" s="890">
        <f>ListaMaterial[[#This Row],[TOTAL]]*(1+ListaMaterial[[#This Row],[PERDA]])</f>
        <v>4</v>
      </c>
      <c r="I428" s="887" t="s">
        <v>4243</v>
      </c>
      <c r="J428" s="891">
        <f>_xlfn.XLOOKUP(ListaMaterial[[#This Row],[ITEM]],M:M,N:N,,0)</f>
        <v>154</v>
      </c>
      <c r="K428" s="891">
        <f>J428*ListaMaterial[[#This Row],[TOTAL C/PERDA]]</f>
        <v>616</v>
      </c>
      <c r="M428" s="901"/>
      <c r="N428" s="902"/>
    </row>
    <row r="429" spans="1:14" x14ac:dyDescent="0.25">
      <c r="A429" s="883" t="s">
        <v>4446</v>
      </c>
      <c r="B429" s="883" t="s">
        <v>4242</v>
      </c>
      <c r="C429" s="883" t="s">
        <v>4743</v>
      </c>
      <c r="D429" s="886">
        <v>8</v>
      </c>
      <c r="E429" s="887">
        <v>1</v>
      </c>
      <c r="F429" s="888">
        <f>ListaMaterial[[#This Row],[REPETIÇÃO]]*ListaMaterial[[#This Row],[QUANTIDADE]]</f>
        <v>8</v>
      </c>
      <c r="H429" s="890">
        <f>ListaMaterial[[#This Row],[TOTAL]]*(1+ListaMaterial[[#This Row],[PERDA]])</f>
        <v>8</v>
      </c>
      <c r="I429" s="887" t="s">
        <v>4243</v>
      </c>
      <c r="J429" s="891">
        <f>_xlfn.XLOOKUP(ListaMaterial[[#This Row],[ITEM]],M:M,N:N,,0)</f>
        <v>29.54</v>
      </c>
      <c r="K429" s="891">
        <f>J429*ListaMaterial[[#This Row],[TOTAL C/PERDA]]</f>
        <v>236.32</v>
      </c>
      <c r="M429" s="901"/>
      <c r="N429" s="902"/>
    </row>
    <row r="430" spans="1:14" x14ac:dyDescent="0.25">
      <c r="A430" s="883" t="s">
        <v>4446</v>
      </c>
      <c r="B430" s="883" t="s">
        <v>4242</v>
      </c>
      <c r="C430" s="883" t="s">
        <v>4640</v>
      </c>
      <c r="D430" s="886">
        <v>18</v>
      </c>
      <c r="E430" s="887">
        <v>1</v>
      </c>
      <c r="F430" s="888">
        <f>ListaMaterial[[#This Row],[REPETIÇÃO]]*ListaMaterial[[#This Row],[QUANTIDADE]]</f>
        <v>18</v>
      </c>
      <c r="H430" s="890">
        <f>ListaMaterial[[#This Row],[TOTAL]]*(1+ListaMaterial[[#This Row],[PERDA]])</f>
        <v>18</v>
      </c>
      <c r="I430" s="887" t="s">
        <v>4243</v>
      </c>
      <c r="J430" s="891">
        <f>_xlfn.XLOOKUP(ListaMaterial[[#This Row],[ITEM]],M:M,N:N,,0)</f>
        <v>31.716699999999999</v>
      </c>
      <c r="K430" s="891">
        <f>J430*ListaMaterial[[#This Row],[TOTAL C/PERDA]]</f>
        <v>570.90059999999994</v>
      </c>
      <c r="M430" s="901"/>
      <c r="N430" s="902"/>
    </row>
    <row r="431" spans="1:14" x14ac:dyDescent="0.25">
      <c r="A431" s="883" t="s">
        <v>4446</v>
      </c>
      <c r="B431" s="883" t="s">
        <v>4242</v>
      </c>
      <c r="C431" s="883" t="s">
        <v>4707</v>
      </c>
      <c r="D431" s="886">
        <v>13</v>
      </c>
      <c r="E431" s="887">
        <v>1</v>
      </c>
      <c r="F431" s="888">
        <f>ListaMaterial[[#This Row],[REPETIÇÃO]]*ListaMaterial[[#This Row],[QUANTIDADE]]</f>
        <v>13</v>
      </c>
      <c r="H431" s="890">
        <f>ListaMaterial[[#This Row],[TOTAL]]*(1+ListaMaterial[[#This Row],[PERDA]])</f>
        <v>13</v>
      </c>
      <c r="I431" s="887" t="s">
        <v>4243</v>
      </c>
      <c r="J431" s="891">
        <f>_xlfn.XLOOKUP(ListaMaterial[[#This Row],[ITEM]],M:M,N:N,,0)</f>
        <v>32.680300000000003</v>
      </c>
      <c r="K431" s="891">
        <f>J431*ListaMaterial[[#This Row],[TOTAL C/PERDA]]</f>
        <v>424.84390000000002</v>
      </c>
      <c r="M431" s="901"/>
      <c r="N431" s="902"/>
    </row>
    <row r="432" spans="1:14" x14ac:dyDescent="0.25">
      <c r="A432" s="883" t="s">
        <v>4446</v>
      </c>
      <c r="B432" s="883" t="s">
        <v>4242</v>
      </c>
      <c r="C432" s="883" t="s">
        <v>4744</v>
      </c>
      <c r="D432" s="886">
        <v>8</v>
      </c>
      <c r="E432" s="887">
        <v>1</v>
      </c>
      <c r="F432" s="888">
        <f>ListaMaterial[[#This Row],[REPETIÇÃO]]*ListaMaterial[[#This Row],[QUANTIDADE]]</f>
        <v>8</v>
      </c>
      <c r="H432" s="890">
        <f>ListaMaterial[[#This Row],[TOTAL]]*(1+ListaMaterial[[#This Row],[PERDA]])</f>
        <v>8</v>
      </c>
      <c r="I432" s="887" t="s">
        <v>4243</v>
      </c>
      <c r="J432" s="891">
        <f>_xlfn.XLOOKUP(ListaMaterial[[#This Row],[ITEM]],M:M,N:N,,0)</f>
        <v>3.84</v>
      </c>
      <c r="K432" s="891">
        <f>J432*ListaMaterial[[#This Row],[TOTAL C/PERDA]]</f>
        <v>30.72</v>
      </c>
      <c r="M432" s="901"/>
      <c r="N432" s="902"/>
    </row>
    <row r="433" spans="1:14" x14ac:dyDescent="0.25">
      <c r="A433" s="883" t="s">
        <v>4446</v>
      </c>
      <c r="B433" s="883" t="s">
        <v>4242</v>
      </c>
      <c r="C433" s="883" t="s">
        <v>4708</v>
      </c>
      <c r="D433" s="886">
        <v>8</v>
      </c>
      <c r="E433" s="887">
        <v>1</v>
      </c>
      <c r="F433" s="888">
        <f>ListaMaterial[[#This Row],[REPETIÇÃO]]*ListaMaterial[[#This Row],[QUANTIDADE]]</f>
        <v>8</v>
      </c>
      <c r="H433" s="890">
        <f>ListaMaterial[[#This Row],[TOTAL]]*(1+ListaMaterial[[#This Row],[PERDA]])</f>
        <v>8</v>
      </c>
      <c r="I433" s="887" t="s">
        <v>4243</v>
      </c>
      <c r="J433" s="891">
        <f>_xlfn.XLOOKUP(ListaMaterial[[#This Row],[ITEM]],M:M,N:N,,0)</f>
        <v>72.7</v>
      </c>
      <c r="K433" s="891">
        <f>J433*ListaMaterial[[#This Row],[TOTAL C/PERDA]]</f>
        <v>581.6</v>
      </c>
      <c r="M433" s="901"/>
      <c r="N433" s="902"/>
    </row>
    <row r="434" spans="1:14" x14ac:dyDescent="0.25">
      <c r="A434" s="883" t="s">
        <v>4446</v>
      </c>
      <c r="B434" s="883" t="s">
        <v>4616</v>
      </c>
      <c r="C434" s="883" t="s">
        <v>4745</v>
      </c>
      <c r="D434" s="886">
        <v>8</v>
      </c>
      <c r="E434" s="887">
        <v>1</v>
      </c>
      <c r="F434" s="888">
        <f>ListaMaterial[[#This Row],[REPETIÇÃO]]*ListaMaterial[[#This Row],[QUANTIDADE]]</f>
        <v>8</v>
      </c>
      <c r="H434" s="890">
        <f>ListaMaterial[[#This Row],[TOTAL]]*(1+ListaMaterial[[#This Row],[PERDA]])</f>
        <v>8</v>
      </c>
      <c r="I434" s="887" t="s">
        <v>4243</v>
      </c>
      <c r="J434" s="891">
        <f>_xlfn.XLOOKUP(ListaMaterial[[#This Row],[ITEM]],M:M,N:N,,0)</f>
        <v>7.11</v>
      </c>
      <c r="K434" s="891">
        <f>J434*ListaMaterial[[#This Row],[TOTAL C/PERDA]]</f>
        <v>56.88</v>
      </c>
      <c r="M434" s="901"/>
      <c r="N434" s="902"/>
    </row>
    <row r="435" spans="1:14" x14ac:dyDescent="0.25">
      <c r="A435" s="883" t="s">
        <v>4446</v>
      </c>
      <c r="B435" s="883" t="s">
        <v>4616</v>
      </c>
      <c r="C435" s="883" t="s">
        <v>4645</v>
      </c>
      <c r="D435" s="886">
        <v>53</v>
      </c>
      <c r="E435" s="887">
        <v>1</v>
      </c>
      <c r="F435" s="888">
        <f>ListaMaterial[[#This Row],[REPETIÇÃO]]*ListaMaterial[[#This Row],[QUANTIDADE]]</f>
        <v>53</v>
      </c>
      <c r="H435" s="890">
        <f>ListaMaterial[[#This Row],[TOTAL]]*(1+ListaMaterial[[#This Row],[PERDA]])</f>
        <v>53</v>
      </c>
      <c r="I435" s="887" t="s">
        <v>4243</v>
      </c>
      <c r="J435" s="891">
        <f>_xlfn.XLOOKUP(ListaMaterial[[#This Row],[ITEM]],M:M,N:N,,0)</f>
        <v>1.79</v>
      </c>
      <c r="K435" s="891">
        <f>J435*ListaMaterial[[#This Row],[TOTAL C/PERDA]]</f>
        <v>94.87</v>
      </c>
      <c r="M435" s="901"/>
      <c r="N435" s="902"/>
    </row>
    <row r="436" spans="1:14" x14ac:dyDescent="0.25">
      <c r="A436" s="883" t="s">
        <v>4446</v>
      </c>
      <c r="B436" s="883" t="s">
        <v>4616</v>
      </c>
      <c r="C436" s="883" t="s">
        <v>4646</v>
      </c>
      <c r="D436" s="886">
        <v>4</v>
      </c>
      <c r="E436" s="887">
        <v>1</v>
      </c>
      <c r="F436" s="888">
        <f>ListaMaterial[[#This Row],[REPETIÇÃO]]*ListaMaterial[[#This Row],[QUANTIDADE]]</f>
        <v>4</v>
      </c>
      <c r="H436" s="890">
        <f>ListaMaterial[[#This Row],[TOTAL]]*(1+ListaMaterial[[#This Row],[PERDA]])</f>
        <v>4</v>
      </c>
      <c r="I436" s="887" t="s">
        <v>4243</v>
      </c>
      <c r="J436" s="891">
        <f>_xlfn.XLOOKUP(ListaMaterial[[#This Row],[ITEM]],M:M,N:N,,0)</f>
        <v>2.02</v>
      </c>
      <c r="K436" s="891">
        <f>J436*ListaMaterial[[#This Row],[TOTAL C/PERDA]]</f>
        <v>8.08</v>
      </c>
      <c r="M436" s="901"/>
      <c r="N436" s="902"/>
    </row>
    <row r="437" spans="1:14" x14ac:dyDescent="0.25">
      <c r="A437" s="883" t="s">
        <v>4446</v>
      </c>
      <c r="B437" s="883" t="s">
        <v>4429</v>
      </c>
      <c r="C437" s="883" t="s">
        <v>4647</v>
      </c>
      <c r="D437" s="886">
        <v>49</v>
      </c>
      <c r="E437" s="887">
        <v>1</v>
      </c>
      <c r="F437" s="888">
        <f>ListaMaterial[[#This Row],[REPETIÇÃO]]*ListaMaterial[[#This Row],[QUANTIDADE]]</f>
        <v>49</v>
      </c>
      <c r="H437" s="890">
        <f>ListaMaterial[[#This Row],[TOTAL]]*(1+ListaMaterial[[#This Row],[PERDA]])</f>
        <v>49</v>
      </c>
      <c r="I437" s="887" t="s">
        <v>4243</v>
      </c>
      <c r="J437" s="891">
        <f>_xlfn.XLOOKUP(ListaMaterial[[#This Row],[ITEM]],M:M,N:N,,0)</f>
        <v>0.59370000000000001</v>
      </c>
      <c r="K437" s="891">
        <f>J437*ListaMaterial[[#This Row],[TOTAL C/PERDA]]</f>
        <v>29.0913</v>
      </c>
      <c r="M437" s="901"/>
      <c r="N437" s="902"/>
    </row>
    <row r="438" spans="1:14" x14ac:dyDescent="0.25">
      <c r="A438" s="883" t="s">
        <v>4446</v>
      </c>
      <c r="B438" s="883" t="s">
        <v>4429</v>
      </c>
      <c r="C438" s="883" t="s">
        <v>4648</v>
      </c>
      <c r="D438" s="886">
        <v>8</v>
      </c>
      <c r="E438" s="887">
        <v>1</v>
      </c>
      <c r="F438" s="888">
        <f>ListaMaterial[[#This Row],[REPETIÇÃO]]*ListaMaterial[[#This Row],[QUANTIDADE]]</f>
        <v>8</v>
      </c>
      <c r="H438" s="890">
        <f>ListaMaterial[[#This Row],[TOTAL]]*(1+ListaMaterial[[#This Row],[PERDA]])</f>
        <v>8</v>
      </c>
      <c r="I438" s="887" t="s">
        <v>4243</v>
      </c>
      <c r="J438" s="891">
        <f>_xlfn.XLOOKUP(ListaMaterial[[#This Row],[ITEM]],M:M,N:N,,0)</f>
        <v>1.4224000000000001</v>
      </c>
      <c r="K438" s="891">
        <f>J438*ListaMaterial[[#This Row],[TOTAL C/PERDA]]</f>
        <v>11.379200000000001</v>
      </c>
      <c r="M438" s="901"/>
      <c r="N438" s="902"/>
    </row>
    <row r="439" spans="1:14" x14ac:dyDescent="0.25">
      <c r="A439" s="883" t="s">
        <v>4446</v>
      </c>
      <c r="B439" s="883" t="s">
        <v>4429</v>
      </c>
      <c r="C439" s="883" t="s">
        <v>4471</v>
      </c>
      <c r="D439" s="886">
        <v>4</v>
      </c>
      <c r="E439" s="887">
        <v>1</v>
      </c>
      <c r="F439" s="888">
        <f>ListaMaterial[[#This Row],[REPETIÇÃO]]*ListaMaterial[[#This Row],[QUANTIDADE]]</f>
        <v>4</v>
      </c>
      <c r="H439" s="890">
        <f>ListaMaterial[[#This Row],[TOTAL]]*(1+ListaMaterial[[#This Row],[PERDA]])</f>
        <v>4</v>
      </c>
      <c r="I439" s="887" t="s">
        <v>4243</v>
      </c>
      <c r="J439" s="891">
        <f>_xlfn.XLOOKUP(ListaMaterial[[#This Row],[ITEM]],M:M,N:N,,0)</f>
        <v>1.24</v>
      </c>
      <c r="K439" s="891">
        <f>J439*ListaMaterial[[#This Row],[TOTAL C/PERDA]]</f>
        <v>4.96</v>
      </c>
      <c r="M439" s="901"/>
      <c r="N439" s="902"/>
    </row>
    <row r="440" spans="1:14" x14ac:dyDescent="0.25">
      <c r="A440" s="883" t="s">
        <v>4446</v>
      </c>
      <c r="B440" s="883" t="s">
        <v>4429</v>
      </c>
      <c r="C440" s="883" t="s">
        <v>4711</v>
      </c>
      <c r="D440" s="886">
        <v>16</v>
      </c>
      <c r="E440" s="887">
        <v>1</v>
      </c>
      <c r="F440" s="888">
        <f>ListaMaterial[[#This Row],[REPETIÇÃO]]*ListaMaterial[[#This Row],[QUANTIDADE]]</f>
        <v>16</v>
      </c>
      <c r="H440" s="890">
        <f>ListaMaterial[[#This Row],[TOTAL]]*(1+ListaMaterial[[#This Row],[PERDA]])</f>
        <v>16</v>
      </c>
      <c r="I440" s="887" t="s">
        <v>4243</v>
      </c>
      <c r="J440" s="891">
        <f>_xlfn.XLOOKUP(ListaMaterial[[#This Row],[ITEM]],M:M,N:N,,0)</f>
        <v>0.66579999999999995</v>
      </c>
      <c r="K440" s="891">
        <f>J440*ListaMaterial[[#This Row],[TOTAL C/PERDA]]</f>
        <v>10.652799999999999</v>
      </c>
      <c r="M440" s="901"/>
      <c r="N440" s="902"/>
    </row>
    <row r="441" spans="1:14" x14ac:dyDescent="0.25">
      <c r="A441" s="883" t="s">
        <v>4446</v>
      </c>
      <c r="B441" s="883" t="s">
        <v>4429</v>
      </c>
      <c r="C441" s="883" t="s">
        <v>4702</v>
      </c>
      <c r="D441" s="886">
        <v>3</v>
      </c>
      <c r="E441" s="887">
        <v>1</v>
      </c>
      <c r="F441" s="888">
        <f>ListaMaterial[[#This Row],[REPETIÇÃO]]*ListaMaterial[[#This Row],[QUANTIDADE]]</f>
        <v>3</v>
      </c>
      <c r="H441" s="890">
        <f>ListaMaterial[[#This Row],[TOTAL]]*(1+ListaMaterial[[#This Row],[PERDA]])</f>
        <v>3</v>
      </c>
      <c r="I441" s="887" t="s">
        <v>4243</v>
      </c>
      <c r="J441" s="891">
        <f>_xlfn.XLOOKUP(ListaMaterial[[#This Row],[ITEM]],M:M,N:N,,0)</f>
        <v>5.89</v>
      </c>
      <c r="K441" s="891">
        <f>J441*ListaMaterial[[#This Row],[TOTAL C/PERDA]]</f>
        <v>17.669999999999998</v>
      </c>
      <c r="M441" s="901"/>
      <c r="N441" s="902"/>
    </row>
    <row r="442" spans="1:14" x14ac:dyDescent="0.25">
      <c r="A442" s="883" t="s">
        <v>4446</v>
      </c>
      <c r="B442" s="883" t="s">
        <v>4429</v>
      </c>
      <c r="C442" s="883" t="s">
        <v>4650</v>
      </c>
      <c r="D442" s="886">
        <v>18</v>
      </c>
      <c r="E442" s="887">
        <v>1</v>
      </c>
      <c r="F442" s="888">
        <f>ListaMaterial[[#This Row],[REPETIÇÃO]]*ListaMaterial[[#This Row],[QUANTIDADE]]</f>
        <v>18</v>
      </c>
      <c r="H442" s="890">
        <f>ListaMaterial[[#This Row],[TOTAL]]*(1+ListaMaterial[[#This Row],[PERDA]])</f>
        <v>18</v>
      </c>
      <c r="I442" s="887" t="s">
        <v>4243</v>
      </c>
      <c r="J442" s="891">
        <f>_xlfn.XLOOKUP(ListaMaterial[[#This Row],[ITEM]],M:M,N:N,,0)</f>
        <v>1.91</v>
      </c>
      <c r="K442" s="891">
        <f>J442*ListaMaterial[[#This Row],[TOTAL C/PERDA]]</f>
        <v>34.379999999999995</v>
      </c>
      <c r="M442" s="901"/>
      <c r="N442" s="902"/>
    </row>
    <row r="443" spans="1:14" x14ac:dyDescent="0.25">
      <c r="A443" s="883" t="s">
        <v>4446</v>
      </c>
      <c r="B443" s="883" t="s">
        <v>4429</v>
      </c>
      <c r="C443" s="883" t="s">
        <v>4652</v>
      </c>
      <c r="D443" s="886">
        <v>3</v>
      </c>
      <c r="E443" s="887">
        <v>1</v>
      </c>
      <c r="F443" s="888">
        <f>ListaMaterial[[#This Row],[REPETIÇÃO]]*ListaMaterial[[#This Row],[QUANTIDADE]]</f>
        <v>3</v>
      </c>
      <c r="H443" s="890">
        <f>ListaMaterial[[#This Row],[TOTAL]]*(1+ListaMaterial[[#This Row],[PERDA]])</f>
        <v>3</v>
      </c>
      <c r="I443" s="887" t="s">
        <v>4243</v>
      </c>
      <c r="J443" s="891">
        <f>_xlfn.XLOOKUP(ListaMaterial[[#This Row],[ITEM]],M:M,N:N,,0)</f>
        <v>5.4611000000000001</v>
      </c>
      <c r="K443" s="891">
        <f>J443*ListaMaterial[[#This Row],[TOTAL C/PERDA]]</f>
        <v>16.383299999999998</v>
      </c>
      <c r="M443" s="901"/>
      <c r="N443" s="902"/>
    </row>
    <row r="444" spans="1:14" x14ac:dyDescent="0.25">
      <c r="A444" s="883" t="s">
        <v>4446</v>
      </c>
      <c r="B444" s="883" t="s">
        <v>4429</v>
      </c>
      <c r="C444" s="883" t="s">
        <v>4653</v>
      </c>
      <c r="D444" s="886">
        <v>46</v>
      </c>
      <c r="E444" s="887">
        <v>1</v>
      </c>
      <c r="F444" s="888">
        <f>ListaMaterial[[#This Row],[REPETIÇÃO]]*ListaMaterial[[#This Row],[QUANTIDADE]]</f>
        <v>46</v>
      </c>
      <c r="H444" s="890">
        <f>ListaMaterial[[#This Row],[TOTAL]]*(1+ListaMaterial[[#This Row],[PERDA]])</f>
        <v>46</v>
      </c>
      <c r="I444" s="887" t="s">
        <v>4243</v>
      </c>
      <c r="J444" s="891">
        <f>_xlfn.XLOOKUP(ListaMaterial[[#This Row],[ITEM]],M:M,N:N,,0)</f>
        <v>0.91449999999999998</v>
      </c>
      <c r="K444" s="891">
        <f>J444*ListaMaterial[[#This Row],[TOTAL C/PERDA]]</f>
        <v>42.067</v>
      </c>
      <c r="M444" s="901"/>
      <c r="N444" s="902"/>
    </row>
    <row r="445" spans="1:14" x14ac:dyDescent="0.25">
      <c r="A445" s="883" t="s">
        <v>4446</v>
      </c>
      <c r="B445" s="883" t="s">
        <v>4429</v>
      </c>
      <c r="C445" s="883" t="s">
        <v>4712</v>
      </c>
      <c r="D445" s="886">
        <v>7</v>
      </c>
      <c r="E445" s="887">
        <v>1</v>
      </c>
      <c r="F445" s="888">
        <f>ListaMaterial[[#This Row],[REPETIÇÃO]]*ListaMaterial[[#This Row],[QUANTIDADE]]</f>
        <v>7</v>
      </c>
      <c r="H445" s="890">
        <f>ListaMaterial[[#This Row],[TOTAL]]*(1+ListaMaterial[[#This Row],[PERDA]])</f>
        <v>7</v>
      </c>
      <c r="I445" s="887" t="s">
        <v>4243</v>
      </c>
      <c r="J445" s="891">
        <f>_xlfn.XLOOKUP(ListaMaterial[[#This Row],[ITEM]],M:M,N:N,,0)</f>
        <v>2.8849999999999998</v>
      </c>
      <c r="K445" s="891">
        <f>J445*ListaMaterial[[#This Row],[TOTAL C/PERDA]]</f>
        <v>20.195</v>
      </c>
      <c r="M445" s="901"/>
      <c r="N445" s="902"/>
    </row>
    <row r="446" spans="1:14" x14ac:dyDescent="0.25">
      <c r="A446" s="883" t="s">
        <v>4446</v>
      </c>
      <c r="B446" s="883" t="s">
        <v>4429</v>
      </c>
      <c r="C446" s="883" t="s">
        <v>4654</v>
      </c>
      <c r="D446" s="886">
        <v>277</v>
      </c>
      <c r="E446" s="887">
        <v>1</v>
      </c>
      <c r="F446" s="888">
        <f>ListaMaterial[[#This Row],[REPETIÇÃO]]*ListaMaterial[[#This Row],[QUANTIDADE]]</f>
        <v>277</v>
      </c>
      <c r="H446" s="890">
        <f>ListaMaterial[[#This Row],[TOTAL]]*(1+ListaMaterial[[#This Row],[PERDA]])</f>
        <v>277</v>
      </c>
      <c r="I446" s="887" t="s">
        <v>4243</v>
      </c>
      <c r="J446" s="891">
        <f>_xlfn.XLOOKUP(ListaMaterial[[#This Row],[ITEM]],M:M,N:N,,0)</f>
        <v>0.47220000000000001</v>
      </c>
      <c r="K446" s="891">
        <f>J446*ListaMaterial[[#This Row],[TOTAL C/PERDA]]</f>
        <v>130.79939999999999</v>
      </c>
      <c r="M446" s="901"/>
      <c r="N446" s="902"/>
    </row>
    <row r="447" spans="1:14" x14ac:dyDescent="0.25">
      <c r="A447" s="883" t="s">
        <v>4446</v>
      </c>
      <c r="B447" s="883" t="s">
        <v>4429</v>
      </c>
      <c r="C447" s="883" t="s">
        <v>4655</v>
      </c>
      <c r="D447" s="886">
        <v>23</v>
      </c>
      <c r="E447" s="887">
        <v>1</v>
      </c>
      <c r="F447" s="888">
        <f>ListaMaterial[[#This Row],[REPETIÇÃO]]*ListaMaterial[[#This Row],[QUANTIDADE]]</f>
        <v>23</v>
      </c>
      <c r="H447" s="890">
        <f>ListaMaterial[[#This Row],[TOTAL]]*(1+ListaMaterial[[#This Row],[PERDA]])</f>
        <v>23</v>
      </c>
      <c r="I447" s="887" t="s">
        <v>4243</v>
      </c>
      <c r="J447" s="891">
        <f>_xlfn.XLOOKUP(ListaMaterial[[#This Row],[ITEM]],M:M,N:N,,0)</f>
        <v>2.2519999999999998</v>
      </c>
      <c r="K447" s="891">
        <f>J447*ListaMaterial[[#This Row],[TOTAL C/PERDA]]</f>
        <v>51.795999999999992</v>
      </c>
      <c r="M447" s="901"/>
      <c r="N447" s="902"/>
    </row>
    <row r="448" spans="1:14" x14ac:dyDescent="0.25">
      <c r="A448" s="883" t="s">
        <v>4446</v>
      </c>
      <c r="B448" s="883" t="s">
        <v>4429</v>
      </c>
      <c r="C448" s="883" t="s">
        <v>4657</v>
      </c>
      <c r="D448" s="886">
        <v>52</v>
      </c>
      <c r="E448" s="887">
        <v>1</v>
      </c>
      <c r="F448" s="888">
        <f>ListaMaterial[[#This Row],[REPETIÇÃO]]*ListaMaterial[[#This Row],[QUANTIDADE]]</f>
        <v>52</v>
      </c>
      <c r="H448" s="890">
        <f>ListaMaterial[[#This Row],[TOTAL]]*(1+ListaMaterial[[#This Row],[PERDA]])</f>
        <v>52</v>
      </c>
      <c r="I448" s="887" t="s">
        <v>4243</v>
      </c>
      <c r="J448" s="891">
        <f>_xlfn.XLOOKUP(ListaMaterial[[#This Row],[ITEM]],M:M,N:N,,0)</f>
        <v>3.2107000000000001</v>
      </c>
      <c r="K448" s="891">
        <f>J448*ListaMaterial[[#This Row],[TOTAL C/PERDA]]</f>
        <v>166.9564</v>
      </c>
      <c r="M448" s="901"/>
      <c r="N448" s="902"/>
    </row>
    <row r="449" spans="1:14" x14ac:dyDescent="0.25">
      <c r="A449" s="883" t="s">
        <v>4446</v>
      </c>
      <c r="B449" s="883" t="s">
        <v>4429</v>
      </c>
      <c r="C449" s="883" t="s">
        <v>4658</v>
      </c>
      <c r="D449" s="886">
        <v>5</v>
      </c>
      <c r="E449" s="887">
        <v>1</v>
      </c>
      <c r="F449" s="888">
        <f>ListaMaterial[[#This Row],[REPETIÇÃO]]*ListaMaterial[[#This Row],[QUANTIDADE]]</f>
        <v>5</v>
      </c>
      <c r="H449" s="890">
        <f>ListaMaterial[[#This Row],[TOTAL]]*(1+ListaMaterial[[#This Row],[PERDA]])</f>
        <v>5</v>
      </c>
      <c r="I449" s="887" t="s">
        <v>4243</v>
      </c>
      <c r="J449" s="891">
        <f>_xlfn.XLOOKUP(ListaMaterial[[#This Row],[ITEM]],M:M,N:N,,0)</f>
        <v>13.005000000000001</v>
      </c>
      <c r="K449" s="891">
        <f>J449*ListaMaterial[[#This Row],[TOTAL C/PERDA]]</f>
        <v>65.025000000000006</v>
      </c>
      <c r="M449" s="901"/>
      <c r="N449" s="902"/>
    </row>
    <row r="450" spans="1:14" x14ac:dyDescent="0.25">
      <c r="A450" s="883" t="s">
        <v>4446</v>
      </c>
      <c r="B450" s="883" t="s">
        <v>4429</v>
      </c>
      <c r="C450" s="883" t="s">
        <v>4457</v>
      </c>
      <c r="D450" s="886">
        <v>8</v>
      </c>
      <c r="E450" s="887">
        <v>1</v>
      </c>
      <c r="F450" s="888">
        <f>ListaMaterial[[#This Row],[REPETIÇÃO]]*ListaMaterial[[#This Row],[QUANTIDADE]]</f>
        <v>8</v>
      </c>
      <c r="H450" s="890">
        <f>ListaMaterial[[#This Row],[TOTAL]]*(1+ListaMaterial[[#This Row],[PERDA]])</f>
        <v>8</v>
      </c>
      <c r="I450" s="887" t="s">
        <v>4243</v>
      </c>
      <c r="J450" s="891">
        <f>_xlfn.XLOOKUP(ListaMaterial[[#This Row],[ITEM]],M:M,N:N,,0)</f>
        <v>11.18</v>
      </c>
      <c r="K450" s="891">
        <f>J450*ListaMaterial[[#This Row],[TOTAL C/PERDA]]</f>
        <v>89.44</v>
      </c>
      <c r="M450" s="901"/>
      <c r="N450" s="902"/>
    </row>
    <row r="451" spans="1:14" x14ac:dyDescent="0.25">
      <c r="A451" s="883" t="s">
        <v>4446</v>
      </c>
      <c r="B451" s="883" t="s">
        <v>4429</v>
      </c>
      <c r="C451" s="883" t="s">
        <v>4713</v>
      </c>
      <c r="D451" s="886">
        <v>21</v>
      </c>
      <c r="E451" s="887">
        <v>1</v>
      </c>
      <c r="F451" s="888">
        <f>ListaMaterial[[#This Row],[REPETIÇÃO]]*ListaMaterial[[#This Row],[QUANTIDADE]]</f>
        <v>21</v>
      </c>
      <c r="H451" s="890">
        <f>ListaMaterial[[#This Row],[TOTAL]]*(1+ListaMaterial[[#This Row],[PERDA]])</f>
        <v>21</v>
      </c>
      <c r="I451" s="887" t="s">
        <v>4243</v>
      </c>
      <c r="J451" s="891">
        <f>_xlfn.XLOOKUP(ListaMaterial[[#This Row],[ITEM]],M:M,N:N,,0)</f>
        <v>16.77</v>
      </c>
      <c r="K451" s="891">
        <f>J451*ListaMaterial[[#This Row],[TOTAL C/PERDA]]</f>
        <v>352.17</v>
      </c>
      <c r="M451" s="901"/>
      <c r="N451" s="902"/>
    </row>
    <row r="452" spans="1:14" x14ac:dyDescent="0.25">
      <c r="A452" s="883" t="s">
        <v>4446</v>
      </c>
      <c r="B452" s="883" t="s">
        <v>4429</v>
      </c>
      <c r="C452" s="883" t="s">
        <v>4714</v>
      </c>
      <c r="D452" s="886">
        <v>20</v>
      </c>
      <c r="E452" s="887">
        <v>1</v>
      </c>
      <c r="F452" s="888">
        <f>ListaMaterial[[#This Row],[REPETIÇÃO]]*ListaMaterial[[#This Row],[QUANTIDADE]]</f>
        <v>20</v>
      </c>
      <c r="H452" s="890">
        <f>ListaMaterial[[#This Row],[TOTAL]]*(1+ListaMaterial[[#This Row],[PERDA]])</f>
        <v>20</v>
      </c>
      <c r="I452" s="887" t="s">
        <v>4243</v>
      </c>
      <c r="J452" s="891">
        <f>_xlfn.XLOOKUP(ListaMaterial[[#This Row],[ITEM]],M:M,N:N,,0)</f>
        <v>4.5960000000000001</v>
      </c>
      <c r="K452" s="891">
        <f>J452*ListaMaterial[[#This Row],[TOTAL C/PERDA]]</f>
        <v>91.92</v>
      </c>
      <c r="M452" s="901"/>
      <c r="N452" s="902"/>
    </row>
    <row r="453" spans="1:14" x14ac:dyDescent="0.25">
      <c r="A453" s="883" t="s">
        <v>4446</v>
      </c>
      <c r="B453" s="883" t="s">
        <v>4429</v>
      </c>
      <c r="C453" s="883" t="s">
        <v>4715</v>
      </c>
      <c r="D453" s="886">
        <v>6</v>
      </c>
      <c r="E453" s="887">
        <v>1</v>
      </c>
      <c r="F453" s="888">
        <f>ListaMaterial[[#This Row],[REPETIÇÃO]]*ListaMaterial[[#This Row],[QUANTIDADE]]</f>
        <v>6</v>
      </c>
      <c r="H453" s="890">
        <f>ListaMaterial[[#This Row],[TOTAL]]*(1+ListaMaterial[[#This Row],[PERDA]])</f>
        <v>6</v>
      </c>
      <c r="I453" s="887" t="s">
        <v>4243</v>
      </c>
      <c r="J453" s="891">
        <f>_xlfn.XLOOKUP(ListaMaterial[[#This Row],[ITEM]],M:M,N:N,,0)</f>
        <v>5.3247999999999998</v>
      </c>
      <c r="K453" s="891">
        <f>J453*ListaMaterial[[#This Row],[TOTAL C/PERDA]]</f>
        <v>31.948799999999999</v>
      </c>
      <c r="M453" s="901"/>
      <c r="N453" s="902"/>
    </row>
    <row r="454" spans="1:14" x14ac:dyDescent="0.25">
      <c r="A454" s="883" t="s">
        <v>4446</v>
      </c>
      <c r="B454" s="883" t="s">
        <v>4429</v>
      </c>
      <c r="C454" s="883" t="s">
        <v>4660</v>
      </c>
      <c r="D454" s="886">
        <v>45</v>
      </c>
      <c r="E454" s="887">
        <v>1</v>
      </c>
      <c r="F454" s="888">
        <f>ListaMaterial[[#This Row],[REPETIÇÃO]]*ListaMaterial[[#This Row],[QUANTIDADE]]</f>
        <v>45</v>
      </c>
      <c r="H454" s="890">
        <f>ListaMaterial[[#This Row],[TOTAL]]*(1+ListaMaterial[[#This Row],[PERDA]])</f>
        <v>45</v>
      </c>
      <c r="I454" s="887" t="s">
        <v>4243</v>
      </c>
      <c r="J454" s="891">
        <f>_xlfn.XLOOKUP(ListaMaterial[[#This Row],[ITEM]],M:M,N:N,,0)</f>
        <v>0.98509999999999998</v>
      </c>
      <c r="K454" s="891">
        <f>J454*ListaMaterial[[#This Row],[TOTAL C/PERDA]]</f>
        <v>44.329499999999996</v>
      </c>
      <c r="M454" s="901"/>
      <c r="N454" s="902"/>
    </row>
    <row r="455" spans="1:14" x14ac:dyDescent="0.25">
      <c r="A455" s="883" t="s">
        <v>4446</v>
      </c>
      <c r="B455" s="883" t="s">
        <v>4429</v>
      </c>
      <c r="C455" s="883" t="s">
        <v>4716</v>
      </c>
      <c r="D455" s="886">
        <v>6</v>
      </c>
      <c r="E455" s="887">
        <v>1</v>
      </c>
      <c r="F455" s="888">
        <f>ListaMaterial[[#This Row],[REPETIÇÃO]]*ListaMaterial[[#This Row],[QUANTIDADE]]</f>
        <v>6</v>
      </c>
      <c r="H455" s="890">
        <f>ListaMaterial[[#This Row],[TOTAL]]*(1+ListaMaterial[[#This Row],[PERDA]])</f>
        <v>6</v>
      </c>
      <c r="I455" s="887" t="s">
        <v>4243</v>
      </c>
      <c r="J455" s="891">
        <f>_xlfn.XLOOKUP(ListaMaterial[[#This Row],[ITEM]],M:M,N:N,,0)</f>
        <v>2.5177999999999998</v>
      </c>
      <c r="K455" s="891">
        <f>J455*ListaMaterial[[#This Row],[TOTAL C/PERDA]]</f>
        <v>15.1068</v>
      </c>
      <c r="M455" s="901"/>
      <c r="N455" s="902"/>
    </row>
    <row r="456" spans="1:14" x14ac:dyDescent="0.25">
      <c r="A456" s="883" t="s">
        <v>4446</v>
      </c>
      <c r="B456" s="883" t="s">
        <v>4431</v>
      </c>
      <c r="C456" s="883" t="s">
        <v>4746</v>
      </c>
      <c r="D456" s="886">
        <v>4</v>
      </c>
      <c r="E456" s="887">
        <v>1</v>
      </c>
      <c r="F456" s="888">
        <f>ListaMaterial[[#This Row],[REPETIÇÃO]]*ListaMaterial[[#This Row],[QUANTIDADE]]</f>
        <v>4</v>
      </c>
      <c r="H456" s="890">
        <f>ListaMaterial[[#This Row],[TOTAL]]*(1+ListaMaterial[[#This Row],[PERDA]])</f>
        <v>4</v>
      </c>
      <c r="I456" s="887" t="s">
        <v>4243</v>
      </c>
      <c r="J456" s="891">
        <f>_xlfn.XLOOKUP(ListaMaterial[[#This Row],[ITEM]],M:M,N:N,,0)</f>
        <v>21.8</v>
      </c>
      <c r="K456" s="891">
        <f>J456*ListaMaterial[[#This Row],[TOTAL C/PERDA]]</f>
        <v>87.2</v>
      </c>
      <c r="M456" s="901"/>
      <c r="N456" s="902"/>
    </row>
    <row r="457" spans="1:14" x14ac:dyDescent="0.25">
      <c r="A457" s="883" t="s">
        <v>4446</v>
      </c>
      <c r="B457" s="883" t="s">
        <v>4431</v>
      </c>
      <c r="C457" s="883" t="s">
        <v>4717</v>
      </c>
      <c r="D457" s="886">
        <v>10</v>
      </c>
      <c r="E457" s="887">
        <v>1</v>
      </c>
      <c r="F457" s="888">
        <f>ListaMaterial[[#This Row],[REPETIÇÃO]]*ListaMaterial[[#This Row],[QUANTIDADE]]</f>
        <v>10</v>
      </c>
      <c r="H457" s="890">
        <f>ListaMaterial[[#This Row],[TOTAL]]*(1+ListaMaterial[[#This Row],[PERDA]])</f>
        <v>10</v>
      </c>
      <c r="I457" s="887" t="s">
        <v>4243</v>
      </c>
      <c r="J457" s="891">
        <f>_xlfn.XLOOKUP(ListaMaterial[[#This Row],[ITEM]],M:M,N:N,,0)</f>
        <v>9.4</v>
      </c>
      <c r="K457" s="891">
        <f>J457*ListaMaterial[[#This Row],[TOTAL C/PERDA]]</f>
        <v>94</v>
      </c>
      <c r="M457" s="901"/>
      <c r="N457" s="902"/>
    </row>
    <row r="458" spans="1:14" x14ac:dyDescent="0.25">
      <c r="A458" s="883" t="s">
        <v>4446</v>
      </c>
      <c r="B458" s="883" t="s">
        <v>4431</v>
      </c>
      <c r="C458" s="883" t="s">
        <v>4718</v>
      </c>
      <c r="D458" s="886">
        <v>22</v>
      </c>
      <c r="E458" s="887">
        <v>1</v>
      </c>
      <c r="F458" s="888">
        <f>ListaMaterial[[#This Row],[REPETIÇÃO]]*ListaMaterial[[#This Row],[QUANTIDADE]]</f>
        <v>22</v>
      </c>
      <c r="H458" s="890">
        <f>ListaMaterial[[#This Row],[TOTAL]]*(1+ListaMaterial[[#This Row],[PERDA]])</f>
        <v>22</v>
      </c>
      <c r="I458" s="887" t="s">
        <v>4243</v>
      </c>
      <c r="J458" s="891">
        <f>_xlfn.XLOOKUP(ListaMaterial[[#This Row],[ITEM]],M:M,N:N,,0)</f>
        <v>5.59</v>
      </c>
      <c r="K458" s="891">
        <f>J458*ListaMaterial[[#This Row],[TOTAL C/PERDA]]</f>
        <v>122.97999999999999</v>
      </c>
      <c r="M458" s="901"/>
      <c r="N458" s="902"/>
    </row>
    <row r="459" spans="1:14" x14ac:dyDescent="0.25">
      <c r="A459" s="883" t="s">
        <v>4446</v>
      </c>
      <c r="B459" s="883" t="s">
        <v>4431</v>
      </c>
      <c r="C459" s="883" t="s">
        <v>4719</v>
      </c>
      <c r="D459" s="886">
        <v>5</v>
      </c>
      <c r="E459" s="887">
        <v>1</v>
      </c>
      <c r="F459" s="888">
        <f>ListaMaterial[[#This Row],[REPETIÇÃO]]*ListaMaterial[[#This Row],[QUANTIDADE]]</f>
        <v>5</v>
      </c>
      <c r="H459" s="890">
        <f>ListaMaterial[[#This Row],[TOTAL]]*(1+ListaMaterial[[#This Row],[PERDA]])</f>
        <v>5</v>
      </c>
      <c r="I459" s="887" t="s">
        <v>4243</v>
      </c>
      <c r="J459" s="891">
        <f>_xlfn.XLOOKUP(ListaMaterial[[#This Row],[ITEM]],M:M,N:N,,0)</f>
        <v>6.7110000000000003</v>
      </c>
      <c r="K459" s="891">
        <f>J459*ListaMaterial[[#This Row],[TOTAL C/PERDA]]</f>
        <v>33.555</v>
      </c>
      <c r="M459" s="901"/>
      <c r="N459" s="902"/>
    </row>
    <row r="460" spans="1:14" x14ac:dyDescent="0.25">
      <c r="A460" s="883" t="s">
        <v>4446</v>
      </c>
      <c r="B460" s="883" t="s">
        <v>4431</v>
      </c>
      <c r="C460" s="883" t="s">
        <v>4690</v>
      </c>
      <c r="D460" s="886">
        <v>16</v>
      </c>
      <c r="E460" s="887">
        <v>1</v>
      </c>
      <c r="F460" s="888">
        <f>ListaMaterial[[#This Row],[REPETIÇÃO]]*ListaMaterial[[#This Row],[QUANTIDADE]]</f>
        <v>16</v>
      </c>
      <c r="H460" s="890">
        <f>ListaMaterial[[#This Row],[TOTAL]]*(1+ListaMaterial[[#This Row],[PERDA]])</f>
        <v>16</v>
      </c>
      <c r="I460" s="887" t="s">
        <v>4243</v>
      </c>
      <c r="J460" s="891">
        <f>_xlfn.XLOOKUP(ListaMaterial[[#This Row],[ITEM]],M:M,N:N,,0)</f>
        <v>11.18</v>
      </c>
      <c r="K460" s="891">
        <f>J460*ListaMaterial[[#This Row],[TOTAL C/PERDA]]</f>
        <v>178.88</v>
      </c>
      <c r="M460" s="901"/>
      <c r="N460" s="902"/>
    </row>
    <row r="461" spans="1:14" x14ac:dyDescent="0.25">
      <c r="A461" s="883" t="s">
        <v>4446</v>
      </c>
      <c r="B461" s="883" t="s">
        <v>4431</v>
      </c>
      <c r="C461" s="883" t="s">
        <v>4747</v>
      </c>
      <c r="D461" s="886">
        <v>8</v>
      </c>
      <c r="E461" s="887">
        <v>1</v>
      </c>
      <c r="F461" s="888">
        <f>ListaMaterial[[#This Row],[REPETIÇÃO]]*ListaMaterial[[#This Row],[QUANTIDADE]]</f>
        <v>8</v>
      </c>
      <c r="H461" s="890">
        <f>ListaMaterial[[#This Row],[TOTAL]]*(1+ListaMaterial[[#This Row],[PERDA]])</f>
        <v>8</v>
      </c>
      <c r="I461" s="887" t="s">
        <v>4243</v>
      </c>
      <c r="J461" s="891">
        <f>_xlfn.XLOOKUP(ListaMaterial[[#This Row],[ITEM]],M:M,N:N,,0)</f>
        <v>9.52</v>
      </c>
      <c r="K461" s="891">
        <f>J461*ListaMaterial[[#This Row],[TOTAL C/PERDA]]</f>
        <v>76.16</v>
      </c>
      <c r="M461" s="901"/>
      <c r="N461" s="902"/>
    </row>
    <row r="462" spans="1:14" x14ac:dyDescent="0.25">
      <c r="A462" s="883" t="s">
        <v>4446</v>
      </c>
      <c r="B462" s="883" t="s">
        <v>4431</v>
      </c>
      <c r="C462" s="883" t="s">
        <v>4720</v>
      </c>
      <c r="D462" s="886">
        <v>29</v>
      </c>
      <c r="E462" s="887">
        <v>1</v>
      </c>
      <c r="F462" s="888">
        <f>ListaMaterial[[#This Row],[REPETIÇÃO]]*ListaMaterial[[#This Row],[QUANTIDADE]]</f>
        <v>29</v>
      </c>
      <c r="H462" s="890">
        <f>ListaMaterial[[#This Row],[TOTAL]]*(1+ListaMaterial[[#This Row],[PERDA]])</f>
        <v>29</v>
      </c>
      <c r="I462" s="887" t="s">
        <v>4243</v>
      </c>
      <c r="J462" s="891">
        <f>_xlfn.XLOOKUP(ListaMaterial[[#This Row],[ITEM]],M:M,N:N,,0)</f>
        <v>7.83</v>
      </c>
      <c r="K462" s="891">
        <f>J462*ListaMaterial[[#This Row],[TOTAL C/PERDA]]</f>
        <v>227.07</v>
      </c>
      <c r="M462" s="901"/>
      <c r="N462" s="902"/>
    </row>
    <row r="463" spans="1:14" x14ac:dyDescent="0.25">
      <c r="A463" s="883" t="s">
        <v>4446</v>
      </c>
      <c r="B463" s="883" t="s">
        <v>4431</v>
      </c>
      <c r="C463" s="883" t="s">
        <v>4664</v>
      </c>
      <c r="D463" s="886">
        <v>99</v>
      </c>
      <c r="E463" s="887">
        <v>1</v>
      </c>
      <c r="F463" s="888">
        <f>ListaMaterial[[#This Row],[REPETIÇÃO]]*ListaMaterial[[#This Row],[QUANTIDADE]]</f>
        <v>99</v>
      </c>
      <c r="H463" s="890">
        <f>ListaMaterial[[#This Row],[TOTAL]]*(1+ListaMaterial[[#This Row],[PERDA]])</f>
        <v>99</v>
      </c>
      <c r="I463" s="887" t="s">
        <v>4243</v>
      </c>
      <c r="J463" s="891">
        <f>_xlfn.XLOOKUP(ListaMaterial[[#This Row],[ITEM]],M:M,N:N,,0)</f>
        <v>10.06</v>
      </c>
      <c r="K463" s="891">
        <f>J463*ListaMaterial[[#This Row],[TOTAL C/PERDA]]</f>
        <v>995.94</v>
      </c>
      <c r="M463" s="901"/>
      <c r="N463" s="902"/>
    </row>
    <row r="464" spans="1:14" x14ac:dyDescent="0.25">
      <c r="A464" s="883" t="s">
        <v>4446</v>
      </c>
      <c r="B464" s="883" t="s">
        <v>4431</v>
      </c>
      <c r="C464" s="883" t="s">
        <v>4666</v>
      </c>
      <c r="D464" s="886">
        <v>41</v>
      </c>
      <c r="E464" s="887">
        <v>1</v>
      </c>
      <c r="F464" s="888">
        <f>ListaMaterial[[#This Row],[REPETIÇÃO]]*ListaMaterial[[#This Row],[QUANTIDADE]]</f>
        <v>41</v>
      </c>
      <c r="H464" s="890">
        <f>ListaMaterial[[#This Row],[TOTAL]]*(1+ListaMaterial[[#This Row],[PERDA]])</f>
        <v>41</v>
      </c>
      <c r="I464" s="887" t="s">
        <v>4243</v>
      </c>
      <c r="J464" s="891">
        <f>_xlfn.XLOOKUP(ListaMaterial[[#This Row],[ITEM]],M:M,N:N,,0)</f>
        <v>24.6</v>
      </c>
      <c r="K464" s="891">
        <f>J464*ListaMaterial[[#This Row],[TOTAL C/PERDA]]</f>
        <v>1008.6</v>
      </c>
      <c r="M464" s="901"/>
      <c r="N464" s="902"/>
    </row>
    <row r="465" spans="1:14" x14ac:dyDescent="0.25">
      <c r="A465" s="883" t="s">
        <v>4446</v>
      </c>
      <c r="B465" s="883" t="s">
        <v>4431</v>
      </c>
      <c r="C465" s="883" t="s">
        <v>4721</v>
      </c>
      <c r="D465" s="886">
        <v>24</v>
      </c>
      <c r="E465" s="887">
        <v>1</v>
      </c>
      <c r="F465" s="888">
        <f>ListaMaterial[[#This Row],[REPETIÇÃO]]*ListaMaterial[[#This Row],[QUANTIDADE]]</f>
        <v>24</v>
      </c>
      <c r="H465" s="890">
        <f>ListaMaterial[[#This Row],[TOTAL]]*(1+ListaMaterial[[#This Row],[PERDA]])</f>
        <v>24</v>
      </c>
      <c r="I465" s="887" t="s">
        <v>4243</v>
      </c>
      <c r="J465" s="891">
        <f>_xlfn.XLOOKUP(ListaMaterial[[#This Row],[ITEM]],M:M,N:N,,0)</f>
        <v>8.94</v>
      </c>
      <c r="K465" s="891">
        <f>J465*ListaMaterial[[#This Row],[TOTAL C/PERDA]]</f>
        <v>214.56</v>
      </c>
      <c r="M465" s="901"/>
      <c r="N465" s="902"/>
    </row>
    <row r="466" spans="1:14" x14ac:dyDescent="0.25">
      <c r="A466" s="883" t="s">
        <v>4446</v>
      </c>
      <c r="B466" s="883" t="s">
        <v>4431</v>
      </c>
      <c r="C466" s="883" t="s">
        <v>4667</v>
      </c>
      <c r="D466" s="886">
        <v>34</v>
      </c>
      <c r="E466" s="887">
        <v>1</v>
      </c>
      <c r="F466" s="888">
        <f>ListaMaterial[[#This Row],[REPETIÇÃO]]*ListaMaterial[[#This Row],[QUANTIDADE]]</f>
        <v>34</v>
      </c>
      <c r="H466" s="890">
        <f>ListaMaterial[[#This Row],[TOTAL]]*(1+ListaMaterial[[#This Row],[PERDA]])</f>
        <v>34</v>
      </c>
      <c r="I466" s="887" t="s">
        <v>4243</v>
      </c>
      <c r="J466" s="891">
        <f>_xlfn.XLOOKUP(ListaMaterial[[#This Row],[ITEM]],M:M,N:N,,0)</f>
        <v>11.18</v>
      </c>
      <c r="K466" s="891">
        <f>J466*ListaMaterial[[#This Row],[TOTAL C/PERDA]]</f>
        <v>380.12</v>
      </c>
      <c r="M466" s="901"/>
      <c r="N466" s="902"/>
    </row>
    <row r="467" spans="1:14" x14ac:dyDescent="0.25">
      <c r="A467" s="883" t="s">
        <v>4446</v>
      </c>
      <c r="B467" s="883" t="s">
        <v>4431</v>
      </c>
      <c r="C467" s="883" t="s">
        <v>4458</v>
      </c>
      <c r="D467" s="886">
        <v>22</v>
      </c>
      <c r="E467" s="887">
        <v>1</v>
      </c>
      <c r="F467" s="888">
        <f>ListaMaterial[[#This Row],[REPETIÇÃO]]*ListaMaterial[[#This Row],[QUANTIDADE]]</f>
        <v>22</v>
      </c>
      <c r="H467" s="890">
        <f>ListaMaterial[[#This Row],[TOTAL]]*(1+ListaMaterial[[#This Row],[PERDA]])</f>
        <v>22</v>
      </c>
      <c r="I467" s="887" t="s">
        <v>4243</v>
      </c>
      <c r="J467" s="891">
        <f>_xlfn.XLOOKUP(ListaMaterial[[#This Row],[ITEM]],M:M,N:N,,0)</f>
        <v>27.96</v>
      </c>
      <c r="K467" s="891">
        <f>J467*ListaMaterial[[#This Row],[TOTAL C/PERDA]]</f>
        <v>615.12</v>
      </c>
      <c r="M467" s="901"/>
      <c r="N467" s="902"/>
    </row>
    <row r="468" spans="1:14" x14ac:dyDescent="0.25">
      <c r="A468" s="883" t="s">
        <v>4446</v>
      </c>
      <c r="B468" s="883" t="s">
        <v>4431</v>
      </c>
      <c r="C468" s="883" t="s">
        <v>4722</v>
      </c>
      <c r="D468" s="886">
        <v>22</v>
      </c>
      <c r="E468" s="887">
        <v>1</v>
      </c>
      <c r="F468" s="888">
        <f>ListaMaterial[[#This Row],[REPETIÇÃO]]*ListaMaterial[[#This Row],[QUANTIDADE]]</f>
        <v>22</v>
      </c>
      <c r="H468" s="890">
        <f>ListaMaterial[[#This Row],[TOTAL]]*(1+ListaMaterial[[#This Row],[PERDA]])</f>
        <v>22</v>
      </c>
      <c r="I468" s="887" t="s">
        <v>4243</v>
      </c>
      <c r="J468" s="891">
        <f>_xlfn.XLOOKUP(ListaMaterial[[#This Row],[ITEM]],M:M,N:N,,0)</f>
        <v>13.42</v>
      </c>
      <c r="K468" s="891">
        <f>J468*ListaMaterial[[#This Row],[TOTAL C/PERDA]]</f>
        <v>295.24</v>
      </c>
      <c r="M468" s="901"/>
      <c r="N468" s="902"/>
    </row>
    <row r="469" spans="1:14" x14ac:dyDescent="0.25">
      <c r="A469" s="883" t="s">
        <v>4446</v>
      </c>
      <c r="B469" s="883" t="s">
        <v>4431</v>
      </c>
      <c r="C469" s="883" t="s">
        <v>4723</v>
      </c>
      <c r="D469" s="886">
        <v>21</v>
      </c>
      <c r="E469" s="887">
        <v>1</v>
      </c>
      <c r="F469" s="888">
        <f>ListaMaterial[[#This Row],[REPETIÇÃO]]*ListaMaterial[[#This Row],[QUANTIDADE]]</f>
        <v>21</v>
      </c>
      <c r="H469" s="890">
        <f>ListaMaterial[[#This Row],[TOTAL]]*(1+ListaMaterial[[#This Row],[PERDA]])</f>
        <v>21</v>
      </c>
      <c r="I469" s="887" t="s">
        <v>4243</v>
      </c>
      <c r="J469" s="891">
        <f>_xlfn.XLOOKUP(ListaMaterial[[#This Row],[ITEM]],M:M,N:N,,0)</f>
        <v>39.150199999999998</v>
      </c>
      <c r="K469" s="891">
        <f>J469*ListaMaterial[[#This Row],[TOTAL C/PERDA]]</f>
        <v>822.15419999999995</v>
      </c>
      <c r="M469" s="901"/>
      <c r="N469" s="902"/>
    </row>
    <row r="470" spans="1:14" x14ac:dyDescent="0.25">
      <c r="A470" s="883" t="s">
        <v>4446</v>
      </c>
      <c r="B470" s="883" t="s">
        <v>4431</v>
      </c>
      <c r="C470" s="883" t="s">
        <v>4750</v>
      </c>
      <c r="D470" s="886">
        <v>2</v>
      </c>
      <c r="E470" s="887">
        <v>1</v>
      </c>
      <c r="F470" s="888">
        <f>ListaMaterial[[#This Row],[REPETIÇÃO]]*ListaMaterial[[#This Row],[QUANTIDADE]]</f>
        <v>2</v>
      </c>
      <c r="H470" s="890">
        <f>ListaMaterial[[#This Row],[TOTAL]]*(1+ListaMaterial[[#This Row],[PERDA]])</f>
        <v>2</v>
      </c>
      <c r="I470" s="887" t="s">
        <v>4243</v>
      </c>
      <c r="J470" s="891">
        <f>_xlfn.XLOOKUP(ListaMaterial[[#This Row],[ITEM]],M:M,N:N,,0)</f>
        <v>38.74</v>
      </c>
      <c r="K470" s="891">
        <f>J470*ListaMaterial[[#This Row],[TOTAL C/PERDA]]</f>
        <v>77.48</v>
      </c>
      <c r="M470" s="901"/>
      <c r="N470" s="902"/>
    </row>
    <row r="471" spans="1:14" x14ac:dyDescent="0.25">
      <c r="A471" s="883" t="s">
        <v>4446</v>
      </c>
      <c r="B471" s="883" t="s">
        <v>4431</v>
      </c>
      <c r="C471" s="883" t="s">
        <v>4725</v>
      </c>
      <c r="D471" s="886">
        <v>2</v>
      </c>
      <c r="E471" s="887">
        <v>1</v>
      </c>
      <c r="F471" s="888">
        <f>ListaMaterial[[#This Row],[REPETIÇÃO]]*ListaMaterial[[#This Row],[QUANTIDADE]]</f>
        <v>2</v>
      </c>
      <c r="H471" s="890">
        <f>ListaMaterial[[#This Row],[TOTAL]]*(1+ListaMaterial[[#This Row],[PERDA]])</f>
        <v>2</v>
      </c>
      <c r="I471" s="887" t="s">
        <v>4243</v>
      </c>
      <c r="J471" s="891">
        <f>_xlfn.XLOOKUP(ListaMaterial[[#This Row],[ITEM]],M:M,N:N,,0)</f>
        <v>13.422000000000001</v>
      </c>
      <c r="K471" s="891">
        <f>J471*ListaMaterial[[#This Row],[TOTAL C/PERDA]]</f>
        <v>26.844000000000001</v>
      </c>
      <c r="M471" s="901"/>
      <c r="N471" s="902"/>
    </row>
    <row r="472" spans="1:14" x14ac:dyDescent="0.25">
      <c r="A472" s="883" t="s">
        <v>4446</v>
      </c>
      <c r="B472" s="883" t="s">
        <v>4431</v>
      </c>
      <c r="C472" s="883" t="s">
        <v>4726</v>
      </c>
      <c r="D472" s="886">
        <v>6</v>
      </c>
      <c r="E472" s="887">
        <v>1</v>
      </c>
      <c r="F472" s="888">
        <f>ListaMaterial[[#This Row],[REPETIÇÃO]]*ListaMaterial[[#This Row],[QUANTIDADE]]</f>
        <v>6</v>
      </c>
      <c r="H472" s="890">
        <f>ListaMaterial[[#This Row],[TOTAL]]*(1+ListaMaterial[[#This Row],[PERDA]])</f>
        <v>6</v>
      </c>
      <c r="I472" s="887" t="s">
        <v>4243</v>
      </c>
      <c r="J472" s="891">
        <f>_xlfn.XLOOKUP(ListaMaterial[[#This Row],[ITEM]],M:M,N:N,,0)</f>
        <v>16.77</v>
      </c>
      <c r="K472" s="891">
        <f>J472*ListaMaterial[[#This Row],[TOTAL C/PERDA]]</f>
        <v>100.62</v>
      </c>
      <c r="M472" s="901"/>
      <c r="N472" s="902"/>
    </row>
    <row r="473" spans="1:14" x14ac:dyDescent="0.25">
      <c r="A473" s="883" t="s">
        <v>4446</v>
      </c>
      <c r="B473" s="883" t="s">
        <v>4431</v>
      </c>
      <c r="C473" s="883" t="s">
        <v>4669</v>
      </c>
      <c r="D473" s="886">
        <v>4</v>
      </c>
      <c r="E473" s="887">
        <v>1</v>
      </c>
      <c r="F473" s="888">
        <f>ListaMaterial[[#This Row],[REPETIÇÃO]]*ListaMaterial[[#This Row],[QUANTIDADE]]</f>
        <v>4</v>
      </c>
      <c r="H473" s="890">
        <f>ListaMaterial[[#This Row],[TOTAL]]*(1+ListaMaterial[[#This Row],[PERDA]])</f>
        <v>4</v>
      </c>
      <c r="I473" s="887" t="s">
        <v>4243</v>
      </c>
      <c r="J473" s="891">
        <f>_xlfn.XLOOKUP(ListaMaterial[[#This Row],[ITEM]],M:M,N:N,,0)</f>
        <v>33.549999999999997</v>
      </c>
      <c r="K473" s="891">
        <f>J473*ListaMaterial[[#This Row],[TOTAL C/PERDA]]</f>
        <v>134.19999999999999</v>
      </c>
      <c r="M473" s="901"/>
      <c r="N473" s="902"/>
    </row>
    <row r="474" spans="1:14" x14ac:dyDescent="0.25">
      <c r="A474" s="883" t="s">
        <v>4446</v>
      </c>
      <c r="B474" s="883" t="s">
        <v>4431</v>
      </c>
      <c r="C474" s="883" t="s">
        <v>4671</v>
      </c>
      <c r="D474" s="886">
        <v>2</v>
      </c>
      <c r="E474" s="887">
        <v>1</v>
      </c>
      <c r="F474" s="888">
        <f>ListaMaterial[[#This Row],[REPETIÇÃO]]*ListaMaterial[[#This Row],[QUANTIDADE]]</f>
        <v>2</v>
      </c>
      <c r="H474" s="890">
        <f>ListaMaterial[[#This Row],[TOTAL]]*(1+ListaMaterial[[#This Row],[PERDA]])</f>
        <v>2</v>
      </c>
      <c r="I474" s="887" t="s">
        <v>4243</v>
      </c>
      <c r="J474" s="891">
        <f>_xlfn.XLOOKUP(ListaMaterial[[#This Row],[ITEM]],M:M,N:N,,0)</f>
        <v>44.74</v>
      </c>
      <c r="K474" s="891">
        <f>J474*ListaMaterial[[#This Row],[TOTAL C/PERDA]]</f>
        <v>89.48</v>
      </c>
      <c r="M474" s="901"/>
      <c r="N474" s="902"/>
    </row>
    <row r="475" spans="1:14" x14ac:dyDescent="0.25">
      <c r="A475" s="883" t="s">
        <v>4446</v>
      </c>
      <c r="B475" s="883" t="s">
        <v>4431</v>
      </c>
      <c r="C475" s="883" t="s">
        <v>4694</v>
      </c>
      <c r="D475" s="886">
        <v>103</v>
      </c>
      <c r="E475" s="887">
        <v>1</v>
      </c>
      <c r="F475" s="888">
        <f>ListaMaterial[[#This Row],[REPETIÇÃO]]*ListaMaterial[[#This Row],[QUANTIDADE]]</f>
        <v>103</v>
      </c>
      <c r="H475" s="890">
        <f>ListaMaterial[[#This Row],[TOTAL]]*(1+ListaMaterial[[#This Row],[PERDA]])</f>
        <v>103</v>
      </c>
      <c r="I475" s="887" t="s">
        <v>4243</v>
      </c>
      <c r="J475" s="891">
        <f>_xlfn.XLOOKUP(ListaMaterial[[#This Row],[ITEM]],M:M,N:N,,0)</f>
        <v>6.7110000000000003</v>
      </c>
      <c r="K475" s="891">
        <f>J475*ListaMaterial[[#This Row],[TOTAL C/PERDA]]</f>
        <v>691.23300000000006</v>
      </c>
      <c r="M475" s="901"/>
      <c r="N475" s="902"/>
    </row>
    <row r="476" spans="1:14" x14ac:dyDescent="0.25">
      <c r="A476" s="883" t="s">
        <v>4446</v>
      </c>
      <c r="B476" s="883" t="s">
        <v>4431</v>
      </c>
      <c r="C476" s="883" t="s">
        <v>4695</v>
      </c>
      <c r="D476" s="886">
        <v>1</v>
      </c>
      <c r="E476" s="887">
        <v>1</v>
      </c>
      <c r="F476" s="888">
        <f>ListaMaterial[[#This Row],[REPETIÇÃO]]*ListaMaterial[[#This Row],[QUANTIDADE]]</f>
        <v>1</v>
      </c>
      <c r="H476" s="890">
        <f>ListaMaterial[[#This Row],[TOTAL]]*(1+ListaMaterial[[#This Row],[PERDA]])</f>
        <v>1</v>
      </c>
      <c r="I476" s="887" t="s">
        <v>4243</v>
      </c>
      <c r="J476" s="891">
        <f>_xlfn.XLOOKUP(ListaMaterial[[#This Row],[ITEM]],M:M,N:N,,0)</f>
        <v>8.9486000000000008</v>
      </c>
      <c r="K476" s="891">
        <f>J476*ListaMaterial[[#This Row],[TOTAL C/PERDA]]</f>
        <v>8.9486000000000008</v>
      </c>
      <c r="M476" s="901"/>
      <c r="N476" s="902"/>
    </row>
    <row r="477" spans="1:14" x14ac:dyDescent="0.25">
      <c r="A477" s="883" t="s">
        <v>4446</v>
      </c>
      <c r="B477" s="883" t="s">
        <v>4431</v>
      </c>
      <c r="C477" s="883" t="s">
        <v>4459</v>
      </c>
      <c r="D477" s="886">
        <v>70</v>
      </c>
      <c r="E477" s="887">
        <v>1</v>
      </c>
      <c r="F477" s="888">
        <f>ListaMaterial[[#This Row],[REPETIÇÃO]]*ListaMaterial[[#This Row],[QUANTIDADE]]</f>
        <v>70</v>
      </c>
      <c r="H477" s="890">
        <f>ListaMaterial[[#This Row],[TOTAL]]*(1+ListaMaterial[[#This Row],[PERDA]])</f>
        <v>70</v>
      </c>
      <c r="I477" s="887" t="s">
        <v>4243</v>
      </c>
      <c r="J477" s="891">
        <f>_xlfn.XLOOKUP(ListaMaterial[[#This Row],[ITEM]],M:M,N:N,,0)</f>
        <v>13.42</v>
      </c>
      <c r="K477" s="891">
        <f>J477*ListaMaterial[[#This Row],[TOTAL C/PERDA]]</f>
        <v>939.4</v>
      </c>
      <c r="M477" s="901"/>
      <c r="N477" s="902"/>
    </row>
    <row r="478" spans="1:14" x14ac:dyDescent="0.25">
      <c r="A478" s="883" t="s">
        <v>4446</v>
      </c>
      <c r="B478" s="883" t="s">
        <v>4431</v>
      </c>
      <c r="C478" s="883" t="s">
        <v>4729</v>
      </c>
      <c r="D478" s="886">
        <v>2</v>
      </c>
      <c r="E478" s="887">
        <v>1</v>
      </c>
      <c r="F478" s="888">
        <f>ListaMaterial[[#This Row],[REPETIÇÃO]]*ListaMaterial[[#This Row],[QUANTIDADE]]</f>
        <v>2</v>
      </c>
      <c r="H478" s="890">
        <f>ListaMaterial[[#This Row],[TOTAL]]*(1+ListaMaterial[[#This Row],[PERDA]])</f>
        <v>2</v>
      </c>
      <c r="I478" s="887" t="s">
        <v>4243</v>
      </c>
      <c r="J478" s="891">
        <f>_xlfn.XLOOKUP(ListaMaterial[[#This Row],[ITEM]],M:M,N:N,,0)</f>
        <v>16.777999999999999</v>
      </c>
      <c r="K478" s="891">
        <f>J478*ListaMaterial[[#This Row],[TOTAL C/PERDA]]</f>
        <v>33.555999999999997</v>
      </c>
      <c r="M478" s="901"/>
      <c r="N478" s="902"/>
    </row>
    <row r="479" spans="1:14" x14ac:dyDescent="0.25">
      <c r="A479" s="883" t="s">
        <v>4446</v>
      </c>
      <c r="B479" s="883" t="s">
        <v>4431</v>
      </c>
      <c r="C479" s="883" t="s">
        <v>4730</v>
      </c>
      <c r="D479" s="886">
        <v>22</v>
      </c>
      <c r="E479" s="887">
        <v>1</v>
      </c>
      <c r="F479" s="888">
        <f>ListaMaterial[[#This Row],[REPETIÇÃO]]*ListaMaterial[[#This Row],[QUANTIDADE]]</f>
        <v>22</v>
      </c>
      <c r="H479" s="890">
        <f>ListaMaterial[[#This Row],[TOTAL]]*(1+ListaMaterial[[#This Row],[PERDA]])</f>
        <v>22</v>
      </c>
      <c r="I479" s="887" t="s">
        <v>4243</v>
      </c>
      <c r="J479" s="891">
        <f>_xlfn.XLOOKUP(ListaMaterial[[#This Row],[ITEM]],M:M,N:N,,0)</f>
        <v>9.14</v>
      </c>
      <c r="K479" s="891">
        <f>J479*ListaMaterial[[#This Row],[TOTAL C/PERDA]]</f>
        <v>201.08</v>
      </c>
      <c r="M479" s="901"/>
      <c r="N479" s="902"/>
    </row>
    <row r="480" spans="1:14" x14ac:dyDescent="0.25">
      <c r="A480" s="883" t="s">
        <v>4446</v>
      </c>
      <c r="B480" s="883" t="s">
        <v>4431</v>
      </c>
      <c r="C480" s="883" t="s">
        <v>4731</v>
      </c>
      <c r="D480" s="886">
        <v>1</v>
      </c>
      <c r="E480" s="887">
        <v>1</v>
      </c>
      <c r="F480" s="888">
        <f>ListaMaterial[[#This Row],[REPETIÇÃO]]*ListaMaterial[[#This Row],[QUANTIDADE]]</f>
        <v>1</v>
      </c>
      <c r="H480" s="890">
        <f>ListaMaterial[[#This Row],[TOTAL]]*(1+ListaMaterial[[#This Row],[PERDA]])</f>
        <v>1</v>
      </c>
      <c r="I480" s="887" t="s">
        <v>4243</v>
      </c>
      <c r="J480" s="891">
        <f>_xlfn.XLOOKUP(ListaMaterial[[#This Row],[ITEM]],M:M,N:N,,0)</f>
        <v>12.15</v>
      </c>
      <c r="K480" s="891">
        <f>J480*ListaMaterial[[#This Row],[TOTAL C/PERDA]]</f>
        <v>12.15</v>
      </c>
      <c r="M480" s="901"/>
      <c r="N480" s="902"/>
    </row>
    <row r="481" spans="1:14" x14ac:dyDescent="0.25">
      <c r="A481" s="883" t="s">
        <v>4446</v>
      </c>
      <c r="B481" s="883" t="s">
        <v>4441</v>
      </c>
      <c r="C481" s="883" t="s">
        <v>4748</v>
      </c>
      <c r="D481" s="886">
        <v>8</v>
      </c>
      <c r="E481" s="887">
        <v>1</v>
      </c>
      <c r="F481" s="888">
        <f>ListaMaterial[[#This Row],[REPETIÇÃO]]*ListaMaterial[[#This Row],[QUANTIDADE]]</f>
        <v>8</v>
      </c>
      <c r="H481" s="890">
        <f>ListaMaterial[[#This Row],[TOTAL]]*(1+ListaMaterial[[#This Row],[PERDA]])</f>
        <v>8</v>
      </c>
      <c r="I481" s="887" t="s">
        <v>4243</v>
      </c>
      <c r="J481" s="891">
        <f>_xlfn.XLOOKUP(ListaMaterial[[#This Row],[ITEM]],M:M,N:N,,0)</f>
        <v>3.8</v>
      </c>
      <c r="K481" s="891">
        <f>J481*ListaMaterial[[#This Row],[TOTAL C/PERDA]]</f>
        <v>30.4</v>
      </c>
      <c r="M481" s="901"/>
      <c r="N481" s="902"/>
    </row>
    <row r="482" spans="1:14" x14ac:dyDescent="0.25">
      <c r="A482" s="883" t="s">
        <v>4446</v>
      </c>
      <c r="B482" s="883" t="s">
        <v>4441</v>
      </c>
      <c r="C482" s="883" t="s">
        <v>4664</v>
      </c>
      <c r="D482" s="886">
        <v>19</v>
      </c>
      <c r="E482" s="887">
        <v>1</v>
      </c>
      <c r="F482" s="888">
        <f>ListaMaterial[[#This Row],[REPETIÇÃO]]*ListaMaterial[[#This Row],[QUANTIDADE]]</f>
        <v>19</v>
      </c>
      <c r="H482" s="890">
        <f>ListaMaterial[[#This Row],[TOTAL]]*(1+ListaMaterial[[#This Row],[PERDA]])</f>
        <v>19</v>
      </c>
      <c r="I482" s="887" t="s">
        <v>4243</v>
      </c>
      <c r="J482" s="891">
        <f>_xlfn.XLOOKUP(ListaMaterial[[#This Row],[ITEM]],M:M,N:N,,0)</f>
        <v>10.06</v>
      </c>
      <c r="K482" s="891">
        <f>J482*ListaMaterial[[#This Row],[TOTAL C/PERDA]]</f>
        <v>191.14000000000001</v>
      </c>
      <c r="M482" s="901"/>
      <c r="N482" s="902"/>
    </row>
    <row r="483" spans="1:14" x14ac:dyDescent="0.25">
      <c r="A483" s="883" t="s">
        <v>4446</v>
      </c>
      <c r="B483" s="883" t="s">
        <v>4441</v>
      </c>
      <c r="C483" s="883" t="s">
        <v>4666</v>
      </c>
      <c r="D483" s="886">
        <v>10</v>
      </c>
      <c r="E483" s="887">
        <v>1</v>
      </c>
      <c r="F483" s="888">
        <f>ListaMaterial[[#This Row],[REPETIÇÃO]]*ListaMaterial[[#This Row],[QUANTIDADE]]</f>
        <v>10</v>
      </c>
      <c r="H483" s="890">
        <f>ListaMaterial[[#This Row],[TOTAL]]*(1+ListaMaterial[[#This Row],[PERDA]])</f>
        <v>10</v>
      </c>
      <c r="I483" s="887" t="s">
        <v>4243</v>
      </c>
      <c r="J483" s="891">
        <f>_xlfn.XLOOKUP(ListaMaterial[[#This Row],[ITEM]],M:M,N:N,,0)</f>
        <v>24.6</v>
      </c>
      <c r="K483" s="891">
        <f>J483*ListaMaterial[[#This Row],[TOTAL C/PERDA]]</f>
        <v>246</v>
      </c>
      <c r="M483" s="901"/>
      <c r="N483" s="902"/>
    </row>
    <row r="484" spans="1:14" x14ac:dyDescent="0.25">
      <c r="A484" s="883" t="s">
        <v>4446</v>
      </c>
      <c r="B484" s="883" t="s">
        <v>4441</v>
      </c>
      <c r="C484" s="883" t="s">
        <v>4721</v>
      </c>
      <c r="D484" s="886">
        <v>8</v>
      </c>
      <c r="E484" s="887">
        <v>1</v>
      </c>
      <c r="F484" s="888">
        <f>ListaMaterial[[#This Row],[REPETIÇÃO]]*ListaMaterial[[#This Row],[QUANTIDADE]]</f>
        <v>8</v>
      </c>
      <c r="H484" s="890">
        <f>ListaMaterial[[#This Row],[TOTAL]]*(1+ListaMaterial[[#This Row],[PERDA]])</f>
        <v>8</v>
      </c>
      <c r="I484" s="887" t="s">
        <v>4243</v>
      </c>
      <c r="J484" s="891">
        <f>_xlfn.XLOOKUP(ListaMaterial[[#This Row],[ITEM]],M:M,N:N,,0)</f>
        <v>8.94</v>
      </c>
      <c r="K484" s="891">
        <f>J484*ListaMaterial[[#This Row],[TOTAL C/PERDA]]</f>
        <v>71.52</v>
      </c>
      <c r="M484" s="901"/>
      <c r="N484" s="902"/>
    </row>
    <row r="485" spans="1:14" x14ac:dyDescent="0.25">
      <c r="A485" s="883" t="s">
        <v>4446</v>
      </c>
      <c r="B485" s="883" t="s">
        <v>4441</v>
      </c>
      <c r="C485" s="883" t="s">
        <v>4667</v>
      </c>
      <c r="D485" s="886">
        <v>14</v>
      </c>
      <c r="E485" s="887">
        <v>1</v>
      </c>
      <c r="F485" s="888">
        <f>ListaMaterial[[#This Row],[REPETIÇÃO]]*ListaMaterial[[#This Row],[QUANTIDADE]]</f>
        <v>14</v>
      </c>
      <c r="H485" s="890">
        <f>ListaMaterial[[#This Row],[TOTAL]]*(1+ListaMaterial[[#This Row],[PERDA]])</f>
        <v>14</v>
      </c>
      <c r="I485" s="887" t="s">
        <v>4243</v>
      </c>
      <c r="J485" s="891">
        <f>_xlfn.XLOOKUP(ListaMaterial[[#This Row],[ITEM]],M:M,N:N,,0)</f>
        <v>11.18</v>
      </c>
      <c r="K485" s="891">
        <f>J485*ListaMaterial[[#This Row],[TOTAL C/PERDA]]</f>
        <v>156.51999999999998</v>
      </c>
      <c r="M485" s="901"/>
      <c r="N485" s="902"/>
    </row>
    <row r="486" spans="1:14" x14ac:dyDescent="0.25">
      <c r="A486" s="883" t="s">
        <v>4446</v>
      </c>
      <c r="B486" s="883" t="s">
        <v>4441</v>
      </c>
      <c r="C486" s="883" t="s">
        <v>4458</v>
      </c>
      <c r="D486" s="886">
        <v>2</v>
      </c>
      <c r="E486" s="887">
        <v>1</v>
      </c>
      <c r="F486" s="888">
        <f>ListaMaterial[[#This Row],[REPETIÇÃO]]*ListaMaterial[[#This Row],[QUANTIDADE]]</f>
        <v>2</v>
      </c>
      <c r="H486" s="890">
        <f>ListaMaterial[[#This Row],[TOTAL]]*(1+ListaMaterial[[#This Row],[PERDA]])</f>
        <v>2</v>
      </c>
      <c r="I486" s="887" t="s">
        <v>4243</v>
      </c>
      <c r="J486" s="891">
        <f>_xlfn.XLOOKUP(ListaMaterial[[#This Row],[ITEM]],M:M,N:N,,0)</f>
        <v>27.96</v>
      </c>
      <c r="K486" s="891">
        <f>J486*ListaMaterial[[#This Row],[TOTAL C/PERDA]]</f>
        <v>55.92</v>
      </c>
      <c r="M486" s="901"/>
      <c r="N486" s="902"/>
    </row>
    <row r="487" spans="1:14" x14ac:dyDescent="0.25">
      <c r="A487" s="883" t="s">
        <v>4446</v>
      </c>
      <c r="B487" s="883" t="s">
        <v>4441</v>
      </c>
      <c r="C487" s="883" t="s">
        <v>4726</v>
      </c>
      <c r="D487" s="886">
        <v>1</v>
      </c>
      <c r="E487" s="887">
        <v>1</v>
      </c>
      <c r="F487" s="888">
        <f>ListaMaterial[[#This Row],[REPETIÇÃO]]*ListaMaterial[[#This Row],[QUANTIDADE]]</f>
        <v>1</v>
      </c>
      <c r="H487" s="890">
        <f>ListaMaterial[[#This Row],[TOTAL]]*(1+ListaMaterial[[#This Row],[PERDA]])</f>
        <v>1</v>
      </c>
      <c r="I487" s="887" t="s">
        <v>4243</v>
      </c>
      <c r="J487" s="891">
        <f>_xlfn.XLOOKUP(ListaMaterial[[#This Row],[ITEM]],M:M,N:N,,0)</f>
        <v>16.77</v>
      </c>
      <c r="K487" s="891">
        <f>J487*ListaMaterial[[#This Row],[TOTAL C/PERDA]]</f>
        <v>16.77</v>
      </c>
      <c r="M487" s="901"/>
      <c r="N487" s="902"/>
    </row>
    <row r="488" spans="1:14" x14ac:dyDescent="0.25">
      <c r="A488" s="883" t="s">
        <v>4446</v>
      </c>
      <c r="B488" s="883" t="s">
        <v>4441</v>
      </c>
      <c r="C488" s="883" t="s">
        <v>4692</v>
      </c>
      <c r="D488" s="886">
        <v>4</v>
      </c>
      <c r="E488" s="887">
        <v>1</v>
      </c>
      <c r="F488" s="888">
        <f>ListaMaterial[[#This Row],[REPETIÇÃO]]*ListaMaterial[[#This Row],[QUANTIDADE]]</f>
        <v>4</v>
      </c>
      <c r="H488" s="890">
        <f>ListaMaterial[[#This Row],[TOTAL]]*(1+ListaMaterial[[#This Row],[PERDA]])</f>
        <v>4</v>
      </c>
      <c r="I488" s="887" t="s">
        <v>4243</v>
      </c>
      <c r="J488" s="891">
        <f>_xlfn.XLOOKUP(ListaMaterial[[#This Row],[ITEM]],M:M,N:N,,0)</f>
        <v>22.37</v>
      </c>
      <c r="K488" s="891">
        <f>J488*ListaMaterial[[#This Row],[TOTAL C/PERDA]]</f>
        <v>89.48</v>
      </c>
      <c r="M488" s="901"/>
      <c r="N488" s="902"/>
    </row>
    <row r="489" spans="1:14" x14ac:dyDescent="0.25">
      <c r="A489" s="883" t="s">
        <v>4446</v>
      </c>
      <c r="B489" s="883" t="s">
        <v>4441</v>
      </c>
      <c r="C489" s="883" t="s">
        <v>4669</v>
      </c>
      <c r="D489" s="886">
        <v>27</v>
      </c>
      <c r="E489" s="887">
        <v>1</v>
      </c>
      <c r="F489" s="888">
        <f>ListaMaterial[[#This Row],[REPETIÇÃO]]*ListaMaterial[[#This Row],[QUANTIDADE]]</f>
        <v>27</v>
      </c>
      <c r="H489" s="890">
        <f>ListaMaterial[[#This Row],[TOTAL]]*(1+ListaMaterial[[#This Row],[PERDA]])</f>
        <v>27</v>
      </c>
      <c r="I489" s="887" t="s">
        <v>4243</v>
      </c>
      <c r="J489" s="891">
        <f>_xlfn.XLOOKUP(ListaMaterial[[#This Row],[ITEM]],M:M,N:N,,0)</f>
        <v>33.549999999999997</v>
      </c>
      <c r="K489" s="891">
        <f>J489*ListaMaterial[[#This Row],[TOTAL C/PERDA]]</f>
        <v>905.84999999999991</v>
      </c>
      <c r="M489" s="901"/>
      <c r="N489" s="902"/>
    </row>
    <row r="490" spans="1:14" x14ac:dyDescent="0.25">
      <c r="A490" s="883" t="s">
        <v>4446</v>
      </c>
      <c r="B490" s="883" t="s">
        <v>4441</v>
      </c>
      <c r="C490" s="883" t="s">
        <v>4671</v>
      </c>
      <c r="D490" s="886">
        <v>16</v>
      </c>
      <c r="E490" s="887">
        <v>1</v>
      </c>
      <c r="F490" s="888">
        <f>ListaMaterial[[#This Row],[REPETIÇÃO]]*ListaMaterial[[#This Row],[QUANTIDADE]]</f>
        <v>16</v>
      </c>
      <c r="H490" s="890">
        <f>ListaMaterial[[#This Row],[TOTAL]]*(1+ListaMaterial[[#This Row],[PERDA]])</f>
        <v>16</v>
      </c>
      <c r="I490" s="887" t="s">
        <v>4243</v>
      </c>
      <c r="J490" s="891">
        <f>_xlfn.XLOOKUP(ListaMaterial[[#This Row],[ITEM]],M:M,N:N,,0)</f>
        <v>44.74</v>
      </c>
      <c r="K490" s="891">
        <f>J490*ListaMaterial[[#This Row],[TOTAL C/PERDA]]</f>
        <v>715.84</v>
      </c>
      <c r="M490" s="901"/>
      <c r="N490" s="902"/>
    </row>
    <row r="491" spans="1:14" x14ac:dyDescent="0.25">
      <c r="A491" s="883" t="s">
        <v>4446</v>
      </c>
      <c r="B491" s="883" t="s">
        <v>4441</v>
      </c>
      <c r="C491" s="883" t="s">
        <v>4672</v>
      </c>
      <c r="D491" s="886">
        <v>27</v>
      </c>
      <c r="E491" s="887">
        <v>1</v>
      </c>
      <c r="F491" s="888">
        <f>ListaMaterial[[#This Row],[REPETIÇÃO]]*ListaMaterial[[#This Row],[QUANTIDADE]]</f>
        <v>27</v>
      </c>
      <c r="H491" s="890">
        <f>ListaMaterial[[#This Row],[TOTAL]]*(1+ListaMaterial[[#This Row],[PERDA]])</f>
        <v>27</v>
      </c>
      <c r="I491" s="887" t="s">
        <v>4243</v>
      </c>
      <c r="J491" s="891">
        <f>_xlfn.XLOOKUP(ListaMaterial[[#This Row],[ITEM]],M:M,N:N,,0)</f>
        <v>8.94</v>
      </c>
      <c r="K491" s="891">
        <f>J491*ListaMaterial[[#This Row],[TOTAL C/PERDA]]</f>
        <v>241.38</v>
      </c>
      <c r="M491" s="901"/>
      <c r="N491" s="902"/>
    </row>
    <row r="492" spans="1:14" x14ac:dyDescent="0.25">
      <c r="A492" s="883" t="s">
        <v>4446</v>
      </c>
      <c r="B492" s="883" t="s">
        <v>4441</v>
      </c>
      <c r="C492" s="883" t="s">
        <v>4673</v>
      </c>
      <c r="D492" s="886">
        <v>5</v>
      </c>
      <c r="E492" s="887">
        <v>1</v>
      </c>
      <c r="F492" s="888">
        <f>ListaMaterial[[#This Row],[REPETIÇÃO]]*ListaMaterial[[#This Row],[QUANTIDADE]]</f>
        <v>5</v>
      </c>
      <c r="H492" s="890">
        <f>ListaMaterial[[#This Row],[TOTAL]]*(1+ListaMaterial[[#This Row],[PERDA]])</f>
        <v>5</v>
      </c>
      <c r="I492" s="887" t="s">
        <v>4243</v>
      </c>
      <c r="J492" s="891">
        <f>_xlfn.XLOOKUP(ListaMaterial[[#This Row],[ITEM]],M:M,N:N,,0)</f>
        <v>5.95</v>
      </c>
      <c r="K492" s="891">
        <f>J492*ListaMaterial[[#This Row],[TOTAL C/PERDA]]</f>
        <v>29.75</v>
      </c>
      <c r="M492" s="901"/>
      <c r="N492" s="902"/>
    </row>
    <row r="493" spans="1:14" x14ac:dyDescent="0.25">
      <c r="A493" s="883" t="s">
        <v>4446</v>
      </c>
      <c r="B493" s="883" t="s">
        <v>4441</v>
      </c>
      <c r="C493" s="883" t="s">
        <v>4674</v>
      </c>
      <c r="D493" s="886">
        <v>43</v>
      </c>
      <c r="E493" s="887">
        <v>1</v>
      </c>
      <c r="F493" s="888">
        <f>ListaMaterial[[#This Row],[REPETIÇÃO]]*ListaMaterial[[#This Row],[QUANTIDADE]]</f>
        <v>43</v>
      </c>
      <c r="H493" s="890">
        <f>ListaMaterial[[#This Row],[TOTAL]]*(1+ListaMaterial[[#This Row],[PERDA]])</f>
        <v>43</v>
      </c>
      <c r="I493" s="887" t="s">
        <v>4243</v>
      </c>
      <c r="J493" s="891">
        <f>_xlfn.XLOOKUP(ListaMaterial[[#This Row],[ITEM]],M:M,N:N,,0)</f>
        <v>7.59</v>
      </c>
      <c r="K493" s="891">
        <f>J493*ListaMaterial[[#This Row],[TOTAL C/PERDA]]</f>
        <v>326.37</v>
      </c>
      <c r="M493" s="901"/>
      <c r="N493" s="902"/>
    </row>
    <row r="494" spans="1:14" x14ac:dyDescent="0.25">
      <c r="A494" s="883" t="s">
        <v>4446</v>
      </c>
      <c r="B494" s="883" t="s">
        <v>4441</v>
      </c>
      <c r="C494" s="883" t="s">
        <v>4730</v>
      </c>
      <c r="D494" s="886">
        <v>4</v>
      </c>
      <c r="E494" s="887">
        <v>1</v>
      </c>
      <c r="F494" s="888">
        <f>ListaMaterial[[#This Row],[REPETIÇÃO]]*ListaMaterial[[#This Row],[QUANTIDADE]]</f>
        <v>4</v>
      </c>
      <c r="H494" s="890">
        <f>ListaMaterial[[#This Row],[TOTAL]]*(1+ListaMaterial[[#This Row],[PERDA]])</f>
        <v>4</v>
      </c>
      <c r="I494" s="887" t="s">
        <v>4243</v>
      </c>
      <c r="J494" s="891">
        <f>_xlfn.XLOOKUP(ListaMaterial[[#This Row],[ITEM]],M:M,N:N,,0)</f>
        <v>9.14</v>
      </c>
      <c r="K494" s="891">
        <f>J494*ListaMaterial[[#This Row],[TOTAL C/PERDA]]</f>
        <v>36.56</v>
      </c>
      <c r="M494" s="901"/>
      <c r="N494" s="902"/>
    </row>
    <row r="495" spans="1:14" x14ac:dyDescent="0.25">
      <c r="A495" s="883" t="s">
        <v>4446</v>
      </c>
      <c r="B495" s="883" t="s">
        <v>4441</v>
      </c>
      <c r="C495" s="883" t="s">
        <v>4731</v>
      </c>
      <c r="D495" s="886">
        <v>1</v>
      </c>
      <c r="E495" s="887">
        <v>1</v>
      </c>
      <c r="F495" s="888">
        <f>ListaMaterial[[#This Row],[REPETIÇÃO]]*ListaMaterial[[#This Row],[QUANTIDADE]]</f>
        <v>1</v>
      </c>
      <c r="H495" s="890">
        <f>ListaMaterial[[#This Row],[TOTAL]]*(1+ListaMaterial[[#This Row],[PERDA]])</f>
        <v>1</v>
      </c>
      <c r="I495" s="887" t="s">
        <v>4243</v>
      </c>
      <c r="J495" s="891">
        <f>_xlfn.XLOOKUP(ListaMaterial[[#This Row],[ITEM]],M:M,N:N,,0)</f>
        <v>12.15</v>
      </c>
      <c r="K495" s="891">
        <f>J495*ListaMaterial[[#This Row],[TOTAL C/PERDA]]</f>
        <v>12.15</v>
      </c>
      <c r="M495" s="901"/>
      <c r="N495" s="902"/>
    </row>
    <row r="496" spans="1:14" x14ac:dyDescent="0.25">
      <c r="A496" s="883" t="s">
        <v>4446</v>
      </c>
      <c r="B496" s="883" t="s">
        <v>4441</v>
      </c>
      <c r="C496" s="883" t="s">
        <v>4733</v>
      </c>
      <c r="D496" s="886">
        <v>2</v>
      </c>
      <c r="E496" s="887">
        <v>1</v>
      </c>
      <c r="F496" s="888">
        <f>ListaMaterial[[#This Row],[REPETIÇÃO]]*ListaMaterial[[#This Row],[QUANTIDADE]]</f>
        <v>2</v>
      </c>
      <c r="H496" s="890">
        <f>ListaMaterial[[#This Row],[TOTAL]]*(1+ListaMaterial[[#This Row],[PERDA]])</f>
        <v>2</v>
      </c>
      <c r="I496" s="887" t="s">
        <v>4243</v>
      </c>
      <c r="J496" s="891">
        <f>_xlfn.XLOOKUP(ListaMaterial[[#This Row],[ITEM]],M:M,N:N,,0)</f>
        <v>28.9</v>
      </c>
      <c r="K496" s="891">
        <f>J496*ListaMaterial[[#This Row],[TOTAL C/PERDA]]</f>
        <v>57.8</v>
      </c>
      <c r="M496" s="901"/>
      <c r="N496" s="902"/>
    </row>
    <row r="497" spans="1:14" x14ac:dyDescent="0.25">
      <c r="A497" s="883" t="s">
        <v>4446</v>
      </c>
      <c r="B497" s="883" t="s">
        <v>4440</v>
      </c>
      <c r="C497" s="883" t="s">
        <v>4738</v>
      </c>
      <c r="D497" s="886">
        <v>63.29</v>
      </c>
      <c r="E497" s="887">
        <v>1</v>
      </c>
      <c r="F497" s="888">
        <f>ListaMaterial[[#This Row],[REPETIÇÃO]]*ListaMaterial[[#This Row],[QUANTIDADE]]</f>
        <v>63.29</v>
      </c>
      <c r="G497" s="889">
        <v>0.15</v>
      </c>
      <c r="H497" s="890">
        <f>ListaMaterial[[#This Row],[TOTAL]]*(1+ListaMaterial[[#This Row],[PERDA]])</f>
        <v>72.783499999999989</v>
      </c>
      <c r="I497" s="887" t="s">
        <v>3</v>
      </c>
      <c r="J497" s="891">
        <f>_xlfn.XLOOKUP(ListaMaterial[[#This Row],[ITEM]],M:M,N:N,,0)</f>
        <v>5.3983333333333334</v>
      </c>
      <c r="K497" s="891">
        <f>J497*ListaMaterial[[#This Row],[TOTAL C/PERDA]]</f>
        <v>392.90959416666664</v>
      </c>
      <c r="M497" s="901"/>
      <c r="N497" s="902"/>
    </row>
    <row r="498" spans="1:14" x14ac:dyDescent="0.25">
      <c r="A498" s="883" t="s">
        <v>4446</v>
      </c>
      <c r="B498" s="883" t="s">
        <v>4440</v>
      </c>
      <c r="C498" s="883" t="s">
        <v>4700</v>
      </c>
      <c r="D498" s="886">
        <v>78.84</v>
      </c>
      <c r="E498" s="887">
        <v>1</v>
      </c>
      <c r="F498" s="888">
        <f>ListaMaterial[[#This Row],[REPETIÇÃO]]*ListaMaterial[[#This Row],[QUANTIDADE]]</f>
        <v>78.84</v>
      </c>
      <c r="G498" s="889">
        <v>0.15</v>
      </c>
      <c r="H498" s="890">
        <f>ListaMaterial[[#This Row],[TOTAL]]*(1+ListaMaterial[[#This Row],[PERDA]])</f>
        <v>90.665999999999997</v>
      </c>
      <c r="I498" s="887" t="s">
        <v>3</v>
      </c>
      <c r="J498" s="891">
        <f>_xlfn.XLOOKUP(ListaMaterial[[#This Row],[ITEM]],M:M,N:N,,0)</f>
        <v>13.42</v>
      </c>
      <c r="K498" s="891">
        <f>J498*ListaMaterial[[#This Row],[TOTAL C/PERDA]]</f>
        <v>1216.7377199999999</v>
      </c>
      <c r="M498" s="901"/>
      <c r="N498" s="902"/>
    </row>
    <row r="499" spans="1:14" x14ac:dyDescent="0.25">
      <c r="A499" s="883" t="s">
        <v>4446</v>
      </c>
      <c r="B499" s="883" t="s">
        <v>4440</v>
      </c>
      <c r="C499" s="883" t="s">
        <v>4679</v>
      </c>
      <c r="D499" s="886">
        <v>105.37</v>
      </c>
      <c r="E499" s="887">
        <v>1</v>
      </c>
      <c r="F499" s="888">
        <f>ListaMaterial[[#This Row],[REPETIÇÃO]]*ListaMaterial[[#This Row],[QUANTIDADE]]</f>
        <v>105.37</v>
      </c>
      <c r="G499" s="889">
        <v>0.15</v>
      </c>
      <c r="H499" s="890">
        <f>ListaMaterial[[#This Row],[TOTAL]]*(1+ListaMaterial[[#This Row],[PERDA]])</f>
        <v>121.1755</v>
      </c>
      <c r="I499" s="887" t="s">
        <v>3</v>
      </c>
      <c r="J499" s="891">
        <f>_xlfn.XLOOKUP(ListaMaterial[[#This Row],[ITEM]],M:M,N:N,,0)</f>
        <v>20.134399999999999</v>
      </c>
      <c r="K499" s="891">
        <f>J499*ListaMaterial[[#This Row],[TOTAL C/PERDA]]</f>
        <v>2439.7959872000001</v>
      </c>
      <c r="M499" s="901"/>
      <c r="N499" s="902"/>
    </row>
    <row r="500" spans="1:14" x14ac:dyDescent="0.25">
      <c r="A500" s="883" t="s">
        <v>4446</v>
      </c>
      <c r="B500" s="883" t="s">
        <v>4440</v>
      </c>
      <c r="C500" s="883" t="s">
        <v>4739</v>
      </c>
      <c r="D500" s="886">
        <v>3.64</v>
      </c>
      <c r="E500" s="887">
        <v>1</v>
      </c>
      <c r="F500" s="888">
        <f>ListaMaterial[[#This Row],[REPETIÇÃO]]*ListaMaterial[[#This Row],[QUANTIDADE]]</f>
        <v>3.64</v>
      </c>
      <c r="G500" s="889">
        <v>0.15</v>
      </c>
      <c r="H500" s="890">
        <f>ListaMaterial[[#This Row],[TOTAL]]*(1+ListaMaterial[[#This Row],[PERDA]])</f>
        <v>4.1859999999999999</v>
      </c>
      <c r="I500" s="887" t="s">
        <v>3</v>
      </c>
      <c r="J500" s="891">
        <f>_xlfn.XLOOKUP(ListaMaterial[[#This Row],[ITEM]],M:M,N:N,,0)</f>
        <v>29.966666666666669</v>
      </c>
      <c r="K500" s="891">
        <f>J500*ListaMaterial[[#This Row],[TOTAL C/PERDA]]</f>
        <v>125.44046666666668</v>
      </c>
      <c r="M500" s="901"/>
      <c r="N500" s="902"/>
    </row>
    <row r="501" spans="1:14" x14ac:dyDescent="0.25">
      <c r="A501" s="883" t="s">
        <v>4446</v>
      </c>
      <c r="B501" s="883" t="s">
        <v>4618</v>
      </c>
      <c r="C501" s="883" t="s">
        <v>4749</v>
      </c>
      <c r="D501" s="886">
        <v>3.88</v>
      </c>
      <c r="E501" s="887">
        <v>1</v>
      </c>
      <c r="F501" s="888">
        <f>ListaMaterial[[#This Row],[REPETIÇÃO]]*ListaMaterial[[#This Row],[QUANTIDADE]]</f>
        <v>3.88</v>
      </c>
      <c r="G501" s="889">
        <v>0.15</v>
      </c>
      <c r="H501" s="890">
        <f>ListaMaterial[[#This Row],[TOTAL]]*(1+ListaMaterial[[#This Row],[PERDA]])</f>
        <v>4.4619999999999997</v>
      </c>
      <c r="I501" s="887" t="s">
        <v>3</v>
      </c>
      <c r="J501" s="891">
        <f>_xlfn.XLOOKUP(ListaMaterial[[#This Row],[ITEM]],M:M,N:N,,0)</f>
        <v>18.898333333333333</v>
      </c>
      <c r="K501" s="891">
        <f>J501*ListaMaterial[[#This Row],[TOTAL C/PERDA]]</f>
        <v>84.324363333333324</v>
      </c>
      <c r="M501" s="901"/>
      <c r="N501" s="902"/>
    </row>
    <row r="502" spans="1:14" x14ac:dyDescent="0.25">
      <c r="A502" s="883" t="s">
        <v>4446</v>
      </c>
      <c r="B502" s="883" t="s">
        <v>4618</v>
      </c>
      <c r="C502" s="883" t="s">
        <v>4680</v>
      </c>
      <c r="D502" s="886">
        <v>22.01</v>
      </c>
      <c r="E502" s="887">
        <v>1</v>
      </c>
      <c r="F502" s="888">
        <f>ListaMaterial[[#This Row],[REPETIÇÃO]]*ListaMaterial[[#This Row],[QUANTIDADE]]</f>
        <v>22.01</v>
      </c>
      <c r="G502" s="889">
        <v>0.15</v>
      </c>
      <c r="H502" s="890">
        <f>ListaMaterial[[#This Row],[TOTAL]]*(1+ListaMaterial[[#This Row],[PERDA]])</f>
        <v>25.311499999999999</v>
      </c>
      <c r="I502" s="887" t="s">
        <v>3</v>
      </c>
      <c r="J502" s="891">
        <f>_xlfn.XLOOKUP(ListaMaterial[[#This Row],[ITEM]],M:M,N:N,,0)</f>
        <v>9.2899999999999991</v>
      </c>
      <c r="K502" s="891">
        <f>J502*ListaMaterial[[#This Row],[TOTAL C/PERDA]]</f>
        <v>235.14383499999997</v>
      </c>
      <c r="M502" s="901"/>
      <c r="N502" s="902"/>
    </row>
    <row r="503" spans="1:14" x14ac:dyDescent="0.25">
      <c r="A503" s="883" t="s">
        <v>4446</v>
      </c>
      <c r="B503" s="883" t="s">
        <v>4618</v>
      </c>
      <c r="C503" s="883" t="s">
        <v>4681</v>
      </c>
      <c r="D503" s="886">
        <v>47.05</v>
      </c>
      <c r="E503" s="887">
        <v>1</v>
      </c>
      <c r="F503" s="888">
        <f>ListaMaterial[[#This Row],[REPETIÇÃO]]*ListaMaterial[[#This Row],[QUANTIDADE]]</f>
        <v>47.05</v>
      </c>
      <c r="G503" s="889">
        <v>0.15</v>
      </c>
      <c r="H503" s="890">
        <f>ListaMaterial[[#This Row],[TOTAL]]*(1+ListaMaterial[[#This Row],[PERDA]])</f>
        <v>54.107499999999995</v>
      </c>
      <c r="I503" s="887" t="s">
        <v>3</v>
      </c>
      <c r="J503" s="891">
        <f>_xlfn.XLOOKUP(ListaMaterial[[#This Row],[ITEM]],M:M,N:N,,0)</f>
        <v>15.99</v>
      </c>
      <c r="K503" s="891">
        <f>J503*ListaMaterial[[#This Row],[TOTAL C/PERDA]]</f>
        <v>865.17892499999994</v>
      </c>
      <c r="M503" s="901"/>
      <c r="N503" s="902"/>
    </row>
    <row r="504" spans="1:14" x14ac:dyDescent="0.25">
      <c r="A504" s="883" t="s">
        <v>4446</v>
      </c>
      <c r="B504" s="883" t="s">
        <v>4618</v>
      </c>
      <c r="C504" s="883" t="s">
        <v>4682</v>
      </c>
      <c r="D504" s="886">
        <v>123.52</v>
      </c>
      <c r="E504" s="887">
        <v>1</v>
      </c>
      <c r="F504" s="888">
        <f>ListaMaterial[[#This Row],[REPETIÇÃO]]*ListaMaterial[[#This Row],[QUANTIDADE]]</f>
        <v>123.52</v>
      </c>
      <c r="G504" s="889">
        <v>0.15</v>
      </c>
      <c r="H504" s="890">
        <f>ListaMaterial[[#This Row],[TOTAL]]*(1+ListaMaterial[[#This Row],[PERDA]])</f>
        <v>142.04799999999997</v>
      </c>
      <c r="I504" s="887" t="s">
        <v>3</v>
      </c>
      <c r="J504" s="891">
        <f>_xlfn.XLOOKUP(ListaMaterial[[#This Row],[ITEM]],M:M,N:N,,0)</f>
        <v>8.99</v>
      </c>
      <c r="K504" s="891">
        <f>J504*ListaMaterial[[#This Row],[TOTAL C/PERDA]]</f>
        <v>1277.0115199999998</v>
      </c>
      <c r="M504" s="901"/>
      <c r="N504" s="902"/>
    </row>
    <row r="505" spans="1:14" x14ac:dyDescent="0.25">
      <c r="A505" s="883" t="s">
        <v>4446</v>
      </c>
      <c r="B505" s="883" t="s">
        <v>4619</v>
      </c>
      <c r="C505" s="883" t="s">
        <v>4684</v>
      </c>
      <c r="D505" s="886">
        <v>423.76</v>
      </c>
      <c r="E505" s="887">
        <v>1</v>
      </c>
      <c r="F505" s="888">
        <f>ListaMaterial[[#This Row],[REPETIÇÃO]]*ListaMaterial[[#This Row],[QUANTIDADE]]</f>
        <v>423.76</v>
      </c>
      <c r="G505" s="889">
        <v>0.15</v>
      </c>
      <c r="H505" s="890">
        <f>ListaMaterial[[#This Row],[TOTAL]]*(1+ListaMaterial[[#This Row],[PERDA]])</f>
        <v>487.32399999999996</v>
      </c>
      <c r="I505" s="887" t="s">
        <v>3</v>
      </c>
      <c r="J505" s="891">
        <f>_xlfn.XLOOKUP(ListaMaterial[[#This Row],[ITEM]],M:M,N:N,,0)</f>
        <v>2.5685666666666669</v>
      </c>
      <c r="K505" s="891">
        <f>J505*ListaMaterial[[#This Row],[TOTAL C/PERDA]]</f>
        <v>1251.7241822666667</v>
      </c>
      <c r="M505" s="901"/>
      <c r="N505" s="902"/>
    </row>
    <row r="506" spans="1:14" x14ac:dyDescent="0.25">
      <c r="A506" s="883" t="s">
        <v>4446</v>
      </c>
      <c r="B506" s="883" t="s">
        <v>4619</v>
      </c>
      <c r="C506" s="883" t="s">
        <v>4685</v>
      </c>
      <c r="D506" s="886">
        <v>61</v>
      </c>
      <c r="E506" s="887">
        <v>1</v>
      </c>
      <c r="F506" s="888">
        <f>ListaMaterial[[#This Row],[REPETIÇÃO]]*ListaMaterial[[#This Row],[QUANTIDADE]]</f>
        <v>61</v>
      </c>
      <c r="G506" s="889">
        <v>0.15</v>
      </c>
      <c r="H506" s="890">
        <f>ListaMaterial[[#This Row],[TOTAL]]*(1+ListaMaterial[[#This Row],[PERDA]])</f>
        <v>70.149999999999991</v>
      </c>
      <c r="I506" s="887" t="s">
        <v>3</v>
      </c>
      <c r="J506" s="891">
        <f>_xlfn.XLOOKUP(ListaMaterial[[#This Row],[ITEM]],M:M,N:N,,0)</f>
        <v>7.7985833333333332</v>
      </c>
      <c r="K506" s="891">
        <f>J506*ListaMaterial[[#This Row],[TOTAL C/PERDA]]</f>
        <v>547.07062083333324</v>
      </c>
      <c r="M506" s="901"/>
      <c r="N506" s="902"/>
    </row>
    <row r="507" spans="1:14" x14ac:dyDescent="0.25">
      <c r="A507" s="894"/>
      <c r="B507" s="917" t="s">
        <v>758</v>
      </c>
      <c r="C507" s="894"/>
      <c r="D507" s="895"/>
      <c r="E507" s="896"/>
      <c r="F507" s="897">
        <f>ListaMaterial[[#This Row],[REPETIÇÃO]]*ListaMaterial[[#This Row],[QUANTIDADE]]</f>
        <v>0</v>
      </c>
      <c r="G507" s="898"/>
      <c r="H507" s="899">
        <f>ListaMaterial[[#This Row],[TOTAL]]*(1+ListaMaterial[[#This Row],[PERDA]])</f>
        <v>0</v>
      </c>
      <c r="I507" s="896"/>
      <c r="J507" s="900"/>
      <c r="K507" s="900">
        <f>SUM(K426:K506)</f>
        <v>25379.782414466667</v>
      </c>
      <c r="M507" s="901"/>
      <c r="N507" s="902"/>
    </row>
    <row r="508" spans="1:14" x14ac:dyDescent="0.25">
      <c r="A508" s="883" t="s">
        <v>4447</v>
      </c>
      <c r="B508" s="883" t="s">
        <v>4242</v>
      </c>
      <c r="C508" s="883" t="s">
        <v>4741</v>
      </c>
      <c r="D508" s="886">
        <v>6</v>
      </c>
      <c r="E508" s="887">
        <v>1</v>
      </c>
      <c r="F508" s="888">
        <f>ListaMaterial[[#This Row],[REPETIÇÃO]]*ListaMaterial[[#This Row],[QUANTIDADE]]</f>
        <v>6</v>
      </c>
      <c r="H508" s="890">
        <f>ListaMaterial[[#This Row],[TOTAL]]*(1+ListaMaterial[[#This Row],[PERDA]])</f>
        <v>6</v>
      </c>
      <c r="I508" s="887" t="s">
        <v>4243</v>
      </c>
      <c r="J508" s="891">
        <f>_xlfn.XLOOKUP(ListaMaterial[[#This Row],[ITEM]],M:M,N:N,,0)</f>
        <v>66.989999999999995</v>
      </c>
      <c r="K508" s="891">
        <f>J508*ListaMaterial[[#This Row],[TOTAL C/PERDA]]</f>
        <v>401.93999999999994</v>
      </c>
      <c r="M508" s="901"/>
      <c r="N508" s="902"/>
    </row>
    <row r="509" spans="1:14" x14ac:dyDescent="0.25">
      <c r="A509" s="883" t="s">
        <v>4447</v>
      </c>
      <c r="B509" s="883" t="s">
        <v>4242</v>
      </c>
      <c r="C509" s="883" t="s">
        <v>4704</v>
      </c>
      <c r="D509" s="886">
        <v>6</v>
      </c>
      <c r="E509" s="887">
        <v>1</v>
      </c>
      <c r="F509" s="888">
        <f>ListaMaterial[[#This Row],[REPETIÇÃO]]*ListaMaterial[[#This Row],[QUANTIDADE]]</f>
        <v>6</v>
      </c>
      <c r="H509" s="890">
        <f>ListaMaterial[[#This Row],[TOTAL]]*(1+ListaMaterial[[#This Row],[PERDA]])</f>
        <v>6</v>
      </c>
      <c r="I509" s="887" t="s">
        <v>4243</v>
      </c>
      <c r="J509" s="891">
        <f>_xlfn.XLOOKUP(ListaMaterial[[#This Row],[ITEM]],M:M,N:N,,0)</f>
        <v>167.78659999999999</v>
      </c>
      <c r="K509" s="891">
        <f>J509*ListaMaterial[[#This Row],[TOTAL C/PERDA]]</f>
        <v>1006.7195999999999</v>
      </c>
      <c r="M509" s="901"/>
      <c r="N509" s="902"/>
    </row>
    <row r="510" spans="1:14" x14ac:dyDescent="0.25">
      <c r="A510" s="883" t="s">
        <v>4447</v>
      </c>
      <c r="B510" s="883" t="s">
        <v>4242</v>
      </c>
      <c r="C510" s="883" t="s">
        <v>4742</v>
      </c>
      <c r="D510" s="886">
        <v>4</v>
      </c>
      <c r="E510" s="887">
        <v>1</v>
      </c>
      <c r="F510" s="888">
        <f>ListaMaterial[[#This Row],[REPETIÇÃO]]*ListaMaterial[[#This Row],[QUANTIDADE]]</f>
        <v>4</v>
      </c>
      <c r="H510" s="890">
        <f>ListaMaterial[[#This Row],[TOTAL]]*(1+ListaMaterial[[#This Row],[PERDA]])</f>
        <v>4</v>
      </c>
      <c r="I510" s="887" t="s">
        <v>4243</v>
      </c>
      <c r="J510" s="891">
        <f>_xlfn.XLOOKUP(ListaMaterial[[#This Row],[ITEM]],M:M,N:N,,0)</f>
        <v>154</v>
      </c>
      <c r="K510" s="891">
        <f>J510*ListaMaterial[[#This Row],[TOTAL C/PERDA]]</f>
        <v>616</v>
      </c>
      <c r="M510" s="901"/>
      <c r="N510" s="902"/>
    </row>
    <row r="511" spans="1:14" x14ac:dyDescent="0.25">
      <c r="A511" s="883" t="s">
        <v>4447</v>
      </c>
      <c r="B511" s="883" t="s">
        <v>4242</v>
      </c>
      <c r="C511" s="883" t="s">
        <v>4743</v>
      </c>
      <c r="D511" s="886">
        <v>4</v>
      </c>
      <c r="E511" s="887">
        <v>1</v>
      </c>
      <c r="F511" s="888">
        <f>ListaMaterial[[#This Row],[REPETIÇÃO]]*ListaMaterial[[#This Row],[QUANTIDADE]]</f>
        <v>4</v>
      </c>
      <c r="H511" s="890">
        <f>ListaMaterial[[#This Row],[TOTAL]]*(1+ListaMaterial[[#This Row],[PERDA]])</f>
        <v>4</v>
      </c>
      <c r="I511" s="887" t="s">
        <v>4243</v>
      </c>
      <c r="J511" s="891">
        <f>_xlfn.XLOOKUP(ListaMaterial[[#This Row],[ITEM]],M:M,N:N,,0)</f>
        <v>29.54</v>
      </c>
      <c r="K511" s="891">
        <f>J511*ListaMaterial[[#This Row],[TOTAL C/PERDA]]</f>
        <v>118.16</v>
      </c>
      <c r="M511" s="901"/>
      <c r="N511" s="902"/>
    </row>
    <row r="512" spans="1:14" x14ac:dyDescent="0.25">
      <c r="A512" s="883" t="s">
        <v>4447</v>
      </c>
      <c r="B512" s="883" t="s">
        <v>4242</v>
      </c>
      <c r="C512" s="883" t="s">
        <v>4640</v>
      </c>
      <c r="D512" s="886">
        <v>14</v>
      </c>
      <c r="E512" s="887">
        <v>1</v>
      </c>
      <c r="F512" s="888">
        <f>ListaMaterial[[#This Row],[REPETIÇÃO]]*ListaMaterial[[#This Row],[QUANTIDADE]]</f>
        <v>14</v>
      </c>
      <c r="H512" s="890">
        <f>ListaMaterial[[#This Row],[TOTAL]]*(1+ListaMaterial[[#This Row],[PERDA]])</f>
        <v>14</v>
      </c>
      <c r="I512" s="887" t="s">
        <v>4243</v>
      </c>
      <c r="J512" s="891">
        <f>_xlfn.XLOOKUP(ListaMaterial[[#This Row],[ITEM]],M:M,N:N,,0)</f>
        <v>31.716699999999999</v>
      </c>
      <c r="K512" s="891">
        <f>J512*ListaMaterial[[#This Row],[TOTAL C/PERDA]]</f>
        <v>444.03379999999999</v>
      </c>
      <c r="M512" s="901"/>
      <c r="N512" s="902"/>
    </row>
    <row r="513" spans="1:14" x14ac:dyDescent="0.25">
      <c r="A513" s="883" t="s">
        <v>4447</v>
      </c>
      <c r="B513" s="883" t="s">
        <v>4242</v>
      </c>
      <c r="C513" s="883" t="s">
        <v>4707</v>
      </c>
      <c r="D513" s="886">
        <v>4</v>
      </c>
      <c r="E513" s="887">
        <v>1</v>
      </c>
      <c r="F513" s="888">
        <f>ListaMaterial[[#This Row],[REPETIÇÃO]]*ListaMaterial[[#This Row],[QUANTIDADE]]</f>
        <v>4</v>
      </c>
      <c r="H513" s="890">
        <f>ListaMaterial[[#This Row],[TOTAL]]*(1+ListaMaterial[[#This Row],[PERDA]])</f>
        <v>4</v>
      </c>
      <c r="I513" s="887" t="s">
        <v>4243</v>
      </c>
      <c r="J513" s="891">
        <f>_xlfn.XLOOKUP(ListaMaterial[[#This Row],[ITEM]],M:M,N:N,,0)</f>
        <v>32.680300000000003</v>
      </c>
      <c r="K513" s="891">
        <f>J513*ListaMaterial[[#This Row],[TOTAL C/PERDA]]</f>
        <v>130.72120000000001</v>
      </c>
      <c r="M513" s="901"/>
      <c r="N513" s="902"/>
    </row>
    <row r="514" spans="1:14" x14ac:dyDescent="0.25">
      <c r="A514" s="883" t="s">
        <v>4447</v>
      </c>
      <c r="B514" s="883" t="s">
        <v>4242</v>
      </c>
      <c r="C514" s="883" t="s">
        <v>4744</v>
      </c>
      <c r="D514" s="886">
        <v>8</v>
      </c>
      <c r="E514" s="887">
        <v>1</v>
      </c>
      <c r="F514" s="888">
        <f>ListaMaterial[[#This Row],[REPETIÇÃO]]*ListaMaterial[[#This Row],[QUANTIDADE]]</f>
        <v>8</v>
      </c>
      <c r="H514" s="890">
        <f>ListaMaterial[[#This Row],[TOTAL]]*(1+ListaMaterial[[#This Row],[PERDA]])</f>
        <v>8</v>
      </c>
      <c r="I514" s="887" t="s">
        <v>4243</v>
      </c>
      <c r="J514" s="891">
        <f>_xlfn.XLOOKUP(ListaMaterial[[#This Row],[ITEM]],M:M,N:N,,0)</f>
        <v>3.84</v>
      </c>
      <c r="K514" s="891">
        <f>J514*ListaMaterial[[#This Row],[TOTAL C/PERDA]]</f>
        <v>30.72</v>
      </c>
      <c r="M514" s="901"/>
      <c r="N514" s="902"/>
    </row>
    <row r="515" spans="1:14" x14ac:dyDescent="0.25">
      <c r="A515" s="883" t="s">
        <v>4447</v>
      </c>
      <c r="B515" s="883" t="s">
        <v>4242</v>
      </c>
      <c r="C515" s="883" t="s">
        <v>4708</v>
      </c>
      <c r="D515" s="886">
        <v>8</v>
      </c>
      <c r="E515" s="887">
        <v>1</v>
      </c>
      <c r="F515" s="888">
        <f>ListaMaterial[[#This Row],[REPETIÇÃO]]*ListaMaterial[[#This Row],[QUANTIDADE]]</f>
        <v>8</v>
      </c>
      <c r="H515" s="890">
        <f>ListaMaterial[[#This Row],[TOTAL]]*(1+ListaMaterial[[#This Row],[PERDA]])</f>
        <v>8</v>
      </c>
      <c r="I515" s="887" t="s">
        <v>4243</v>
      </c>
      <c r="J515" s="891">
        <f>_xlfn.XLOOKUP(ListaMaterial[[#This Row],[ITEM]],M:M,N:N,,0)</f>
        <v>72.7</v>
      </c>
      <c r="K515" s="891">
        <f>J515*ListaMaterial[[#This Row],[TOTAL C/PERDA]]</f>
        <v>581.6</v>
      </c>
      <c r="M515" s="901"/>
      <c r="N515" s="902"/>
    </row>
    <row r="516" spans="1:14" x14ac:dyDescent="0.25">
      <c r="A516" s="883" t="s">
        <v>4447</v>
      </c>
      <c r="B516" s="883" t="s">
        <v>4624</v>
      </c>
      <c r="C516" s="883" t="s">
        <v>4751</v>
      </c>
      <c r="D516" s="886">
        <v>33</v>
      </c>
      <c r="E516" s="887">
        <v>1</v>
      </c>
      <c r="F516" s="888">
        <f>ListaMaterial[[#This Row],[REPETIÇÃO]]*ListaMaterial[[#This Row],[QUANTIDADE]]</f>
        <v>33</v>
      </c>
      <c r="H516" s="890">
        <f>ListaMaterial[[#This Row],[TOTAL]]*(1+ListaMaterial[[#This Row],[PERDA]])</f>
        <v>33</v>
      </c>
      <c r="I516" s="887" t="s">
        <v>4243</v>
      </c>
      <c r="J516" s="891">
        <f>_xlfn.XLOOKUP(ListaMaterial[[#This Row],[ITEM]],M:M,N:N,,0)</f>
        <v>9.66</v>
      </c>
      <c r="K516" s="891">
        <f>J516*ListaMaterial[[#This Row],[TOTAL C/PERDA]]</f>
        <v>318.78000000000003</v>
      </c>
      <c r="M516" s="901"/>
      <c r="N516" s="902"/>
    </row>
    <row r="517" spans="1:14" x14ac:dyDescent="0.25">
      <c r="A517" s="883" t="s">
        <v>4447</v>
      </c>
      <c r="B517" s="883" t="s">
        <v>4616</v>
      </c>
      <c r="C517" s="883" t="s">
        <v>4745</v>
      </c>
      <c r="D517" s="886">
        <v>8</v>
      </c>
      <c r="E517" s="887">
        <v>1</v>
      </c>
      <c r="F517" s="888">
        <f>ListaMaterial[[#This Row],[REPETIÇÃO]]*ListaMaterial[[#This Row],[QUANTIDADE]]</f>
        <v>8</v>
      </c>
      <c r="H517" s="890">
        <f>ListaMaterial[[#This Row],[TOTAL]]*(1+ListaMaterial[[#This Row],[PERDA]])</f>
        <v>8</v>
      </c>
      <c r="I517" s="887" t="s">
        <v>4243</v>
      </c>
      <c r="J517" s="891">
        <f>_xlfn.XLOOKUP(ListaMaterial[[#This Row],[ITEM]],M:M,N:N,,0)</f>
        <v>7.11</v>
      </c>
      <c r="K517" s="891">
        <f>J517*ListaMaterial[[#This Row],[TOTAL C/PERDA]]</f>
        <v>56.88</v>
      </c>
      <c r="M517" s="901"/>
      <c r="N517" s="902"/>
    </row>
    <row r="518" spans="1:14" x14ac:dyDescent="0.25">
      <c r="A518" s="883" t="s">
        <v>4447</v>
      </c>
      <c r="B518" s="883" t="s">
        <v>4616</v>
      </c>
      <c r="C518" s="883" t="s">
        <v>4645</v>
      </c>
      <c r="D518" s="886">
        <v>28</v>
      </c>
      <c r="E518" s="887">
        <v>1</v>
      </c>
      <c r="F518" s="888">
        <f>ListaMaterial[[#This Row],[REPETIÇÃO]]*ListaMaterial[[#This Row],[QUANTIDADE]]</f>
        <v>28</v>
      </c>
      <c r="H518" s="890">
        <f>ListaMaterial[[#This Row],[TOTAL]]*(1+ListaMaterial[[#This Row],[PERDA]])</f>
        <v>28</v>
      </c>
      <c r="I518" s="887" t="s">
        <v>4243</v>
      </c>
      <c r="J518" s="891">
        <f>_xlfn.XLOOKUP(ListaMaterial[[#This Row],[ITEM]],M:M,N:N,,0)</f>
        <v>1.79</v>
      </c>
      <c r="K518" s="891">
        <f>J518*ListaMaterial[[#This Row],[TOTAL C/PERDA]]</f>
        <v>50.120000000000005</v>
      </c>
      <c r="M518" s="901"/>
      <c r="N518" s="902"/>
    </row>
    <row r="519" spans="1:14" x14ac:dyDescent="0.25">
      <c r="A519" s="883" t="s">
        <v>4447</v>
      </c>
      <c r="B519" s="883" t="s">
        <v>4616</v>
      </c>
      <c r="C519" s="883" t="s">
        <v>4646</v>
      </c>
      <c r="D519" s="886">
        <v>6</v>
      </c>
      <c r="E519" s="887">
        <v>1</v>
      </c>
      <c r="F519" s="888">
        <f>ListaMaterial[[#This Row],[REPETIÇÃO]]*ListaMaterial[[#This Row],[QUANTIDADE]]</f>
        <v>6</v>
      </c>
      <c r="H519" s="890">
        <f>ListaMaterial[[#This Row],[TOTAL]]*(1+ListaMaterial[[#This Row],[PERDA]])</f>
        <v>6</v>
      </c>
      <c r="I519" s="887" t="s">
        <v>4243</v>
      </c>
      <c r="J519" s="891">
        <f>_xlfn.XLOOKUP(ListaMaterial[[#This Row],[ITEM]],M:M,N:N,,0)</f>
        <v>2.02</v>
      </c>
      <c r="K519" s="891">
        <f>J519*ListaMaterial[[#This Row],[TOTAL C/PERDA]]</f>
        <v>12.120000000000001</v>
      </c>
      <c r="M519" s="901"/>
      <c r="N519" s="902"/>
    </row>
    <row r="520" spans="1:14" x14ac:dyDescent="0.25">
      <c r="A520" s="883" t="s">
        <v>4447</v>
      </c>
      <c r="B520" s="883" t="s">
        <v>4429</v>
      </c>
      <c r="C520" s="883" t="s">
        <v>4647</v>
      </c>
      <c r="D520" s="886">
        <v>32</v>
      </c>
      <c r="E520" s="887">
        <v>1</v>
      </c>
      <c r="F520" s="888">
        <f>ListaMaterial[[#This Row],[REPETIÇÃO]]*ListaMaterial[[#This Row],[QUANTIDADE]]</f>
        <v>32</v>
      </c>
      <c r="H520" s="890">
        <f>ListaMaterial[[#This Row],[TOTAL]]*(1+ListaMaterial[[#This Row],[PERDA]])</f>
        <v>32</v>
      </c>
      <c r="I520" s="887" t="s">
        <v>4243</v>
      </c>
      <c r="J520" s="891">
        <f>_xlfn.XLOOKUP(ListaMaterial[[#This Row],[ITEM]],M:M,N:N,,0)</f>
        <v>0.59370000000000001</v>
      </c>
      <c r="K520" s="891">
        <f>J520*ListaMaterial[[#This Row],[TOTAL C/PERDA]]</f>
        <v>18.9984</v>
      </c>
      <c r="M520" s="901"/>
      <c r="N520" s="902"/>
    </row>
    <row r="521" spans="1:14" x14ac:dyDescent="0.25">
      <c r="A521" s="883" t="s">
        <v>4447</v>
      </c>
      <c r="B521" s="883" t="s">
        <v>4429</v>
      </c>
      <c r="C521" s="883" t="s">
        <v>4648</v>
      </c>
      <c r="D521" s="886">
        <v>8</v>
      </c>
      <c r="E521" s="887">
        <v>1</v>
      </c>
      <c r="F521" s="888">
        <f>ListaMaterial[[#This Row],[REPETIÇÃO]]*ListaMaterial[[#This Row],[QUANTIDADE]]</f>
        <v>8</v>
      </c>
      <c r="H521" s="890">
        <f>ListaMaterial[[#This Row],[TOTAL]]*(1+ListaMaterial[[#This Row],[PERDA]])</f>
        <v>8</v>
      </c>
      <c r="I521" s="887" t="s">
        <v>4243</v>
      </c>
      <c r="J521" s="891">
        <f>_xlfn.XLOOKUP(ListaMaterial[[#This Row],[ITEM]],M:M,N:N,,0)</f>
        <v>1.4224000000000001</v>
      </c>
      <c r="K521" s="891">
        <f>J521*ListaMaterial[[#This Row],[TOTAL C/PERDA]]</f>
        <v>11.379200000000001</v>
      </c>
      <c r="M521" s="901"/>
      <c r="N521" s="902"/>
    </row>
    <row r="522" spans="1:14" x14ac:dyDescent="0.25">
      <c r="A522" s="883" t="s">
        <v>4447</v>
      </c>
      <c r="B522" s="883" t="s">
        <v>4429</v>
      </c>
      <c r="C522" s="883" t="s">
        <v>4711</v>
      </c>
      <c r="D522" s="886">
        <v>5</v>
      </c>
      <c r="E522" s="887">
        <v>1</v>
      </c>
      <c r="F522" s="888">
        <f>ListaMaterial[[#This Row],[REPETIÇÃO]]*ListaMaterial[[#This Row],[QUANTIDADE]]</f>
        <v>5</v>
      </c>
      <c r="H522" s="890">
        <f>ListaMaterial[[#This Row],[TOTAL]]*(1+ListaMaterial[[#This Row],[PERDA]])</f>
        <v>5</v>
      </c>
      <c r="I522" s="887" t="s">
        <v>4243</v>
      </c>
      <c r="J522" s="891">
        <f>_xlfn.XLOOKUP(ListaMaterial[[#This Row],[ITEM]],M:M,N:N,,0)</f>
        <v>0.66579999999999995</v>
      </c>
      <c r="K522" s="891">
        <f>J522*ListaMaterial[[#This Row],[TOTAL C/PERDA]]</f>
        <v>3.3289999999999997</v>
      </c>
      <c r="M522" s="901"/>
      <c r="N522" s="902"/>
    </row>
    <row r="523" spans="1:14" x14ac:dyDescent="0.25">
      <c r="A523" s="883" t="s">
        <v>4447</v>
      </c>
      <c r="B523" s="883" t="s">
        <v>4429</v>
      </c>
      <c r="C523" s="883" t="s">
        <v>4702</v>
      </c>
      <c r="D523" s="886">
        <v>1</v>
      </c>
      <c r="E523" s="887">
        <v>1</v>
      </c>
      <c r="F523" s="888">
        <f>ListaMaterial[[#This Row],[REPETIÇÃO]]*ListaMaterial[[#This Row],[QUANTIDADE]]</f>
        <v>1</v>
      </c>
      <c r="H523" s="890">
        <f>ListaMaterial[[#This Row],[TOTAL]]*(1+ListaMaterial[[#This Row],[PERDA]])</f>
        <v>1</v>
      </c>
      <c r="I523" s="887" t="s">
        <v>4243</v>
      </c>
      <c r="J523" s="891">
        <f>_xlfn.XLOOKUP(ListaMaterial[[#This Row],[ITEM]],M:M,N:N,,0)</f>
        <v>5.89</v>
      </c>
      <c r="K523" s="891">
        <f>J523*ListaMaterial[[#This Row],[TOTAL C/PERDA]]</f>
        <v>5.89</v>
      </c>
      <c r="M523" s="901"/>
      <c r="N523" s="902"/>
    </row>
    <row r="524" spans="1:14" x14ac:dyDescent="0.25">
      <c r="A524" s="883" t="s">
        <v>4447</v>
      </c>
      <c r="B524" s="883" t="s">
        <v>4429</v>
      </c>
      <c r="C524" s="883" t="s">
        <v>4650</v>
      </c>
      <c r="D524" s="886">
        <v>6</v>
      </c>
      <c r="E524" s="887">
        <v>1</v>
      </c>
      <c r="F524" s="888">
        <f>ListaMaterial[[#This Row],[REPETIÇÃO]]*ListaMaterial[[#This Row],[QUANTIDADE]]</f>
        <v>6</v>
      </c>
      <c r="H524" s="890">
        <f>ListaMaterial[[#This Row],[TOTAL]]*(1+ListaMaterial[[#This Row],[PERDA]])</f>
        <v>6</v>
      </c>
      <c r="I524" s="887" t="s">
        <v>4243</v>
      </c>
      <c r="J524" s="891">
        <f>_xlfn.XLOOKUP(ListaMaterial[[#This Row],[ITEM]],M:M,N:N,,0)</f>
        <v>1.91</v>
      </c>
      <c r="K524" s="891">
        <f>J524*ListaMaterial[[#This Row],[TOTAL C/PERDA]]</f>
        <v>11.459999999999999</v>
      </c>
      <c r="M524" s="901"/>
      <c r="N524" s="902"/>
    </row>
    <row r="525" spans="1:14" x14ac:dyDescent="0.25">
      <c r="A525" s="883" t="s">
        <v>4447</v>
      </c>
      <c r="B525" s="883" t="s">
        <v>4429</v>
      </c>
      <c r="C525" s="883" t="s">
        <v>4653</v>
      </c>
      <c r="D525" s="886">
        <v>36</v>
      </c>
      <c r="E525" s="887">
        <v>1</v>
      </c>
      <c r="F525" s="888">
        <f>ListaMaterial[[#This Row],[REPETIÇÃO]]*ListaMaterial[[#This Row],[QUANTIDADE]]</f>
        <v>36</v>
      </c>
      <c r="H525" s="890">
        <f>ListaMaterial[[#This Row],[TOTAL]]*(1+ListaMaterial[[#This Row],[PERDA]])</f>
        <v>36</v>
      </c>
      <c r="I525" s="887" t="s">
        <v>4243</v>
      </c>
      <c r="J525" s="891">
        <f>_xlfn.XLOOKUP(ListaMaterial[[#This Row],[ITEM]],M:M,N:N,,0)</f>
        <v>0.91449999999999998</v>
      </c>
      <c r="K525" s="891">
        <f>J525*ListaMaterial[[#This Row],[TOTAL C/PERDA]]</f>
        <v>32.921999999999997</v>
      </c>
      <c r="M525" s="901"/>
      <c r="N525" s="902"/>
    </row>
    <row r="526" spans="1:14" x14ac:dyDescent="0.25">
      <c r="A526" s="883" t="s">
        <v>4447</v>
      </c>
      <c r="B526" s="883" t="s">
        <v>4429</v>
      </c>
      <c r="C526" s="883" t="s">
        <v>4712</v>
      </c>
      <c r="D526" s="886">
        <v>7</v>
      </c>
      <c r="E526" s="887">
        <v>1</v>
      </c>
      <c r="F526" s="888">
        <f>ListaMaterial[[#This Row],[REPETIÇÃO]]*ListaMaterial[[#This Row],[QUANTIDADE]]</f>
        <v>7</v>
      </c>
      <c r="H526" s="890">
        <f>ListaMaterial[[#This Row],[TOTAL]]*(1+ListaMaterial[[#This Row],[PERDA]])</f>
        <v>7</v>
      </c>
      <c r="I526" s="887" t="s">
        <v>4243</v>
      </c>
      <c r="J526" s="891">
        <f>_xlfn.XLOOKUP(ListaMaterial[[#This Row],[ITEM]],M:M,N:N,,0)</f>
        <v>2.8849999999999998</v>
      </c>
      <c r="K526" s="891">
        <f>J526*ListaMaterial[[#This Row],[TOTAL C/PERDA]]</f>
        <v>20.195</v>
      </c>
      <c r="M526" s="901"/>
      <c r="N526" s="902"/>
    </row>
    <row r="527" spans="1:14" x14ac:dyDescent="0.25">
      <c r="A527" s="883" t="s">
        <v>4447</v>
      </c>
      <c r="B527" s="883" t="s">
        <v>4429</v>
      </c>
      <c r="C527" s="883" t="s">
        <v>4654</v>
      </c>
      <c r="D527" s="886">
        <v>129</v>
      </c>
      <c r="E527" s="887">
        <v>1</v>
      </c>
      <c r="F527" s="888">
        <f>ListaMaterial[[#This Row],[REPETIÇÃO]]*ListaMaterial[[#This Row],[QUANTIDADE]]</f>
        <v>129</v>
      </c>
      <c r="H527" s="890">
        <f>ListaMaterial[[#This Row],[TOTAL]]*(1+ListaMaterial[[#This Row],[PERDA]])</f>
        <v>129</v>
      </c>
      <c r="I527" s="887" t="s">
        <v>4243</v>
      </c>
      <c r="J527" s="891">
        <f>_xlfn.XLOOKUP(ListaMaterial[[#This Row],[ITEM]],M:M,N:N,,0)</f>
        <v>0.47220000000000001</v>
      </c>
      <c r="K527" s="891">
        <f>J527*ListaMaterial[[#This Row],[TOTAL C/PERDA]]</f>
        <v>60.913800000000002</v>
      </c>
      <c r="M527" s="901"/>
      <c r="N527" s="902"/>
    </row>
    <row r="528" spans="1:14" x14ac:dyDescent="0.25">
      <c r="A528" s="883" t="s">
        <v>4447</v>
      </c>
      <c r="B528" s="883" t="s">
        <v>4429</v>
      </c>
      <c r="C528" s="883" t="s">
        <v>4655</v>
      </c>
      <c r="D528" s="886">
        <v>31</v>
      </c>
      <c r="E528" s="887">
        <v>1</v>
      </c>
      <c r="F528" s="888">
        <f>ListaMaterial[[#This Row],[REPETIÇÃO]]*ListaMaterial[[#This Row],[QUANTIDADE]]</f>
        <v>31</v>
      </c>
      <c r="H528" s="890">
        <f>ListaMaterial[[#This Row],[TOTAL]]*(1+ListaMaterial[[#This Row],[PERDA]])</f>
        <v>31</v>
      </c>
      <c r="I528" s="887" t="s">
        <v>4243</v>
      </c>
      <c r="J528" s="891">
        <f>_xlfn.XLOOKUP(ListaMaterial[[#This Row],[ITEM]],M:M,N:N,,0)</f>
        <v>2.2519999999999998</v>
      </c>
      <c r="K528" s="891">
        <f>J528*ListaMaterial[[#This Row],[TOTAL C/PERDA]]</f>
        <v>69.811999999999998</v>
      </c>
      <c r="M528" s="901"/>
      <c r="N528" s="902"/>
    </row>
    <row r="529" spans="1:14" x14ac:dyDescent="0.25">
      <c r="A529" s="883" t="s">
        <v>4447</v>
      </c>
      <c r="B529" s="883" t="s">
        <v>4429</v>
      </c>
      <c r="C529" s="883" t="s">
        <v>4752</v>
      </c>
      <c r="D529" s="886">
        <v>4</v>
      </c>
      <c r="E529" s="887">
        <v>1</v>
      </c>
      <c r="F529" s="888">
        <f>ListaMaterial[[#This Row],[REPETIÇÃO]]*ListaMaterial[[#This Row],[QUANTIDADE]]</f>
        <v>4</v>
      </c>
      <c r="H529" s="890">
        <f>ListaMaterial[[#This Row],[TOTAL]]*(1+ListaMaterial[[#This Row],[PERDA]])</f>
        <v>4</v>
      </c>
      <c r="I529" s="887" t="s">
        <v>4243</v>
      </c>
      <c r="J529" s="891">
        <f>_xlfn.XLOOKUP(ListaMaterial[[#This Row],[ITEM]],M:M,N:N,,0)</f>
        <v>4.5232000000000001</v>
      </c>
      <c r="K529" s="891">
        <f>J529*ListaMaterial[[#This Row],[TOTAL C/PERDA]]</f>
        <v>18.0928</v>
      </c>
      <c r="M529" s="901"/>
      <c r="N529" s="902"/>
    </row>
    <row r="530" spans="1:14" x14ac:dyDescent="0.25">
      <c r="A530" s="883" t="s">
        <v>4447</v>
      </c>
      <c r="B530" s="883" t="s">
        <v>4429</v>
      </c>
      <c r="C530" s="883" t="s">
        <v>4657</v>
      </c>
      <c r="D530" s="886">
        <v>26</v>
      </c>
      <c r="E530" s="887">
        <v>1</v>
      </c>
      <c r="F530" s="888">
        <f>ListaMaterial[[#This Row],[REPETIÇÃO]]*ListaMaterial[[#This Row],[QUANTIDADE]]</f>
        <v>26</v>
      </c>
      <c r="H530" s="890">
        <f>ListaMaterial[[#This Row],[TOTAL]]*(1+ListaMaterial[[#This Row],[PERDA]])</f>
        <v>26</v>
      </c>
      <c r="I530" s="887" t="s">
        <v>4243</v>
      </c>
      <c r="J530" s="891">
        <f>_xlfn.XLOOKUP(ListaMaterial[[#This Row],[ITEM]],M:M,N:N,,0)</f>
        <v>3.2107000000000001</v>
      </c>
      <c r="K530" s="891">
        <f>J530*ListaMaterial[[#This Row],[TOTAL C/PERDA]]</f>
        <v>83.478200000000001</v>
      </c>
      <c r="M530" s="901"/>
      <c r="N530" s="902"/>
    </row>
    <row r="531" spans="1:14" x14ac:dyDescent="0.25">
      <c r="A531" s="883" t="s">
        <v>4447</v>
      </c>
      <c r="B531" s="883" t="s">
        <v>4429</v>
      </c>
      <c r="C531" s="883" t="s">
        <v>4658</v>
      </c>
      <c r="D531" s="886">
        <v>6</v>
      </c>
      <c r="E531" s="887">
        <v>1</v>
      </c>
      <c r="F531" s="888">
        <f>ListaMaterial[[#This Row],[REPETIÇÃO]]*ListaMaterial[[#This Row],[QUANTIDADE]]</f>
        <v>6</v>
      </c>
      <c r="H531" s="890">
        <f>ListaMaterial[[#This Row],[TOTAL]]*(1+ListaMaterial[[#This Row],[PERDA]])</f>
        <v>6</v>
      </c>
      <c r="I531" s="887" t="s">
        <v>4243</v>
      </c>
      <c r="J531" s="891">
        <f>_xlfn.XLOOKUP(ListaMaterial[[#This Row],[ITEM]],M:M,N:N,,0)</f>
        <v>13.005000000000001</v>
      </c>
      <c r="K531" s="891">
        <f>J531*ListaMaterial[[#This Row],[TOTAL C/PERDA]]</f>
        <v>78.03</v>
      </c>
      <c r="M531" s="901"/>
      <c r="N531" s="902"/>
    </row>
    <row r="532" spans="1:14" x14ac:dyDescent="0.25">
      <c r="A532" s="883" t="s">
        <v>4447</v>
      </c>
      <c r="B532" s="883" t="s">
        <v>4429</v>
      </c>
      <c r="C532" s="883" t="s">
        <v>4457</v>
      </c>
      <c r="D532" s="886">
        <v>10</v>
      </c>
      <c r="E532" s="887">
        <v>1</v>
      </c>
      <c r="F532" s="888">
        <f>ListaMaterial[[#This Row],[REPETIÇÃO]]*ListaMaterial[[#This Row],[QUANTIDADE]]</f>
        <v>10</v>
      </c>
      <c r="H532" s="890">
        <f>ListaMaterial[[#This Row],[TOTAL]]*(1+ListaMaterial[[#This Row],[PERDA]])</f>
        <v>10</v>
      </c>
      <c r="I532" s="887" t="s">
        <v>4243</v>
      </c>
      <c r="J532" s="891">
        <f>_xlfn.XLOOKUP(ListaMaterial[[#This Row],[ITEM]],M:M,N:N,,0)</f>
        <v>11.18</v>
      </c>
      <c r="K532" s="891">
        <f>J532*ListaMaterial[[#This Row],[TOTAL C/PERDA]]</f>
        <v>111.8</v>
      </c>
      <c r="M532" s="901"/>
      <c r="N532" s="902"/>
    </row>
    <row r="533" spans="1:14" x14ac:dyDescent="0.25">
      <c r="A533" s="883" t="s">
        <v>4447</v>
      </c>
      <c r="B533" s="883" t="s">
        <v>4429</v>
      </c>
      <c r="C533" s="883" t="s">
        <v>4713</v>
      </c>
      <c r="D533" s="886">
        <v>2</v>
      </c>
      <c r="E533" s="887">
        <v>1</v>
      </c>
      <c r="F533" s="888">
        <f>ListaMaterial[[#This Row],[REPETIÇÃO]]*ListaMaterial[[#This Row],[QUANTIDADE]]</f>
        <v>2</v>
      </c>
      <c r="H533" s="890">
        <f>ListaMaterial[[#This Row],[TOTAL]]*(1+ListaMaterial[[#This Row],[PERDA]])</f>
        <v>2</v>
      </c>
      <c r="I533" s="887" t="s">
        <v>4243</v>
      </c>
      <c r="J533" s="891">
        <f>_xlfn.XLOOKUP(ListaMaterial[[#This Row],[ITEM]],M:M,N:N,,0)</f>
        <v>16.77</v>
      </c>
      <c r="K533" s="891">
        <f>J533*ListaMaterial[[#This Row],[TOTAL C/PERDA]]</f>
        <v>33.54</v>
      </c>
      <c r="M533" s="901"/>
      <c r="N533" s="902"/>
    </row>
    <row r="534" spans="1:14" x14ac:dyDescent="0.25">
      <c r="A534" s="883" t="s">
        <v>4447</v>
      </c>
      <c r="B534" s="883" t="s">
        <v>4429</v>
      </c>
      <c r="C534" s="883" t="s">
        <v>4714</v>
      </c>
      <c r="D534" s="886">
        <v>12</v>
      </c>
      <c r="E534" s="887">
        <v>1</v>
      </c>
      <c r="F534" s="888">
        <f>ListaMaterial[[#This Row],[REPETIÇÃO]]*ListaMaterial[[#This Row],[QUANTIDADE]]</f>
        <v>12</v>
      </c>
      <c r="H534" s="890">
        <f>ListaMaterial[[#This Row],[TOTAL]]*(1+ListaMaterial[[#This Row],[PERDA]])</f>
        <v>12</v>
      </c>
      <c r="I534" s="887" t="s">
        <v>4243</v>
      </c>
      <c r="J534" s="891">
        <f>_xlfn.XLOOKUP(ListaMaterial[[#This Row],[ITEM]],M:M,N:N,,0)</f>
        <v>4.5960000000000001</v>
      </c>
      <c r="K534" s="891">
        <f>J534*ListaMaterial[[#This Row],[TOTAL C/PERDA]]</f>
        <v>55.152000000000001</v>
      </c>
      <c r="M534" s="901"/>
      <c r="N534" s="902"/>
    </row>
    <row r="535" spans="1:14" x14ac:dyDescent="0.25">
      <c r="A535" s="883" t="s">
        <v>4447</v>
      </c>
      <c r="B535" s="883" t="s">
        <v>4429</v>
      </c>
      <c r="C535" s="883" t="s">
        <v>4715</v>
      </c>
      <c r="D535" s="886">
        <v>9</v>
      </c>
      <c r="E535" s="887">
        <v>1</v>
      </c>
      <c r="F535" s="888">
        <f>ListaMaterial[[#This Row],[REPETIÇÃO]]*ListaMaterial[[#This Row],[QUANTIDADE]]</f>
        <v>9</v>
      </c>
      <c r="H535" s="890">
        <f>ListaMaterial[[#This Row],[TOTAL]]*(1+ListaMaterial[[#This Row],[PERDA]])</f>
        <v>9</v>
      </c>
      <c r="I535" s="887" t="s">
        <v>4243</v>
      </c>
      <c r="J535" s="891">
        <f>_xlfn.XLOOKUP(ListaMaterial[[#This Row],[ITEM]],M:M,N:N,,0)</f>
        <v>5.3247999999999998</v>
      </c>
      <c r="K535" s="891">
        <f>J535*ListaMaterial[[#This Row],[TOTAL C/PERDA]]</f>
        <v>47.923199999999994</v>
      </c>
      <c r="M535" s="901"/>
      <c r="N535" s="902"/>
    </row>
    <row r="536" spans="1:14" x14ac:dyDescent="0.25">
      <c r="A536" s="883" t="s">
        <v>4447</v>
      </c>
      <c r="B536" s="883" t="s">
        <v>4429</v>
      </c>
      <c r="C536" s="883" t="s">
        <v>4660</v>
      </c>
      <c r="D536" s="886">
        <v>23</v>
      </c>
      <c r="E536" s="887">
        <v>1</v>
      </c>
      <c r="F536" s="888">
        <f>ListaMaterial[[#This Row],[REPETIÇÃO]]*ListaMaterial[[#This Row],[QUANTIDADE]]</f>
        <v>23</v>
      </c>
      <c r="H536" s="890">
        <f>ListaMaterial[[#This Row],[TOTAL]]*(1+ListaMaterial[[#This Row],[PERDA]])</f>
        <v>23</v>
      </c>
      <c r="I536" s="887" t="s">
        <v>4243</v>
      </c>
      <c r="J536" s="891">
        <f>_xlfn.XLOOKUP(ListaMaterial[[#This Row],[ITEM]],M:M,N:N,,0)</f>
        <v>0.98509999999999998</v>
      </c>
      <c r="K536" s="891">
        <f>J536*ListaMaterial[[#This Row],[TOTAL C/PERDA]]</f>
        <v>22.657299999999999</v>
      </c>
      <c r="M536" s="901"/>
      <c r="N536" s="902"/>
    </row>
    <row r="537" spans="1:14" x14ac:dyDescent="0.25">
      <c r="A537" s="883" t="s">
        <v>4447</v>
      </c>
      <c r="B537" s="883" t="s">
        <v>4429</v>
      </c>
      <c r="C537" s="883" t="s">
        <v>4716</v>
      </c>
      <c r="D537" s="886">
        <v>3</v>
      </c>
      <c r="E537" s="887">
        <v>1</v>
      </c>
      <c r="F537" s="888">
        <f>ListaMaterial[[#This Row],[REPETIÇÃO]]*ListaMaterial[[#This Row],[QUANTIDADE]]</f>
        <v>3</v>
      </c>
      <c r="H537" s="890">
        <f>ListaMaterial[[#This Row],[TOTAL]]*(1+ListaMaterial[[#This Row],[PERDA]])</f>
        <v>3</v>
      </c>
      <c r="I537" s="887" t="s">
        <v>4243</v>
      </c>
      <c r="J537" s="891">
        <f>_xlfn.XLOOKUP(ListaMaterial[[#This Row],[ITEM]],M:M,N:N,,0)</f>
        <v>2.5177999999999998</v>
      </c>
      <c r="K537" s="891">
        <f>J537*ListaMaterial[[#This Row],[TOTAL C/PERDA]]</f>
        <v>7.5533999999999999</v>
      </c>
      <c r="M537" s="901"/>
      <c r="N537" s="902"/>
    </row>
    <row r="538" spans="1:14" x14ac:dyDescent="0.25">
      <c r="A538" s="883" t="s">
        <v>4447</v>
      </c>
      <c r="B538" s="883" t="s">
        <v>4431</v>
      </c>
      <c r="C538" s="883" t="s">
        <v>4746</v>
      </c>
      <c r="D538" s="886">
        <v>6</v>
      </c>
      <c r="E538" s="887">
        <v>1</v>
      </c>
      <c r="F538" s="888">
        <f>ListaMaterial[[#This Row],[REPETIÇÃO]]*ListaMaterial[[#This Row],[QUANTIDADE]]</f>
        <v>6</v>
      </c>
      <c r="H538" s="890">
        <f>ListaMaterial[[#This Row],[TOTAL]]*(1+ListaMaterial[[#This Row],[PERDA]])</f>
        <v>6</v>
      </c>
      <c r="I538" s="887" t="s">
        <v>4243</v>
      </c>
      <c r="J538" s="891">
        <f>_xlfn.XLOOKUP(ListaMaterial[[#This Row],[ITEM]],M:M,N:N,,0)</f>
        <v>21.8</v>
      </c>
      <c r="K538" s="891">
        <f>J538*ListaMaterial[[#This Row],[TOTAL C/PERDA]]</f>
        <v>130.80000000000001</v>
      </c>
      <c r="M538" s="901"/>
      <c r="N538" s="902"/>
    </row>
    <row r="539" spans="1:14" x14ac:dyDescent="0.25">
      <c r="A539" s="883" t="s">
        <v>4447</v>
      </c>
      <c r="B539" s="883" t="s">
        <v>4431</v>
      </c>
      <c r="C539" s="883" t="s">
        <v>4717</v>
      </c>
      <c r="D539" s="886">
        <v>12</v>
      </c>
      <c r="E539" s="887">
        <v>1</v>
      </c>
      <c r="F539" s="888">
        <f>ListaMaterial[[#This Row],[REPETIÇÃO]]*ListaMaterial[[#This Row],[QUANTIDADE]]</f>
        <v>12</v>
      </c>
      <c r="H539" s="890">
        <f>ListaMaterial[[#This Row],[TOTAL]]*(1+ListaMaterial[[#This Row],[PERDA]])</f>
        <v>12</v>
      </c>
      <c r="I539" s="887" t="s">
        <v>4243</v>
      </c>
      <c r="J539" s="891">
        <f>_xlfn.XLOOKUP(ListaMaterial[[#This Row],[ITEM]],M:M,N:N,,0)</f>
        <v>9.4</v>
      </c>
      <c r="K539" s="891">
        <f>J539*ListaMaterial[[#This Row],[TOTAL C/PERDA]]</f>
        <v>112.80000000000001</v>
      </c>
      <c r="M539" s="901"/>
      <c r="N539" s="902"/>
    </row>
    <row r="540" spans="1:14" x14ac:dyDescent="0.25">
      <c r="A540" s="883" t="s">
        <v>4447</v>
      </c>
      <c r="B540" s="883" t="s">
        <v>4431</v>
      </c>
      <c r="C540" s="883" t="s">
        <v>4718</v>
      </c>
      <c r="D540" s="886">
        <v>12</v>
      </c>
      <c r="E540" s="887">
        <v>1</v>
      </c>
      <c r="F540" s="888">
        <f>ListaMaterial[[#This Row],[REPETIÇÃO]]*ListaMaterial[[#This Row],[QUANTIDADE]]</f>
        <v>12</v>
      </c>
      <c r="H540" s="890">
        <f>ListaMaterial[[#This Row],[TOTAL]]*(1+ListaMaterial[[#This Row],[PERDA]])</f>
        <v>12</v>
      </c>
      <c r="I540" s="887" t="s">
        <v>4243</v>
      </c>
      <c r="J540" s="891">
        <f>_xlfn.XLOOKUP(ListaMaterial[[#This Row],[ITEM]],M:M,N:N,,0)</f>
        <v>5.59</v>
      </c>
      <c r="K540" s="891">
        <f>J540*ListaMaterial[[#This Row],[TOTAL C/PERDA]]</f>
        <v>67.08</v>
      </c>
      <c r="M540" s="901"/>
      <c r="N540" s="902"/>
    </row>
    <row r="541" spans="1:14" x14ac:dyDescent="0.25">
      <c r="A541" s="883" t="s">
        <v>4447</v>
      </c>
      <c r="B541" s="883" t="s">
        <v>4431</v>
      </c>
      <c r="C541" s="883" t="s">
        <v>4719</v>
      </c>
      <c r="D541" s="886">
        <v>4</v>
      </c>
      <c r="E541" s="887">
        <v>1</v>
      </c>
      <c r="F541" s="888">
        <f>ListaMaterial[[#This Row],[REPETIÇÃO]]*ListaMaterial[[#This Row],[QUANTIDADE]]</f>
        <v>4</v>
      </c>
      <c r="H541" s="890">
        <f>ListaMaterial[[#This Row],[TOTAL]]*(1+ListaMaterial[[#This Row],[PERDA]])</f>
        <v>4</v>
      </c>
      <c r="I541" s="887" t="s">
        <v>4243</v>
      </c>
      <c r="J541" s="891">
        <f>_xlfn.XLOOKUP(ListaMaterial[[#This Row],[ITEM]],M:M,N:N,,0)</f>
        <v>6.7110000000000003</v>
      </c>
      <c r="K541" s="891">
        <f>J541*ListaMaterial[[#This Row],[TOTAL C/PERDA]]</f>
        <v>26.844000000000001</v>
      </c>
      <c r="M541" s="901"/>
      <c r="N541" s="902"/>
    </row>
    <row r="542" spans="1:14" x14ac:dyDescent="0.25">
      <c r="A542" s="883" t="s">
        <v>4447</v>
      </c>
      <c r="B542" s="883" t="s">
        <v>4431</v>
      </c>
      <c r="C542" s="883" t="s">
        <v>4690</v>
      </c>
      <c r="D542" s="886">
        <v>8</v>
      </c>
      <c r="E542" s="887">
        <v>1</v>
      </c>
      <c r="F542" s="888">
        <f>ListaMaterial[[#This Row],[REPETIÇÃO]]*ListaMaterial[[#This Row],[QUANTIDADE]]</f>
        <v>8</v>
      </c>
      <c r="H542" s="890">
        <f>ListaMaterial[[#This Row],[TOTAL]]*(1+ListaMaterial[[#This Row],[PERDA]])</f>
        <v>8</v>
      </c>
      <c r="I542" s="887" t="s">
        <v>4243</v>
      </c>
      <c r="J542" s="891">
        <f>_xlfn.XLOOKUP(ListaMaterial[[#This Row],[ITEM]],M:M,N:N,,0)</f>
        <v>11.18</v>
      </c>
      <c r="K542" s="891">
        <f>J542*ListaMaterial[[#This Row],[TOTAL C/PERDA]]</f>
        <v>89.44</v>
      </c>
      <c r="M542" s="901"/>
      <c r="N542" s="902"/>
    </row>
    <row r="543" spans="1:14" x14ac:dyDescent="0.25">
      <c r="A543" s="883" t="s">
        <v>4447</v>
      </c>
      <c r="B543" s="883" t="s">
        <v>4431</v>
      </c>
      <c r="C543" s="883" t="s">
        <v>4747</v>
      </c>
      <c r="D543" s="886">
        <v>12</v>
      </c>
      <c r="E543" s="887">
        <v>1</v>
      </c>
      <c r="F543" s="888">
        <f>ListaMaterial[[#This Row],[REPETIÇÃO]]*ListaMaterial[[#This Row],[QUANTIDADE]]</f>
        <v>12</v>
      </c>
      <c r="H543" s="890">
        <f>ListaMaterial[[#This Row],[TOTAL]]*(1+ListaMaterial[[#This Row],[PERDA]])</f>
        <v>12</v>
      </c>
      <c r="I543" s="887" t="s">
        <v>4243</v>
      </c>
      <c r="J543" s="891">
        <f>_xlfn.XLOOKUP(ListaMaterial[[#This Row],[ITEM]],M:M,N:N,,0)</f>
        <v>9.52</v>
      </c>
      <c r="K543" s="891">
        <f>J543*ListaMaterial[[#This Row],[TOTAL C/PERDA]]</f>
        <v>114.24</v>
      </c>
      <c r="M543" s="901"/>
      <c r="N543" s="902"/>
    </row>
    <row r="544" spans="1:14" x14ac:dyDescent="0.25">
      <c r="A544" s="883" t="s">
        <v>4447</v>
      </c>
      <c r="B544" s="883" t="s">
        <v>4431</v>
      </c>
      <c r="C544" s="883" t="s">
        <v>4720</v>
      </c>
      <c r="D544" s="886">
        <v>19</v>
      </c>
      <c r="E544" s="887">
        <v>1</v>
      </c>
      <c r="F544" s="888">
        <f>ListaMaterial[[#This Row],[REPETIÇÃO]]*ListaMaterial[[#This Row],[QUANTIDADE]]</f>
        <v>19</v>
      </c>
      <c r="H544" s="890">
        <f>ListaMaterial[[#This Row],[TOTAL]]*(1+ListaMaterial[[#This Row],[PERDA]])</f>
        <v>19</v>
      </c>
      <c r="I544" s="887" t="s">
        <v>4243</v>
      </c>
      <c r="J544" s="891">
        <f>_xlfn.XLOOKUP(ListaMaterial[[#This Row],[ITEM]],M:M,N:N,,0)</f>
        <v>7.83</v>
      </c>
      <c r="K544" s="891">
        <f>J544*ListaMaterial[[#This Row],[TOTAL C/PERDA]]</f>
        <v>148.77000000000001</v>
      </c>
      <c r="M544" s="901"/>
      <c r="N544" s="902"/>
    </row>
    <row r="545" spans="1:14" x14ac:dyDescent="0.25">
      <c r="A545" s="883" t="s">
        <v>4447</v>
      </c>
      <c r="B545" s="883" t="s">
        <v>4431</v>
      </c>
      <c r="C545" s="883" t="s">
        <v>4664</v>
      </c>
      <c r="D545" s="886">
        <v>96</v>
      </c>
      <c r="E545" s="887">
        <v>1</v>
      </c>
      <c r="F545" s="888">
        <f>ListaMaterial[[#This Row],[REPETIÇÃO]]*ListaMaterial[[#This Row],[QUANTIDADE]]</f>
        <v>96</v>
      </c>
      <c r="H545" s="890">
        <f>ListaMaterial[[#This Row],[TOTAL]]*(1+ListaMaterial[[#This Row],[PERDA]])</f>
        <v>96</v>
      </c>
      <c r="I545" s="887" t="s">
        <v>4243</v>
      </c>
      <c r="J545" s="891">
        <f>_xlfn.XLOOKUP(ListaMaterial[[#This Row],[ITEM]],M:M,N:N,,0)</f>
        <v>10.06</v>
      </c>
      <c r="K545" s="891">
        <f>J545*ListaMaterial[[#This Row],[TOTAL C/PERDA]]</f>
        <v>965.76</v>
      </c>
      <c r="M545" s="901"/>
      <c r="N545" s="902"/>
    </row>
    <row r="546" spans="1:14" x14ac:dyDescent="0.25">
      <c r="A546" s="883" t="s">
        <v>4447</v>
      </c>
      <c r="B546" s="883" t="s">
        <v>4431</v>
      </c>
      <c r="C546" s="883" t="s">
        <v>4666</v>
      </c>
      <c r="D546" s="886">
        <v>42</v>
      </c>
      <c r="E546" s="887">
        <v>1</v>
      </c>
      <c r="F546" s="888">
        <f>ListaMaterial[[#This Row],[REPETIÇÃO]]*ListaMaterial[[#This Row],[QUANTIDADE]]</f>
        <v>42</v>
      </c>
      <c r="H546" s="890">
        <f>ListaMaterial[[#This Row],[TOTAL]]*(1+ListaMaterial[[#This Row],[PERDA]])</f>
        <v>42</v>
      </c>
      <c r="I546" s="887" t="s">
        <v>4243</v>
      </c>
      <c r="J546" s="891">
        <f>_xlfn.XLOOKUP(ListaMaterial[[#This Row],[ITEM]],M:M,N:N,,0)</f>
        <v>24.6</v>
      </c>
      <c r="K546" s="891">
        <f>J546*ListaMaterial[[#This Row],[TOTAL C/PERDA]]</f>
        <v>1033.2</v>
      </c>
      <c r="M546" s="901"/>
      <c r="N546" s="902"/>
    </row>
    <row r="547" spans="1:14" x14ac:dyDescent="0.25">
      <c r="A547" s="883" t="s">
        <v>4447</v>
      </c>
      <c r="B547" s="883" t="s">
        <v>4431</v>
      </c>
      <c r="C547" s="883" t="s">
        <v>4721</v>
      </c>
      <c r="D547" s="886">
        <v>18</v>
      </c>
      <c r="E547" s="887">
        <v>1</v>
      </c>
      <c r="F547" s="888">
        <f>ListaMaterial[[#This Row],[REPETIÇÃO]]*ListaMaterial[[#This Row],[QUANTIDADE]]</f>
        <v>18</v>
      </c>
      <c r="H547" s="890">
        <f>ListaMaterial[[#This Row],[TOTAL]]*(1+ListaMaterial[[#This Row],[PERDA]])</f>
        <v>18</v>
      </c>
      <c r="I547" s="887" t="s">
        <v>4243</v>
      </c>
      <c r="J547" s="891">
        <f>_xlfn.XLOOKUP(ListaMaterial[[#This Row],[ITEM]],M:M,N:N,,0)</f>
        <v>8.94</v>
      </c>
      <c r="K547" s="891">
        <f>J547*ListaMaterial[[#This Row],[TOTAL C/PERDA]]</f>
        <v>160.91999999999999</v>
      </c>
      <c r="M547" s="901"/>
      <c r="N547" s="902"/>
    </row>
    <row r="548" spans="1:14" x14ac:dyDescent="0.25">
      <c r="A548" s="883" t="s">
        <v>4447</v>
      </c>
      <c r="B548" s="883" t="s">
        <v>4431</v>
      </c>
      <c r="C548" s="883" t="s">
        <v>4667</v>
      </c>
      <c r="D548" s="886">
        <v>39</v>
      </c>
      <c r="E548" s="887">
        <v>1</v>
      </c>
      <c r="F548" s="888">
        <f>ListaMaterial[[#This Row],[REPETIÇÃO]]*ListaMaterial[[#This Row],[QUANTIDADE]]</f>
        <v>39</v>
      </c>
      <c r="H548" s="890">
        <f>ListaMaterial[[#This Row],[TOTAL]]*(1+ListaMaterial[[#This Row],[PERDA]])</f>
        <v>39</v>
      </c>
      <c r="I548" s="887" t="s">
        <v>4243</v>
      </c>
      <c r="J548" s="891">
        <f>_xlfn.XLOOKUP(ListaMaterial[[#This Row],[ITEM]],M:M,N:N,,0)</f>
        <v>11.18</v>
      </c>
      <c r="K548" s="891">
        <f>J548*ListaMaterial[[#This Row],[TOTAL C/PERDA]]</f>
        <v>436.02</v>
      </c>
      <c r="M548" s="901"/>
      <c r="N548" s="902"/>
    </row>
    <row r="549" spans="1:14" x14ac:dyDescent="0.25">
      <c r="A549" s="883" t="s">
        <v>4447</v>
      </c>
      <c r="B549" s="883" t="s">
        <v>4431</v>
      </c>
      <c r="C549" s="883" t="s">
        <v>4458</v>
      </c>
      <c r="D549" s="886">
        <v>28</v>
      </c>
      <c r="E549" s="887">
        <v>1</v>
      </c>
      <c r="F549" s="888">
        <f>ListaMaterial[[#This Row],[REPETIÇÃO]]*ListaMaterial[[#This Row],[QUANTIDADE]]</f>
        <v>28</v>
      </c>
      <c r="H549" s="890">
        <f>ListaMaterial[[#This Row],[TOTAL]]*(1+ListaMaterial[[#This Row],[PERDA]])</f>
        <v>28</v>
      </c>
      <c r="I549" s="887" t="s">
        <v>4243</v>
      </c>
      <c r="J549" s="891">
        <f>_xlfn.XLOOKUP(ListaMaterial[[#This Row],[ITEM]],M:M,N:N,,0)</f>
        <v>27.96</v>
      </c>
      <c r="K549" s="891">
        <f>J549*ListaMaterial[[#This Row],[TOTAL C/PERDA]]</f>
        <v>782.88</v>
      </c>
      <c r="M549" s="901"/>
      <c r="N549" s="902"/>
    </row>
    <row r="550" spans="1:14" x14ac:dyDescent="0.25">
      <c r="A550" s="883" t="s">
        <v>4447</v>
      </c>
      <c r="B550" s="883" t="s">
        <v>4431</v>
      </c>
      <c r="C550" s="883" t="s">
        <v>4722</v>
      </c>
      <c r="D550" s="886">
        <v>12</v>
      </c>
      <c r="E550" s="887">
        <v>1</v>
      </c>
      <c r="F550" s="888">
        <f>ListaMaterial[[#This Row],[REPETIÇÃO]]*ListaMaterial[[#This Row],[QUANTIDADE]]</f>
        <v>12</v>
      </c>
      <c r="H550" s="890">
        <f>ListaMaterial[[#This Row],[TOTAL]]*(1+ListaMaterial[[#This Row],[PERDA]])</f>
        <v>12</v>
      </c>
      <c r="I550" s="887" t="s">
        <v>4243</v>
      </c>
      <c r="J550" s="891">
        <f>_xlfn.XLOOKUP(ListaMaterial[[#This Row],[ITEM]],M:M,N:N,,0)</f>
        <v>13.42</v>
      </c>
      <c r="K550" s="891">
        <f>J550*ListaMaterial[[#This Row],[TOTAL C/PERDA]]</f>
        <v>161.04</v>
      </c>
      <c r="M550" s="901"/>
      <c r="N550" s="902"/>
    </row>
    <row r="551" spans="1:14" x14ac:dyDescent="0.25">
      <c r="A551" s="883" t="s">
        <v>4447</v>
      </c>
      <c r="B551" s="883" t="s">
        <v>4431</v>
      </c>
      <c r="C551" s="883" t="s">
        <v>4723</v>
      </c>
      <c r="D551" s="886">
        <v>12</v>
      </c>
      <c r="E551" s="887">
        <v>1</v>
      </c>
      <c r="F551" s="888">
        <f>ListaMaterial[[#This Row],[REPETIÇÃO]]*ListaMaterial[[#This Row],[QUANTIDADE]]</f>
        <v>12</v>
      </c>
      <c r="H551" s="890">
        <f>ListaMaterial[[#This Row],[TOTAL]]*(1+ListaMaterial[[#This Row],[PERDA]])</f>
        <v>12</v>
      </c>
      <c r="I551" s="887" t="s">
        <v>4243</v>
      </c>
      <c r="J551" s="891">
        <f>_xlfn.XLOOKUP(ListaMaterial[[#This Row],[ITEM]],M:M,N:N,,0)</f>
        <v>39.150199999999998</v>
      </c>
      <c r="K551" s="891">
        <f>J551*ListaMaterial[[#This Row],[TOTAL C/PERDA]]</f>
        <v>469.80239999999998</v>
      </c>
      <c r="M551" s="901"/>
      <c r="N551" s="902"/>
    </row>
    <row r="552" spans="1:14" x14ac:dyDescent="0.25">
      <c r="A552" s="883" t="s">
        <v>4447</v>
      </c>
      <c r="B552" s="883" t="s">
        <v>4431</v>
      </c>
      <c r="C552" s="883" t="s">
        <v>4724</v>
      </c>
      <c r="D552" s="886">
        <v>2</v>
      </c>
      <c r="E552" s="887">
        <v>1</v>
      </c>
      <c r="F552" s="888">
        <f>ListaMaterial[[#This Row],[REPETIÇÃO]]*ListaMaterial[[#This Row],[QUANTIDADE]]</f>
        <v>2</v>
      </c>
      <c r="H552" s="890">
        <f>ListaMaterial[[#This Row],[TOTAL]]*(1+ListaMaterial[[#This Row],[PERDA]])</f>
        <v>2</v>
      </c>
      <c r="I552" s="887" t="s">
        <v>4243</v>
      </c>
      <c r="J552" s="891">
        <f>_xlfn.XLOOKUP(ListaMaterial[[#This Row],[ITEM]],M:M,N:N,,0)</f>
        <v>44.74</v>
      </c>
      <c r="K552" s="891">
        <f>J552*ListaMaterial[[#This Row],[TOTAL C/PERDA]]</f>
        <v>89.48</v>
      </c>
      <c r="M552" s="901"/>
      <c r="N552" s="902"/>
    </row>
    <row r="553" spans="1:14" x14ac:dyDescent="0.25">
      <c r="A553" s="883" t="s">
        <v>4447</v>
      </c>
      <c r="B553" s="883" t="s">
        <v>4431</v>
      </c>
      <c r="C553" s="883" t="s">
        <v>4750</v>
      </c>
      <c r="D553" s="886">
        <v>13</v>
      </c>
      <c r="E553" s="887">
        <v>1</v>
      </c>
      <c r="F553" s="888">
        <f>ListaMaterial[[#This Row],[REPETIÇÃO]]*ListaMaterial[[#This Row],[QUANTIDADE]]</f>
        <v>13</v>
      </c>
      <c r="H553" s="890">
        <f>ListaMaterial[[#This Row],[TOTAL]]*(1+ListaMaterial[[#This Row],[PERDA]])</f>
        <v>13</v>
      </c>
      <c r="I553" s="887" t="s">
        <v>4243</v>
      </c>
      <c r="J553" s="891">
        <f>_xlfn.XLOOKUP(ListaMaterial[[#This Row],[ITEM]],M:M,N:N,,0)</f>
        <v>38.74</v>
      </c>
      <c r="K553" s="891">
        <f>J553*ListaMaterial[[#This Row],[TOTAL C/PERDA]]</f>
        <v>503.62</v>
      </c>
      <c r="M553" s="901"/>
      <c r="N553" s="902"/>
    </row>
    <row r="554" spans="1:14" x14ac:dyDescent="0.25">
      <c r="A554" s="883" t="s">
        <v>4447</v>
      </c>
      <c r="B554" s="883" t="s">
        <v>4431</v>
      </c>
      <c r="C554" s="883" t="s">
        <v>4725</v>
      </c>
      <c r="D554" s="886">
        <v>1</v>
      </c>
      <c r="E554" s="887">
        <v>1</v>
      </c>
      <c r="F554" s="888">
        <f>ListaMaterial[[#This Row],[REPETIÇÃO]]*ListaMaterial[[#This Row],[QUANTIDADE]]</f>
        <v>1</v>
      </c>
      <c r="H554" s="890">
        <f>ListaMaterial[[#This Row],[TOTAL]]*(1+ListaMaterial[[#This Row],[PERDA]])</f>
        <v>1</v>
      </c>
      <c r="I554" s="887" t="s">
        <v>4243</v>
      </c>
      <c r="J554" s="891">
        <f>_xlfn.XLOOKUP(ListaMaterial[[#This Row],[ITEM]],M:M,N:N,,0)</f>
        <v>13.422000000000001</v>
      </c>
      <c r="K554" s="891">
        <f>J554*ListaMaterial[[#This Row],[TOTAL C/PERDA]]</f>
        <v>13.422000000000001</v>
      </c>
      <c r="M554" s="901"/>
      <c r="N554" s="902"/>
    </row>
    <row r="555" spans="1:14" x14ac:dyDescent="0.25">
      <c r="A555" s="883" t="s">
        <v>4447</v>
      </c>
      <c r="B555" s="883" t="s">
        <v>4431</v>
      </c>
      <c r="C555" s="883" t="s">
        <v>4726</v>
      </c>
      <c r="D555" s="886">
        <v>11</v>
      </c>
      <c r="E555" s="887">
        <v>1</v>
      </c>
      <c r="F555" s="888">
        <f>ListaMaterial[[#This Row],[REPETIÇÃO]]*ListaMaterial[[#This Row],[QUANTIDADE]]</f>
        <v>11</v>
      </c>
      <c r="H555" s="890">
        <f>ListaMaterial[[#This Row],[TOTAL]]*(1+ListaMaterial[[#This Row],[PERDA]])</f>
        <v>11</v>
      </c>
      <c r="I555" s="887" t="s">
        <v>4243</v>
      </c>
      <c r="J555" s="891">
        <f>_xlfn.XLOOKUP(ListaMaterial[[#This Row],[ITEM]],M:M,N:N,,0)</f>
        <v>16.77</v>
      </c>
      <c r="K555" s="891">
        <f>J555*ListaMaterial[[#This Row],[TOTAL C/PERDA]]</f>
        <v>184.47</v>
      </c>
      <c r="M555" s="901"/>
      <c r="N555" s="902"/>
    </row>
    <row r="556" spans="1:14" x14ac:dyDescent="0.25">
      <c r="A556" s="883" t="s">
        <v>4447</v>
      </c>
      <c r="B556" s="883" t="s">
        <v>4431</v>
      </c>
      <c r="C556" s="883" t="s">
        <v>4692</v>
      </c>
      <c r="D556" s="886">
        <v>1</v>
      </c>
      <c r="E556" s="887">
        <v>1</v>
      </c>
      <c r="F556" s="888">
        <f>ListaMaterial[[#This Row],[REPETIÇÃO]]*ListaMaterial[[#This Row],[QUANTIDADE]]</f>
        <v>1</v>
      </c>
      <c r="H556" s="890">
        <f>ListaMaterial[[#This Row],[TOTAL]]*(1+ListaMaterial[[#This Row],[PERDA]])</f>
        <v>1</v>
      </c>
      <c r="I556" s="887" t="s">
        <v>4243</v>
      </c>
      <c r="J556" s="891">
        <f>_xlfn.XLOOKUP(ListaMaterial[[#This Row],[ITEM]],M:M,N:N,,0)</f>
        <v>22.37</v>
      </c>
      <c r="K556" s="891">
        <f>J556*ListaMaterial[[#This Row],[TOTAL C/PERDA]]</f>
        <v>22.37</v>
      </c>
      <c r="M556" s="901"/>
      <c r="N556" s="902"/>
    </row>
    <row r="557" spans="1:14" x14ac:dyDescent="0.25">
      <c r="A557" s="883" t="s">
        <v>4447</v>
      </c>
      <c r="B557" s="883" t="s">
        <v>4431</v>
      </c>
      <c r="C557" s="883" t="s">
        <v>4669</v>
      </c>
      <c r="D557" s="886">
        <v>6</v>
      </c>
      <c r="E557" s="887">
        <v>1</v>
      </c>
      <c r="F557" s="888">
        <f>ListaMaterial[[#This Row],[REPETIÇÃO]]*ListaMaterial[[#This Row],[QUANTIDADE]]</f>
        <v>6</v>
      </c>
      <c r="H557" s="890">
        <f>ListaMaterial[[#This Row],[TOTAL]]*(1+ListaMaterial[[#This Row],[PERDA]])</f>
        <v>6</v>
      </c>
      <c r="I557" s="887" t="s">
        <v>4243</v>
      </c>
      <c r="J557" s="891">
        <f>_xlfn.XLOOKUP(ListaMaterial[[#This Row],[ITEM]],M:M,N:N,,0)</f>
        <v>33.549999999999997</v>
      </c>
      <c r="K557" s="891">
        <f>J557*ListaMaterial[[#This Row],[TOTAL C/PERDA]]</f>
        <v>201.29999999999998</v>
      </c>
      <c r="M557" s="901"/>
      <c r="N557" s="902"/>
    </row>
    <row r="558" spans="1:14" x14ac:dyDescent="0.25">
      <c r="A558" s="883" t="s">
        <v>4447</v>
      </c>
      <c r="B558" s="883" t="s">
        <v>4431</v>
      </c>
      <c r="C558" s="883" t="s">
        <v>4671</v>
      </c>
      <c r="D558" s="886">
        <v>3</v>
      </c>
      <c r="E558" s="887">
        <v>1</v>
      </c>
      <c r="F558" s="888">
        <f>ListaMaterial[[#This Row],[REPETIÇÃO]]*ListaMaterial[[#This Row],[QUANTIDADE]]</f>
        <v>3</v>
      </c>
      <c r="H558" s="890">
        <f>ListaMaterial[[#This Row],[TOTAL]]*(1+ListaMaterial[[#This Row],[PERDA]])</f>
        <v>3</v>
      </c>
      <c r="I558" s="887" t="s">
        <v>4243</v>
      </c>
      <c r="J558" s="891">
        <f>_xlfn.XLOOKUP(ListaMaterial[[#This Row],[ITEM]],M:M,N:N,,0)</f>
        <v>44.74</v>
      </c>
      <c r="K558" s="891">
        <f>J558*ListaMaterial[[#This Row],[TOTAL C/PERDA]]</f>
        <v>134.22</v>
      </c>
      <c r="M558" s="901"/>
      <c r="N558" s="902"/>
    </row>
    <row r="559" spans="1:14" x14ac:dyDescent="0.25">
      <c r="A559" s="883" t="s">
        <v>4447</v>
      </c>
      <c r="B559" s="883" t="s">
        <v>4431</v>
      </c>
      <c r="C559" s="883" t="s">
        <v>4694</v>
      </c>
      <c r="D559" s="886">
        <v>120</v>
      </c>
      <c r="E559" s="887">
        <v>1</v>
      </c>
      <c r="F559" s="888">
        <f>ListaMaterial[[#This Row],[REPETIÇÃO]]*ListaMaterial[[#This Row],[QUANTIDADE]]</f>
        <v>120</v>
      </c>
      <c r="H559" s="890">
        <f>ListaMaterial[[#This Row],[TOTAL]]*(1+ListaMaterial[[#This Row],[PERDA]])</f>
        <v>120</v>
      </c>
      <c r="I559" s="887" t="s">
        <v>4243</v>
      </c>
      <c r="J559" s="891">
        <f>_xlfn.XLOOKUP(ListaMaterial[[#This Row],[ITEM]],M:M,N:N,,0)</f>
        <v>6.7110000000000003</v>
      </c>
      <c r="K559" s="891">
        <f>J559*ListaMaterial[[#This Row],[TOTAL C/PERDA]]</f>
        <v>805.32</v>
      </c>
      <c r="M559" s="901"/>
      <c r="N559" s="902"/>
    </row>
    <row r="560" spans="1:14" x14ac:dyDescent="0.25">
      <c r="A560" s="883" t="s">
        <v>4447</v>
      </c>
      <c r="B560" s="883" t="s">
        <v>4431</v>
      </c>
      <c r="C560" s="883" t="s">
        <v>4695</v>
      </c>
      <c r="D560" s="886">
        <v>1</v>
      </c>
      <c r="E560" s="887">
        <v>1</v>
      </c>
      <c r="F560" s="888">
        <f>ListaMaterial[[#This Row],[REPETIÇÃO]]*ListaMaterial[[#This Row],[QUANTIDADE]]</f>
        <v>1</v>
      </c>
      <c r="H560" s="890">
        <f>ListaMaterial[[#This Row],[TOTAL]]*(1+ListaMaterial[[#This Row],[PERDA]])</f>
        <v>1</v>
      </c>
      <c r="I560" s="887" t="s">
        <v>4243</v>
      </c>
      <c r="J560" s="891">
        <f>_xlfn.XLOOKUP(ListaMaterial[[#This Row],[ITEM]],M:M,N:N,,0)</f>
        <v>8.9486000000000008</v>
      </c>
      <c r="K560" s="891">
        <f>J560*ListaMaterial[[#This Row],[TOTAL C/PERDA]]</f>
        <v>8.9486000000000008</v>
      </c>
      <c r="M560" s="901"/>
      <c r="N560" s="902"/>
    </row>
    <row r="561" spans="1:14" x14ac:dyDescent="0.25">
      <c r="A561" s="883" t="s">
        <v>4447</v>
      </c>
      <c r="B561" s="883" t="s">
        <v>4431</v>
      </c>
      <c r="C561" s="883" t="s">
        <v>4459</v>
      </c>
      <c r="D561" s="886">
        <v>88</v>
      </c>
      <c r="E561" s="887">
        <v>1</v>
      </c>
      <c r="F561" s="888">
        <f>ListaMaterial[[#This Row],[REPETIÇÃO]]*ListaMaterial[[#This Row],[QUANTIDADE]]</f>
        <v>88</v>
      </c>
      <c r="H561" s="890">
        <f>ListaMaterial[[#This Row],[TOTAL]]*(1+ListaMaterial[[#This Row],[PERDA]])</f>
        <v>88</v>
      </c>
      <c r="I561" s="887" t="s">
        <v>4243</v>
      </c>
      <c r="J561" s="891">
        <f>_xlfn.XLOOKUP(ListaMaterial[[#This Row],[ITEM]],M:M,N:N,,0)</f>
        <v>13.42</v>
      </c>
      <c r="K561" s="891">
        <f>J561*ListaMaterial[[#This Row],[TOTAL C/PERDA]]</f>
        <v>1180.96</v>
      </c>
      <c r="M561" s="901"/>
      <c r="N561" s="902"/>
    </row>
    <row r="562" spans="1:14" x14ac:dyDescent="0.25">
      <c r="A562" s="883" t="s">
        <v>4447</v>
      </c>
      <c r="B562" s="883" t="s">
        <v>4431</v>
      </c>
      <c r="C562" s="883" t="s">
        <v>4730</v>
      </c>
      <c r="D562" s="886">
        <v>20</v>
      </c>
      <c r="E562" s="887">
        <v>1</v>
      </c>
      <c r="F562" s="888">
        <f>ListaMaterial[[#This Row],[REPETIÇÃO]]*ListaMaterial[[#This Row],[QUANTIDADE]]</f>
        <v>20</v>
      </c>
      <c r="H562" s="890">
        <f>ListaMaterial[[#This Row],[TOTAL]]*(1+ListaMaterial[[#This Row],[PERDA]])</f>
        <v>20</v>
      </c>
      <c r="I562" s="887" t="s">
        <v>4243</v>
      </c>
      <c r="J562" s="891">
        <f>_xlfn.XLOOKUP(ListaMaterial[[#This Row],[ITEM]],M:M,N:N,,0)</f>
        <v>9.14</v>
      </c>
      <c r="K562" s="891">
        <f>J562*ListaMaterial[[#This Row],[TOTAL C/PERDA]]</f>
        <v>182.8</v>
      </c>
      <c r="M562" s="901"/>
      <c r="N562" s="902"/>
    </row>
    <row r="563" spans="1:14" x14ac:dyDescent="0.25">
      <c r="A563" s="883" t="s">
        <v>4447</v>
      </c>
      <c r="B563" s="883" t="s">
        <v>4441</v>
      </c>
      <c r="C563" s="883" t="s">
        <v>4748</v>
      </c>
      <c r="D563" s="886">
        <v>1</v>
      </c>
      <c r="E563" s="887">
        <v>1</v>
      </c>
      <c r="F563" s="888">
        <f>ListaMaterial[[#This Row],[REPETIÇÃO]]*ListaMaterial[[#This Row],[QUANTIDADE]]</f>
        <v>1</v>
      </c>
      <c r="H563" s="890">
        <f>ListaMaterial[[#This Row],[TOTAL]]*(1+ListaMaterial[[#This Row],[PERDA]])</f>
        <v>1</v>
      </c>
      <c r="I563" s="887" t="s">
        <v>4243</v>
      </c>
      <c r="J563" s="891">
        <f>_xlfn.XLOOKUP(ListaMaterial[[#This Row],[ITEM]],M:M,N:N,,0)</f>
        <v>3.8</v>
      </c>
      <c r="K563" s="891">
        <f>J563*ListaMaterial[[#This Row],[TOTAL C/PERDA]]</f>
        <v>3.8</v>
      </c>
      <c r="M563" s="901"/>
      <c r="N563" s="902"/>
    </row>
    <row r="564" spans="1:14" x14ac:dyDescent="0.25">
      <c r="A564" s="883" t="s">
        <v>4447</v>
      </c>
      <c r="B564" s="883" t="s">
        <v>4441</v>
      </c>
      <c r="C564" s="883" t="s">
        <v>4662</v>
      </c>
      <c r="D564" s="886">
        <v>6</v>
      </c>
      <c r="E564" s="887">
        <v>1</v>
      </c>
      <c r="F564" s="888">
        <f>ListaMaterial[[#This Row],[REPETIÇÃO]]*ListaMaterial[[#This Row],[QUANTIDADE]]</f>
        <v>6</v>
      </c>
      <c r="H564" s="890">
        <f>ListaMaterial[[#This Row],[TOTAL]]*(1+ListaMaterial[[#This Row],[PERDA]])</f>
        <v>6</v>
      </c>
      <c r="I564" s="887" t="s">
        <v>4243</v>
      </c>
      <c r="J564" s="891">
        <f>_xlfn.XLOOKUP(ListaMaterial[[#This Row],[ITEM]],M:M,N:N,,0)</f>
        <v>8.8800000000000008</v>
      </c>
      <c r="K564" s="891">
        <f>J564*ListaMaterial[[#This Row],[TOTAL C/PERDA]]</f>
        <v>53.28</v>
      </c>
      <c r="M564" s="901"/>
      <c r="N564" s="902"/>
    </row>
    <row r="565" spans="1:14" x14ac:dyDescent="0.25">
      <c r="A565" s="883" t="s">
        <v>4447</v>
      </c>
      <c r="B565" s="883" t="s">
        <v>4441</v>
      </c>
      <c r="C565" s="883" t="s">
        <v>4664</v>
      </c>
      <c r="D565" s="886">
        <v>15</v>
      </c>
      <c r="E565" s="887">
        <v>1</v>
      </c>
      <c r="F565" s="888">
        <f>ListaMaterial[[#This Row],[REPETIÇÃO]]*ListaMaterial[[#This Row],[QUANTIDADE]]</f>
        <v>15</v>
      </c>
      <c r="H565" s="890">
        <f>ListaMaterial[[#This Row],[TOTAL]]*(1+ListaMaterial[[#This Row],[PERDA]])</f>
        <v>15</v>
      </c>
      <c r="I565" s="887" t="s">
        <v>4243</v>
      </c>
      <c r="J565" s="891">
        <f>_xlfn.XLOOKUP(ListaMaterial[[#This Row],[ITEM]],M:M,N:N,,0)</f>
        <v>10.06</v>
      </c>
      <c r="K565" s="891">
        <f>J565*ListaMaterial[[#This Row],[TOTAL C/PERDA]]</f>
        <v>150.9</v>
      </c>
      <c r="M565" s="901"/>
      <c r="N565" s="902"/>
    </row>
    <row r="566" spans="1:14" x14ac:dyDescent="0.25">
      <c r="A566" s="883" t="s">
        <v>4447</v>
      </c>
      <c r="B566" s="883" t="s">
        <v>4441</v>
      </c>
      <c r="C566" s="883" t="s">
        <v>4665</v>
      </c>
      <c r="D566" s="886">
        <v>26</v>
      </c>
      <c r="E566" s="887">
        <v>1</v>
      </c>
      <c r="F566" s="888">
        <f>ListaMaterial[[#This Row],[REPETIÇÃO]]*ListaMaterial[[#This Row],[QUANTIDADE]]</f>
        <v>26</v>
      </c>
      <c r="H566" s="890">
        <f>ListaMaterial[[#This Row],[TOTAL]]*(1+ListaMaterial[[#This Row],[PERDA]])</f>
        <v>26</v>
      </c>
      <c r="I566" s="887" t="s">
        <v>4243</v>
      </c>
      <c r="J566" s="891">
        <f>_xlfn.XLOOKUP(ListaMaterial[[#This Row],[ITEM]],M:M,N:N,,0)</f>
        <v>6.9</v>
      </c>
      <c r="K566" s="891">
        <f>J566*ListaMaterial[[#This Row],[TOTAL C/PERDA]]</f>
        <v>179.4</v>
      </c>
      <c r="M566" s="901"/>
      <c r="N566" s="902"/>
    </row>
    <row r="567" spans="1:14" x14ac:dyDescent="0.25">
      <c r="A567" s="883" t="s">
        <v>4447</v>
      </c>
      <c r="B567" s="883" t="s">
        <v>4441</v>
      </c>
      <c r="C567" s="883" t="s">
        <v>4666</v>
      </c>
      <c r="D567" s="886">
        <v>36</v>
      </c>
      <c r="E567" s="887">
        <v>1</v>
      </c>
      <c r="F567" s="888">
        <f>ListaMaterial[[#This Row],[REPETIÇÃO]]*ListaMaterial[[#This Row],[QUANTIDADE]]</f>
        <v>36</v>
      </c>
      <c r="H567" s="890">
        <f>ListaMaterial[[#This Row],[TOTAL]]*(1+ListaMaterial[[#This Row],[PERDA]])</f>
        <v>36</v>
      </c>
      <c r="I567" s="887" t="s">
        <v>4243</v>
      </c>
      <c r="J567" s="891">
        <f>_xlfn.XLOOKUP(ListaMaterial[[#This Row],[ITEM]],M:M,N:N,,0)</f>
        <v>24.6</v>
      </c>
      <c r="K567" s="891">
        <f>J567*ListaMaterial[[#This Row],[TOTAL C/PERDA]]</f>
        <v>885.6</v>
      </c>
      <c r="M567" s="901"/>
      <c r="N567" s="902"/>
    </row>
    <row r="568" spans="1:14" x14ac:dyDescent="0.25">
      <c r="A568" s="883" t="s">
        <v>4447</v>
      </c>
      <c r="B568" s="883" t="s">
        <v>4441</v>
      </c>
      <c r="C568" s="883" t="s">
        <v>4721</v>
      </c>
      <c r="D568" s="886">
        <v>1</v>
      </c>
      <c r="E568" s="887">
        <v>1</v>
      </c>
      <c r="F568" s="888">
        <f>ListaMaterial[[#This Row],[REPETIÇÃO]]*ListaMaterial[[#This Row],[QUANTIDADE]]</f>
        <v>1</v>
      </c>
      <c r="H568" s="890">
        <f>ListaMaterial[[#This Row],[TOTAL]]*(1+ListaMaterial[[#This Row],[PERDA]])</f>
        <v>1</v>
      </c>
      <c r="I568" s="887" t="s">
        <v>4243</v>
      </c>
      <c r="J568" s="891">
        <f>_xlfn.XLOOKUP(ListaMaterial[[#This Row],[ITEM]],M:M,N:N,,0)</f>
        <v>8.94</v>
      </c>
      <c r="K568" s="891">
        <f>J568*ListaMaterial[[#This Row],[TOTAL C/PERDA]]</f>
        <v>8.94</v>
      </c>
      <c r="M568" s="901"/>
      <c r="N568" s="902"/>
    </row>
    <row r="569" spans="1:14" x14ac:dyDescent="0.25">
      <c r="A569" s="883" t="s">
        <v>4447</v>
      </c>
      <c r="B569" s="883" t="s">
        <v>4441</v>
      </c>
      <c r="C569" s="883" t="s">
        <v>4667</v>
      </c>
      <c r="D569" s="886">
        <v>8</v>
      </c>
      <c r="E569" s="887">
        <v>1</v>
      </c>
      <c r="F569" s="888">
        <f>ListaMaterial[[#This Row],[REPETIÇÃO]]*ListaMaterial[[#This Row],[QUANTIDADE]]</f>
        <v>8</v>
      </c>
      <c r="H569" s="890">
        <f>ListaMaterial[[#This Row],[TOTAL]]*(1+ListaMaterial[[#This Row],[PERDA]])</f>
        <v>8</v>
      </c>
      <c r="I569" s="887" t="s">
        <v>4243</v>
      </c>
      <c r="J569" s="891">
        <f>_xlfn.XLOOKUP(ListaMaterial[[#This Row],[ITEM]],M:M,N:N,,0)</f>
        <v>11.18</v>
      </c>
      <c r="K569" s="891">
        <f>J569*ListaMaterial[[#This Row],[TOTAL C/PERDA]]</f>
        <v>89.44</v>
      </c>
      <c r="M569" s="901"/>
      <c r="N569" s="902"/>
    </row>
    <row r="570" spans="1:14" x14ac:dyDescent="0.25">
      <c r="A570" s="883" t="s">
        <v>4447</v>
      </c>
      <c r="B570" s="883" t="s">
        <v>4441</v>
      </c>
      <c r="C570" s="883" t="s">
        <v>4668</v>
      </c>
      <c r="D570" s="886">
        <v>17</v>
      </c>
      <c r="E570" s="887">
        <v>1</v>
      </c>
      <c r="F570" s="888">
        <f>ListaMaterial[[#This Row],[REPETIÇÃO]]*ListaMaterial[[#This Row],[QUANTIDADE]]</f>
        <v>17</v>
      </c>
      <c r="H570" s="890">
        <f>ListaMaterial[[#This Row],[TOTAL]]*(1+ListaMaterial[[#This Row],[PERDA]])</f>
        <v>17</v>
      </c>
      <c r="I570" s="887" t="s">
        <v>4243</v>
      </c>
      <c r="J570" s="891">
        <f>_xlfn.XLOOKUP(ListaMaterial[[#This Row],[ITEM]],M:M,N:N,,0)</f>
        <v>20.13</v>
      </c>
      <c r="K570" s="891">
        <f>J570*ListaMaterial[[#This Row],[TOTAL C/PERDA]]</f>
        <v>342.21</v>
      </c>
      <c r="M570" s="901"/>
      <c r="N570" s="902"/>
    </row>
    <row r="571" spans="1:14" x14ac:dyDescent="0.25">
      <c r="A571" s="883" t="s">
        <v>4447</v>
      </c>
      <c r="B571" s="883" t="s">
        <v>4441</v>
      </c>
      <c r="C571" s="883" t="s">
        <v>4458</v>
      </c>
      <c r="D571" s="886">
        <v>30</v>
      </c>
      <c r="E571" s="887">
        <v>1</v>
      </c>
      <c r="F571" s="888">
        <f>ListaMaterial[[#This Row],[REPETIÇÃO]]*ListaMaterial[[#This Row],[QUANTIDADE]]</f>
        <v>30</v>
      </c>
      <c r="H571" s="890">
        <f>ListaMaterial[[#This Row],[TOTAL]]*(1+ListaMaterial[[#This Row],[PERDA]])</f>
        <v>30</v>
      </c>
      <c r="I571" s="887" t="s">
        <v>4243</v>
      </c>
      <c r="J571" s="891">
        <f>_xlfn.XLOOKUP(ListaMaterial[[#This Row],[ITEM]],M:M,N:N,,0)</f>
        <v>27.96</v>
      </c>
      <c r="K571" s="891">
        <f>J571*ListaMaterial[[#This Row],[TOTAL C/PERDA]]</f>
        <v>838.80000000000007</v>
      </c>
      <c r="M571" s="901"/>
      <c r="N571" s="902"/>
    </row>
    <row r="572" spans="1:14" x14ac:dyDescent="0.25">
      <c r="A572" s="883" t="s">
        <v>4447</v>
      </c>
      <c r="B572" s="883" t="s">
        <v>4441</v>
      </c>
      <c r="C572" s="883" t="s">
        <v>4692</v>
      </c>
      <c r="D572" s="886">
        <v>5</v>
      </c>
      <c r="E572" s="887">
        <v>1</v>
      </c>
      <c r="F572" s="888">
        <f>ListaMaterial[[#This Row],[REPETIÇÃO]]*ListaMaterial[[#This Row],[QUANTIDADE]]</f>
        <v>5</v>
      </c>
      <c r="H572" s="890">
        <f>ListaMaterial[[#This Row],[TOTAL]]*(1+ListaMaterial[[#This Row],[PERDA]])</f>
        <v>5</v>
      </c>
      <c r="I572" s="887" t="s">
        <v>4243</v>
      </c>
      <c r="J572" s="891">
        <f>_xlfn.XLOOKUP(ListaMaterial[[#This Row],[ITEM]],M:M,N:N,,0)</f>
        <v>22.37</v>
      </c>
      <c r="K572" s="891">
        <f>J572*ListaMaterial[[#This Row],[TOTAL C/PERDA]]</f>
        <v>111.85000000000001</v>
      </c>
      <c r="M572" s="901"/>
      <c r="N572" s="902"/>
    </row>
    <row r="573" spans="1:14" x14ac:dyDescent="0.25">
      <c r="A573" s="883" t="s">
        <v>4447</v>
      </c>
      <c r="B573" s="883" t="s">
        <v>4441</v>
      </c>
      <c r="C573" s="883" t="s">
        <v>4693</v>
      </c>
      <c r="D573" s="886">
        <v>6</v>
      </c>
      <c r="E573" s="887">
        <v>1</v>
      </c>
      <c r="F573" s="888">
        <f>ListaMaterial[[#This Row],[REPETIÇÃO]]*ListaMaterial[[#This Row],[QUANTIDADE]]</f>
        <v>6</v>
      </c>
      <c r="H573" s="890">
        <f>ListaMaterial[[#This Row],[TOTAL]]*(1+ListaMaterial[[#This Row],[PERDA]])</f>
        <v>6</v>
      </c>
      <c r="I573" s="887" t="s">
        <v>4243</v>
      </c>
      <c r="J573" s="891">
        <f>_xlfn.XLOOKUP(ListaMaterial[[#This Row],[ITEM]],M:M,N:N,,0)</f>
        <v>24.6</v>
      </c>
      <c r="K573" s="891">
        <f>J573*ListaMaterial[[#This Row],[TOTAL C/PERDA]]</f>
        <v>147.60000000000002</v>
      </c>
      <c r="M573" s="901"/>
      <c r="N573" s="902"/>
    </row>
    <row r="574" spans="1:14" x14ac:dyDescent="0.25">
      <c r="A574" s="883" t="s">
        <v>4447</v>
      </c>
      <c r="B574" s="883" t="s">
        <v>4441</v>
      </c>
      <c r="C574" s="883" t="s">
        <v>4669</v>
      </c>
      <c r="D574" s="886">
        <v>6</v>
      </c>
      <c r="E574" s="887">
        <v>1</v>
      </c>
      <c r="F574" s="888">
        <f>ListaMaterial[[#This Row],[REPETIÇÃO]]*ListaMaterial[[#This Row],[QUANTIDADE]]</f>
        <v>6</v>
      </c>
      <c r="H574" s="890">
        <f>ListaMaterial[[#This Row],[TOTAL]]*(1+ListaMaterial[[#This Row],[PERDA]])</f>
        <v>6</v>
      </c>
      <c r="I574" s="887" t="s">
        <v>4243</v>
      </c>
      <c r="J574" s="891">
        <f>_xlfn.XLOOKUP(ListaMaterial[[#This Row],[ITEM]],M:M,N:N,,0)</f>
        <v>33.549999999999997</v>
      </c>
      <c r="K574" s="891">
        <f>J574*ListaMaterial[[#This Row],[TOTAL C/PERDA]]</f>
        <v>201.29999999999998</v>
      </c>
      <c r="M574" s="901"/>
      <c r="N574" s="902"/>
    </row>
    <row r="575" spans="1:14" x14ac:dyDescent="0.25">
      <c r="A575" s="883" t="s">
        <v>4447</v>
      </c>
      <c r="B575" s="883" t="s">
        <v>4441</v>
      </c>
      <c r="C575" s="883" t="s">
        <v>4671</v>
      </c>
      <c r="D575" s="886">
        <v>26</v>
      </c>
      <c r="E575" s="887">
        <v>1</v>
      </c>
      <c r="F575" s="888">
        <f>ListaMaterial[[#This Row],[REPETIÇÃO]]*ListaMaterial[[#This Row],[QUANTIDADE]]</f>
        <v>26</v>
      </c>
      <c r="H575" s="890">
        <f>ListaMaterial[[#This Row],[TOTAL]]*(1+ListaMaterial[[#This Row],[PERDA]])</f>
        <v>26</v>
      </c>
      <c r="I575" s="887" t="s">
        <v>4243</v>
      </c>
      <c r="J575" s="891">
        <f>_xlfn.XLOOKUP(ListaMaterial[[#This Row],[ITEM]],M:M,N:N,,0)</f>
        <v>44.74</v>
      </c>
      <c r="K575" s="891">
        <f>J575*ListaMaterial[[#This Row],[TOTAL C/PERDA]]</f>
        <v>1163.24</v>
      </c>
      <c r="M575" s="901"/>
      <c r="N575" s="902"/>
    </row>
    <row r="576" spans="1:14" x14ac:dyDescent="0.25">
      <c r="A576" s="883" t="s">
        <v>4447</v>
      </c>
      <c r="B576" s="883" t="s">
        <v>4441</v>
      </c>
      <c r="C576" s="883" t="s">
        <v>4672</v>
      </c>
      <c r="D576" s="886">
        <v>21</v>
      </c>
      <c r="E576" s="887">
        <v>1</v>
      </c>
      <c r="F576" s="888">
        <f>ListaMaterial[[#This Row],[REPETIÇÃO]]*ListaMaterial[[#This Row],[QUANTIDADE]]</f>
        <v>21</v>
      </c>
      <c r="H576" s="890">
        <f>ListaMaterial[[#This Row],[TOTAL]]*(1+ListaMaterial[[#This Row],[PERDA]])</f>
        <v>21</v>
      </c>
      <c r="I576" s="887" t="s">
        <v>4243</v>
      </c>
      <c r="J576" s="891">
        <f>_xlfn.XLOOKUP(ListaMaterial[[#This Row],[ITEM]],M:M,N:N,,0)</f>
        <v>8.94</v>
      </c>
      <c r="K576" s="891">
        <f>J576*ListaMaterial[[#This Row],[TOTAL C/PERDA]]</f>
        <v>187.73999999999998</v>
      </c>
      <c r="M576" s="901"/>
      <c r="N576" s="902"/>
    </row>
    <row r="577" spans="1:14" x14ac:dyDescent="0.25">
      <c r="A577" s="883" t="s">
        <v>4447</v>
      </c>
      <c r="B577" s="883" t="s">
        <v>4441</v>
      </c>
      <c r="C577" s="883" t="s">
        <v>4673</v>
      </c>
      <c r="D577" s="886">
        <v>42</v>
      </c>
      <c r="E577" s="887">
        <v>1</v>
      </c>
      <c r="F577" s="888">
        <f>ListaMaterial[[#This Row],[REPETIÇÃO]]*ListaMaterial[[#This Row],[QUANTIDADE]]</f>
        <v>42</v>
      </c>
      <c r="H577" s="890">
        <f>ListaMaterial[[#This Row],[TOTAL]]*(1+ListaMaterial[[#This Row],[PERDA]])</f>
        <v>42</v>
      </c>
      <c r="I577" s="887" t="s">
        <v>4243</v>
      </c>
      <c r="J577" s="891">
        <f>_xlfn.XLOOKUP(ListaMaterial[[#This Row],[ITEM]],M:M,N:N,,0)</f>
        <v>5.95</v>
      </c>
      <c r="K577" s="891">
        <f>J577*ListaMaterial[[#This Row],[TOTAL C/PERDA]]</f>
        <v>249.9</v>
      </c>
      <c r="M577" s="901"/>
      <c r="N577" s="902"/>
    </row>
    <row r="578" spans="1:14" x14ac:dyDescent="0.25">
      <c r="A578" s="883" t="s">
        <v>4447</v>
      </c>
      <c r="B578" s="883" t="s">
        <v>4441</v>
      </c>
      <c r="C578" s="883" t="s">
        <v>4674</v>
      </c>
      <c r="D578" s="886">
        <v>74</v>
      </c>
      <c r="E578" s="887">
        <v>1</v>
      </c>
      <c r="F578" s="888">
        <f>ListaMaterial[[#This Row],[REPETIÇÃO]]*ListaMaterial[[#This Row],[QUANTIDADE]]</f>
        <v>74</v>
      </c>
      <c r="H578" s="890">
        <f>ListaMaterial[[#This Row],[TOTAL]]*(1+ListaMaterial[[#This Row],[PERDA]])</f>
        <v>74</v>
      </c>
      <c r="I578" s="887" t="s">
        <v>4243</v>
      </c>
      <c r="J578" s="891">
        <f>_xlfn.XLOOKUP(ListaMaterial[[#This Row],[ITEM]],M:M,N:N,,0)</f>
        <v>7.59</v>
      </c>
      <c r="K578" s="891">
        <f>J578*ListaMaterial[[#This Row],[TOTAL C/PERDA]]</f>
        <v>561.66</v>
      </c>
      <c r="M578" s="901"/>
      <c r="N578" s="902"/>
    </row>
    <row r="579" spans="1:14" x14ac:dyDescent="0.25">
      <c r="A579" s="883" t="s">
        <v>4447</v>
      </c>
      <c r="B579" s="883" t="s">
        <v>4441</v>
      </c>
      <c r="C579" s="883" t="s">
        <v>4869</v>
      </c>
      <c r="D579" s="886">
        <v>4</v>
      </c>
      <c r="E579" s="887">
        <v>1</v>
      </c>
      <c r="F579" s="888">
        <f>ListaMaterial[[#This Row],[REPETIÇÃO]]*ListaMaterial[[#This Row],[QUANTIDADE]]</f>
        <v>4</v>
      </c>
      <c r="H579" s="890">
        <f>ListaMaterial[[#This Row],[TOTAL]]*(1+ListaMaterial[[#This Row],[PERDA]])</f>
        <v>4</v>
      </c>
      <c r="I579" s="887" t="s">
        <v>4243</v>
      </c>
      <c r="J579" s="891">
        <f>_xlfn.XLOOKUP(ListaMaterial[[#This Row],[ITEM]],M:M,N:N,,0)</f>
        <v>19.489999999999998</v>
      </c>
      <c r="K579" s="891">
        <f>J579*ListaMaterial[[#This Row],[TOTAL C/PERDA]]</f>
        <v>77.959999999999994</v>
      </c>
      <c r="M579" s="901"/>
      <c r="N579" s="902"/>
    </row>
    <row r="580" spans="1:14" x14ac:dyDescent="0.25">
      <c r="A580" s="883" t="s">
        <v>4447</v>
      </c>
      <c r="B580" s="883" t="s">
        <v>4440</v>
      </c>
      <c r="C580" s="883" t="s">
        <v>4738</v>
      </c>
      <c r="D580" s="886">
        <v>32.39</v>
      </c>
      <c r="E580" s="887">
        <v>1</v>
      </c>
      <c r="F580" s="888">
        <f>ListaMaterial[[#This Row],[REPETIÇÃO]]*ListaMaterial[[#This Row],[QUANTIDADE]]</f>
        <v>32.39</v>
      </c>
      <c r="G580" s="889">
        <v>0.15</v>
      </c>
      <c r="H580" s="890">
        <f>ListaMaterial[[#This Row],[TOTAL]]*(1+ListaMaterial[[#This Row],[PERDA]])</f>
        <v>37.2485</v>
      </c>
      <c r="I580" s="887" t="s">
        <v>3</v>
      </c>
      <c r="J580" s="891">
        <f>_xlfn.XLOOKUP(ListaMaterial[[#This Row],[ITEM]],M:M,N:N,,0)</f>
        <v>5.3983333333333334</v>
      </c>
      <c r="K580" s="891">
        <f>J580*ListaMaterial[[#This Row],[TOTAL C/PERDA]]</f>
        <v>201.07981916666668</v>
      </c>
      <c r="M580" s="901"/>
      <c r="N580" s="902"/>
    </row>
    <row r="581" spans="1:14" x14ac:dyDescent="0.25">
      <c r="A581" s="883" t="s">
        <v>4447</v>
      </c>
      <c r="B581" s="883" t="s">
        <v>4440</v>
      </c>
      <c r="C581" s="883" t="s">
        <v>4700</v>
      </c>
      <c r="D581" s="886">
        <v>72.67</v>
      </c>
      <c r="E581" s="887">
        <v>1</v>
      </c>
      <c r="F581" s="888">
        <f>ListaMaterial[[#This Row],[REPETIÇÃO]]*ListaMaterial[[#This Row],[QUANTIDADE]]</f>
        <v>72.67</v>
      </c>
      <c r="G581" s="889">
        <v>0.15</v>
      </c>
      <c r="H581" s="890">
        <f>ListaMaterial[[#This Row],[TOTAL]]*(1+ListaMaterial[[#This Row],[PERDA]])</f>
        <v>83.570499999999996</v>
      </c>
      <c r="I581" s="887" t="s">
        <v>3</v>
      </c>
      <c r="J581" s="891">
        <f>_xlfn.XLOOKUP(ListaMaterial[[#This Row],[ITEM]],M:M,N:N,,0)</f>
        <v>13.42</v>
      </c>
      <c r="K581" s="891">
        <f>J581*ListaMaterial[[#This Row],[TOTAL C/PERDA]]</f>
        <v>1121.51611</v>
      </c>
      <c r="M581" s="901"/>
      <c r="N581" s="902"/>
    </row>
    <row r="582" spans="1:14" x14ac:dyDescent="0.25">
      <c r="A582" s="883" t="s">
        <v>4447</v>
      </c>
      <c r="B582" s="883" t="s">
        <v>4440</v>
      </c>
      <c r="C582" s="883" t="s">
        <v>4679</v>
      </c>
      <c r="D582" s="886">
        <v>139.93</v>
      </c>
      <c r="E582" s="887">
        <v>1</v>
      </c>
      <c r="F582" s="888">
        <f>ListaMaterial[[#This Row],[REPETIÇÃO]]*ListaMaterial[[#This Row],[QUANTIDADE]]</f>
        <v>139.93</v>
      </c>
      <c r="G582" s="889">
        <v>0.15</v>
      </c>
      <c r="H582" s="890">
        <f>ListaMaterial[[#This Row],[TOTAL]]*(1+ListaMaterial[[#This Row],[PERDA]])</f>
        <v>160.9195</v>
      </c>
      <c r="I582" s="887" t="s">
        <v>3</v>
      </c>
      <c r="J582" s="891">
        <f>_xlfn.XLOOKUP(ListaMaterial[[#This Row],[ITEM]],M:M,N:N,,0)</f>
        <v>20.134399999999999</v>
      </c>
      <c r="K582" s="891">
        <f>J582*ListaMaterial[[#This Row],[TOTAL C/PERDA]]</f>
        <v>3240.0175807999999</v>
      </c>
      <c r="M582" s="901"/>
      <c r="N582" s="902"/>
    </row>
    <row r="583" spans="1:14" x14ac:dyDescent="0.25">
      <c r="A583" s="883" t="s">
        <v>4447</v>
      </c>
      <c r="B583" s="883" t="s">
        <v>4440</v>
      </c>
      <c r="C583" s="883" t="s">
        <v>4739</v>
      </c>
      <c r="D583" s="886">
        <v>1.64</v>
      </c>
      <c r="E583" s="887">
        <v>1</v>
      </c>
      <c r="F583" s="888">
        <f>ListaMaterial[[#This Row],[REPETIÇÃO]]*ListaMaterial[[#This Row],[QUANTIDADE]]</f>
        <v>1.64</v>
      </c>
      <c r="G583" s="889">
        <v>0.15</v>
      </c>
      <c r="H583" s="890">
        <f>ListaMaterial[[#This Row],[TOTAL]]*(1+ListaMaterial[[#This Row],[PERDA]])</f>
        <v>1.8859999999999997</v>
      </c>
      <c r="I583" s="887" t="s">
        <v>3</v>
      </c>
      <c r="J583" s="891">
        <f>_xlfn.XLOOKUP(ListaMaterial[[#This Row],[ITEM]],M:M,N:N,,0)</f>
        <v>29.966666666666669</v>
      </c>
      <c r="K583" s="891">
        <f>J583*ListaMaterial[[#This Row],[TOTAL C/PERDA]]</f>
        <v>56.517133333333327</v>
      </c>
      <c r="M583" s="901"/>
      <c r="N583" s="902"/>
    </row>
    <row r="584" spans="1:14" x14ac:dyDescent="0.25">
      <c r="A584" s="883" t="s">
        <v>4447</v>
      </c>
      <c r="B584" s="883" t="s">
        <v>4618</v>
      </c>
      <c r="C584" s="883" t="s">
        <v>4749</v>
      </c>
      <c r="D584" s="886">
        <v>0.42</v>
      </c>
      <c r="E584" s="887">
        <v>1</v>
      </c>
      <c r="F584" s="888">
        <f>ListaMaterial[[#This Row],[REPETIÇÃO]]*ListaMaterial[[#This Row],[QUANTIDADE]]</f>
        <v>0.42</v>
      </c>
      <c r="G584" s="889">
        <v>0.15</v>
      </c>
      <c r="H584" s="890">
        <f>ListaMaterial[[#This Row],[TOTAL]]*(1+ListaMaterial[[#This Row],[PERDA]])</f>
        <v>0.48299999999999993</v>
      </c>
      <c r="I584" s="887" t="s">
        <v>3</v>
      </c>
      <c r="J584" s="891">
        <f>_xlfn.XLOOKUP(ListaMaterial[[#This Row],[ITEM]],M:M,N:N,,0)</f>
        <v>18.898333333333333</v>
      </c>
      <c r="K584" s="891">
        <f>J584*ListaMaterial[[#This Row],[TOTAL C/PERDA]]</f>
        <v>9.1278949999999988</v>
      </c>
      <c r="M584" s="901"/>
      <c r="N584" s="902"/>
    </row>
    <row r="585" spans="1:14" x14ac:dyDescent="0.25">
      <c r="A585" s="883" t="s">
        <v>4447</v>
      </c>
      <c r="B585" s="883" t="s">
        <v>4618</v>
      </c>
      <c r="C585" s="883" t="s">
        <v>4680</v>
      </c>
      <c r="D585" s="886">
        <v>17.149999999999999</v>
      </c>
      <c r="E585" s="887">
        <v>1</v>
      </c>
      <c r="F585" s="888">
        <f>ListaMaterial[[#This Row],[REPETIÇÃO]]*ListaMaterial[[#This Row],[QUANTIDADE]]</f>
        <v>17.149999999999999</v>
      </c>
      <c r="G585" s="889">
        <v>0.15</v>
      </c>
      <c r="H585" s="890">
        <f>ListaMaterial[[#This Row],[TOTAL]]*(1+ListaMaterial[[#This Row],[PERDA]])</f>
        <v>19.722499999999997</v>
      </c>
      <c r="I585" s="887" t="s">
        <v>3</v>
      </c>
      <c r="J585" s="891">
        <f>_xlfn.XLOOKUP(ListaMaterial[[#This Row],[ITEM]],M:M,N:N,,0)</f>
        <v>9.2899999999999991</v>
      </c>
      <c r="K585" s="891">
        <f>J585*ListaMaterial[[#This Row],[TOTAL C/PERDA]]</f>
        <v>183.22202499999995</v>
      </c>
      <c r="M585" s="901"/>
      <c r="N585" s="902"/>
    </row>
    <row r="586" spans="1:14" x14ac:dyDescent="0.25">
      <c r="A586" s="883" t="s">
        <v>4447</v>
      </c>
      <c r="B586" s="883" t="s">
        <v>4618</v>
      </c>
      <c r="C586" s="883" t="s">
        <v>4681</v>
      </c>
      <c r="D586" s="886">
        <v>72.41</v>
      </c>
      <c r="E586" s="887">
        <v>1</v>
      </c>
      <c r="F586" s="888">
        <f>ListaMaterial[[#This Row],[REPETIÇÃO]]*ListaMaterial[[#This Row],[QUANTIDADE]]</f>
        <v>72.41</v>
      </c>
      <c r="G586" s="889">
        <v>0.15</v>
      </c>
      <c r="H586" s="890">
        <f>ListaMaterial[[#This Row],[TOTAL]]*(1+ListaMaterial[[#This Row],[PERDA]])</f>
        <v>83.271499999999989</v>
      </c>
      <c r="I586" s="887" t="s">
        <v>3</v>
      </c>
      <c r="J586" s="891">
        <f>_xlfn.XLOOKUP(ListaMaterial[[#This Row],[ITEM]],M:M,N:N,,0)</f>
        <v>15.99</v>
      </c>
      <c r="K586" s="891">
        <f>J586*ListaMaterial[[#This Row],[TOTAL C/PERDA]]</f>
        <v>1331.5112849999998</v>
      </c>
      <c r="M586" s="901"/>
      <c r="N586" s="902"/>
    </row>
    <row r="587" spans="1:14" x14ac:dyDescent="0.25">
      <c r="A587" s="883" t="s">
        <v>4447</v>
      </c>
      <c r="B587" s="883" t="s">
        <v>4618</v>
      </c>
      <c r="C587" s="883" t="s">
        <v>4682</v>
      </c>
      <c r="D587" s="886">
        <v>139.38</v>
      </c>
      <c r="E587" s="887">
        <v>1</v>
      </c>
      <c r="F587" s="888">
        <f>ListaMaterial[[#This Row],[REPETIÇÃO]]*ListaMaterial[[#This Row],[QUANTIDADE]]</f>
        <v>139.38</v>
      </c>
      <c r="G587" s="889">
        <v>0.15</v>
      </c>
      <c r="H587" s="890">
        <f>ListaMaterial[[#This Row],[TOTAL]]*(1+ListaMaterial[[#This Row],[PERDA]])</f>
        <v>160.28699999999998</v>
      </c>
      <c r="I587" s="887" t="s">
        <v>3</v>
      </c>
      <c r="J587" s="891">
        <f>_xlfn.XLOOKUP(ListaMaterial[[#This Row],[ITEM]],M:M,N:N,,0)</f>
        <v>8.99</v>
      </c>
      <c r="K587" s="891">
        <f>J587*ListaMaterial[[#This Row],[TOTAL C/PERDA]]</f>
        <v>1440.9801299999999</v>
      </c>
      <c r="M587" s="901"/>
      <c r="N587" s="902"/>
    </row>
    <row r="588" spans="1:14" x14ac:dyDescent="0.25">
      <c r="A588" s="883" t="s">
        <v>4447</v>
      </c>
      <c r="B588" s="883" t="s">
        <v>4619</v>
      </c>
      <c r="C588" s="883" t="s">
        <v>4684</v>
      </c>
      <c r="D588" s="886">
        <v>211.93</v>
      </c>
      <c r="E588" s="887">
        <v>1</v>
      </c>
      <c r="F588" s="888">
        <f>ListaMaterial[[#This Row],[REPETIÇÃO]]*ListaMaterial[[#This Row],[QUANTIDADE]]</f>
        <v>211.93</v>
      </c>
      <c r="G588" s="889">
        <v>0.15</v>
      </c>
      <c r="H588" s="890">
        <f>ListaMaterial[[#This Row],[TOTAL]]*(1+ListaMaterial[[#This Row],[PERDA]])</f>
        <v>243.71949999999998</v>
      </c>
      <c r="I588" s="887" t="s">
        <v>3</v>
      </c>
      <c r="J588" s="891">
        <f>_xlfn.XLOOKUP(ListaMaterial[[#This Row],[ITEM]],M:M,N:N,,0)</f>
        <v>2.5685666666666669</v>
      </c>
      <c r="K588" s="891">
        <f>J588*ListaMaterial[[#This Row],[TOTAL C/PERDA]]</f>
        <v>626.00978371666667</v>
      </c>
      <c r="M588" s="901"/>
      <c r="N588" s="902"/>
    </row>
    <row r="589" spans="1:14" x14ac:dyDescent="0.25">
      <c r="A589" s="883" t="s">
        <v>4447</v>
      </c>
      <c r="B589" s="883" t="s">
        <v>4619</v>
      </c>
      <c r="C589" s="883" t="s">
        <v>4685</v>
      </c>
      <c r="D589" s="886">
        <v>96.26</v>
      </c>
      <c r="E589" s="887">
        <v>1</v>
      </c>
      <c r="F589" s="888">
        <f>ListaMaterial[[#This Row],[REPETIÇÃO]]*ListaMaterial[[#This Row],[QUANTIDADE]]</f>
        <v>96.26</v>
      </c>
      <c r="G589" s="889">
        <v>0.15</v>
      </c>
      <c r="H589" s="890">
        <f>ListaMaterial[[#This Row],[TOTAL]]*(1+ListaMaterial[[#This Row],[PERDA]])</f>
        <v>110.699</v>
      </c>
      <c r="I589" s="887" t="s">
        <v>3</v>
      </c>
      <c r="J589" s="891">
        <f>_xlfn.XLOOKUP(ListaMaterial[[#This Row],[ITEM]],M:M,N:N,,0)</f>
        <v>7.7985833333333332</v>
      </c>
      <c r="K589" s="891">
        <f>J589*ListaMaterial[[#This Row],[TOTAL C/PERDA]]</f>
        <v>863.29537641666661</v>
      </c>
      <c r="M589" s="901"/>
      <c r="N589" s="902"/>
    </row>
    <row r="590" spans="1:14" x14ac:dyDescent="0.25">
      <c r="A590" s="883" t="s">
        <v>4447</v>
      </c>
      <c r="B590" s="883" t="s">
        <v>4619</v>
      </c>
      <c r="C590" s="883" t="s">
        <v>4740</v>
      </c>
      <c r="D590" s="886">
        <v>3.02</v>
      </c>
      <c r="E590" s="887">
        <v>1</v>
      </c>
      <c r="F590" s="888">
        <f>ListaMaterial[[#This Row],[REPETIÇÃO]]*ListaMaterial[[#This Row],[QUANTIDADE]]</f>
        <v>3.02</v>
      </c>
      <c r="G590" s="889">
        <v>0.15</v>
      </c>
      <c r="H590" s="890">
        <f>ListaMaterial[[#This Row],[TOTAL]]*(1+ListaMaterial[[#This Row],[PERDA]])</f>
        <v>3.4729999999999999</v>
      </c>
      <c r="I590" s="887" t="s">
        <v>3</v>
      </c>
      <c r="J590" s="891">
        <f>_xlfn.XLOOKUP(ListaMaterial[[#This Row],[ITEM]],M:M,N:N,,0)</f>
        <v>12.832716666666668</v>
      </c>
      <c r="K590" s="891">
        <f>J590*ListaMaterial[[#This Row],[TOTAL C/PERDA]]</f>
        <v>44.568024983333338</v>
      </c>
      <c r="M590" s="901"/>
      <c r="N590" s="902"/>
    </row>
    <row r="591" spans="1:14" x14ac:dyDescent="0.25">
      <c r="A591" s="894"/>
      <c r="B591" s="917" t="s">
        <v>759</v>
      </c>
      <c r="C591" s="894"/>
      <c r="D591" s="895"/>
      <c r="E591" s="896"/>
      <c r="F591" s="897">
        <f>ListaMaterial[[#This Row],[REPETIÇÃO]]*ListaMaterial[[#This Row],[QUANTIDADE]]</f>
        <v>0</v>
      </c>
      <c r="G591" s="898"/>
      <c r="H591" s="899">
        <f>ListaMaterial[[#This Row],[TOTAL]]*(1+ListaMaterial[[#This Row],[PERDA]])</f>
        <v>0</v>
      </c>
      <c r="I591" s="896"/>
      <c r="J591" s="900"/>
      <c r="K591" s="900">
        <f>SUM(K508:K590)</f>
        <v>26858.893063416668</v>
      </c>
      <c r="M591" s="901"/>
      <c r="N591" s="902"/>
    </row>
    <row r="592" spans="1:14" x14ac:dyDescent="0.25">
      <c r="A592" s="883" t="s">
        <v>4625</v>
      </c>
      <c r="B592" s="883" t="s">
        <v>4242</v>
      </c>
      <c r="C592" s="883" t="s">
        <v>4704</v>
      </c>
      <c r="D592" s="886">
        <v>3</v>
      </c>
      <c r="E592" s="887">
        <v>1</v>
      </c>
      <c r="F592" s="888">
        <f>ListaMaterial[[#This Row],[REPETIÇÃO]]*ListaMaterial[[#This Row],[QUANTIDADE]]</f>
        <v>3</v>
      </c>
      <c r="H592" s="890">
        <f>ListaMaterial[[#This Row],[TOTAL]]*(1+ListaMaterial[[#This Row],[PERDA]])</f>
        <v>3</v>
      </c>
      <c r="I592" s="887" t="s">
        <v>4243</v>
      </c>
      <c r="J592" s="891">
        <f>_xlfn.XLOOKUP(ListaMaterial[[#This Row],[ITEM]],M:M,N:N,,0)</f>
        <v>167.78659999999999</v>
      </c>
      <c r="K592" s="891">
        <f>J592*ListaMaterial[[#This Row],[TOTAL C/PERDA]]</f>
        <v>503.35979999999995</v>
      </c>
      <c r="M592" s="901"/>
      <c r="N592" s="902"/>
    </row>
    <row r="593" spans="1:14" x14ac:dyDescent="0.25">
      <c r="A593" s="883" t="s">
        <v>4625</v>
      </c>
      <c r="B593" s="883" t="s">
        <v>4242</v>
      </c>
      <c r="C593" s="883" t="s">
        <v>4705</v>
      </c>
      <c r="D593" s="886">
        <v>13</v>
      </c>
      <c r="E593" s="887">
        <v>1</v>
      </c>
      <c r="F593" s="888">
        <f>ListaMaterial[[#This Row],[REPETIÇÃO]]*ListaMaterial[[#This Row],[QUANTIDADE]]</f>
        <v>13</v>
      </c>
      <c r="H593" s="890">
        <f>ListaMaterial[[#This Row],[TOTAL]]*(1+ListaMaterial[[#This Row],[PERDA]])</f>
        <v>13</v>
      </c>
      <c r="I593" s="887" t="s">
        <v>4243</v>
      </c>
      <c r="J593" s="891">
        <f>_xlfn.XLOOKUP(ListaMaterial[[#This Row],[ITEM]],M:M,N:N,,0)</f>
        <v>50.36</v>
      </c>
      <c r="K593" s="891">
        <f>J593*ListaMaterial[[#This Row],[TOTAL C/PERDA]]</f>
        <v>654.67999999999995</v>
      </c>
      <c r="M593" s="901"/>
      <c r="N593" s="902"/>
    </row>
    <row r="594" spans="1:14" x14ac:dyDescent="0.25">
      <c r="A594" s="883" t="s">
        <v>4625</v>
      </c>
      <c r="B594" s="883" t="s">
        <v>4242</v>
      </c>
      <c r="C594" s="883" t="s">
        <v>4638</v>
      </c>
      <c r="D594" s="886">
        <v>1</v>
      </c>
      <c r="E594" s="887">
        <v>1</v>
      </c>
      <c r="F594" s="888">
        <f>ListaMaterial[[#This Row],[REPETIÇÃO]]*ListaMaterial[[#This Row],[QUANTIDADE]]</f>
        <v>1</v>
      </c>
      <c r="H594" s="890">
        <f>ListaMaterial[[#This Row],[TOTAL]]*(1+ListaMaterial[[#This Row],[PERDA]])</f>
        <v>1</v>
      </c>
      <c r="I594" s="887" t="s">
        <v>4243</v>
      </c>
      <c r="J594" s="891">
        <f>_xlfn.XLOOKUP(ListaMaterial[[#This Row],[ITEM]],M:M,N:N,,0)</f>
        <v>58.96</v>
      </c>
      <c r="K594" s="891">
        <f>J594*ListaMaterial[[#This Row],[TOTAL C/PERDA]]</f>
        <v>58.96</v>
      </c>
      <c r="M594" s="901"/>
      <c r="N594" s="902"/>
    </row>
    <row r="595" spans="1:14" x14ac:dyDescent="0.25">
      <c r="A595" s="883" t="s">
        <v>4625</v>
      </c>
      <c r="B595" s="883" t="s">
        <v>4242</v>
      </c>
      <c r="C595" s="883" t="s">
        <v>4640</v>
      </c>
      <c r="D595" s="886">
        <v>1</v>
      </c>
      <c r="E595" s="887">
        <v>1</v>
      </c>
      <c r="F595" s="888">
        <f>ListaMaterial[[#This Row],[REPETIÇÃO]]*ListaMaterial[[#This Row],[QUANTIDADE]]</f>
        <v>1</v>
      </c>
      <c r="H595" s="890">
        <f>ListaMaterial[[#This Row],[TOTAL]]*(1+ListaMaterial[[#This Row],[PERDA]])</f>
        <v>1</v>
      </c>
      <c r="I595" s="887" t="s">
        <v>4243</v>
      </c>
      <c r="J595" s="891">
        <f>_xlfn.XLOOKUP(ListaMaterial[[#This Row],[ITEM]],M:M,N:N,,0)</f>
        <v>31.716699999999999</v>
      </c>
      <c r="K595" s="891">
        <f>J595*ListaMaterial[[#This Row],[TOTAL C/PERDA]]</f>
        <v>31.716699999999999</v>
      </c>
      <c r="M595" s="901"/>
      <c r="N595" s="902"/>
    </row>
    <row r="596" spans="1:14" x14ac:dyDescent="0.25">
      <c r="A596" s="883" t="s">
        <v>4625</v>
      </c>
      <c r="B596" s="883" t="s">
        <v>4250</v>
      </c>
      <c r="C596" s="883" t="s">
        <v>4753</v>
      </c>
      <c r="D596" s="886">
        <v>2</v>
      </c>
      <c r="E596" s="887">
        <v>1</v>
      </c>
      <c r="F596" s="888">
        <f>ListaMaterial[[#This Row],[REPETIÇÃO]]*ListaMaterial[[#This Row],[QUANTIDADE]]</f>
        <v>2</v>
      </c>
      <c r="H596" s="890">
        <f>ListaMaterial[[#This Row],[TOTAL]]*(1+ListaMaterial[[#This Row],[PERDA]])</f>
        <v>2</v>
      </c>
      <c r="I596" s="887" t="s">
        <v>4243</v>
      </c>
      <c r="J596" s="891">
        <f>_xlfn.XLOOKUP(ListaMaterial[[#This Row],[ITEM]],M:M,N:N,,0)</f>
        <v>29.58</v>
      </c>
      <c r="K596" s="891">
        <f>J596*ListaMaterial[[#This Row],[TOTAL C/PERDA]]</f>
        <v>59.16</v>
      </c>
      <c r="M596" s="901"/>
      <c r="N596" s="902"/>
    </row>
    <row r="597" spans="1:14" x14ac:dyDescent="0.25">
      <c r="A597" s="883" t="s">
        <v>4625</v>
      </c>
      <c r="B597" s="883" t="s">
        <v>4250</v>
      </c>
      <c r="C597" s="883" t="s">
        <v>4754</v>
      </c>
      <c r="D597" s="886">
        <v>2</v>
      </c>
      <c r="E597" s="887">
        <v>1</v>
      </c>
      <c r="F597" s="888">
        <f>ListaMaterial[[#This Row],[REPETIÇÃO]]*ListaMaterial[[#This Row],[QUANTIDADE]]</f>
        <v>2</v>
      </c>
      <c r="H597" s="890">
        <f>ListaMaterial[[#This Row],[TOTAL]]*(1+ListaMaterial[[#This Row],[PERDA]])</f>
        <v>2</v>
      </c>
      <c r="I597" s="887" t="s">
        <v>4243</v>
      </c>
      <c r="J597" s="891">
        <f>_xlfn.XLOOKUP(ListaMaterial[[#This Row],[ITEM]],M:M,N:N,,0)</f>
        <v>6.8</v>
      </c>
      <c r="K597" s="891">
        <f>J597*ListaMaterial[[#This Row],[TOTAL C/PERDA]]</f>
        <v>13.6</v>
      </c>
      <c r="M597" s="901"/>
      <c r="N597" s="902"/>
    </row>
    <row r="598" spans="1:14" x14ac:dyDescent="0.25">
      <c r="A598" s="883" t="s">
        <v>4625</v>
      </c>
      <c r="B598" s="883" t="s">
        <v>4250</v>
      </c>
      <c r="C598" s="883" t="s">
        <v>4755</v>
      </c>
      <c r="D598" s="886">
        <v>1</v>
      </c>
      <c r="E598" s="887">
        <v>1</v>
      </c>
      <c r="F598" s="888">
        <f>ListaMaterial[[#This Row],[REPETIÇÃO]]*ListaMaterial[[#This Row],[QUANTIDADE]]</f>
        <v>1</v>
      </c>
      <c r="H598" s="890">
        <f>ListaMaterial[[#This Row],[TOTAL]]*(1+ListaMaterial[[#This Row],[PERDA]])</f>
        <v>1</v>
      </c>
      <c r="I598" s="887" t="s">
        <v>4243</v>
      </c>
      <c r="J598" s="891">
        <f>_xlfn.XLOOKUP(ListaMaterial[[#This Row],[ITEM]],M:M,N:N,,0)</f>
        <v>17.87</v>
      </c>
      <c r="K598" s="891">
        <f>J598*ListaMaterial[[#This Row],[TOTAL C/PERDA]]</f>
        <v>17.87</v>
      </c>
      <c r="M598" s="901"/>
      <c r="N598" s="902"/>
    </row>
    <row r="599" spans="1:14" x14ac:dyDescent="0.25">
      <c r="A599" s="883" t="s">
        <v>4625</v>
      </c>
      <c r="B599" s="883" t="s">
        <v>4616</v>
      </c>
      <c r="C599" s="883" t="s">
        <v>4645</v>
      </c>
      <c r="D599" s="886">
        <v>1</v>
      </c>
      <c r="E599" s="887">
        <v>1</v>
      </c>
      <c r="F599" s="888">
        <f>ListaMaterial[[#This Row],[REPETIÇÃO]]*ListaMaterial[[#This Row],[QUANTIDADE]]</f>
        <v>1</v>
      </c>
      <c r="H599" s="890">
        <f>ListaMaterial[[#This Row],[TOTAL]]*(1+ListaMaterial[[#This Row],[PERDA]])</f>
        <v>1</v>
      </c>
      <c r="I599" s="887" t="s">
        <v>4243</v>
      </c>
      <c r="J599" s="891">
        <f>_xlfn.XLOOKUP(ListaMaterial[[#This Row],[ITEM]],M:M,N:N,,0)</f>
        <v>1.79</v>
      </c>
      <c r="K599" s="891">
        <f>J599*ListaMaterial[[#This Row],[TOTAL C/PERDA]]</f>
        <v>1.79</v>
      </c>
      <c r="M599" s="901"/>
      <c r="N599" s="902"/>
    </row>
    <row r="600" spans="1:14" x14ac:dyDescent="0.25">
      <c r="A600" s="883" t="s">
        <v>4625</v>
      </c>
      <c r="B600" s="883" t="s">
        <v>4429</v>
      </c>
      <c r="C600" s="883" t="s">
        <v>4647</v>
      </c>
      <c r="D600" s="886">
        <v>2</v>
      </c>
      <c r="E600" s="887">
        <v>1</v>
      </c>
      <c r="F600" s="888">
        <f>ListaMaterial[[#This Row],[REPETIÇÃO]]*ListaMaterial[[#This Row],[QUANTIDADE]]</f>
        <v>2</v>
      </c>
      <c r="H600" s="890">
        <f>ListaMaterial[[#This Row],[TOTAL]]*(1+ListaMaterial[[#This Row],[PERDA]])</f>
        <v>2</v>
      </c>
      <c r="I600" s="887" t="s">
        <v>4243</v>
      </c>
      <c r="J600" s="891">
        <f>_xlfn.XLOOKUP(ListaMaterial[[#This Row],[ITEM]],M:M,N:N,,0)</f>
        <v>0.59370000000000001</v>
      </c>
      <c r="K600" s="891">
        <f>J600*ListaMaterial[[#This Row],[TOTAL C/PERDA]]</f>
        <v>1.1874</v>
      </c>
      <c r="M600" s="901"/>
      <c r="N600" s="902"/>
    </row>
    <row r="601" spans="1:14" x14ac:dyDescent="0.25">
      <c r="A601" s="883" t="s">
        <v>4625</v>
      </c>
      <c r="B601" s="883" t="s">
        <v>4429</v>
      </c>
      <c r="C601" s="883" t="s">
        <v>4648</v>
      </c>
      <c r="D601" s="886">
        <v>1</v>
      </c>
      <c r="E601" s="887">
        <v>1</v>
      </c>
      <c r="F601" s="888">
        <f>ListaMaterial[[#This Row],[REPETIÇÃO]]*ListaMaterial[[#This Row],[QUANTIDADE]]</f>
        <v>1</v>
      </c>
      <c r="H601" s="890">
        <f>ListaMaterial[[#This Row],[TOTAL]]*(1+ListaMaterial[[#This Row],[PERDA]])</f>
        <v>1</v>
      </c>
      <c r="I601" s="887" t="s">
        <v>4243</v>
      </c>
      <c r="J601" s="891">
        <f>_xlfn.XLOOKUP(ListaMaterial[[#This Row],[ITEM]],M:M,N:N,,0)</f>
        <v>1.4224000000000001</v>
      </c>
      <c r="K601" s="891">
        <f>J601*ListaMaterial[[#This Row],[TOTAL C/PERDA]]</f>
        <v>1.4224000000000001</v>
      </c>
      <c r="M601" s="901"/>
      <c r="N601" s="902"/>
    </row>
    <row r="602" spans="1:14" x14ac:dyDescent="0.25">
      <c r="A602" s="883" t="s">
        <v>4625</v>
      </c>
      <c r="B602" s="883" t="s">
        <v>4429</v>
      </c>
      <c r="C602" s="883" t="s">
        <v>4471</v>
      </c>
      <c r="D602" s="886">
        <v>1</v>
      </c>
      <c r="E602" s="887">
        <v>1</v>
      </c>
      <c r="F602" s="888">
        <f>ListaMaterial[[#This Row],[REPETIÇÃO]]*ListaMaterial[[#This Row],[QUANTIDADE]]</f>
        <v>1</v>
      </c>
      <c r="H602" s="890">
        <f>ListaMaterial[[#This Row],[TOTAL]]*(1+ListaMaterial[[#This Row],[PERDA]])</f>
        <v>1</v>
      </c>
      <c r="I602" s="887" t="s">
        <v>4243</v>
      </c>
      <c r="J602" s="891">
        <f>_xlfn.XLOOKUP(ListaMaterial[[#This Row],[ITEM]],M:M,N:N,,0)</f>
        <v>1.24</v>
      </c>
      <c r="K602" s="891">
        <f>J602*ListaMaterial[[#This Row],[TOTAL C/PERDA]]</f>
        <v>1.24</v>
      </c>
      <c r="M602" s="901"/>
      <c r="N602" s="902"/>
    </row>
    <row r="603" spans="1:14" x14ac:dyDescent="0.25">
      <c r="A603" s="883" t="s">
        <v>4625</v>
      </c>
      <c r="B603" s="883" t="s">
        <v>4429</v>
      </c>
      <c r="C603" s="883" t="s">
        <v>4712</v>
      </c>
      <c r="D603" s="886">
        <v>2</v>
      </c>
      <c r="E603" s="887">
        <v>1</v>
      </c>
      <c r="F603" s="888">
        <f>ListaMaterial[[#This Row],[REPETIÇÃO]]*ListaMaterial[[#This Row],[QUANTIDADE]]</f>
        <v>2</v>
      </c>
      <c r="H603" s="890">
        <f>ListaMaterial[[#This Row],[TOTAL]]*(1+ListaMaterial[[#This Row],[PERDA]])</f>
        <v>2</v>
      </c>
      <c r="I603" s="887" t="s">
        <v>4243</v>
      </c>
      <c r="J603" s="891">
        <f>_xlfn.XLOOKUP(ListaMaterial[[#This Row],[ITEM]],M:M,N:N,,0)</f>
        <v>2.8849999999999998</v>
      </c>
      <c r="K603" s="891">
        <f>J603*ListaMaterial[[#This Row],[TOTAL C/PERDA]]</f>
        <v>5.77</v>
      </c>
      <c r="M603" s="901"/>
      <c r="N603" s="902"/>
    </row>
    <row r="604" spans="1:14" x14ac:dyDescent="0.25">
      <c r="A604" s="883" t="s">
        <v>4625</v>
      </c>
      <c r="B604" s="883" t="s">
        <v>4429</v>
      </c>
      <c r="C604" s="883" t="s">
        <v>4658</v>
      </c>
      <c r="D604" s="886">
        <v>1</v>
      </c>
      <c r="E604" s="887">
        <v>1</v>
      </c>
      <c r="F604" s="888">
        <f>ListaMaterial[[#This Row],[REPETIÇÃO]]*ListaMaterial[[#This Row],[QUANTIDADE]]</f>
        <v>1</v>
      </c>
      <c r="H604" s="890">
        <f>ListaMaterial[[#This Row],[TOTAL]]*(1+ListaMaterial[[#This Row],[PERDA]])</f>
        <v>1</v>
      </c>
      <c r="I604" s="887" t="s">
        <v>4243</v>
      </c>
      <c r="J604" s="891">
        <f>_xlfn.XLOOKUP(ListaMaterial[[#This Row],[ITEM]],M:M,N:N,,0)</f>
        <v>13.005000000000001</v>
      </c>
      <c r="K604" s="891">
        <f>J604*ListaMaterial[[#This Row],[TOTAL C/PERDA]]</f>
        <v>13.005000000000001</v>
      </c>
      <c r="M604" s="901"/>
      <c r="N604" s="902"/>
    </row>
    <row r="605" spans="1:14" x14ac:dyDescent="0.25">
      <c r="A605" s="883" t="s">
        <v>4625</v>
      </c>
      <c r="B605" s="883" t="s">
        <v>4431</v>
      </c>
      <c r="C605" s="883" t="s">
        <v>4689</v>
      </c>
      <c r="D605" s="886">
        <v>1</v>
      </c>
      <c r="E605" s="887">
        <v>1</v>
      </c>
      <c r="F605" s="888">
        <f>ListaMaterial[[#This Row],[REPETIÇÃO]]*ListaMaterial[[#This Row],[QUANTIDADE]]</f>
        <v>1</v>
      </c>
      <c r="H605" s="890">
        <f>ListaMaterial[[#This Row],[TOTAL]]*(1+ListaMaterial[[#This Row],[PERDA]])</f>
        <v>1</v>
      </c>
      <c r="I605" s="887" t="s">
        <v>4243</v>
      </c>
      <c r="J605" s="891">
        <f>_xlfn.XLOOKUP(ListaMaterial[[#This Row],[ITEM]],M:M,N:N,,0)</f>
        <v>8.9486000000000008</v>
      </c>
      <c r="K605" s="891">
        <f>J605*ListaMaterial[[#This Row],[TOTAL C/PERDA]]</f>
        <v>8.9486000000000008</v>
      </c>
      <c r="M605" s="901"/>
      <c r="N605" s="902"/>
    </row>
    <row r="606" spans="1:14" x14ac:dyDescent="0.25">
      <c r="A606" s="883" t="s">
        <v>4625</v>
      </c>
      <c r="B606" s="883" t="s">
        <v>4431</v>
      </c>
      <c r="C606" s="883" t="s">
        <v>4666</v>
      </c>
      <c r="D606" s="886">
        <v>5</v>
      </c>
      <c r="E606" s="887">
        <v>1</v>
      </c>
      <c r="F606" s="888">
        <f>ListaMaterial[[#This Row],[REPETIÇÃO]]*ListaMaterial[[#This Row],[QUANTIDADE]]</f>
        <v>5</v>
      </c>
      <c r="H606" s="890">
        <f>ListaMaterial[[#This Row],[TOTAL]]*(1+ListaMaterial[[#This Row],[PERDA]])</f>
        <v>5</v>
      </c>
      <c r="I606" s="887" t="s">
        <v>4243</v>
      </c>
      <c r="J606" s="891">
        <f>_xlfn.XLOOKUP(ListaMaterial[[#This Row],[ITEM]],M:M,N:N,,0)</f>
        <v>24.6</v>
      </c>
      <c r="K606" s="891">
        <f>J606*ListaMaterial[[#This Row],[TOTAL C/PERDA]]</f>
        <v>123</v>
      </c>
      <c r="M606" s="901"/>
      <c r="N606" s="902"/>
    </row>
    <row r="607" spans="1:14" x14ac:dyDescent="0.25">
      <c r="A607" s="883" t="s">
        <v>4625</v>
      </c>
      <c r="B607" s="883" t="s">
        <v>4431</v>
      </c>
      <c r="C607" s="883" t="s">
        <v>4691</v>
      </c>
      <c r="D607" s="886">
        <v>1</v>
      </c>
      <c r="E607" s="887">
        <v>1</v>
      </c>
      <c r="F607" s="888">
        <f>ListaMaterial[[#This Row],[REPETIÇÃO]]*ListaMaterial[[#This Row],[QUANTIDADE]]</f>
        <v>1</v>
      </c>
      <c r="H607" s="890">
        <f>ListaMaterial[[#This Row],[TOTAL]]*(1+ListaMaterial[[#This Row],[PERDA]])</f>
        <v>1</v>
      </c>
      <c r="I607" s="887" t="s">
        <v>4243</v>
      </c>
      <c r="J607" s="891">
        <f>_xlfn.XLOOKUP(ListaMaterial[[#This Row],[ITEM]],M:M,N:N,,0)</f>
        <v>16.77</v>
      </c>
      <c r="K607" s="891">
        <f>J607*ListaMaterial[[#This Row],[TOTAL C/PERDA]]</f>
        <v>16.77</v>
      </c>
      <c r="M607" s="901"/>
      <c r="N607" s="902"/>
    </row>
    <row r="608" spans="1:14" x14ac:dyDescent="0.25">
      <c r="A608" s="883" t="s">
        <v>4625</v>
      </c>
      <c r="B608" s="883" t="s">
        <v>4431</v>
      </c>
      <c r="C608" s="883" t="s">
        <v>4458</v>
      </c>
      <c r="D608" s="886">
        <v>22</v>
      </c>
      <c r="E608" s="887">
        <v>1</v>
      </c>
      <c r="F608" s="888">
        <f>ListaMaterial[[#This Row],[REPETIÇÃO]]*ListaMaterial[[#This Row],[QUANTIDADE]]</f>
        <v>22</v>
      </c>
      <c r="H608" s="890">
        <f>ListaMaterial[[#This Row],[TOTAL]]*(1+ListaMaterial[[#This Row],[PERDA]])</f>
        <v>22</v>
      </c>
      <c r="I608" s="887" t="s">
        <v>4243</v>
      </c>
      <c r="J608" s="891">
        <f>_xlfn.XLOOKUP(ListaMaterial[[#This Row],[ITEM]],M:M,N:N,,0)</f>
        <v>27.96</v>
      </c>
      <c r="K608" s="891">
        <f>J608*ListaMaterial[[#This Row],[TOTAL C/PERDA]]</f>
        <v>615.12</v>
      </c>
      <c r="M608" s="901"/>
      <c r="N608" s="902"/>
    </row>
    <row r="609" spans="1:14" x14ac:dyDescent="0.25">
      <c r="A609" s="883" t="s">
        <v>4625</v>
      </c>
      <c r="B609" s="883" t="s">
        <v>4431</v>
      </c>
      <c r="C609" s="883" t="s">
        <v>4724</v>
      </c>
      <c r="D609" s="886">
        <v>6</v>
      </c>
      <c r="E609" s="887">
        <v>1</v>
      </c>
      <c r="F609" s="888">
        <f>ListaMaterial[[#This Row],[REPETIÇÃO]]*ListaMaterial[[#This Row],[QUANTIDADE]]</f>
        <v>6</v>
      </c>
      <c r="H609" s="890">
        <f>ListaMaterial[[#This Row],[TOTAL]]*(1+ListaMaterial[[#This Row],[PERDA]])</f>
        <v>6</v>
      </c>
      <c r="I609" s="887" t="s">
        <v>4243</v>
      </c>
      <c r="J609" s="891">
        <f>_xlfn.XLOOKUP(ListaMaterial[[#This Row],[ITEM]],M:M,N:N,,0)</f>
        <v>44.74</v>
      </c>
      <c r="K609" s="891">
        <f>J609*ListaMaterial[[#This Row],[TOTAL C/PERDA]]</f>
        <v>268.44</v>
      </c>
      <c r="M609" s="901"/>
      <c r="N609" s="902"/>
    </row>
    <row r="610" spans="1:14" x14ac:dyDescent="0.25">
      <c r="A610" s="883" t="s">
        <v>4625</v>
      </c>
      <c r="B610" s="883" t="s">
        <v>4431</v>
      </c>
      <c r="C610" s="883" t="s">
        <v>4750</v>
      </c>
      <c r="D610" s="886">
        <v>15</v>
      </c>
      <c r="E610" s="887">
        <v>1</v>
      </c>
      <c r="F610" s="888">
        <f>ListaMaterial[[#This Row],[REPETIÇÃO]]*ListaMaterial[[#This Row],[QUANTIDADE]]</f>
        <v>15</v>
      </c>
      <c r="H610" s="890">
        <f>ListaMaterial[[#This Row],[TOTAL]]*(1+ListaMaterial[[#This Row],[PERDA]])</f>
        <v>15</v>
      </c>
      <c r="I610" s="887" t="s">
        <v>4243</v>
      </c>
      <c r="J610" s="891">
        <f>_xlfn.XLOOKUP(ListaMaterial[[#This Row],[ITEM]],M:M,N:N,,0)</f>
        <v>38.74</v>
      </c>
      <c r="K610" s="891">
        <f>J610*ListaMaterial[[#This Row],[TOTAL C/PERDA]]</f>
        <v>581.1</v>
      </c>
      <c r="M610" s="901"/>
      <c r="N610" s="902"/>
    </row>
    <row r="611" spans="1:14" x14ac:dyDescent="0.25">
      <c r="A611" s="883" t="s">
        <v>4625</v>
      </c>
      <c r="B611" s="883" t="s">
        <v>4431</v>
      </c>
      <c r="C611" s="883" t="s">
        <v>4670</v>
      </c>
      <c r="D611" s="886">
        <v>1</v>
      </c>
      <c r="E611" s="887">
        <v>1</v>
      </c>
      <c r="F611" s="888">
        <f>ListaMaterial[[#This Row],[REPETIÇÃO]]*ListaMaterial[[#This Row],[QUANTIDADE]]</f>
        <v>1</v>
      </c>
      <c r="H611" s="890">
        <f>ListaMaterial[[#This Row],[TOTAL]]*(1+ListaMaterial[[#This Row],[PERDA]])</f>
        <v>1</v>
      </c>
      <c r="I611" s="887" t="s">
        <v>4243</v>
      </c>
      <c r="J611" s="891">
        <f>_xlfn.XLOOKUP(ListaMaterial[[#This Row],[ITEM]],M:M,N:N,,0)</f>
        <v>39.15</v>
      </c>
      <c r="K611" s="891">
        <f>J611*ListaMaterial[[#This Row],[TOTAL C/PERDA]]</f>
        <v>39.15</v>
      </c>
      <c r="M611" s="901"/>
      <c r="N611" s="902"/>
    </row>
    <row r="612" spans="1:14" x14ac:dyDescent="0.25">
      <c r="A612" s="883" t="s">
        <v>4625</v>
      </c>
      <c r="B612" s="883" t="s">
        <v>4431</v>
      </c>
      <c r="C612" s="883" t="s">
        <v>4459</v>
      </c>
      <c r="D612" s="886">
        <v>39</v>
      </c>
      <c r="E612" s="887">
        <v>1</v>
      </c>
      <c r="F612" s="888">
        <f>ListaMaterial[[#This Row],[REPETIÇÃO]]*ListaMaterial[[#This Row],[QUANTIDADE]]</f>
        <v>39</v>
      </c>
      <c r="H612" s="890">
        <f>ListaMaterial[[#This Row],[TOTAL]]*(1+ListaMaterial[[#This Row],[PERDA]])</f>
        <v>39</v>
      </c>
      <c r="I612" s="887" t="s">
        <v>4243</v>
      </c>
      <c r="J612" s="891">
        <f>_xlfn.XLOOKUP(ListaMaterial[[#This Row],[ITEM]],M:M,N:N,,0)</f>
        <v>13.42</v>
      </c>
      <c r="K612" s="891">
        <f>J612*ListaMaterial[[#This Row],[TOTAL C/PERDA]]</f>
        <v>523.38</v>
      </c>
      <c r="M612" s="901"/>
      <c r="N612" s="902"/>
    </row>
    <row r="613" spans="1:14" x14ac:dyDescent="0.25">
      <c r="A613" s="883" t="s">
        <v>4625</v>
      </c>
      <c r="B613" s="883" t="s">
        <v>4441</v>
      </c>
      <c r="C613" s="883" t="s">
        <v>4843</v>
      </c>
      <c r="D613" s="886">
        <v>5</v>
      </c>
      <c r="E613" s="887">
        <v>1</v>
      </c>
      <c r="F613" s="888">
        <f>ListaMaterial[[#This Row],[REPETIÇÃO]]*ListaMaterial[[#This Row],[QUANTIDADE]]</f>
        <v>5</v>
      </c>
      <c r="H613" s="890">
        <f>ListaMaterial[[#This Row],[TOTAL]]*(1+ListaMaterial[[#This Row],[PERDA]])</f>
        <v>5</v>
      </c>
      <c r="I613" s="887" t="s">
        <v>4243</v>
      </c>
      <c r="J613" s="891">
        <f>_xlfn.XLOOKUP(ListaMaterial[[#This Row],[ITEM]],M:M,N:N,,0)</f>
        <v>13.016999999999999</v>
      </c>
      <c r="K613" s="891">
        <f>J613*ListaMaterial[[#This Row],[TOTAL C/PERDA]]</f>
        <v>65.084999999999994</v>
      </c>
      <c r="M613" s="901"/>
      <c r="N613" s="902"/>
    </row>
    <row r="614" spans="1:14" x14ac:dyDescent="0.25">
      <c r="A614" s="883" t="s">
        <v>4625</v>
      </c>
      <c r="B614" s="883" t="s">
        <v>4441</v>
      </c>
      <c r="C614" s="883" t="s">
        <v>4844</v>
      </c>
      <c r="D614" s="886">
        <v>9</v>
      </c>
      <c r="E614" s="887">
        <v>1</v>
      </c>
      <c r="F614" s="888">
        <f>ListaMaterial[[#This Row],[REPETIÇÃO]]*ListaMaterial[[#This Row],[QUANTIDADE]]</f>
        <v>9</v>
      </c>
      <c r="H614" s="890">
        <f>ListaMaterial[[#This Row],[TOTAL]]*(1+ListaMaterial[[#This Row],[PERDA]])</f>
        <v>9</v>
      </c>
      <c r="I614" s="887" t="s">
        <v>4243</v>
      </c>
      <c r="J614" s="891">
        <f>_xlfn.XLOOKUP(ListaMaterial[[#This Row],[ITEM]],M:M,N:N,,0)</f>
        <v>7.21</v>
      </c>
      <c r="K614" s="891">
        <f>J614*ListaMaterial[[#This Row],[TOTAL C/PERDA]]</f>
        <v>64.89</v>
      </c>
      <c r="M614" s="901"/>
      <c r="N614" s="902"/>
    </row>
    <row r="615" spans="1:14" x14ac:dyDescent="0.25">
      <c r="A615" s="883" t="s">
        <v>4625</v>
      </c>
      <c r="B615" s="883" t="s">
        <v>4441</v>
      </c>
      <c r="C615" s="883" t="s">
        <v>4845</v>
      </c>
      <c r="D615" s="886">
        <v>43</v>
      </c>
      <c r="E615" s="887">
        <v>1</v>
      </c>
      <c r="F615" s="888">
        <f>ListaMaterial[[#This Row],[REPETIÇÃO]]*ListaMaterial[[#This Row],[QUANTIDADE]]</f>
        <v>43</v>
      </c>
      <c r="H615" s="890">
        <f>ListaMaterial[[#This Row],[TOTAL]]*(1+ListaMaterial[[#This Row],[PERDA]])</f>
        <v>43</v>
      </c>
      <c r="I615" s="887" t="s">
        <v>4243</v>
      </c>
      <c r="J615" s="891">
        <f>_xlfn.XLOOKUP(ListaMaterial[[#This Row],[ITEM]],M:M,N:N,,0)</f>
        <v>8.11</v>
      </c>
      <c r="K615" s="891">
        <f>J615*ListaMaterial[[#This Row],[TOTAL C/PERDA]]</f>
        <v>348.72999999999996</v>
      </c>
      <c r="M615" s="901"/>
      <c r="N615" s="902"/>
    </row>
    <row r="616" spans="1:14" x14ac:dyDescent="0.25">
      <c r="A616" s="883" t="s">
        <v>4625</v>
      </c>
      <c r="B616" s="883" t="s">
        <v>4441</v>
      </c>
      <c r="C616" s="883" t="s">
        <v>4855</v>
      </c>
      <c r="D616" s="886">
        <v>5</v>
      </c>
      <c r="E616" s="887">
        <v>1</v>
      </c>
      <c r="F616" s="888">
        <f>ListaMaterial[[#This Row],[REPETIÇÃO]]*ListaMaterial[[#This Row],[QUANTIDADE]]</f>
        <v>5</v>
      </c>
      <c r="H616" s="890">
        <f>ListaMaterial[[#This Row],[TOTAL]]*(1+ListaMaterial[[#This Row],[PERDA]])</f>
        <v>5</v>
      </c>
      <c r="I616" s="887" t="s">
        <v>4243</v>
      </c>
      <c r="J616" s="891">
        <f>_xlfn.XLOOKUP(ListaMaterial[[#This Row],[ITEM]],M:M,N:N,,0)</f>
        <v>13.79</v>
      </c>
      <c r="K616" s="891">
        <f>J616*ListaMaterial[[#This Row],[TOTAL C/PERDA]]</f>
        <v>68.949999999999989</v>
      </c>
      <c r="M616" s="901"/>
      <c r="N616" s="902"/>
    </row>
    <row r="617" spans="1:14" x14ac:dyDescent="0.25">
      <c r="A617" s="883" t="s">
        <v>4625</v>
      </c>
      <c r="B617" s="883" t="s">
        <v>4441</v>
      </c>
      <c r="C617" s="883" t="s">
        <v>4856</v>
      </c>
      <c r="D617" s="886">
        <v>22</v>
      </c>
      <c r="E617" s="887">
        <v>1</v>
      </c>
      <c r="F617" s="888">
        <f>ListaMaterial[[#This Row],[REPETIÇÃO]]*ListaMaterial[[#This Row],[QUANTIDADE]]</f>
        <v>22</v>
      </c>
      <c r="H617" s="890">
        <f>ListaMaterial[[#This Row],[TOTAL]]*(1+ListaMaterial[[#This Row],[PERDA]])</f>
        <v>22</v>
      </c>
      <c r="I617" s="887" t="s">
        <v>4243</v>
      </c>
      <c r="J617" s="891">
        <f>_xlfn.XLOOKUP(ListaMaterial[[#This Row],[ITEM]],M:M,N:N,,0)</f>
        <v>14.13</v>
      </c>
      <c r="K617" s="891">
        <f>J617*ListaMaterial[[#This Row],[TOTAL C/PERDA]]</f>
        <v>310.86</v>
      </c>
      <c r="M617" s="901"/>
      <c r="N617" s="902"/>
    </row>
    <row r="618" spans="1:14" x14ac:dyDescent="0.25">
      <c r="A618" s="883" t="s">
        <v>4625</v>
      </c>
      <c r="B618" s="883" t="s">
        <v>4441</v>
      </c>
      <c r="C618" s="883" t="s">
        <v>4863</v>
      </c>
      <c r="D618" s="886">
        <v>3</v>
      </c>
      <c r="E618" s="887">
        <v>1</v>
      </c>
      <c r="F618" s="888">
        <f>ListaMaterial[[#This Row],[REPETIÇÃO]]*ListaMaterial[[#This Row],[QUANTIDADE]]</f>
        <v>3</v>
      </c>
      <c r="H618" s="890">
        <f>ListaMaterial[[#This Row],[TOTAL]]*(1+ListaMaterial[[#This Row],[PERDA]])</f>
        <v>3</v>
      </c>
      <c r="I618" s="887" t="s">
        <v>4243</v>
      </c>
      <c r="J618" s="891">
        <f>_xlfn.XLOOKUP(ListaMaterial[[#This Row],[ITEM]],M:M,N:N,,0)</f>
        <v>27.96</v>
      </c>
      <c r="K618" s="891">
        <f>J618*ListaMaterial[[#This Row],[TOTAL C/PERDA]]</f>
        <v>83.88</v>
      </c>
      <c r="M618" s="901"/>
      <c r="N618" s="902"/>
    </row>
    <row r="619" spans="1:14" x14ac:dyDescent="0.25">
      <c r="A619" s="883" t="s">
        <v>4625</v>
      </c>
      <c r="B619" s="883" t="s">
        <v>4441</v>
      </c>
      <c r="C619" s="883" t="s">
        <v>4864</v>
      </c>
      <c r="D619" s="886">
        <v>1</v>
      </c>
      <c r="E619" s="887">
        <v>1</v>
      </c>
      <c r="F619" s="888">
        <f>ListaMaterial[[#This Row],[REPETIÇÃO]]*ListaMaterial[[#This Row],[QUANTIDADE]]</f>
        <v>1</v>
      </c>
      <c r="H619" s="890">
        <f>ListaMaterial[[#This Row],[TOTAL]]*(1+ListaMaterial[[#This Row],[PERDA]])</f>
        <v>1</v>
      </c>
      <c r="I619" s="887" t="s">
        <v>4243</v>
      </c>
      <c r="J619" s="891">
        <f>_xlfn.XLOOKUP(ListaMaterial[[#This Row],[ITEM]],M:M,N:N,,0)</f>
        <v>31.32</v>
      </c>
      <c r="K619" s="891">
        <f>J619*ListaMaterial[[#This Row],[TOTAL C/PERDA]]</f>
        <v>31.32</v>
      </c>
      <c r="M619" s="901"/>
      <c r="N619" s="902"/>
    </row>
    <row r="620" spans="1:14" x14ac:dyDescent="0.25">
      <c r="A620" s="883" t="s">
        <v>4625</v>
      </c>
      <c r="B620" s="883" t="s">
        <v>4441</v>
      </c>
      <c r="C620" s="883" t="s">
        <v>4860</v>
      </c>
      <c r="D620" s="886">
        <v>10</v>
      </c>
      <c r="E620" s="887">
        <v>1</v>
      </c>
      <c r="F620" s="888">
        <f>ListaMaterial[[#This Row],[REPETIÇÃO]]*ListaMaterial[[#This Row],[QUANTIDADE]]</f>
        <v>10</v>
      </c>
      <c r="H620" s="890">
        <f>ListaMaterial[[#This Row],[TOTAL]]*(1+ListaMaterial[[#This Row],[PERDA]])</f>
        <v>10</v>
      </c>
      <c r="I620" s="887" t="s">
        <v>4243</v>
      </c>
      <c r="J620" s="891">
        <f>_xlfn.XLOOKUP(ListaMaterial[[#This Row],[ITEM]],M:M,N:N,,0)</f>
        <v>22.9</v>
      </c>
      <c r="K620" s="891">
        <f>J620*ListaMaterial[[#This Row],[TOTAL C/PERDA]]</f>
        <v>229</v>
      </c>
      <c r="M620" s="901"/>
      <c r="N620" s="902"/>
    </row>
    <row r="621" spans="1:14" x14ac:dyDescent="0.25">
      <c r="A621" s="883" t="s">
        <v>4625</v>
      </c>
      <c r="B621" s="883" t="s">
        <v>4441</v>
      </c>
      <c r="C621" s="883" t="s">
        <v>4672</v>
      </c>
      <c r="D621" s="886">
        <v>2</v>
      </c>
      <c r="E621" s="887">
        <v>1</v>
      </c>
      <c r="F621" s="888">
        <f>ListaMaterial[[#This Row],[REPETIÇÃO]]*ListaMaterial[[#This Row],[QUANTIDADE]]</f>
        <v>2</v>
      </c>
      <c r="H621" s="890">
        <f>ListaMaterial[[#This Row],[TOTAL]]*(1+ListaMaterial[[#This Row],[PERDA]])</f>
        <v>2</v>
      </c>
      <c r="I621" s="887" t="s">
        <v>4243</v>
      </c>
      <c r="J621" s="891">
        <f>_xlfn.XLOOKUP(ListaMaterial[[#This Row],[ITEM]],M:M,N:N,,0)</f>
        <v>8.94</v>
      </c>
      <c r="K621" s="891">
        <f>J621*ListaMaterial[[#This Row],[TOTAL C/PERDA]]</f>
        <v>17.88</v>
      </c>
      <c r="M621" s="901"/>
      <c r="N621" s="902"/>
    </row>
    <row r="622" spans="1:14" x14ac:dyDescent="0.25">
      <c r="A622" s="883" t="s">
        <v>4625</v>
      </c>
      <c r="B622" s="883" t="s">
        <v>4441</v>
      </c>
      <c r="C622" s="883" t="s">
        <v>4673</v>
      </c>
      <c r="D622" s="886">
        <v>16</v>
      </c>
      <c r="E622" s="887">
        <v>1</v>
      </c>
      <c r="F622" s="888">
        <f>ListaMaterial[[#This Row],[REPETIÇÃO]]*ListaMaterial[[#This Row],[QUANTIDADE]]</f>
        <v>16</v>
      </c>
      <c r="H622" s="890">
        <f>ListaMaterial[[#This Row],[TOTAL]]*(1+ListaMaterial[[#This Row],[PERDA]])</f>
        <v>16</v>
      </c>
      <c r="I622" s="887" t="s">
        <v>4243</v>
      </c>
      <c r="J622" s="891">
        <f>_xlfn.XLOOKUP(ListaMaterial[[#This Row],[ITEM]],M:M,N:N,,0)</f>
        <v>5.95</v>
      </c>
      <c r="K622" s="891">
        <f>J622*ListaMaterial[[#This Row],[TOTAL C/PERDA]]</f>
        <v>95.2</v>
      </c>
      <c r="M622" s="901"/>
      <c r="N622" s="902"/>
    </row>
    <row r="623" spans="1:14" x14ac:dyDescent="0.25">
      <c r="A623" s="883" t="s">
        <v>4625</v>
      </c>
      <c r="B623" s="883" t="s">
        <v>4441</v>
      </c>
      <c r="C623" s="883" t="s">
        <v>4674</v>
      </c>
      <c r="D623" s="886">
        <v>63</v>
      </c>
      <c r="E623" s="887">
        <v>1</v>
      </c>
      <c r="F623" s="888">
        <f>ListaMaterial[[#This Row],[REPETIÇÃO]]*ListaMaterial[[#This Row],[QUANTIDADE]]</f>
        <v>63</v>
      </c>
      <c r="H623" s="890">
        <f>ListaMaterial[[#This Row],[TOTAL]]*(1+ListaMaterial[[#This Row],[PERDA]])</f>
        <v>63</v>
      </c>
      <c r="I623" s="887" t="s">
        <v>4243</v>
      </c>
      <c r="J623" s="891">
        <f>_xlfn.XLOOKUP(ListaMaterial[[#This Row],[ITEM]],M:M,N:N,,0)</f>
        <v>7.59</v>
      </c>
      <c r="K623" s="891">
        <f>J623*ListaMaterial[[#This Row],[TOTAL C/PERDA]]</f>
        <v>478.17</v>
      </c>
      <c r="M623" s="901"/>
      <c r="N623" s="902"/>
    </row>
    <row r="624" spans="1:14" x14ac:dyDescent="0.25">
      <c r="A624" s="883" t="s">
        <v>4625</v>
      </c>
      <c r="B624" s="883" t="s">
        <v>4250</v>
      </c>
      <c r="C624" s="883" t="s">
        <v>4756</v>
      </c>
      <c r="D624" s="886">
        <v>0.24</v>
      </c>
      <c r="E624" s="887">
        <v>1</v>
      </c>
      <c r="F624" s="888">
        <f>ListaMaterial[[#This Row],[REPETIÇÃO]]*ListaMaterial[[#This Row],[QUANTIDADE]]</f>
        <v>0.24</v>
      </c>
      <c r="G624" s="889">
        <v>0.15</v>
      </c>
      <c r="H624" s="890">
        <f>ListaMaterial[[#This Row],[TOTAL]]*(1+ListaMaterial[[#This Row],[PERDA]])</f>
        <v>0.27599999999999997</v>
      </c>
      <c r="I624" s="887" t="s">
        <v>3</v>
      </c>
      <c r="J624" s="891">
        <f>_xlfn.XLOOKUP(ListaMaterial[[#This Row],[ITEM]],M:M,N:N,,0)</f>
        <v>9.11</v>
      </c>
      <c r="K624" s="891">
        <f>J624*ListaMaterial[[#This Row],[TOTAL C/PERDA]]</f>
        <v>2.5143599999999995</v>
      </c>
      <c r="M624" s="901"/>
      <c r="N624" s="902"/>
    </row>
    <row r="625" spans="1:14" x14ac:dyDescent="0.25">
      <c r="A625" s="883" t="s">
        <v>4625</v>
      </c>
      <c r="B625" s="883" t="s">
        <v>4440</v>
      </c>
      <c r="C625" s="883" t="s">
        <v>4679</v>
      </c>
      <c r="D625" s="886">
        <v>48.04</v>
      </c>
      <c r="E625" s="887">
        <v>1</v>
      </c>
      <c r="F625" s="888">
        <f>ListaMaterial[[#This Row],[REPETIÇÃO]]*ListaMaterial[[#This Row],[QUANTIDADE]]</f>
        <v>48.04</v>
      </c>
      <c r="G625" s="889">
        <v>0.15</v>
      </c>
      <c r="H625" s="890">
        <f>ListaMaterial[[#This Row],[TOTAL]]*(1+ListaMaterial[[#This Row],[PERDA]])</f>
        <v>55.245999999999995</v>
      </c>
      <c r="I625" s="887" t="s">
        <v>3</v>
      </c>
      <c r="J625" s="891">
        <f>_xlfn.XLOOKUP(ListaMaterial[[#This Row],[ITEM]],M:M,N:N,,0)</f>
        <v>20.134399999999999</v>
      </c>
      <c r="K625" s="891">
        <f>J625*ListaMaterial[[#This Row],[TOTAL C/PERDA]]</f>
        <v>1112.3450624</v>
      </c>
      <c r="M625" s="901"/>
      <c r="N625" s="902"/>
    </row>
    <row r="626" spans="1:14" x14ac:dyDescent="0.25">
      <c r="A626" s="883" t="s">
        <v>4625</v>
      </c>
      <c r="B626" s="883" t="s">
        <v>4618</v>
      </c>
      <c r="C626" s="883" t="s">
        <v>4680</v>
      </c>
      <c r="D626" s="886">
        <v>6.12</v>
      </c>
      <c r="E626" s="887">
        <v>1</v>
      </c>
      <c r="F626" s="888">
        <f>ListaMaterial[[#This Row],[REPETIÇÃO]]*ListaMaterial[[#This Row],[QUANTIDADE]]</f>
        <v>6.12</v>
      </c>
      <c r="G626" s="889">
        <v>0.15</v>
      </c>
      <c r="H626" s="890">
        <f>ListaMaterial[[#This Row],[TOTAL]]*(1+ListaMaterial[[#This Row],[PERDA]])</f>
        <v>7.0379999999999994</v>
      </c>
      <c r="I626" s="887" t="s">
        <v>3</v>
      </c>
      <c r="J626" s="891">
        <f>_xlfn.XLOOKUP(ListaMaterial[[#This Row],[ITEM]],M:M,N:N,,0)</f>
        <v>9.2899999999999991</v>
      </c>
      <c r="K626" s="891">
        <f>J626*ListaMaterial[[#This Row],[TOTAL C/PERDA]]</f>
        <v>65.383019999999988</v>
      </c>
      <c r="M626" s="901"/>
      <c r="N626" s="902"/>
    </row>
    <row r="627" spans="1:14" x14ac:dyDescent="0.25">
      <c r="A627" s="883" t="s">
        <v>4625</v>
      </c>
      <c r="B627" s="883" t="s">
        <v>4618</v>
      </c>
      <c r="C627" s="883" t="s">
        <v>4681</v>
      </c>
      <c r="D627" s="886">
        <v>16.489999999999998</v>
      </c>
      <c r="E627" s="887">
        <v>1</v>
      </c>
      <c r="F627" s="888">
        <f>ListaMaterial[[#This Row],[REPETIÇÃO]]*ListaMaterial[[#This Row],[QUANTIDADE]]</f>
        <v>16.489999999999998</v>
      </c>
      <c r="G627" s="889">
        <v>0.15</v>
      </c>
      <c r="H627" s="890">
        <f>ListaMaterial[[#This Row],[TOTAL]]*(1+ListaMaterial[[#This Row],[PERDA]])</f>
        <v>18.963499999999996</v>
      </c>
      <c r="I627" s="887" t="s">
        <v>3</v>
      </c>
      <c r="J627" s="891">
        <f>_xlfn.XLOOKUP(ListaMaterial[[#This Row],[ITEM]],M:M,N:N,,0)</f>
        <v>15.99</v>
      </c>
      <c r="K627" s="891">
        <f>J627*ListaMaterial[[#This Row],[TOTAL C/PERDA]]</f>
        <v>303.22636499999993</v>
      </c>
      <c r="M627" s="901"/>
      <c r="N627" s="902"/>
    </row>
    <row r="628" spans="1:14" x14ac:dyDescent="0.25">
      <c r="A628" s="883" t="s">
        <v>4625</v>
      </c>
      <c r="B628" s="883" t="s">
        <v>4618</v>
      </c>
      <c r="C628" s="883" t="s">
        <v>4682</v>
      </c>
      <c r="D628" s="886">
        <v>81.36</v>
      </c>
      <c r="E628" s="887">
        <v>1</v>
      </c>
      <c r="F628" s="888">
        <f>ListaMaterial[[#This Row],[REPETIÇÃO]]*ListaMaterial[[#This Row],[QUANTIDADE]]</f>
        <v>81.36</v>
      </c>
      <c r="G628" s="889">
        <v>0.15</v>
      </c>
      <c r="H628" s="890">
        <f>ListaMaterial[[#This Row],[TOTAL]]*(1+ListaMaterial[[#This Row],[PERDA]])</f>
        <v>93.563999999999993</v>
      </c>
      <c r="I628" s="887" t="s">
        <v>3</v>
      </c>
      <c r="J628" s="891">
        <f>_xlfn.XLOOKUP(ListaMaterial[[#This Row],[ITEM]],M:M,N:N,,0)</f>
        <v>8.99</v>
      </c>
      <c r="K628" s="891">
        <f>J628*ListaMaterial[[#This Row],[TOTAL C/PERDA]]</f>
        <v>841.14035999999999</v>
      </c>
      <c r="M628" s="901"/>
      <c r="N628" s="902"/>
    </row>
    <row r="629" spans="1:14" x14ac:dyDescent="0.25">
      <c r="A629" s="883" t="s">
        <v>4625</v>
      </c>
      <c r="B629" s="883" t="s">
        <v>4619</v>
      </c>
      <c r="C629" s="883" t="s">
        <v>4684</v>
      </c>
      <c r="D629" s="886">
        <v>1.1399999999999999</v>
      </c>
      <c r="E629" s="887">
        <v>1</v>
      </c>
      <c r="F629" s="888">
        <f>ListaMaterial[[#This Row],[REPETIÇÃO]]*ListaMaterial[[#This Row],[QUANTIDADE]]</f>
        <v>1.1399999999999999</v>
      </c>
      <c r="G629" s="889">
        <v>0.15</v>
      </c>
      <c r="H629" s="890">
        <f>ListaMaterial[[#This Row],[TOTAL]]*(1+ListaMaterial[[#This Row],[PERDA]])</f>
        <v>1.3109999999999997</v>
      </c>
      <c r="I629" s="887" t="s">
        <v>3</v>
      </c>
      <c r="J629" s="891">
        <f>_xlfn.XLOOKUP(ListaMaterial[[#This Row],[ITEM]],M:M,N:N,,0)</f>
        <v>2.5685666666666669</v>
      </c>
      <c r="K629" s="891">
        <f>J629*ListaMaterial[[#This Row],[TOTAL C/PERDA]]</f>
        <v>3.3673908999999997</v>
      </c>
      <c r="M629" s="901"/>
      <c r="N629" s="902"/>
    </row>
    <row r="630" spans="1:14" x14ac:dyDescent="0.25">
      <c r="A630" s="883" t="s">
        <v>4625</v>
      </c>
      <c r="B630" s="883" t="s">
        <v>4619</v>
      </c>
      <c r="C630" s="883" t="s">
        <v>4685</v>
      </c>
      <c r="D630" s="886">
        <v>1.44</v>
      </c>
      <c r="E630" s="887">
        <v>1</v>
      </c>
      <c r="F630" s="888">
        <f>ListaMaterial[[#This Row],[REPETIÇÃO]]*ListaMaterial[[#This Row],[QUANTIDADE]]</f>
        <v>1.44</v>
      </c>
      <c r="G630" s="889">
        <v>0.15</v>
      </c>
      <c r="H630" s="890">
        <f>ListaMaterial[[#This Row],[TOTAL]]*(1+ListaMaterial[[#This Row],[PERDA]])</f>
        <v>1.6559999999999999</v>
      </c>
      <c r="I630" s="887" t="s">
        <v>3</v>
      </c>
      <c r="J630" s="891">
        <f>_xlfn.XLOOKUP(ListaMaterial[[#This Row],[ITEM]],M:M,N:N,,0)</f>
        <v>7.7985833333333332</v>
      </c>
      <c r="K630" s="891">
        <f>J630*ListaMaterial[[#This Row],[TOTAL C/PERDA]]</f>
        <v>12.914453999999999</v>
      </c>
      <c r="M630" s="901"/>
      <c r="N630" s="902"/>
    </row>
    <row r="631" spans="1:14" x14ac:dyDescent="0.25">
      <c r="A631" s="894"/>
      <c r="B631" s="917" t="s">
        <v>44</v>
      </c>
      <c r="C631" s="894"/>
      <c r="D631" s="895"/>
      <c r="E631" s="896"/>
      <c r="F631" s="897">
        <f>ListaMaterial[[#This Row],[REPETIÇÃO]]*ListaMaterial[[#This Row],[QUANTIDADE]]</f>
        <v>0</v>
      </c>
      <c r="G631" s="898"/>
      <c r="H631" s="899">
        <f>ListaMaterial[[#This Row],[TOTAL]]*(1+ListaMaterial[[#This Row],[PERDA]])</f>
        <v>0</v>
      </c>
      <c r="I631" s="896"/>
      <c r="J631" s="900"/>
      <c r="K631" s="900">
        <f>SUM(K592:K630)</f>
        <v>7674.5259122999987</v>
      </c>
      <c r="M631" s="901"/>
      <c r="N631" s="902"/>
    </row>
    <row r="632" spans="1:14" x14ac:dyDescent="0.25">
      <c r="A632" s="883" t="s">
        <v>4626</v>
      </c>
      <c r="B632" s="883" t="s">
        <v>4242</v>
      </c>
      <c r="C632" s="885" t="s">
        <v>4757</v>
      </c>
      <c r="D632" s="886">
        <v>1</v>
      </c>
      <c r="E632" s="887">
        <v>1</v>
      </c>
      <c r="F632" s="888">
        <f>ListaMaterial[[#This Row],[REPETIÇÃO]]*ListaMaterial[[#This Row],[QUANTIDADE]]</f>
        <v>1</v>
      </c>
      <c r="H632" s="890">
        <f>ListaMaterial[[#This Row],[TOTAL]]*(1+ListaMaterial[[#This Row],[PERDA]])</f>
        <v>1</v>
      </c>
      <c r="I632" s="887" t="s">
        <v>4243</v>
      </c>
      <c r="J632" s="891">
        <f>_xlfn.XLOOKUP(ListaMaterial[[#This Row],[ITEM]],M:M,N:N,,0)</f>
        <v>12000</v>
      </c>
      <c r="K632" s="891">
        <f>J632*ListaMaterial[[#This Row],[TOTAL C/PERDA]]</f>
        <v>12000</v>
      </c>
      <c r="M632" s="901"/>
      <c r="N632" s="902"/>
    </row>
    <row r="633" spans="1:14" x14ac:dyDescent="0.25">
      <c r="A633" s="883" t="s">
        <v>4626</v>
      </c>
      <c r="B633" s="883" t="s">
        <v>4242</v>
      </c>
      <c r="C633" s="883" t="s">
        <v>4758</v>
      </c>
      <c r="D633" s="886">
        <v>1</v>
      </c>
      <c r="E633" s="887">
        <v>1</v>
      </c>
      <c r="F633" s="888">
        <f>ListaMaterial[[#This Row],[REPETIÇÃO]]*ListaMaterial[[#This Row],[QUANTIDADE]]</f>
        <v>1</v>
      </c>
      <c r="H633" s="890">
        <f>ListaMaterial[[#This Row],[TOTAL]]*(1+ListaMaterial[[#This Row],[PERDA]])</f>
        <v>1</v>
      </c>
      <c r="I633" s="887" t="s">
        <v>4243</v>
      </c>
      <c r="J633" s="891">
        <f>_xlfn.XLOOKUP(ListaMaterial[[#This Row],[ITEM]],M:M,N:N,,0)</f>
        <v>1629</v>
      </c>
      <c r="K633" s="891">
        <f>J633*ListaMaterial[[#This Row],[TOTAL C/PERDA]]</f>
        <v>1629</v>
      </c>
      <c r="M633" s="901"/>
      <c r="N633" s="902"/>
    </row>
    <row r="634" spans="1:14" x14ac:dyDescent="0.25">
      <c r="A634" s="883" t="s">
        <v>4626</v>
      </c>
      <c r="B634" s="883" t="s">
        <v>4627</v>
      </c>
      <c r="C634" s="883" t="s">
        <v>4759</v>
      </c>
      <c r="D634" s="886">
        <v>2</v>
      </c>
      <c r="E634" s="887">
        <v>1</v>
      </c>
      <c r="F634" s="888">
        <f>ListaMaterial[[#This Row],[REPETIÇÃO]]*ListaMaterial[[#This Row],[QUANTIDADE]]</f>
        <v>2</v>
      </c>
      <c r="H634" s="890">
        <f>ListaMaterial[[#This Row],[TOTAL]]*(1+ListaMaterial[[#This Row],[PERDA]])</f>
        <v>2</v>
      </c>
      <c r="I634" s="887" t="s">
        <v>4243</v>
      </c>
      <c r="J634" s="891">
        <f>_xlfn.XLOOKUP(ListaMaterial[[#This Row],[ITEM]],M:M,N:N,,0)</f>
        <v>42.2</v>
      </c>
      <c r="K634" s="891">
        <f>J634*ListaMaterial[[#This Row],[TOTAL C/PERDA]]</f>
        <v>84.4</v>
      </c>
      <c r="M634" s="901"/>
      <c r="N634" s="902"/>
    </row>
    <row r="635" spans="1:14" x14ac:dyDescent="0.25">
      <c r="A635" s="883" t="s">
        <v>4626</v>
      </c>
      <c r="B635" s="883" t="s">
        <v>4441</v>
      </c>
      <c r="C635" s="883" t="s">
        <v>4662</v>
      </c>
      <c r="D635" s="886">
        <v>1</v>
      </c>
      <c r="E635" s="887">
        <v>1</v>
      </c>
      <c r="F635" s="888">
        <f>ListaMaterial[[#This Row],[REPETIÇÃO]]*ListaMaterial[[#This Row],[QUANTIDADE]]</f>
        <v>1</v>
      </c>
      <c r="H635" s="890">
        <f>ListaMaterial[[#This Row],[TOTAL]]*(1+ListaMaterial[[#This Row],[PERDA]])</f>
        <v>1</v>
      </c>
      <c r="I635" s="887" t="s">
        <v>4243</v>
      </c>
      <c r="J635" s="891">
        <f>_xlfn.XLOOKUP(ListaMaterial[[#This Row],[ITEM]],M:M,N:N,,0)</f>
        <v>8.8800000000000008</v>
      </c>
      <c r="K635" s="891">
        <f>J635*ListaMaterial[[#This Row],[TOTAL C/PERDA]]</f>
        <v>8.8800000000000008</v>
      </c>
      <c r="M635" s="901"/>
      <c r="N635" s="902"/>
    </row>
    <row r="636" spans="1:14" x14ac:dyDescent="0.25">
      <c r="A636" s="883" t="s">
        <v>4626</v>
      </c>
      <c r="B636" s="883" t="s">
        <v>4441</v>
      </c>
      <c r="C636" s="883" t="s">
        <v>4845</v>
      </c>
      <c r="D636" s="886">
        <v>9</v>
      </c>
      <c r="E636" s="887">
        <v>1</v>
      </c>
      <c r="F636" s="888">
        <f>ListaMaterial[[#This Row],[REPETIÇÃO]]*ListaMaterial[[#This Row],[QUANTIDADE]]</f>
        <v>9</v>
      </c>
      <c r="H636" s="890">
        <f>ListaMaterial[[#This Row],[TOTAL]]*(1+ListaMaterial[[#This Row],[PERDA]])</f>
        <v>9</v>
      </c>
      <c r="I636" s="887" t="s">
        <v>4243</v>
      </c>
      <c r="J636" s="891">
        <f>_xlfn.XLOOKUP(ListaMaterial[[#This Row],[ITEM]],M:M,N:N,,0)</f>
        <v>8.11</v>
      </c>
      <c r="K636" s="891">
        <f>J636*ListaMaterial[[#This Row],[TOTAL C/PERDA]]</f>
        <v>72.989999999999995</v>
      </c>
      <c r="M636" s="901"/>
      <c r="N636" s="902"/>
    </row>
    <row r="637" spans="1:14" x14ac:dyDescent="0.25">
      <c r="A637" s="883" t="s">
        <v>4626</v>
      </c>
      <c r="B637" s="883" t="s">
        <v>4441</v>
      </c>
      <c r="C637" s="883" t="s">
        <v>4856</v>
      </c>
      <c r="D637" s="886">
        <v>8</v>
      </c>
      <c r="E637" s="887">
        <v>1</v>
      </c>
      <c r="F637" s="888">
        <f>ListaMaterial[[#This Row],[REPETIÇÃO]]*ListaMaterial[[#This Row],[QUANTIDADE]]</f>
        <v>8</v>
      </c>
      <c r="H637" s="890">
        <f>ListaMaterial[[#This Row],[TOTAL]]*(1+ListaMaterial[[#This Row],[PERDA]])</f>
        <v>8</v>
      </c>
      <c r="I637" s="887" t="s">
        <v>4243</v>
      </c>
      <c r="J637" s="891">
        <f>_xlfn.XLOOKUP(ListaMaterial[[#This Row],[ITEM]],M:M,N:N,,0)</f>
        <v>14.13</v>
      </c>
      <c r="K637" s="891">
        <f>J637*ListaMaterial[[#This Row],[TOTAL C/PERDA]]</f>
        <v>113.04</v>
      </c>
      <c r="M637" s="901"/>
      <c r="N637" s="902"/>
    </row>
    <row r="638" spans="1:14" x14ac:dyDescent="0.25">
      <c r="A638" s="883" t="s">
        <v>4626</v>
      </c>
      <c r="B638" s="883" t="s">
        <v>4441</v>
      </c>
      <c r="C638" s="883" t="s">
        <v>4860</v>
      </c>
      <c r="D638" s="886">
        <v>3</v>
      </c>
      <c r="E638" s="887">
        <v>1</v>
      </c>
      <c r="F638" s="888">
        <f>ListaMaterial[[#This Row],[REPETIÇÃO]]*ListaMaterial[[#This Row],[QUANTIDADE]]</f>
        <v>3</v>
      </c>
      <c r="H638" s="890">
        <f>ListaMaterial[[#This Row],[TOTAL]]*(1+ListaMaterial[[#This Row],[PERDA]])</f>
        <v>3</v>
      </c>
      <c r="I638" s="887" t="s">
        <v>4243</v>
      </c>
      <c r="J638" s="891">
        <f>_xlfn.XLOOKUP(ListaMaterial[[#This Row],[ITEM]],M:M,N:N,,0)</f>
        <v>22.9</v>
      </c>
      <c r="K638" s="891">
        <f>J638*ListaMaterial[[#This Row],[TOTAL C/PERDA]]</f>
        <v>68.699999999999989</v>
      </c>
      <c r="M638" s="901"/>
      <c r="N638" s="902"/>
    </row>
    <row r="639" spans="1:14" x14ac:dyDescent="0.25">
      <c r="A639" s="883" t="s">
        <v>4626</v>
      </c>
      <c r="B639" s="883" t="s">
        <v>4441</v>
      </c>
      <c r="C639" s="883" t="s">
        <v>4674</v>
      </c>
      <c r="D639" s="886">
        <v>18</v>
      </c>
      <c r="E639" s="887">
        <v>1</v>
      </c>
      <c r="F639" s="888">
        <f>ListaMaterial[[#This Row],[REPETIÇÃO]]*ListaMaterial[[#This Row],[QUANTIDADE]]</f>
        <v>18</v>
      </c>
      <c r="H639" s="890">
        <f>ListaMaterial[[#This Row],[TOTAL]]*(1+ListaMaterial[[#This Row],[PERDA]])</f>
        <v>18</v>
      </c>
      <c r="I639" s="887" t="s">
        <v>4243</v>
      </c>
      <c r="J639" s="891">
        <f>_xlfn.XLOOKUP(ListaMaterial[[#This Row],[ITEM]],M:M,N:N,,0)</f>
        <v>7.59</v>
      </c>
      <c r="K639" s="891">
        <f>J639*ListaMaterial[[#This Row],[TOTAL C/PERDA]]</f>
        <v>136.62</v>
      </c>
      <c r="M639" s="901"/>
      <c r="N639" s="902"/>
    </row>
    <row r="640" spans="1:14" x14ac:dyDescent="0.25">
      <c r="A640" s="883" t="s">
        <v>4626</v>
      </c>
      <c r="B640" s="883" t="s">
        <v>4441</v>
      </c>
      <c r="C640" s="883" t="s">
        <v>4675</v>
      </c>
      <c r="D640" s="886">
        <v>1</v>
      </c>
      <c r="E640" s="887">
        <v>1</v>
      </c>
      <c r="F640" s="888">
        <f>ListaMaterial[[#This Row],[REPETIÇÃO]]*ListaMaterial[[#This Row],[QUANTIDADE]]</f>
        <v>1</v>
      </c>
      <c r="H640" s="890">
        <f>ListaMaterial[[#This Row],[TOTAL]]*(1+ListaMaterial[[#This Row],[PERDA]])</f>
        <v>1</v>
      </c>
      <c r="I640" s="887" t="s">
        <v>4243</v>
      </c>
      <c r="J640" s="891">
        <f>_xlfn.XLOOKUP(ListaMaterial[[#This Row],[ITEM]],M:M,N:N,,0)</f>
        <v>45.89</v>
      </c>
      <c r="K640" s="891">
        <f>J640*ListaMaterial[[#This Row],[TOTAL C/PERDA]]</f>
        <v>45.89</v>
      </c>
      <c r="M640" s="901"/>
      <c r="N640" s="902"/>
    </row>
    <row r="641" spans="1:14" x14ac:dyDescent="0.25">
      <c r="A641" s="883" t="s">
        <v>4626</v>
      </c>
      <c r="B641" s="883" t="s">
        <v>4441</v>
      </c>
      <c r="C641" s="883" t="s">
        <v>4737</v>
      </c>
      <c r="D641" s="886">
        <v>1</v>
      </c>
      <c r="E641" s="887">
        <v>1</v>
      </c>
      <c r="F641" s="888">
        <f>ListaMaterial[[#This Row],[REPETIÇÃO]]*ListaMaterial[[#This Row],[QUANTIDADE]]</f>
        <v>1</v>
      </c>
      <c r="H641" s="890">
        <f>ListaMaterial[[#This Row],[TOTAL]]*(1+ListaMaterial[[#This Row],[PERDA]])</f>
        <v>1</v>
      </c>
      <c r="I641" s="887" t="s">
        <v>4243</v>
      </c>
      <c r="J641" s="891">
        <f>_xlfn.XLOOKUP(ListaMaterial[[#This Row],[ITEM]],M:M,N:N,,0)</f>
        <v>33.9</v>
      </c>
      <c r="K641" s="891">
        <f>J641*ListaMaterial[[#This Row],[TOTAL C/PERDA]]</f>
        <v>33.9</v>
      </c>
      <c r="M641" s="901"/>
      <c r="N641" s="902"/>
    </row>
    <row r="642" spans="1:14" x14ac:dyDescent="0.25">
      <c r="A642" s="883" t="s">
        <v>4626</v>
      </c>
      <c r="B642" s="883" t="s">
        <v>4441</v>
      </c>
      <c r="C642" s="883" t="s">
        <v>4861</v>
      </c>
      <c r="D642" s="886">
        <v>1</v>
      </c>
      <c r="E642" s="887">
        <v>1</v>
      </c>
      <c r="F642" s="888">
        <f>ListaMaterial[[#This Row],[REPETIÇÃO]]*ListaMaterial[[#This Row],[QUANTIDADE]]</f>
        <v>1</v>
      </c>
      <c r="H642" s="890">
        <f>ListaMaterial[[#This Row],[TOTAL]]*(1+ListaMaterial[[#This Row],[PERDA]])</f>
        <v>1</v>
      </c>
      <c r="I642" s="887" t="s">
        <v>4243</v>
      </c>
      <c r="J642" s="891">
        <f>_xlfn.XLOOKUP(ListaMaterial[[#This Row],[ITEM]],M:M,N:N,,0)</f>
        <v>61.521700000000003</v>
      </c>
      <c r="K642" s="891">
        <f>J642*ListaMaterial[[#This Row],[TOTAL C/PERDA]]</f>
        <v>61.521700000000003</v>
      </c>
      <c r="M642" s="901"/>
      <c r="N642" s="902"/>
    </row>
    <row r="643" spans="1:14" x14ac:dyDescent="0.25">
      <c r="A643" s="883" t="s">
        <v>4626</v>
      </c>
      <c r="B643" s="883" t="s">
        <v>4618</v>
      </c>
      <c r="C643" s="883" t="s">
        <v>4682</v>
      </c>
      <c r="D643" s="886">
        <v>23.37</v>
      </c>
      <c r="E643" s="887">
        <v>1</v>
      </c>
      <c r="F643" s="888">
        <f>ListaMaterial[[#This Row],[REPETIÇÃO]]*ListaMaterial[[#This Row],[QUANTIDADE]]</f>
        <v>23.37</v>
      </c>
      <c r="G643" s="889">
        <v>0.15</v>
      </c>
      <c r="H643" s="890">
        <f>ListaMaterial[[#This Row],[TOTAL]]*(1+ListaMaterial[[#This Row],[PERDA]])</f>
        <v>26.875499999999999</v>
      </c>
      <c r="I643" s="887" t="s">
        <v>3</v>
      </c>
      <c r="J643" s="891">
        <f>_xlfn.XLOOKUP(ListaMaterial[[#This Row],[ITEM]],M:M,N:N,,0)</f>
        <v>8.99</v>
      </c>
      <c r="K643" s="891">
        <f>J643*ListaMaterial[[#This Row],[TOTAL C/PERDA]]</f>
        <v>241.61074500000001</v>
      </c>
      <c r="M643" s="901"/>
      <c r="N643" s="902"/>
    </row>
    <row r="644" spans="1:14" x14ac:dyDescent="0.25">
      <c r="A644" s="894"/>
      <c r="B644" s="917" t="s">
        <v>48</v>
      </c>
      <c r="C644" s="894"/>
      <c r="D644" s="895"/>
      <c r="E644" s="896"/>
      <c r="F644" s="897">
        <f>ListaMaterial[[#This Row],[REPETIÇÃO]]*ListaMaterial[[#This Row],[QUANTIDADE]]</f>
        <v>0</v>
      </c>
      <c r="G644" s="898"/>
      <c r="H644" s="899">
        <f>ListaMaterial[[#This Row],[TOTAL]]*(1+ListaMaterial[[#This Row],[PERDA]])</f>
        <v>0</v>
      </c>
      <c r="I644" s="896"/>
      <c r="J644" s="900"/>
      <c r="K644" s="900">
        <f>SUM(K632:K643)</f>
        <v>14496.552444999999</v>
      </c>
      <c r="M644" s="901"/>
      <c r="N644" s="902"/>
    </row>
    <row r="645" spans="1:14" x14ac:dyDescent="0.25">
      <c r="A645" s="883" t="s">
        <v>4628</v>
      </c>
      <c r="B645" s="883" t="s">
        <v>4615</v>
      </c>
      <c r="C645" s="883" t="s">
        <v>4760</v>
      </c>
      <c r="D645" s="886">
        <v>4</v>
      </c>
      <c r="E645" s="887">
        <v>1</v>
      </c>
      <c r="F645" s="888">
        <f>ListaMaterial[[#This Row],[REPETIÇÃO]]*ListaMaterial[[#This Row],[QUANTIDADE]]</f>
        <v>4</v>
      </c>
      <c r="H645" s="890">
        <f>ListaMaterial[[#This Row],[TOTAL]]*(1+ListaMaterial[[#This Row],[PERDA]])</f>
        <v>4</v>
      </c>
      <c r="I645" s="887" t="s">
        <v>4243</v>
      </c>
      <c r="J645" s="891">
        <f>_xlfn.XLOOKUP(ListaMaterial[[#This Row],[ITEM]],M:M,N:N,,0)</f>
        <v>965.06</v>
      </c>
      <c r="K645" s="891">
        <f>J645*ListaMaterial[[#This Row],[TOTAL C/PERDA]]</f>
        <v>3860.24</v>
      </c>
      <c r="M645" s="901"/>
      <c r="N645" s="902"/>
    </row>
    <row r="646" spans="1:14" x14ac:dyDescent="0.25">
      <c r="A646" s="883" t="s">
        <v>4628</v>
      </c>
      <c r="B646" s="883" t="s">
        <v>4615</v>
      </c>
      <c r="C646" s="883" t="s">
        <v>4633</v>
      </c>
      <c r="D646" s="886">
        <v>2</v>
      </c>
      <c r="E646" s="887">
        <v>1</v>
      </c>
      <c r="F646" s="888">
        <f>ListaMaterial[[#This Row],[REPETIÇÃO]]*ListaMaterial[[#This Row],[QUANTIDADE]]</f>
        <v>2</v>
      </c>
      <c r="H646" s="890">
        <f>ListaMaterial[[#This Row],[TOTAL]]*(1+ListaMaterial[[#This Row],[PERDA]])</f>
        <v>2</v>
      </c>
      <c r="I646" s="887" t="s">
        <v>4243</v>
      </c>
      <c r="J646" s="891">
        <f>_xlfn.XLOOKUP(ListaMaterial[[#This Row],[ITEM]],M:M,N:N,,0)</f>
        <v>4779.28</v>
      </c>
      <c r="K646" s="891">
        <f>J646*ListaMaterial[[#This Row],[TOTAL C/PERDA]]</f>
        <v>9558.56</v>
      </c>
      <c r="M646" s="901"/>
      <c r="N646" s="902"/>
    </row>
    <row r="647" spans="1:14" x14ac:dyDescent="0.25">
      <c r="A647" s="883" t="s">
        <v>4628</v>
      </c>
      <c r="B647" s="883" t="s">
        <v>4615</v>
      </c>
      <c r="C647" s="883" t="s">
        <v>4761</v>
      </c>
      <c r="D647" s="886">
        <v>2</v>
      </c>
      <c r="E647" s="887">
        <v>1</v>
      </c>
      <c r="F647" s="888">
        <f>ListaMaterial[[#This Row],[REPETIÇÃO]]*ListaMaterial[[#This Row],[QUANTIDADE]]</f>
        <v>2</v>
      </c>
      <c r="H647" s="890">
        <f>ListaMaterial[[#This Row],[TOTAL]]*(1+ListaMaterial[[#This Row],[PERDA]])</f>
        <v>2</v>
      </c>
      <c r="I647" s="887" t="s">
        <v>4243</v>
      </c>
      <c r="J647" s="891">
        <f>_xlfn.XLOOKUP(ListaMaterial[[#This Row],[ITEM]],M:M,N:N,,0)</f>
        <v>2200</v>
      </c>
      <c r="K647" s="891">
        <f>J647*ListaMaterial[[#This Row],[TOTAL C/PERDA]]</f>
        <v>4400</v>
      </c>
      <c r="M647" s="901"/>
      <c r="N647" s="902"/>
    </row>
    <row r="648" spans="1:14" x14ac:dyDescent="0.25">
      <c r="A648" s="883" t="s">
        <v>4628</v>
      </c>
      <c r="B648" s="883" t="s">
        <v>4615</v>
      </c>
      <c r="C648" s="883" t="s">
        <v>4762</v>
      </c>
      <c r="D648" s="886">
        <v>2</v>
      </c>
      <c r="E648" s="887">
        <v>1</v>
      </c>
      <c r="F648" s="888">
        <f>ListaMaterial[[#This Row],[REPETIÇÃO]]*ListaMaterial[[#This Row],[QUANTIDADE]]</f>
        <v>2</v>
      </c>
      <c r="H648" s="890">
        <f>ListaMaterial[[#This Row],[TOTAL]]*(1+ListaMaterial[[#This Row],[PERDA]])</f>
        <v>2</v>
      </c>
      <c r="I648" s="887" t="s">
        <v>4243</v>
      </c>
      <c r="J648" s="891">
        <f>_xlfn.XLOOKUP(ListaMaterial[[#This Row],[ITEM]],M:M,N:N,,0)</f>
        <v>1027</v>
      </c>
      <c r="K648" s="891">
        <f>J648*ListaMaterial[[#This Row],[TOTAL C/PERDA]]</f>
        <v>2054</v>
      </c>
      <c r="M648" s="901"/>
      <c r="N648" s="902"/>
    </row>
    <row r="649" spans="1:14" x14ac:dyDescent="0.25">
      <c r="A649" s="883" t="s">
        <v>4628</v>
      </c>
      <c r="B649" s="883" t="s">
        <v>4615</v>
      </c>
      <c r="C649" s="883" t="s">
        <v>4763</v>
      </c>
      <c r="D649" s="886">
        <v>2</v>
      </c>
      <c r="E649" s="887">
        <v>1</v>
      </c>
      <c r="F649" s="888">
        <f>ListaMaterial[[#This Row],[REPETIÇÃO]]*ListaMaterial[[#This Row],[QUANTIDADE]]</f>
        <v>2</v>
      </c>
      <c r="H649" s="890">
        <f>ListaMaterial[[#This Row],[TOTAL]]*(1+ListaMaterial[[#This Row],[PERDA]])</f>
        <v>2</v>
      </c>
      <c r="I649" s="887" t="s">
        <v>4243</v>
      </c>
      <c r="J649" s="891">
        <f>_xlfn.XLOOKUP(ListaMaterial[[#This Row],[ITEM]],M:M,N:N,,0)</f>
        <v>4738</v>
      </c>
      <c r="K649" s="891">
        <f>J649*ListaMaterial[[#This Row],[TOTAL C/PERDA]]</f>
        <v>9476</v>
      </c>
      <c r="M649" s="901"/>
      <c r="N649" s="902"/>
    </row>
    <row r="650" spans="1:14" x14ac:dyDescent="0.25">
      <c r="A650" s="883" t="s">
        <v>4628</v>
      </c>
      <c r="B650" s="883" t="s">
        <v>4615</v>
      </c>
      <c r="C650" s="883" t="s">
        <v>4764</v>
      </c>
      <c r="D650" s="886">
        <v>1</v>
      </c>
      <c r="E650" s="887">
        <v>1</v>
      </c>
      <c r="F650" s="888">
        <f>ListaMaterial[[#This Row],[REPETIÇÃO]]*ListaMaterial[[#This Row],[QUANTIDADE]]</f>
        <v>1</v>
      </c>
      <c r="H650" s="890">
        <f>ListaMaterial[[#This Row],[TOTAL]]*(1+ListaMaterial[[#This Row],[PERDA]])</f>
        <v>1</v>
      </c>
      <c r="I650" s="887" t="s">
        <v>4243</v>
      </c>
      <c r="J650" s="891">
        <f>_xlfn.XLOOKUP(ListaMaterial[[#This Row],[ITEM]],M:M,N:N,,0)</f>
        <v>462.86</v>
      </c>
      <c r="K650" s="891">
        <f>J650*ListaMaterial[[#This Row],[TOTAL C/PERDA]]</f>
        <v>462.86</v>
      </c>
      <c r="M650" s="901"/>
      <c r="N650" s="902"/>
    </row>
    <row r="651" spans="1:14" x14ac:dyDescent="0.25">
      <c r="A651" s="883" t="s">
        <v>4628</v>
      </c>
      <c r="B651" s="883" t="s">
        <v>4242</v>
      </c>
      <c r="C651" s="883" t="s">
        <v>4765</v>
      </c>
      <c r="D651" s="886">
        <v>3</v>
      </c>
      <c r="E651" s="887">
        <v>1</v>
      </c>
      <c r="F651" s="888">
        <f>ListaMaterial[[#This Row],[REPETIÇÃO]]*ListaMaterial[[#This Row],[QUANTIDADE]]</f>
        <v>3</v>
      </c>
      <c r="H651" s="890">
        <f>ListaMaterial[[#This Row],[TOTAL]]*(1+ListaMaterial[[#This Row],[PERDA]])</f>
        <v>3</v>
      </c>
      <c r="I651" s="887" t="s">
        <v>4243</v>
      </c>
      <c r="J651" s="891">
        <f>_xlfn.XLOOKUP(ListaMaterial[[#This Row],[ITEM]],M:M,N:N,,0)</f>
        <v>32.090000000000003</v>
      </c>
      <c r="K651" s="891">
        <f>J651*ListaMaterial[[#This Row],[TOTAL C/PERDA]]</f>
        <v>96.27000000000001</v>
      </c>
      <c r="M651" s="901"/>
      <c r="N651" s="902"/>
    </row>
    <row r="652" spans="1:14" x14ac:dyDescent="0.25">
      <c r="A652" s="883" t="s">
        <v>4628</v>
      </c>
      <c r="B652" s="883" t="s">
        <v>4242</v>
      </c>
      <c r="C652" s="883" t="s">
        <v>4766</v>
      </c>
      <c r="D652" s="886">
        <v>2</v>
      </c>
      <c r="E652" s="887">
        <v>1</v>
      </c>
      <c r="F652" s="888">
        <f>ListaMaterial[[#This Row],[REPETIÇÃO]]*ListaMaterial[[#This Row],[QUANTIDADE]]</f>
        <v>2</v>
      </c>
      <c r="H652" s="890">
        <f>ListaMaterial[[#This Row],[TOTAL]]*(1+ListaMaterial[[#This Row],[PERDA]])</f>
        <v>2</v>
      </c>
      <c r="I652" s="887" t="s">
        <v>4243</v>
      </c>
      <c r="J652" s="891">
        <f>_xlfn.XLOOKUP(ListaMaterial[[#This Row],[ITEM]],M:M,N:N,,0)</f>
        <v>92.916700000000006</v>
      </c>
      <c r="K652" s="891">
        <f>J652*ListaMaterial[[#This Row],[TOTAL C/PERDA]]</f>
        <v>185.83340000000001</v>
      </c>
      <c r="M652" s="901"/>
      <c r="N652" s="902"/>
    </row>
    <row r="653" spans="1:14" x14ac:dyDescent="0.25">
      <c r="A653" s="883" t="s">
        <v>4628</v>
      </c>
      <c r="B653" s="883" t="s">
        <v>4242</v>
      </c>
      <c r="C653" s="883" t="s">
        <v>4767</v>
      </c>
      <c r="D653" s="886">
        <v>3</v>
      </c>
      <c r="E653" s="887">
        <v>1</v>
      </c>
      <c r="F653" s="888">
        <f>ListaMaterial[[#This Row],[REPETIÇÃO]]*ListaMaterial[[#This Row],[QUANTIDADE]]</f>
        <v>3</v>
      </c>
      <c r="H653" s="890">
        <f>ListaMaterial[[#This Row],[TOTAL]]*(1+ListaMaterial[[#This Row],[PERDA]])</f>
        <v>3</v>
      </c>
      <c r="I653" s="887" t="s">
        <v>4243</v>
      </c>
      <c r="J653" s="891">
        <f>_xlfn.XLOOKUP(ListaMaterial[[#This Row],[ITEM]],M:M,N:N,,0)</f>
        <v>129.9</v>
      </c>
      <c r="K653" s="891">
        <f>J653*ListaMaterial[[#This Row],[TOTAL C/PERDA]]</f>
        <v>389.70000000000005</v>
      </c>
      <c r="M653" s="901"/>
      <c r="N653" s="902"/>
    </row>
    <row r="654" spans="1:14" x14ac:dyDescent="0.25">
      <c r="A654" s="883" t="s">
        <v>4628</v>
      </c>
      <c r="B654" s="883" t="s">
        <v>4242</v>
      </c>
      <c r="C654" s="883" t="s">
        <v>4638</v>
      </c>
      <c r="D654" s="886">
        <v>1</v>
      </c>
      <c r="E654" s="887">
        <v>1</v>
      </c>
      <c r="F654" s="888">
        <f>ListaMaterial[[#This Row],[REPETIÇÃO]]*ListaMaterial[[#This Row],[QUANTIDADE]]</f>
        <v>1</v>
      </c>
      <c r="H654" s="890">
        <f>ListaMaterial[[#This Row],[TOTAL]]*(1+ListaMaterial[[#This Row],[PERDA]])</f>
        <v>1</v>
      </c>
      <c r="I654" s="887" t="s">
        <v>4243</v>
      </c>
      <c r="J654" s="891">
        <f>_xlfn.XLOOKUP(ListaMaterial[[#This Row],[ITEM]],M:M,N:N,,0)</f>
        <v>58.96</v>
      </c>
      <c r="K654" s="891">
        <f>J654*ListaMaterial[[#This Row],[TOTAL C/PERDA]]</f>
        <v>58.96</v>
      </c>
      <c r="M654" s="901"/>
      <c r="N654" s="902"/>
    </row>
    <row r="655" spans="1:14" x14ac:dyDescent="0.25">
      <c r="A655" s="883" t="s">
        <v>4628</v>
      </c>
      <c r="B655" s="883" t="s">
        <v>4242</v>
      </c>
      <c r="C655" s="883" t="s">
        <v>4639</v>
      </c>
      <c r="D655" s="886">
        <v>5</v>
      </c>
      <c r="E655" s="887">
        <v>1</v>
      </c>
      <c r="F655" s="888">
        <f>ListaMaterial[[#This Row],[REPETIÇÃO]]*ListaMaterial[[#This Row],[QUANTIDADE]]</f>
        <v>5</v>
      </c>
      <c r="H655" s="890">
        <f>ListaMaterial[[#This Row],[TOTAL]]*(1+ListaMaterial[[#This Row],[PERDA]])</f>
        <v>5</v>
      </c>
      <c r="I655" s="887" t="s">
        <v>4243</v>
      </c>
      <c r="J655" s="891">
        <f>_xlfn.XLOOKUP(ListaMaterial[[#This Row],[ITEM]],M:M,N:N,,0)</f>
        <v>269</v>
      </c>
      <c r="K655" s="891">
        <f>J655*ListaMaterial[[#This Row],[TOTAL C/PERDA]]</f>
        <v>1345</v>
      </c>
      <c r="M655" s="901"/>
      <c r="N655" s="902"/>
    </row>
    <row r="656" spans="1:14" x14ac:dyDescent="0.25">
      <c r="A656" s="883" t="s">
        <v>4628</v>
      </c>
      <c r="B656" s="883" t="s">
        <v>4242</v>
      </c>
      <c r="C656" s="883" t="s">
        <v>4640</v>
      </c>
      <c r="D656" s="886">
        <v>1</v>
      </c>
      <c r="E656" s="887">
        <v>1</v>
      </c>
      <c r="F656" s="888">
        <f>ListaMaterial[[#This Row],[REPETIÇÃO]]*ListaMaterial[[#This Row],[QUANTIDADE]]</f>
        <v>1</v>
      </c>
      <c r="H656" s="890">
        <f>ListaMaterial[[#This Row],[TOTAL]]*(1+ListaMaterial[[#This Row],[PERDA]])</f>
        <v>1</v>
      </c>
      <c r="I656" s="887" t="s">
        <v>4243</v>
      </c>
      <c r="J656" s="891">
        <f>_xlfn.XLOOKUP(ListaMaterial[[#This Row],[ITEM]],M:M,N:N,,0)</f>
        <v>31.716699999999999</v>
      </c>
      <c r="K656" s="891">
        <f>J656*ListaMaterial[[#This Row],[TOTAL C/PERDA]]</f>
        <v>31.716699999999999</v>
      </c>
      <c r="M656" s="901"/>
      <c r="N656" s="902"/>
    </row>
    <row r="657" spans="1:14" x14ac:dyDescent="0.25">
      <c r="A657" s="883" t="s">
        <v>4628</v>
      </c>
      <c r="B657" s="883" t="s">
        <v>4242</v>
      </c>
      <c r="C657" s="883" t="s">
        <v>4768</v>
      </c>
      <c r="D657" s="886">
        <v>6</v>
      </c>
      <c r="E657" s="887">
        <v>1</v>
      </c>
      <c r="F657" s="888">
        <f>ListaMaterial[[#This Row],[REPETIÇÃO]]*ListaMaterial[[#This Row],[QUANTIDADE]]</f>
        <v>6</v>
      </c>
      <c r="H657" s="890">
        <f>ListaMaterial[[#This Row],[TOTAL]]*(1+ListaMaterial[[#This Row],[PERDA]])</f>
        <v>6</v>
      </c>
      <c r="I657" s="887" t="s">
        <v>4243</v>
      </c>
      <c r="J657" s="891">
        <f>_xlfn.XLOOKUP(ListaMaterial[[#This Row],[ITEM]],M:M,N:N,,0)</f>
        <v>649.9</v>
      </c>
      <c r="K657" s="891">
        <f>J657*ListaMaterial[[#This Row],[TOTAL C/PERDA]]</f>
        <v>3899.3999999999996</v>
      </c>
      <c r="M657" s="901"/>
      <c r="N657" s="902"/>
    </row>
    <row r="658" spans="1:14" x14ac:dyDescent="0.25">
      <c r="A658" s="883" t="s">
        <v>4628</v>
      </c>
      <c r="B658" s="883" t="s">
        <v>4242</v>
      </c>
      <c r="C658" s="883" t="s">
        <v>4769</v>
      </c>
      <c r="D658" s="886">
        <v>2</v>
      </c>
      <c r="E658" s="887">
        <v>1</v>
      </c>
      <c r="F658" s="888">
        <f>ListaMaterial[[#This Row],[REPETIÇÃO]]*ListaMaterial[[#This Row],[QUANTIDADE]]</f>
        <v>2</v>
      </c>
      <c r="H658" s="890">
        <f>ListaMaterial[[#This Row],[TOTAL]]*(1+ListaMaterial[[#This Row],[PERDA]])</f>
        <v>2</v>
      </c>
      <c r="I658" s="887" t="s">
        <v>4243</v>
      </c>
      <c r="J658" s="891">
        <f>_xlfn.XLOOKUP(ListaMaterial[[#This Row],[ITEM]],M:M,N:N,,0)</f>
        <v>183</v>
      </c>
      <c r="K658" s="891">
        <f>J658*ListaMaterial[[#This Row],[TOTAL C/PERDA]]</f>
        <v>366</v>
      </c>
      <c r="M658" s="901"/>
      <c r="N658" s="902"/>
    </row>
    <row r="659" spans="1:14" x14ac:dyDescent="0.25">
      <c r="A659" s="883" t="s">
        <v>4628</v>
      </c>
      <c r="B659" s="883" t="s">
        <v>4242</v>
      </c>
      <c r="C659" s="883" t="s">
        <v>4770</v>
      </c>
      <c r="D659" s="886">
        <v>2</v>
      </c>
      <c r="E659" s="887">
        <v>1</v>
      </c>
      <c r="F659" s="888">
        <f>ListaMaterial[[#This Row],[REPETIÇÃO]]*ListaMaterial[[#This Row],[QUANTIDADE]]</f>
        <v>2</v>
      </c>
      <c r="H659" s="890">
        <f>ListaMaterial[[#This Row],[TOTAL]]*(1+ListaMaterial[[#This Row],[PERDA]])</f>
        <v>2</v>
      </c>
      <c r="I659" s="887" t="s">
        <v>4243</v>
      </c>
      <c r="J659" s="891">
        <f>_xlfn.XLOOKUP(ListaMaterial[[#This Row],[ITEM]],M:M,N:N,,0)</f>
        <v>1645</v>
      </c>
      <c r="K659" s="891">
        <f>J659*ListaMaterial[[#This Row],[TOTAL C/PERDA]]</f>
        <v>3290</v>
      </c>
      <c r="M659" s="901"/>
      <c r="N659" s="902"/>
    </row>
    <row r="660" spans="1:14" x14ac:dyDescent="0.25">
      <c r="A660" s="883" t="s">
        <v>4628</v>
      </c>
      <c r="B660" s="883" t="s">
        <v>4242</v>
      </c>
      <c r="C660" s="883" t="s">
        <v>4771</v>
      </c>
      <c r="D660" s="886">
        <v>4</v>
      </c>
      <c r="E660" s="887">
        <v>1</v>
      </c>
      <c r="F660" s="888">
        <f>ListaMaterial[[#This Row],[REPETIÇÃO]]*ListaMaterial[[#This Row],[QUANTIDADE]]</f>
        <v>4</v>
      </c>
      <c r="H660" s="890">
        <f>ListaMaterial[[#This Row],[TOTAL]]*(1+ListaMaterial[[#This Row],[PERDA]])</f>
        <v>4</v>
      </c>
      <c r="I660" s="887" t="s">
        <v>4243</v>
      </c>
      <c r="J660" s="891">
        <f>_xlfn.XLOOKUP(ListaMaterial[[#This Row],[ITEM]],M:M,N:N,,0)</f>
        <v>184.46299999999999</v>
      </c>
      <c r="K660" s="891">
        <f>J660*ListaMaterial[[#This Row],[TOTAL C/PERDA]]</f>
        <v>737.85199999999998</v>
      </c>
      <c r="M660" s="901"/>
      <c r="N660" s="902"/>
    </row>
    <row r="661" spans="1:14" x14ac:dyDescent="0.25">
      <c r="A661" s="883" t="s">
        <v>4628</v>
      </c>
      <c r="B661" s="883" t="s">
        <v>4242</v>
      </c>
      <c r="C661" s="883" t="s">
        <v>4708</v>
      </c>
      <c r="D661" s="886">
        <v>5</v>
      </c>
      <c r="E661" s="887">
        <v>1</v>
      </c>
      <c r="F661" s="888">
        <f>ListaMaterial[[#This Row],[REPETIÇÃO]]*ListaMaterial[[#This Row],[QUANTIDADE]]</f>
        <v>5</v>
      </c>
      <c r="H661" s="890">
        <f>ListaMaterial[[#This Row],[TOTAL]]*(1+ListaMaterial[[#This Row],[PERDA]])</f>
        <v>5</v>
      </c>
      <c r="I661" s="887" t="s">
        <v>4243</v>
      </c>
      <c r="J661" s="891">
        <f>_xlfn.XLOOKUP(ListaMaterial[[#This Row],[ITEM]],M:M,N:N,,0)</f>
        <v>72.7</v>
      </c>
      <c r="K661" s="891">
        <f>J661*ListaMaterial[[#This Row],[TOTAL C/PERDA]]</f>
        <v>363.5</v>
      </c>
      <c r="M661" s="901"/>
      <c r="N661" s="902"/>
    </row>
    <row r="662" spans="1:14" x14ac:dyDescent="0.25">
      <c r="A662" s="883" t="s">
        <v>4628</v>
      </c>
      <c r="B662" s="883" t="s">
        <v>4242</v>
      </c>
      <c r="C662" s="883" t="s">
        <v>4772</v>
      </c>
      <c r="D662" s="886">
        <v>6</v>
      </c>
      <c r="E662" s="887">
        <v>1</v>
      </c>
      <c r="F662" s="888">
        <f>ListaMaterial[[#This Row],[REPETIÇÃO]]*ListaMaterial[[#This Row],[QUANTIDADE]]</f>
        <v>6</v>
      </c>
      <c r="H662" s="890">
        <f>ListaMaterial[[#This Row],[TOTAL]]*(1+ListaMaterial[[#This Row],[PERDA]])</f>
        <v>6</v>
      </c>
      <c r="I662" s="887" t="s">
        <v>4243</v>
      </c>
      <c r="J662" s="891">
        <f>_xlfn.XLOOKUP(ListaMaterial[[#This Row],[ITEM]],M:M,N:N,,0)</f>
        <v>498</v>
      </c>
      <c r="K662" s="891">
        <f>J662*ListaMaterial[[#This Row],[TOTAL C/PERDA]]</f>
        <v>2988</v>
      </c>
      <c r="M662" s="901"/>
      <c r="N662" s="902"/>
    </row>
    <row r="663" spans="1:14" x14ac:dyDescent="0.25">
      <c r="A663" s="883" t="s">
        <v>4628</v>
      </c>
      <c r="B663" s="883" t="s">
        <v>4242</v>
      </c>
      <c r="C663" s="883" t="s">
        <v>4773</v>
      </c>
      <c r="D663" s="886">
        <v>1</v>
      </c>
      <c r="E663" s="887">
        <v>1</v>
      </c>
      <c r="F663" s="888">
        <f>ListaMaterial[[#This Row],[REPETIÇÃO]]*ListaMaterial[[#This Row],[QUANTIDADE]]</f>
        <v>1</v>
      </c>
      <c r="H663" s="890">
        <f>ListaMaterial[[#This Row],[TOTAL]]*(1+ListaMaterial[[#This Row],[PERDA]])</f>
        <v>1</v>
      </c>
      <c r="I663" s="887" t="s">
        <v>4243</v>
      </c>
      <c r="J663" s="891">
        <f>_xlfn.XLOOKUP(ListaMaterial[[#This Row],[ITEM]],M:M,N:N,,0)</f>
        <v>748</v>
      </c>
      <c r="K663" s="891">
        <f>J663*ListaMaterial[[#This Row],[TOTAL C/PERDA]]</f>
        <v>748</v>
      </c>
      <c r="M663" s="901"/>
      <c r="N663" s="902"/>
    </row>
    <row r="664" spans="1:14" x14ac:dyDescent="0.25">
      <c r="A664" s="883" t="s">
        <v>4628</v>
      </c>
      <c r="B664" s="883" t="s">
        <v>4242</v>
      </c>
      <c r="C664" s="883" t="s">
        <v>4774</v>
      </c>
      <c r="D664" s="886">
        <v>1</v>
      </c>
      <c r="E664" s="887">
        <v>1</v>
      </c>
      <c r="F664" s="888">
        <f>ListaMaterial[[#This Row],[REPETIÇÃO]]*ListaMaterial[[#This Row],[QUANTIDADE]]</f>
        <v>1</v>
      </c>
      <c r="H664" s="890">
        <f>ListaMaterial[[#This Row],[TOTAL]]*(1+ListaMaterial[[#This Row],[PERDA]])</f>
        <v>1</v>
      </c>
      <c r="I664" s="887" t="s">
        <v>4243</v>
      </c>
      <c r="J664" s="891">
        <f>_xlfn.XLOOKUP(ListaMaterial[[#This Row],[ITEM]],M:M,N:N,,0)</f>
        <v>2574</v>
      </c>
      <c r="K664" s="891">
        <f>J664*ListaMaterial[[#This Row],[TOTAL C/PERDA]]</f>
        <v>2574</v>
      </c>
      <c r="M664" s="901"/>
      <c r="N664" s="902"/>
    </row>
    <row r="665" spans="1:14" x14ac:dyDescent="0.25">
      <c r="A665" s="883" t="s">
        <v>4628</v>
      </c>
      <c r="B665" s="883" t="s">
        <v>4242</v>
      </c>
      <c r="C665" s="883" t="s">
        <v>4775</v>
      </c>
      <c r="D665" s="886">
        <v>1</v>
      </c>
      <c r="E665" s="887">
        <v>1</v>
      </c>
      <c r="F665" s="888">
        <f>ListaMaterial[[#This Row],[REPETIÇÃO]]*ListaMaterial[[#This Row],[QUANTIDADE]]</f>
        <v>1</v>
      </c>
      <c r="H665" s="890">
        <f>ListaMaterial[[#This Row],[TOTAL]]*(1+ListaMaterial[[#This Row],[PERDA]])</f>
        <v>1</v>
      </c>
      <c r="I665" s="887" t="s">
        <v>4243</v>
      </c>
      <c r="J665" s="891">
        <f>_xlfn.XLOOKUP(ListaMaterial[[#This Row],[ITEM]],M:M,N:N,,0)</f>
        <v>55</v>
      </c>
      <c r="K665" s="891">
        <f>J665*ListaMaterial[[#This Row],[TOTAL C/PERDA]]</f>
        <v>55</v>
      </c>
      <c r="M665" s="901"/>
      <c r="N665" s="902"/>
    </row>
    <row r="666" spans="1:14" x14ac:dyDescent="0.25">
      <c r="A666" s="883" t="s">
        <v>4628</v>
      </c>
      <c r="B666" s="883" t="s">
        <v>4250</v>
      </c>
      <c r="C666" s="883" t="s">
        <v>4776</v>
      </c>
      <c r="D666" s="886">
        <v>2</v>
      </c>
      <c r="E666" s="887">
        <v>1</v>
      </c>
      <c r="F666" s="888">
        <f>ListaMaterial[[#This Row],[REPETIÇÃO]]*ListaMaterial[[#This Row],[QUANTIDADE]]</f>
        <v>2</v>
      </c>
      <c r="H666" s="890">
        <f>ListaMaterial[[#This Row],[TOTAL]]*(1+ListaMaterial[[#This Row],[PERDA]])</f>
        <v>2</v>
      </c>
      <c r="I666" s="887" t="s">
        <v>4243</v>
      </c>
      <c r="J666" s="891">
        <f>_xlfn.XLOOKUP(ListaMaterial[[#This Row],[ITEM]],M:M,N:N,,0)</f>
        <v>30</v>
      </c>
      <c r="K666" s="891">
        <f>J666*ListaMaterial[[#This Row],[TOTAL C/PERDA]]</f>
        <v>60</v>
      </c>
      <c r="M666" s="901"/>
      <c r="N666" s="902"/>
    </row>
    <row r="667" spans="1:14" x14ac:dyDescent="0.25">
      <c r="A667" s="883" t="s">
        <v>4628</v>
      </c>
      <c r="B667" s="883" t="s">
        <v>4250</v>
      </c>
      <c r="C667" s="883" t="s">
        <v>4777</v>
      </c>
      <c r="D667" s="886">
        <v>6</v>
      </c>
      <c r="E667" s="887">
        <v>1</v>
      </c>
      <c r="F667" s="888">
        <f>ListaMaterial[[#This Row],[REPETIÇÃO]]*ListaMaterial[[#This Row],[QUANTIDADE]]</f>
        <v>6</v>
      </c>
      <c r="H667" s="890">
        <f>ListaMaterial[[#This Row],[TOTAL]]*(1+ListaMaterial[[#This Row],[PERDA]])</f>
        <v>6</v>
      </c>
      <c r="I667" s="887" t="s">
        <v>4243</v>
      </c>
      <c r="J667" s="891">
        <f>_xlfn.XLOOKUP(ListaMaterial[[#This Row],[ITEM]],M:M,N:N,,0)</f>
        <v>35</v>
      </c>
      <c r="K667" s="891">
        <f>J667*ListaMaterial[[#This Row],[TOTAL C/PERDA]]</f>
        <v>210</v>
      </c>
      <c r="M667" s="901"/>
      <c r="N667" s="902"/>
    </row>
    <row r="668" spans="1:14" x14ac:dyDescent="0.25">
      <c r="A668" s="883" t="s">
        <v>4628</v>
      </c>
      <c r="B668" s="883" t="s">
        <v>4250</v>
      </c>
      <c r="C668" s="883" t="s">
        <v>4778</v>
      </c>
      <c r="D668" s="886">
        <v>4</v>
      </c>
      <c r="E668" s="887">
        <v>1</v>
      </c>
      <c r="F668" s="888">
        <f>ListaMaterial[[#This Row],[REPETIÇÃO]]*ListaMaterial[[#This Row],[QUANTIDADE]]</f>
        <v>4</v>
      </c>
      <c r="H668" s="890">
        <f>ListaMaterial[[#This Row],[TOTAL]]*(1+ListaMaterial[[#This Row],[PERDA]])</f>
        <v>4</v>
      </c>
      <c r="I668" s="887" t="s">
        <v>4243</v>
      </c>
      <c r="J668" s="891">
        <f>_xlfn.XLOOKUP(ListaMaterial[[#This Row],[ITEM]],M:M,N:N,,0)</f>
        <v>140</v>
      </c>
      <c r="K668" s="891">
        <f>J668*ListaMaterial[[#This Row],[TOTAL C/PERDA]]</f>
        <v>560</v>
      </c>
      <c r="M668" s="901"/>
      <c r="N668" s="902"/>
    </row>
    <row r="669" spans="1:14" x14ac:dyDescent="0.25">
      <c r="A669" s="883" t="s">
        <v>4628</v>
      </c>
      <c r="B669" s="883" t="s">
        <v>4250</v>
      </c>
      <c r="C669" s="883" t="s">
        <v>4779</v>
      </c>
      <c r="D669" s="886">
        <v>2</v>
      </c>
      <c r="E669" s="887">
        <v>1</v>
      </c>
      <c r="F669" s="888">
        <f>ListaMaterial[[#This Row],[REPETIÇÃO]]*ListaMaterial[[#This Row],[QUANTIDADE]]</f>
        <v>2</v>
      </c>
      <c r="H669" s="890">
        <f>ListaMaterial[[#This Row],[TOTAL]]*(1+ListaMaterial[[#This Row],[PERDA]])</f>
        <v>2</v>
      </c>
      <c r="I669" s="887" t="s">
        <v>4243</v>
      </c>
      <c r="J669" s="891">
        <f>_xlfn.XLOOKUP(ListaMaterial[[#This Row],[ITEM]],M:M,N:N,,0)</f>
        <v>72</v>
      </c>
      <c r="K669" s="891">
        <f>J669*ListaMaterial[[#This Row],[TOTAL C/PERDA]]</f>
        <v>144</v>
      </c>
      <c r="M669" s="901"/>
      <c r="N669" s="902"/>
    </row>
    <row r="670" spans="1:14" x14ac:dyDescent="0.25">
      <c r="A670" s="883" t="s">
        <v>4628</v>
      </c>
      <c r="B670" s="883" t="s">
        <v>4250</v>
      </c>
      <c r="C670" s="883" t="s">
        <v>4753</v>
      </c>
      <c r="D670" s="886">
        <v>2</v>
      </c>
      <c r="E670" s="887">
        <v>1</v>
      </c>
      <c r="F670" s="888">
        <f>ListaMaterial[[#This Row],[REPETIÇÃO]]*ListaMaterial[[#This Row],[QUANTIDADE]]</f>
        <v>2</v>
      </c>
      <c r="H670" s="890">
        <f>ListaMaterial[[#This Row],[TOTAL]]*(1+ListaMaterial[[#This Row],[PERDA]])</f>
        <v>2</v>
      </c>
      <c r="I670" s="887" t="s">
        <v>4243</v>
      </c>
      <c r="J670" s="891">
        <f>_xlfn.XLOOKUP(ListaMaterial[[#This Row],[ITEM]],M:M,N:N,,0)</f>
        <v>29.58</v>
      </c>
      <c r="K670" s="891">
        <f>J670*ListaMaterial[[#This Row],[TOTAL C/PERDA]]</f>
        <v>59.16</v>
      </c>
      <c r="M670" s="901"/>
      <c r="N670" s="902"/>
    </row>
    <row r="671" spans="1:14" x14ac:dyDescent="0.25">
      <c r="A671" s="883" t="s">
        <v>4628</v>
      </c>
      <c r="B671" s="883" t="s">
        <v>4250</v>
      </c>
      <c r="C671" s="883" t="s">
        <v>4780</v>
      </c>
      <c r="D671" s="886">
        <v>6</v>
      </c>
      <c r="E671" s="887">
        <v>1</v>
      </c>
      <c r="F671" s="888">
        <f>ListaMaterial[[#This Row],[REPETIÇÃO]]*ListaMaterial[[#This Row],[QUANTIDADE]]</f>
        <v>6</v>
      </c>
      <c r="H671" s="890">
        <f>ListaMaterial[[#This Row],[TOTAL]]*(1+ListaMaterial[[#This Row],[PERDA]])</f>
        <v>6</v>
      </c>
      <c r="I671" s="887" t="s">
        <v>4243</v>
      </c>
      <c r="J671" s="891">
        <f>_xlfn.XLOOKUP(ListaMaterial[[#This Row],[ITEM]],M:M,N:N,,0)</f>
        <v>15</v>
      </c>
      <c r="K671" s="891">
        <f>J671*ListaMaterial[[#This Row],[TOTAL C/PERDA]]</f>
        <v>90</v>
      </c>
      <c r="M671" s="901"/>
      <c r="N671" s="902"/>
    </row>
    <row r="672" spans="1:14" x14ac:dyDescent="0.25">
      <c r="A672" s="883" t="s">
        <v>4628</v>
      </c>
      <c r="B672" s="883" t="s">
        <v>4250</v>
      </c>
      <c r="C672" s="883" t="s">
        <v>4781</v>
      </c>
      <c r="D672" s="886">
        <v>4</v>
      </c>
      <c r="E672" s="887">
        <v>1</v>
      </c>
      <c r="F672" s="888">
        <f>ListaMaterial[[#This Row],[REPETIÇÃO]]*ListaMaterial[[#This Row],[QUANTIDADE]]</f>
        <v>4</v>
      </c>
      <c r="H672" s="890">
        <f>ListaMaterial[[#This Row],[TOTAL]]*(1+ListaMaterial[[#This Row],[PERDA]])</f>
        <v>4</v>
      </c>
      <c r="I672" s="887" t="s">
        <v>4243</v>
      </c>
      <c r="J672" s="891">
        <f>_xlfn.XLOOKUP(ListaMaterial[[#This Row],[ITEM]],M:M,N:N,,0)</f>
        <v>52.67</v>
      </c>
      <c r="K672" s="891">
        <f>J672*ListaMaterial[[#This Row],[TOTAL C/PERDA]]</f>
        <v>210.68</v>
      </c>
      <c r="M672" s="901"/>
      <c r="N672" s="902"/>
    </row>
    <row r="673" spans="1:14" x14ac:dyDescent="0.25">
      <c r="A673" s="883" t="s">
        <v>4628</v>
      </c>
      <c r="B673" s="883" t="s">
        <v>4250</v>
      </c>
      <c r="C673" s="883" t="s">
        <v>4643</v>
      </c>
      <c r="D673" s="886">
        <v>4</v>
      </c>
      <c r="E673" s="887">
        <v>1</v>
      </c>
      <c r="F673" s="888">
        <f>ListaMaterial[[#This Row],[REPETIÇÃO]]*ListaMaterial[[#This Row],[QUANTIDADE]]</f>
        <v>4</v>
      </c>
      <c r="H673" s="890">
        <f>ListaMaterial[[#This Row],[TOTAL]]*(1+ListaMaterial[[#This Row],[PERDA]])</f>
        <v>4</v>
      </c>
      <c r="I673" s="887" t="s">
        <v>4243</v>
      </c>
      <c r="J673" s="891">
        <f>_xlfn.XLOOKUP(ListaMaterial[[#This Row],[ITEM]],M:M,N:N,,0)</f>
        <v>59.74</v>
      </c>
      <c r="K673" s="891">
        <f>J673*ListaMaterial[[#This Row],[TOTAL C/PERDA]]</f>
        <v>238.96</v>
      </c>
      <c r="M673" s="901"/>
      <c r="N673" s="902"/>
    </row>
    <row r="674" spans="1:14" x14ac:dyDescent="0.25">
      <c r="A674" s="883" t="s">
        <v>4628</v>
      </c>
      <c r="B674" s="883" t="s">
        <v>4250</v>
      </c>
      <c r="C674" s="883" t="s">
        <v>4782</v>
      </c>
      <c r="D674" s="886">
        <v>14</v>
      </c>
      <c r="E674" s="887">
        <v>1</v>
      </c>
      <c r="F674" s="888">
        <f>ListaMaterial[[#This Row],[REPETIÇÃO]]*ListaMaterial[[#This Row],[QUANTIDADE]]</f>
        <v>14</v>
      </c>
      <c r="H674" s="890">
        <f>ListaMaterial[[#This Row],[TOTAL]]*(1+ListaMaterial[[#This Row],[PERDA]])</f>
        <v>14</v>
      </c>
      <c r="I674" s="887" t="s">
        <v>4243</v>
      </c>
      <c r="J674" s="891">
        <f>_xlfn.XLOOKUP(ListaMaterial[[#This Row],[ITEM]],M:M,N:N,,0)</f>
        <v>44.5</v>
      </c>
      <c r="K674" s="891">
        <f>J674*ListaMaterial[[#This Row],[TOTAL C/PERDA]]</f>
        <v>623</v>
      </c>
      <c r="M674" s="901"/>
      <c r="N674" s="902"/>
    </row>
    <row r="675" spans="1:14" x14ac:dyDescent="0.25">
      <c r="A675" s="883" t="s">
        <v>4628</v>
      </c>
      <c r="B675" s="883" t="s">
        <v>4250</v>
      </c>
      <c r="C675" s="883" t="s">
        <v>4783</v>
      </c>
      <c r="D675" s="886">
        <v>4</v>
      </c>
      <c r="E675" s="887">
        <v>1</v>
      </c>
      <c r="F675" s="888">
        <f>ListaMaterial[[#This Row],[REPETIÇÃO]]*ListaMaterial[[#This Row],[QUANTIDADE]]</f>
        <v>4</v>
      </c>
      <c r="H675" s="890">
        <f>ListaMaterial[[#This Row],[TOTAL]]*(1+ListaMaterial[[#This Row],[PERDA]])</f>
        <v>4</v>
      </c>
      <c r="I675" s="887" t="s">
        <v>4243</v>
      </c>
      <c r="J675" s="891">
        <f>_xlfn.XLOOKUP(ListaMaterial[[#This Row],[ITEM]],M:M,N:N,,0)</f>
        <v>150</v>
      </c>
      <c r="K675" s="891">
        <f>J675*ListaMaterial[[#This Row],[TOTAL C/PERDA]]</f>
        <v>600</v>
      </c>
      <c r="M675" s="901"/>
      <c r="N675" s="902"/>
    </row>
    <row r="676" spans="1:14" x14ac:dyDescent="0.25">
      <c r="A676" s="883" t="s">
        <v>4628</v>
      </c>
      <c r="B676" s="883" t="s">
        <v>4250</v>
      </c>
      <c r="C676" s="883" t="s">
        <v>4784</v>
      </c>
      <c r="D676" s="886">
        <v>2</v>
      </c>
      <c r="E676" s="887">
        <v>1</v>
      </c>
      <c r="F676" s="888">
        <f>ListaMaterial[[#This Row],[REPETIÇÃO]]*ListaMaterial[[#This Row],[QUANTIDADE]]</f>
        <v>2</v>
      </c>
      <c r="H676" s="890">
        <f>ListaMaterial[[#This Row],[TOTAL]]*(1+ListaMaterial[[#This Row],[PERDA]])</f>
        <v>2</v>
      </c>
      <c r="I676" s="887" t="s">
        <v>4243</v>
      </c>
      <c r="J676" s="891">
        <f>_xlfn.XLOOKUP(ListaMaterial[[#This Row],[ITEM]],M:M,N:N,,0)</f>
        <v>115</v>
      </c>
      <c r="K676" s="891">
        <f>J676*ListaMaterial[[#This Row],[TOTAL C/PERDA]]</f>
        <v>230</v>
      </c>
      <c r="M676" s="901"/>
      <c r="N676" s="902"/>
    </row>
    <row r="677" spans="1:14" x14ac:dyDescent="0.25">
      <c r="A677" s="883" t="s">
        <v>4628</v>
      </c>
      <c r="B677" s="883" t="s">
        <v>4250</v>
      </c>
      <c r="C677" s="883" t="s">
        <v>4785</v>
      </c>
      <c r="D677" s="886">
        <v>1</v>
      </c>
      <c r="E677" s="887">
        <v>1</v>
      </c>
      <c r="F677" s="888">
        <f>ListaMaterial[[#This Row],[REPETIÇÃO]]*ListaMaterial[[#This Row],[QUANTIDADE]]</f>
        <v>1</v>
      </c>
      <c r="H677" s="890">
        <f>ListaMaterial[[#This Row],[TOTAL]]*(1+ListaMaterial[[#This Row],[PERDA]])</f>
        <v>1</v>
      </c>
      <c r="I677" s="887" t="s">
        <v>4243</v>
      </c>
      <c r="J677" s="891">
        <f>_xlfn.XLOOKUP(ListaMaterial[[#This Row],[ITEM]],M:M,N:N,,0)</f>
        <v>100</v>
      </c>
      <c r="K677" s="891">
        <f>J677*ListaMaterial[[#This Row],[TOTAL C/PERDA]]</f>
        <v>100</v>
      </c>
      <c r="M677" s="901"/>
      <c r="N677" s="902"/>
    </row>
    <row r="678" spans="1:14" x14ac:dyDescent="0.25">
      <c r="A678" s="883" t="s">
        <v>4628</v>
      </c>
      <c r="B678" s="883" t="s">
        <v>4250</v>
      </c>
      <c r="C678" s="883" t="s">
        <v>4754</v>
      </c>
      <c r="D678" s="886">
        <v>2</v>
      </c>
      <c r="E678" s="887">
        <v>1</v>
      </c>
      <c r="F678" s="888">
        <f>ListaMaterial[[#This Row],[REPETIÇÃO]]*ListaMaterial[[#This Row],[QUANTIDADE]]</f>
        <v>2</v>
      </c>
      <c r="H678" s="890">
        <f>ListaMaterial[[#This Row],[TOTAL]]*(1+ListaMaterial[[#This Row],[PERDA]])</f>
        <v>2</v>
      </c>
      <c r="I678" s="887" t="s">
        <v>4243</v>
      </c>
      <c r="J678" s="891">
        <f>_xlfn.XLOOKUP(ListaMaterial[[#This Row],[ITEM]],M:M,N:N,,0)</f>
        <v>6.8</v>
      </c>
      <c r="K678" s="891">
        <f>J678*ListaMaterial[[#This Row],[TOTAL C/PERDA]]</f>
        <v>13.6</v>
      </c>
      <c r="M678" s="901"/>
      <c r="N678" s="902"/>
    </row>
    <row r="679" spans="1:14" x14ac:dyDescent="0.25">
      <c r="A679" s="883" t="s">
        <v>4628</v>
      </c>
      <c r="B679" s="883" t="s">
        <v>4250</v>
      </c>
      <c r="C679" s="883" t="s">
        <v>4786</v>
      </c>
      <c r="D679" s="886">
        <v>6</v>
      </c>
      <c r="E679" s="887">
        <v>1</v>
      </c>
      <c r="F679" s="888">
        <f>ListaMaterial[[#This Row],[REPETIÇÃO]]*ListaMaterial[[#This Row],[QUANTIDADE]]</f>
        <v>6</v>
      </c>
      <c r="H679" s="890">
        <f>ListaMaterial[[#This Row],[TOTAL]]*(1+ListaMaterial[[#This Row],[PERDA]])</f>
        <v>6</v>
      </c>
      <c r="I679" s="887" t="s">
        <v>4243</v>
      </c>
      <c r="J679" s="891">
        <f>_xlfn.XLOOKUP(ListaMaterial[[#This Row],[ITEM]],M:M,N:N,,0)</f>
        <v>10.220000000000001</v>
      </c>
      <c r="K679" s="891">
        <f>J679*ListaMaterial[[#This Row],[TOTAL C/PERDA]]</f>
        <v>61.320000000000007</v>
      </c>
      <c r="M679" s="901"/>
      <c r="N679" s="902"/>
    </row>
    <row r="680" spans="1:14" x14ac:dyDescent="0.25">
      <c r="A680" s="883" t="s">
        <v>4628</v>
      </c>
      <c r="B680" s="883" t="s">
        <v>4250</v>
      </c>
      <c r="C680" s="883" t="s">
        <v>4787</v>
      </c>
      <c r="D680" s="886">
        <v>2</v>
      </c>
      <c r="E680" s="887">
        <v>1</v>
      </c>
      <c r="F680" s="888">
        <f>ListaMaterial[[#This Row],[REPETIÇÃO]]*ListaMaterial[[#This Row],[QUANTIDADE]]</f>
        <v>2</v>
      </c>
      <c r="H680" s="890">
        <f>ListaMaterial[[#This Row],[TOTAL]]*(1+ListaMaterial[[#This Row],[PERDA]])</f>
        <v>2</v>
      </c>
      <c r="I680" s="887" t="s">
        <v>4243</v>
      </c>
      <c r="J680" s="891">
        <f>_xlfn.XLOOKUP(ListaMaterial[[#This Row],[ITEM]],M:M,N:N,,0)</f>
        <v>10.69</v>
      </c>
      <c r="K680" s="891">
        <f>J680*ListaMaterial[[#This Row],[TOTAL C/PERDA]]</f>
        <v>21.38</v>
      </c>
      <c r="M680" s="901"/>
      <c r="N680" s="902"/>
    </row>
    <row r="681" spans="1:14" x14ac:dyDescent="0.25">
      <c r="A681" s="883" t="s">
        <v>4628</v>
      </c>
      <c r="B681" s="883" t="s">
        <v>4250</v>
      </c>
      <c r="C681" s="883" t="s">
        <v>4788</v>
      </c>
      <c r="D681" s="886">
        <v>10</v>
      </c>
      <c r="E681" s="887">
        <v>1</v>
      </c>
      <c r="F681" s="888">
        <f>ListaMaterial[[#This Row],[REPETIÇÃO]]*ListaMaterial[[#This Row],[QUANTIDADE]]</f>
        <v>10</v>
      </c>
      <c r="H681" s="890">
        <f>ListaMaterial[[#This Row],[TOTAL]]*(1+ListaMaterial[[#This Row],[PERDA]])</f>
        <v>10</v>
      </c>
      <c r="I681" s="887" t="s">
        <v>4243</v>
      </c>
      <c r="J681" s="891">
        <f>_xlfn.XLOOKUP(ListaMaterial[[#This Row],[ITEM]],M:M,N:N,,0)</f>
        <v>60.83</v>
      </c>
      <c r="K681" s="891">
        <f>J681*ListaMaterial[[#This Row],[TOTAL C/PERDA]]</f>
        <v>608.29999999999995</v>
      </c>
      <c r="M681" s="901"/>
      <c r="N681" s="902"/>
    </row>
    <row r="682" spans="1:14" x14ac:dyDescent="0.25">
      <c r="A682" s="883" t="s">
        <v>4628</v>
      </c>
      <c r="B682" s="883" t="s">
        <v>4250</v>
      </c>
      <c r="C682" s="883" t="s">
        <v>4789</v>
      </c>
      <c r="D682" s="886">
        <v>4</v>
      </c>
      <c r="E682" s="887">
        <v>1</v>
      </c>
      <c r="F682" s="888">
        <f>ListaMaterial[[#This Row],[REPETIÇÃO]]*ListaMaterial[[#This Row],[QUANTIDADE]]</f>
        <v>4</v>
      </c>
      <c r="H682" s="890">
        <f>ListaMaterial[[#This Row],[TOTAL]]*(1+ListaMaterial[[#This Row],[PERDA]])</f>
        <v>4</v>
      </c>
      <c r="I682" s="887" t="s">
        <v>4243</v>
      </c>
      <c r="J682" s="891">
        <f>_xlfn.XLOOKUP(ListaMaterial[[#This Row],[ITEM]],M:M,N:N,,0)</f>
        <v>160.28</v>
      </c>
      <c r="K682" s="891">
        <f>J682*ListaMaterial[[#This Row],[TOTAL C/PERDA]]</f>
        <v>641.12</v>
      </c>
      <c r="M682" s="901"/>
      <c r="N682" s="902"/>
    </row>
    <row r="683" spans="1:14" x14ac:dyDescent="0.25">
      <c r="A683" s="883" t="s">
        <v>4628</v>
      </c>
      <c r="B683" s="883" t="s">
        <v>4250</v>
      </c>
      <c r="C683" s="883" t="s">
        <v>4790</v>
      </c>
      <c r="D683" s="886">
        <v>3</v>
      </c>
      <c r="E683" s="887">
        <v>1</v>
      </c>
      <c r="F683" s="888">
        <f>ListaMaterial[[#This Row],[REPETIÇÃO]]*ListaMaterial[[#This Row],[QUANTIDADE]]</f>
        <v>3</v>
      </c>
      <c r="H683" s="890">
        <f>ListaMaterial[[#This Row],[TOTAL]]*(1+ListaMaterial[[#This Row],[PERDA]])</f>
        <v>3</v>
      </c>
      <c r="I683" s="887" t="s">
        <v>4243</v>
      </c>
      <c r="J683" s="891">
        <f>_xlfn.XLOOKUP(ListaMaterial[[#This Row],[ITEM]],M:M,N:N,,0)</f>
        <v>59.1</v>
      </c>
      <c r="K683" s="891">
        <f>J683*ListaMaterial[[#This Row],[TOTAL C/PERDA]]</f>
        <v>177.3</v>
      </c>
      <c r="M683" s="901"/>
      <c r="N683" s="902"/>
    </row>
    <row r="684" spans="1:14" x14ac:dyDescent="0.25">
      <c r="A684" s="883" t="s">
        <v>4628</v>
      </c>
      <c r="B684" s="883" t="s">
        <v>4250</v>
      </c>
      <c r="C684" s="883" t="s">
        <v>4791</v>
      </c>
      <c r="D684" s="886">
        <v>1</v>
      </c>
      <c r="E684" s="887">
        <v>1</v>
      </c>
      <c r="F684" s="888">
        <f>ListaMaterial[[#This Row],[REPETIÇÃO]]*ListaMaterial[[#This Row],[QUANTIDADE]]</f>
        <v>1</v>
      </c>
      <c r="H684" s="890">
        <f>ListaMaterial[[#This Row],[TOTAL]]*(1+ListaMaterial[[#This Row],[PERDA]])</f>
        <v>1</v>
      </c>
      <c r="I684" s="887" t="s">
        <v>4243</v>
      </c>
      <c r="J684" s="891">
        <f>_xlfn.XLOOKUP(ListaMaterial[[#This Row],[ITEM]],M:M,N:N,,0)</f>
        <v>126.9</v>
      </c>
      <c r="K684" s="891">
        <f>J684*ListaMaterial[[#This Row],[TOTAL C/PERDA]]</f>
        <v>126.9</v>
      </c>
      <c r="M684" s="901"/>
      <c r="N684" s="902"/>
    </row>
    <row r="685" spans="1:14" x14ac:dyDescent="0.25">
      <c r="A685" s="883" t="s">
        <v>4628</v>
      </c>
      <c r="B685" s="883" t="s">
        <v>4250</v>
      </c>
      <c r="C685" s="883" t="s">
        <v>4755</v>
      </c>
      <c r="D685" s="886">
        <v>3</v>
      </c>
      <c r="E685" s="887">
        <v>1</v>
      </c>
      <c r="F685" s="888">
        <f>ListaMaterial[[#This Row],[REPETIÇÃO]]*ListaMaterial[[#This Row],[QUANTIDADE]]</f>
        <v>3</v>
      </c>
      <c r="H685" s="890">
        <f>ListaMaterial[[#This Row],[TOTAL]]*(1+ListaMaterial[[#This Row],[PERDA]])</f>
        <v>3</v>
      </c>
      <c r="I685" s="887" t="s">
        <v>4243</v>
      </c>
      <c r="J685" s="891">
        <f>_xlfn.XLOOKUP(ListaMaterial[[#This Row],[ITEM]],M:M,N:N,,0)</f>
        <v>17.87</v>
      </c>
      <c r="K685" s="891">
        <f>J685*ListaMaterial[[#This Row],[TOTAL C/PERDA]]</f>
        <v>53.61</v>
      </c>
      <c r="M685" s="901"/>
      <c r="N685" s="902"/>
    </row>
    <row r="686" spans="1:14" x14ac:dyDescent="0.25">
      <c r="A686" s="883" t="s">
        <v>4628</v>
      </c>
      <c r="B686" s="883" t="s">
        <v>4250</v>
      </c>
      <c r="C686" s="883" t="s">
        <v>4792</v>
      </c>
      <c r="D686" s="886">
        <v>6</v>
      </c>
      <c r="E686" s="887">
        <v>1</v>
      </c>
      <c r="F686" s="888">
        <f>ListaMaterial[[#This Row],[REPETIÇÃO]]*ListaMaterial[[#This Row],[QUANTIDADE]]</f>
        <v>6</v>
      </c>
      <c r="H686" s="890">
        <f>ListaMaterial[[#This Row],[TOTAL]]*(1+ListaMaterial[[#This Row],[PERDA]])</f>
        <v>6</v>
      </c>
      <c r="I686" s="887" t="s">
        <v>4243</v>
      </c>
      <c r="J686" s="891">
        <f>_xlfn.XLOOKUP(ListaMaterial[[#This Row],[ITEM]],M:M,N:N,,0)</f>
        <v>36.79</v>
      </c>
      <c r="K686" s="891">
        <f>J686*ListaMaterial[[#This Row],[TOTAL C/PERDA]]</f>
        <v>220.74</v>
      </c>
      <c r="M686" s="901"/>
      <c r="N686" s="902"/>
    </row>
    <row r="687" spans="1:14" x14ac:dyDescent="0.25">
      <c r="A687" s="883" t="s">
        <v>4628</v>
      </c>
      <c r="B687" s="883" t="s">
        <v>4250</v>
      </c>
      <c r="C687" s="883" t="s">
        <v>4644</v>
      </c>
      <c r="D687" s="886">
        <v>11</v>
      </c>
      <c r="E687" s="887">
        <v>1</v>
      </c>
      <c r="F687" s="888">
        <f>ListaMaterial[[#This Row],[REPETIÇÃO]]*ListaMaterial[[#This Row],[QUANTIDADE]]</f>
        <v>11</v>
      </c>
      <c r="H687" s="890">
        <f>ListaMaterial[[#This Row],[TOTAL]]*(1+ListaMaterial[[#This Row],[PERDA]])</f>
        <v>11</v>
      </c>
      <c r="I687" s="887" t="s">
        <v>4243</v>
      </c>
      <c r="J687" s="891">
        <f>_xlfn.XLOOKUP(ListaMaterial[[#This Row],[ITEM]],M:M,N:N,,0)</f>
        <v>199.56</v>
      </c>
      <c r="K687" s="891">
        <f>J687*ListaMaterial[[#This Row],[TOTAL C/PERDA]]</f>
        <v>2195.16</v>
      </c>
      <c r="M687" s="901"/>
      <c r="N687" s="902"/>
    </row>
    <row r="688" spans="1:14" x14ac:dyDescent="0.25">
      <c r="A688" s="883" t="s">
        <v>4628</v>
      </c>
      <c r="B688" s="883" t="s">
        <v>4250</v>
      </c>
      <c r="C688" s="883" t="s">
        <v>4793</v>
      </c>
      <c r="D688" s="886">
        <v>11</v>
      </c>
      <c r="E688" s="887">
        <v>1</v>
      </c>
      <c r="F688" s="888">
        <f>ListaMaterial[[#This Row],[REPETIÇÃO]]*ListaMaterial[[#This Row],[QUANTIDADE]]</f>
        <v>11</v>
      </c>
      <c r="H688" s="890">
        <f>ListaMaterial[[#This Row],[TOTAL]]*(1+ListaMaterial[[#This Row],[PERDA]])</f>
        <v>11</v>
      </c>
      <c r="I688" s="887" t="s">
        <v>4243</v>
      </c>
      <c r="J688" s="891">
        <f>_xlfn.XLOOKUP(ListaMaterial[[#This Row],[ITEM]],M:M,N:N,,0)</f>
        <v>126.62</v>
      </c>
      <c r="K688" s="891">
        <f>J688*ListaMaterial[[#This Row],[TOTAL C/PERDA]]</f>
        <v>1392.8200000000002</v>
      </c>
      <c r="M688" s="901"/>
      <c r="N688" s="902"/>
    </row>
    <row r="689" spans="1:14" x14ac:dyDescent="0.25">
      <c r="A689" s="883" t="s">
        <v>4628</v>
      </c>
      <c r="B689" s="883" t="s">
        <v>4250</v>
      </c>
      <c r="C689" s="883" t="s">
        <v>4794</v>
      </c>
      <c r="D689" s="886">
        <v>2</v>
      </c>
      <c r="E689" s="887">
        <v>1</v>
      </c>
      <c r="F689" s="888">
        <f>ListaMaterial[[#This Row],[REPETIÇÃO]]*ListaMaterial[[#This Row],[QUANTIDADE]]</f>
        <v>2</v>
      </c>
      <c r="H689" s="890">
        <f>ListaMaterial[[#This Row],[TOTAL]]*(1+ListaMaterial[[#This Row],[PERDA]])</f>
        <v>2</v>
      </c>
      <c r="I689" s="887" t="s">
        <v>4243</v>
      </c>
      <c r="J689" s="891">
        <f>_xlfn.XLOOKUP(ListaMaterial[[#This Row],[ITEM]],M:M,N:N,,0)</f>
        <v>239.47</v>
      </c>
      <c r="K689" s="891">
        <f>J689*ListaMaterial[[#This Row],[TOTAL C/PERDA]]</f>
        <v>478.94</v>
      </c>
      <c r="M689" s="901"/>
      <c r="N689" s="902"/>
    </row>
    <row r="690" spans="1:14" x14ac:dyDescent="0.25">
      <c r="A690" s="883" t="s">
        <v>4628</v>
      </c>
      <c r="B690" s="883" t="s">
        <v>4629</v>
      </c>
      <c r="C690" s="883" t="s">
        <v>4795</v>
      </c>
      <c r="D690" s="886">
        <v>1</v>
      </c>
      <c r="E690" s="887">
        <v>1</v>
      </c>
      <c r="F690" s="888">
        <f>ListaMaterial[[#This Row],[REPETIÇÃO]]*ListaMaterial[[#This Row],[QUANTIDADE]]</f>
        <v>1</v>
      </c>
      <c r="H690" s="890">
        <f>ListaMaterial[[#This Row],[TOTAL]]*(1+ListaMaterial[[#This Row],[PERDA]])</f>
        <v>1</v>
      </c>
      <c r="I690" s="887" t="s">
        <v>4243</v>
      </c>
      <c r="J690" s="891">
        <f>_xlfn.XLOOKUP(ListaMaterial[[#This Row],[ITEM]],M:M,N:N,,0)</f>
        <v>20.2</v>
      </c>
      <c r="K690" s="891">
        <f>J690*ListaMaterial[[#This Row],[TOTAL C/PERDA]]</f>
        <v>20.2</v>
      </c>
      <c r="M690" s="901"/>
      <c r="N690" s="902"/>
    </row>
    <row r="691" spans="1:14" x14ac:dyDescent="0.25">
      <c r="A691" s="883" t="s">
        <v>4628</v>
      </c>
      <c r="B691" s="883" t="s">
        <v>4629</v>
      </c>
      <c r="C691" s="883" t="s">
        <v>4796</v>
      </c>
      <c r="D691" s="886">
        <v>1</v>
      </c>
      <c r="E691" s="887">
        <v>1</v>
      </c>
      <c r="F691" s="888">
        <f>ListaMaterial[[#This Row],[REPETIÇÃO]]*ListaMaterial[[#This Row],[QUANTIDADE]]</f>
        <v>1</v>
      </c>
      <c r="H691" s="890">
        <f>ListaMaterial[[#This Row],[TOTAL]]*(1+ListaMaterial[[#This Row],[PERDA]])</f>
        <v>1</v>
      </c>
      <c r="I691" s="887" t="s">
        <v>4243</v>
      </c>
      <c r="J691" s="891">
        <f>_xlfn.XLOOKUP(ListaMaterial[[#This Row],[ITEM]],M:M,N:N,,0)</f>
        <v>51.5</v>
      </c>
      <c r="K691" s="891">
        <f>J691*ListaMaterial[[#This Row],[TOTAL C/PERDA]]</f>
        <v>51.5</v>
      </c>
      <c r="M691" s="901"/>
      <c r="N691" s="902"/>
    </row>
    <row r="692" spans="1:14" x14ac:dyDescent="0.25">
      <c r="A692" s="883" t="s">
        <v>4628</v>
      </c>
      <c r="B692" s="883" t="s">
        <v>4629</v>
      </c>
      <c r="C692" s="883" t="s">
        <v>4797</v>
      </c>
      <c r="D692" s="886">
        <v>2</v>
      </c>
      <c r="E692" s="887">
        <v>1</v>
      </c>
      <c r="F692" s="888">
        <f>ListaMaterial[[#This Row],[REPETIÇÃO]]*ListaMaterial[[#This Row],[QUANTIDADE]]</f>
        <v>2</v>
      </c>
      <c r="H692" s="890">
        <f>ListaMaterial[[#This Row],[TOTAL]]*(1+ListaMaterial[[#This Row],[PERDA]])</f>
        <v>2</v>
      </c>
      <c r="I692" s="887" t="s">
        <v>4243</v>
      </c>
      <c r="J692" s="891">
        <f>_xlfn.XLOOKUP(ListaMaterial[[#This Row],[ITEM]],M:M,N:N,,0)</f>
        <v>32.9</v>
      </c>
      <c r="K692" s="891">
        <f>J692*ListaMaterial[[#This Row],[TOTAL C/PERDA]]</f>
        <v>65.8</v>
      </c>
      <c r="M692" s="901"/>
      <c r="N692" s="902"/>
    </row>
    <row r="693" spans="1:14" x14ac:dyDescent="0.25">
      <c r="A693" s="883" t="s">
        <v>4628</v>
      </c>
      <c r="B693" s="883" t="s">
        <v>4629</v>
      </c>
      <c r="C693" s="883" t="s">
        <v>4798</v>
      </c>
      <c r="D693" s="886">
        <v>2</v>
      </c>
      <c r="E693" s="887">
        <v>1</v>
      </c>
      <c r="F693" s="888">
        <f>ListaMaterial[[#This Row],[REPETIÇÃO]]*ListaMaterial[[#This Row],[QUANTIDADE]]</f>
        <v>2</v>
      </c>
      <c r="H693" s="890">
        <f>ListaMaterial[[#This Row],[TOTAL]]*(1+ListaMaterial[[#This Row],[PERDA]])</f>
        <v>2</v>
      </c>
      <c r="I693" s="887" t="s">
        <v>4243</v>
      </c>
      <c r="J693" s="891">
        <f>_xlfn.XLOOKUP(ListaMaterial[[#This Row],[ITEM]],M:M,N:N,,0)</f>
        <v>72.84</v>
      </c>
      <c r="K693" s="891">
        <f>J693*ListaMaterial[[#This Row],[TOTAL C/PERDA]]</f>
        <v>145.68</v>
      </c>
      <c r="M693" s="901"/>
      <c r="N693" s="902"/>
    </row>
    <row r="694" spans="1:14" x14ac:dyDescent="0.25">
      <c r="A694" s="883" t="s">
        <v>4628</v>
      </c>
      <c r="B694" s="883" t="s">
        <v>4629</v>
      </c>
      <c r="C694" s="883" t="s">
        <v>4799</v>
      </c>
      <c r="D694" s="886">
        <v>3</v>
      </c>
      <c r="E694" s="887">
        <v>1</v>
      </c>
      <c r="F694" s="888">
        <f>ListaMaterial[[#This Row],[REPETIÇÃO]]*ListaMaterial[[#This Row],[QUANTIDADE]]</f>
        <v>3</v>
      </c>
      <c r="H694" s="890">
        <f>ListaMaterial[[#This Row],[TOTAL]]*(1+ListaMaterial[[#This Row],[PERDA]])</f>
        <v>3</v>
      </c>
      <c r="I694" s="887" t="s">
        <v>4243</v>
      </c>
      <c r="J694" s="891">
        <f>_xlfn.XLOOKUP(ListaMaterial[[#This Row],[ITEM]],M:M,N:N,,0)</f>
        <v>154.55000000000001</v>
      </c>
      <c r="K694" s="891">
        <f>J694*ListaMaterial[[#This Row],[TOTAL C/PERDA]]</f>
        <v>463.65000000000003</v>
      </c>
      <c r="M694" s="901"/>
      <c r="N694" s="902"/>
    </row>
    <row r="695" spans="1:14" x14ac:dyDescent="0.25">
      <c r="A695" s="883" t="s">
        <v>4628</v>
      </c>
      <c r="B695" s="883" t="s">
        <v>4629</v>
      </c>
      <c r="C695" s="883" t="s">
        <v>4800</v>
      </c>
      <c r="D695" s="886">
        <v>20</v>
      </c>
      <c r="E695" s="887">
        <v>1</v>
      </c>
      <c r="F695" s="888">
        <f>ListaMaterial[[#This Row],[REPETIÇÃO]]*ListaMaterial[[#This Row],[QUANTIDADE]]</f>
        <v>20</v>
      </c>
      <c r="H695" s="890">
        <f>ListaMaterial[[#This Row],[TOTAL]]*(1+ListaMaterial[[#This Row],[PERDA]])</f>
        <v>20</v>
      </c>
      <c r="I695" s="887" t="s">
        <v>4243</v>
      </c>
      <c r="J695" s="891">
        <f>_xlfn.XLOOKUP(ListaMaterial[[#This Row],[ITEM]],M:M,N:N,,0)</f>
        <v>546.77</v>
      </c>
      <c r="K695" s="891">
        <f>J695*ListaMaterial[[#This Row],[TOTAL C/PERDA]]</f>
        <v>10935.4</v>
      </c>
      <c r="M695" s="901"/>
      <c r="N695" s="902"/>
    </row>
    <row r="696" spans="1:14" x14ac:dyDescent="0.25">
      <c r="A696" s="883" t="s">
        <v>4628</v>
      </c>
      <c r="B696" s="883" t="s">
        <v>4629</v>
      </c>
      <c r="C696" s="883" t="s">
        <v>4801</v>
      </c>
      <c r="D696" s="886">
        <v>2</v>
      </c>
      <c r="E696" s="887">
        <v>1</v>
      </c>
      <c r="F696" s="888">
        <f>ListaMaterial[[#This Row],[REPETIÇÃO]]*ListaMaterial[[#This Row],[QUANTIDADE]]</f>
        <v>2</v>
      </c>
      <c r="H696" s="890">
        <f>ListaMaterial[[#This Row],[TOTAL]]*(1+ListaMaterial[[#This Row],[PERDA]])</f>
        <v>2</v>
      </c>
      <c r="I696" s="887" t="s">
        <v>4243</v>
      </c>
      <c r="J696" s="891">
        <f>_xlfn.XLOOKUP(ListaMaterial[[#This Row],[ITEM]],M:M,N:N,,0)</f>
        <v>163.51</v>
      </c>
      <c r="K696" s="891">
        <f>J696*ListaMaterial[[#This Row],[TOTAL C/PERDA]]</f>
        <v>327.02</v>
      </c>
      <c r="M696" s="901"/>
      <c r="N696" s="902"/>
    </row>
    <row r="697" spans="1:14" x14ac:dyDescent="0.25">
      <c r="A697" s="883" t="s">
        <v>4628</v>
      </c>
      <c r="B697" s="883" t="s">
        <v>4629</v>
      </c>
      <c r="C697" s="883" t="s">
        <v>4802</v>
      </c>
      <c r="D697" s="886">
        <v>3</v>
      </c>
      <c r="E697" s="887">
        <v>1</v>
      </c>
      <c r="F697" s="888">
        <f>ListaMaterial[[#This Row],[REPETIÇÃO]]*ListaMaterial[[#This Row],[QUANTIDADE]]</f>
        <v>3</v>
      </c>
      <c r="H697" s="890">
        <f>ListaMaterial[[#This Row],[TOTAL]]*(1+ListaMaterial[[#This Row],[PERDA]])</f>
        <v>3</v>
      </c>
      <c r="I697" s="887" t="s">
        <v>4243</v>
      </c>
      <c r="J697" s="891">
        <f>_xlfn.XLOOKUP(ListaMaterial[[#This Row],[ITEM]],M:M,N:N,,0)</f>
        <v>2.2519999999999998</v>
      </c>
      <c r="K697" s="891">
        <f>J697*ListaMaterial[[#This Row],[TOTAL C/PERDA]]</f>
        <v>6.7559999999999993</v>
      </c>
      <c r="M697" s="901"/>
      <c r="N697" s="902"/>
    </row>
    <row r="698" spans="1:14" x14ac:dyDescent="0.25">
      <c r="A698" s="883" t="s">
        <v>4628</v>
      </c>
      <c r="B698" s="883" t="s">
        <v>4629</v>
      </c>
      <c r="C698" s="883" t="s">
        <v>4803</v>
      </c>
      <c r="D698" s="886">
        <v>2</v>
      </c>
      <c r="E698" s="887">
        <v>1</v>
      </c>
      <c r="F698" s="888">
        <f>ListaMaterial[[#This Row],[REPETIÇÃO]]*ListaMaterial[[#This Row],[QUANTIDADE]]</f>
        <v>2</v>
      </c>
      <c r="H698" s="890">
        <f>ListaMaterial[[#This Row],[TOTAL]]*(1+ListaMaterial[[#This Row],[PERDA]])</f>
        <v>2</v>
      </c>
      <c r="I698" s="887" t="s">
        <v>4243</v>
      </c>
      <c r="J698" s="891">
        <f>_xlfn.XLOOKUP(ListaMaterial[[#This Row],[ITEM]],M:M,N:N,,0)</f>
        <v>4.5232000000000001</v>
      </c>
      <c r="K698" s="891">
        <f>J698*ListaMaterial[[#This Row],[TOTAL C/PERDA]]</f>
        <v>9.0464000000000002</v>
      </c>
      <c r="M698" s="901"/>
      <c r="N698" s="902"/>
    </row>
    <row r="699" spans="1:14" x14ac:dyDescent="0.25">
      <c r="A699" s="883" t="s">
        <v>4628</v>
      </c>
      <c r="B699" s="883" t="s">
        <v>4629</v>
      </c>
      <c r="C699" s="883" t="s">
        <v>4804</v>
      </c>
      <c r="D699" s="886">
        <v>1</v>
      </c>
      <c r="E699" s="887">
        <v>1</v>
      </c>
      <c r="F699" s="888">
        <f>ListaMaterial[[#This Row],[REPETIÇÃO]]*ListaMaterial[[#This Row],[QUANTIDADE]]</f>
        <v>1</v>
      </c>
      <c r="H699" s="890">
        <f>ListaMaterial[[#This Row],[TOTAL]]*(1+ListaMaterial[[#This Row],[PERDA]])</f>
        <v>1</v>
      </c>
      <c r="I699" s="887" t="s">
        <v>4243</v>
      </c>
      <c r="J699" s="891">
        <f>_xlfn.XLOOKUP(ListaMaterial[[#This Row],[ITEM]],M:M,N:N,,0)</f>
        <v>3.1238000000000001</v>
      </c>
      <c r="K699" s="891">
        <f>J699*ListaMaterial[[#This Row],[TOTAL C/PERDA]]</f>
        <v>3.1238000000000001</v>
      </c>
      <c r="M699" s="901"/>
      <c r="N699" s="902"/>
    </row>
    <row r="700" spans="1:14" x14ac:dyDescent="0.25">
      <c r="A700" s="883" t="s">
        <v>4628</v>
      </c>
      <c r="B700" s="883" t="s">
        <v>4629</v>
      </c>
      <c r="C700" s="883" t="s">
        <v>4805</v>
      </c>
      <c r="D700" s="886">
        <v>2</v>
      </c>
      <c r="E700" s="887">
        <v>1</v>
      </c>
      <c r="F700" s="888">
        <f>ListaMaterial[[#This Row],[REPETIÇÃO]]*ListaMaterial[[#This Row],[QUANTIDADE]]</f>
        <v>2</v>
      </c>
      <c r="H700" s="890">
        <f>ListaMaterial[[#This Row],[TOTAL]]*(1+ListaMaterial[[#This Row],[PERDA]])</f>
        <v>2</v>
      </c>
      <c r="I700" s="887" t="s">
        <v>4243</v>
      </c>
      <c r="J700" s="891">
        <f>_xlfn.XLOOKUP(ListaMaterial[[#This Row],[ITEM]],M:M,N:N,,0)</f>
        <v>18.616</v>
      </c>
      <c r="K700" s="891">
        <f>J700*ListaMaterial[[#This Row],[TOTAL C/PERDA]]</f>
        <v>37.231999999999999</v>
      </c>
      <c r="M700" s="901"/>
      <c r="N700" s="902"/>
    </row>
    <row r="701" spans="1:14" x14ac:dyDescent="0.25">
      <c r="A701" s="883" t="s">
        <v>4628</v>
      </c>
      <c r="B701" s="883" t="s">
        <v>4629</v>
      </c>
      <c r="C701" s="883" t="s">
        <v>4806</v>
      </c>
      <c r="D701" s="886">
        <v>19</v>
      </c>
      <c r="E701" s="887">
        <v>1</v>
      </c>
      <c r="F701" s="888">
        <f>ListaMaterial[[#This Row],[REPETIÇÃO]]*ListaMaterial[[#This Row],[QUANTIDADE]]</f>
        <v>19</v>
      </c>
      <c r="H701" s="890">
        <f>ListaMaterial[[#This Row],[TOTAL]]*(1+ListaMaterial[[#This Row],[PERDA]])</f>
        <v>19</v>
      </c>
      <c r="I701" s="887" t="s">
        <v>4243</v>
      </c>
      <c r="J701" s="891">
        <f>_xlfn.XLOOKUP(ListaMaterial[[#This Row],[ITEM]],M:M,N:N,,0)</f>
        <v>109.13</v>
      </c>
      <c r="K701" s="891">
        <f>J701*ListaMaterial[[#This Row],[TOTAL C/PERDA]]</f>
        <v>2073.4699999999998</v>
      </c>
      <c r="M701" s="901"/>
      <c r="N701" s="902"/>
    </row>
    <row r="702" spans="1:14" x14ac:dyDescent="0.25">
      <c r="A702" s="883" t="s">
        <v>4628</v>
      </c>
      <c r="B702" s="883" t="s">
        <v>4629</v>
      </c>
      <c r="C702" s="883" t="s">
        <v>4807</v>
      </c>
      <c r="D702" s="886">
        <v>1</v>
      </c>
      <c r="E702" s="887">
        <v>1</v>
      </c>
      <c r="F702" s="888">
        <f>ListaMaterial[[#This Row],[REPETIÇÃO]]*ListaMaterial[[#This Row],[QUANTIDADE]]</f>
        <v>1</v>
      </c>
      <c r="H702" s="890">
        <f>ListaMaterial[[#This Row],[TOTAL]]*(1+ListaMaterial[[#This Row],[PERDA]])</f>
        <v>1</v>
      </c>
      <c r="I702" s="887" t="s">
        <v>4243</v>
      </c>
      <c r="J702" s="891">
        <f>_xlfn.XLOOKUP(ListaMaterial[[#This Row],[ITEM]],M:M,N:N,,0)</f>
        <v>18.579999999999998</v>
      </c>
      <c r="K702" s="891">
        <f>J702*ListaMaterial[[#This Row],[TOTAL C/PERDA]]</f>
        <v>18.579999999999998</v>
      </c>
      <c r="M702" s="901"/>
      <c r="N702" s="902"/>
    </row>
    <row r="703" spans="1:14" x14ac:dyDescent="0.25">
      <c r="A703" s="883" t="s">
        <v>4628</v>
      </c>
      <c r="B703" s="883" t="s">
        <v>4629</v>
      </c>
      <c r="C703" s="883" t="s">
        <v>4808</v>
      </c>
      <c r="D703" s="886">
        <v>2</v>
      </c>
      <c r="E703" s="887">
        <v>1</v>
      </c>
      <c r="F703" s="888">
        <f>ListaMaterial[[#This Row],[REPETIÇÃO]]*ListaMaterial[[#This Row],[QUANTIDADE]]</f>
        <v>2</v>
      </c>
      <c r="H703" s="890">
        <f>ListaMaterial[[#This Row],[TOTAL]]*(1+ListaMaterial[[#This Row],[PERDA]])</f>
        <v>2</v>
      </c>
      <c r="I703" s="887" t="s">
        <v>4243</v>
      </c>
      <c r="J703" s="891">
        <f>_xlfn.XLOOKUP(ListaMaterial[[#This Row],[ITEM]],M:M,N:N,,0)</f>
        <v>60.48</v>
      </c>
      <c r="K703" s="891">
        <f>J703*ListaMaterial[[#This Row],[TOTAL C/PERDA]]</f>
        <v>120.96</v>
      </c>
      <c r="M703" s="901"/>
      <c r="N703" s="902"/>
    </row>
    <row r="704" spans="1:14" x14ac:dyDescent="0.25">
      <c r="A704" s="883" t="s">
        <v>4628</v>
      </c>
      <c r="B704" s="883" t="s">
        <v>4629</v>
      </c>
      <c r="C704" s="883" t="s">
        <v>4809</v>
      </c>
      <c r="D704" s="886">
        <v>2</v>
      </c>
      <c r="E704" s="887">
        <v>1</v>
      </c>
      <c r="F704" s="888">
        <f>ListaMaterial[[#This Row],[REPETIÇÃO]]*ListaMaterial[[#This Row],[QUANTIDADE]]</f>
        <v>2</v>
      </c>
      <c r="H704" s="890">
        <f>ListaMaterial[[#This Row],[TOTAL]]*(1+ListaMaterial[[#This Row],[PERDA]])</f>
        <v>2</v>
      </c>
      <c r="I704" s="887" t="s">
        <v>4243</v>
      </c>
      <c r="J704" s="891">
        <f>_xlfn.XLOOKUP(ListaMaterial[[#This Row],[ITEM]],M:M,N:N,,0)</f>
        <v>123.9</v>
      </c>
      <c r="K704" s="891">
        <f>J704*ListaMaterial[[#This Row],[TOTAL C/PERDA]]</f>
        <v>247.8</v>
      </c>
      <c r="M704" s="901"/>
      <c r="N704" s="902"/>
    </row>
    <row r="705" spans="1:14" x14ac:dyDescent="0.25">
      <c r="A705" s="883" t="s">
        <v>4628</v>
      </c>
      <c r="B705" s="883" t="s">
        <v>4616</v>
      </c>
      <c r="C705" s="883" t="s">
        <v>4745</v>
      </c>
      <c r="D705" s="886">
        <v>2</v>
      </c>
      <c r="E705" s="887">
        <v>1</v>
      </c>
      <c r="F705" s="888">
        <f>ListaMaterial[[#This Row],[REPETIÇÃO]]*ListaMaterial[[#This Row],[QUANTIDADE]]</f>
        <v>2</v>
      </c>
      <c r="H705" s="890">
        <f>ListaMaterial[[#This Row],[TOTAL]]*(1+ListaMaterial[[#This Row],[PERDA]])</f>
        <v>2</v>
      </c>
      <c r="I705" s="887" t="s">
        <v>4243</v>
      </c>
      <c r="J705" s="891">
        <f>_xlfn.XLOOKUP(ListaMaterial[[#This Row],[ITEM]],M:M,N:N,,0)</f>
        <v>7.11</v>
      </c>
      <c r="K705" s="891">
        <f>J705*ListaMaterial[[#This Row],[TOTAL C/PERDA]]</f>
        <v>14.22</v>
      </c>
      <c r="M705" s="901"/>
      <c r="N705" s="902"/>
    </row>
    <row r="706" spans="1:14" x14ac:dyDescent="0.25">
      <c r="A706" s="883" t="s">
        <v>4628</v>
      </c>
      <c r="B706" s="883" t="s">
        <v>4429</v>
      </c>
      <c r="C706" s="883" t="s">
        <v>4647</v>
      </c>
      <c r="D706" s="886">
        <v>2</v>
      </c>
      <c r="E706" s="887">
        <v>1</v>
      </c>
      <c r="F706" s="888">
        <f>ListaMaterial[[#This Row],[REPETIÇÃO]]*ListaMaterial[[#This Row],[QUANTIDADE]]</f>
        <v>2</v>
      </c>
      <c r="H706" s="890">
        <f>ListaMaterial[[#This Row],[TOTAL]]*(1+ListaMaterial[[#This Row],[PERDA]])</f>
        <v>2</v>
      </c>
      <c r="I706" s="887" t="s">
        <v>4243</v>
      </c>
      <c r="J706" s="891">
        <f>_xlfn.XLOOKUP(ListaMaterial[[#This Row],[ITEM]],M:M,N:N,,0)</f>
        <v>0.59370000000000001</v>
      </c>
      <c r="K706" s="891">
        <f>J706*ListaMaterial[[#This Row],[TOTAL C/PERDA]]</f>
        <v>1.1874</v>
      </c>
      <c r="M706" s="901"/>
      <c r="N706" s="902"/>
    </row>
    <row r="707" spans="1:14" x14ac:dyDescent="0.25">
      <c r="A707" s="883" t="s">
        <v>4628</v>
      </c>
      <c r="B707" s="883" t="s">
        <v>4429</v>
      </c>
      <c r="C707" s="883" t="s">
        <v>4648</v>
      </c>
      <c r="D707" s="886">
        <v>5</v>
      </c>
      <c r="E707" s="887">
        <v>1</v>
      </c>
      <c r="F707" s="888">
        <f>ListaMaterial[[#This Row],[REPETIÇÃO]]*ListaMaterial[[#This Row],[QUANTIDADE]]</f>
        <v>5</v>
      </c>
      <c r="H707" s="890">
        <f>ListaMaterial[[#This Row],[TOTAL]]*(1+ListaMaterial[[#This Row],[PERDA]])</f>
        <v>5</v>
      </c>
      <c r="I707" s="887" t="s">
        <v>4243</v>
      </c>
      <c r="J707" s="891">
        <f>_xlfn.XLOOKUP(ListaMaterial[[#This Row],[ITEM]],M:M,N:N,,0)</f>
        <v>1.4224000000000001</v>
      </c>
      <c r="K707" s="891">
        <f>J707*ListaMaterial[[#This Row],[TOTAL C/PERDA]]</f>
        <v>7.1120000000000001</v>
      </c>
      <c r="M707" s="901"/>
      <c r="N707" s="902"/>
    </row>
    <row r="708" spans="1:14" x14ac:dyDescent="0.25">
      <c r="A708" s="883" t="s">
        <v>4628</v>
      </c>
      <c r="B708" s="883" t="s">
        <v>4429</v>
      </c>
      <c r="C708" s="883" t="s">
        <v>4710</v>
      </c>
      <c r="D708" s="886">
        <v>11</v>
      </c>
      <c r="E708" s="887">
        <v>1</v>
      </c>
      <c r="F708" s="888">
        <f>ListaMaterial[[#This Row],[REPETIÇÃO]]*ListaMaterial[[#This Row],[QUANTIDADE]]</f>
        <v>11</v>
      </c>
      <c r="H708" s="890">
        <f>ListaMaterial[[#This Row],[TOTAL]]*(1+ListaMaterial[[#This Row],[PERDA]])</f>
        <v>11</v>
      </c>
      <c r="I708" s="887" t="s">
        <v>4243</v>
      </c>
      <c r="J708" s="891">
        <f>_xlfn.XLOOKUP(ListaMaterial[[#This Row],[ITEM]],M:M,N:N,,0)</f>
        <v>3.9845999999999999</v>
      </c>
      <c r="K708" s="891">
        <f>J708*ListaMaterial[[#This Row],[TOTAL C/PERDA]]</f>
        <v>43.830599999999997</v>
      </c>
      <c r="M708" s="901"/>
      <c r="N708" s="902"/>
    </row>
    <row r="709" spans="1:14" x14ac:dyDescent="0.25">
      <c r="A709" s="883" t="s">
        <v>4628</v>
      </c>
      <c r="B709" s="883" t="s">
        <v>4429</v>
      </c>
      <c r="C709" s="883" t="s">
        <v>4810</v>
      </c>
      <c r="D709" s="886">
        <v>2</v>
      </c>
      <c r="E709" s="887">
        <v>1</v>
      </c>
      <c r="F709" s="888">
        <f>ListaMaterial[[#This Row],[REPETIÇÃO]]*ListaMaterial[[#This Row],[QUANTIDADE]]</f>
        <v>2</v>
      </c>
      <c r="H709" s="890">
        <f>ListaMaterial[[#This Row],[TOTAL]]*(1+ListaMaterial[[#This Row],[PERDA]])</f>
        <v>2</v>
      </c>
      <c r="I709" s="887" t="s">
        <v>4243</v>
      </c>
      <c r="J709" s="891">
        <f>_xlfn.XLOOKUP(ListaMaterial[[#This Row],[ITEM]],M:M,N:N,,0)</f>
        <v>2.7477999999999998</v>
      </c>
      <c r="K709" s="891">
        <f>J709*ListaMaterial[[#This Row],[TOTAL C/PERDA]]</f>
        <v>5.4955999999999996</v>
      </c>
      <c r="M709" s="901"/>
      <c r="N709" s="902"/>
    </row>
    <row r="710" spans="1:14" x14ac:dyDescent="0.25">
      <c r="A710" s="883" t="s">
        <v>4628</v>
      </c>
      <c r="B710" s="883" t="s">
        <v>4429</v>
      </c>
      <c r="C710" s="883" t="s">
        <v>4649</v>
      </c>
      <c r="D710" s="886">
        <v>15</v>
      </c>
      <c r="E710" s="887">
        <v>1</v>
      </c>
      <c r="F710" s="888">
        <f>ListaMaterial[[#This Row],[REPETIÇÃO]]*ListaMaterial[[#This Row],[QUANTIDADE]]</f>
        <v>15</v>
      </c>
      <c r="H710" s="890">
        <f>ListaMaterial[[#This Row],[TOTAL]]*(1+ListaMaterial[[#This Row],[PERDA]])</f>
        <v>15</v>
      </c>
      <c r="I710" s="887" t="s">
        <v>4243</v>
      </c>
      <c r="J710" s="891">
        <f>_xlfn.XLOOKUP(ListaMaterial[[#This Row],[ITEM]],M:M,N:N,,0)</f>
        <v>10.37</v>
      </c>
      <c r="K710" s="891">
        <f>J710*ListaMaterial[[#This Row],[TOTAL C/PERDA]]</f>
        <v>155.54999999999998</v>
      </c>
      <c r="M710" s="901"/>
      <c r="N710" s="902"/>
    </row>
    <row r="711" spans="1:14" x14ac:dyDescent="0.25">
      <c r="A711" s="883" t="s">
        <v>4628</v>
      </c>
      <c r="B711" s="883" t="s">
        <v>4429</v>
      </c>
      <c r="C711" s="883" t="s">
        <v>4811</v>
      </c>
      <c r="D711" s="886">
        <v>10</v>
      </c>
      <c r="E711" s="887">
        <v>1</v>
      </c>
      <c r="F711" s="888">
        <f>ListaMaterial[[#This Row],[REPETIÇÃO]]*ListaMaterial[[#This Row],[QUANTIDADE]]</f>
        <v>10</v>
      </c>
      <c r="H711" s="890">
        <f>ListaMaterial[[#This Row],[TOTAL]]*(1+ListaMaterial[[#This Row],[PERDA]])</f>
        <v>10</v>
      </c>
      <c r="I711" s="887" t="s">
        <v>4243</v>
      </c>
      <c r="J711" s="891">
        <f>_xlfn.XLOOKUP(ListaMaterial[[#This Row],[ITEM]],M:M,N:N,,0)</f>
        <v>22.4</v>
      </c>
      <c r="K711" s="891">
        <f>J711*ListaMaterial[[#This Row],[TOTAL C/PERDA]]</f>
        <v>224</v>
      </c>
      <c r="M711" s="901"/>
      <c r="N711" s="902"/>
    </row>
    <row r="712" spans="1:14" x14ac:dyDescent="0.25">
      <c r="A712" s="883" t="s">
        <v>4628</v>
      </c>
      <c r="B712" s="883" t="s">
        <v>4429</v>
      </c>
      <c r="C712" s="883" t="s">
        <v>4812</v>
      </c>
      <c r="D712" s="886">
        <v>2</v>
      </c>
      <c r="E712" s="887">
        <v>1</v>
      </c>
      <c r="F712" s="888">
        <f>ListaMaterial[[#This Row],[REPETIÇÃO]]*ListaMaterial[[#This Row],[QUANTIDADE]]</f>
        <v>2</v>
      </c>
      <c r="H712" s="890">
        <f>ListaMaterial[[#This Row],[TOTAL]]*(1+ListaMaterial[[#This Row],[PERDA]])</f>
        <v>2</v>
      </c>
      <c r="I712" s="887" t="s">
        <v>4243</v>
      </c>
      <c r="J712" s="891">
        <f>_xlfn.XLOOKUP(ListaMaterial[[#This Row],[ITEM]],M:M,N:N,,0)</f>
        <v>45.77</v>
      </c>
      <c r="K712" s="891">
        <f>J712*ListaMaterial[[#This Row],[TOTAL C/PERDA]]</f>
        <v>91.54</v>
      </c>
      <c r="M712" s="901"/>
      <c r="N712" s="902"/>
    </row>
    <row r="713" spans="1:14" x14ac:dyDescent="0.25">
      <c r="A713" s="883" t="s">
        <v>4628</v>
      </c>
      <c r="B713" s="883" t="s">
        <v>4429</v>
      </c>
      <c r="C713" s="883" t="s">
        <v>4702</v>
      </c>
      <c r="D713" s="886">
        <v>5</v>
      </c>
      <c r="E713" s="887">
        <v>1</v>
      </c>
      <c r="F713" s="888">
        <f>ListaMaterial[[#This Row],[REPETIÇÃO]]*ListaMaterial[[#This Row],[QUANTIDADE]]</f>
        <v>5</v>
      </c>
      <c r="H713" s="890">
        <f>ListaMaterial[[#This Row],[TOTAL]]*(1+ListaMaterial[[#This Row],[PERDA]])</f>
        <v>5</v>
      </c>
      <c r="I713" s="887" t="s">
        <v>4243</v>
      </c>
      <c r="J713" s="891">
        <f>_xlfn.XLOOKUP(ListaMaterial[[#This Row],[ITEM]],M:M,N:N,,0)</f>
        <v>5.89</v>
      </c>
      <c r="K713" s="891">
        <f>J713*ListaMaterial[[#This Row],[TOTAL C/PERDA]]</f>
        <v>29.45</v>
      </c>
      <c r="M713" s="901"/>
      <c r="N713" s="902"/>
    </row>
    <row r="714" spans="1:14" x14ac:dyDescent="0.25">
      <c r="A714" s="883" t="s">
        <v>4628</v>
      </c>
      <c r="B714" s="883" t="s">
        <v>4429</v>
      </c>
      <c r="C714" s="883" t="s">
        <v>4813</v>
      </c>
      <c r="D714" s="886">
        <v>4</v>
      </c>
      <c r="E714" s="887">
        <v>1</v>
      </c>
      <c r="F714" s="888">
        <f>ListaMaterial[[#This Row],[REPETIÇÃO]]*ListaMaterial[[#This Row],[QUANTIDADE]]</f>
        <v>4</v>
      </c>
      <c r="H714" s="890">
        <f>ListaMaterial[[#This Row],[TOTAL]]*(1+ListaMaterial[[#This Row],[PERDA]])</f>
        <v>4</v>
      </c>
      <c r="I714" s="887" t="s">
        <v>4243</v>
      </c>
      <c r="J714" s="891">
        <f>_xlfn.XLOOKUP(ListaMaterial[[#This Row],[ITEM]],M:M,N:N,,0)</f>
        <v>0.91</v>
      </c>
      <c r="K714" s="891">
        <f>J714*ListaMaterial[[#This Row],[TOTAL C/PERDA]]</f>
        <v>3.64</v>
      </c>
      <c r="M714" s="901"/>
      <c r="N714" s="902"/>
    </row>
    <row r="715" spans="1:14" x14ac:dyDescent="0.25">
      <c r="A715" s="883" t="s">
        <v>4628</v>
      </c>
      <c r="B715" s="883" t="s">
        <v>4429</v>
      </c>
      <c r="C715" s="883" t="s">
        <v>4814</v>
      </c>
      <c r="D715" s="886">
        <v>1</v>
      </c>
      <c r="E715" s="887">
        <v>1</v>
      </c>
      <c r="F715" s="888">
        <f>ListaMaterial[[#This Row],[REPETIÇÃO]]*ListaMaterial[[#This Row],[QUANTIDADE]]</f>
        <v>1</v>
      </c>
      <c r="H715" s="890">
        <f>ListaMaterial[[#This Row],[TOTAL]]*(1+ListaMaterial[[#This Row],[PERDA]])</f>
        <v>1</v>
      </c>
      <c r="I715" s="887" t="s">
        <v>4243</v>
      </c>
      <c r="J715" s="891">
        <f>_xlfn.XLOOKUP(ListaMaterial[[#This Row],[ITEM]],M:M,N:N,,0)</f>
        <v>12.33</v>
      </c>
      <c r="K715" s="891">
        <f>J715*ListaMaterial[[#This Row],[TOTAL C/PERDA]]</f>
        <v>12.33</v>
      </c>
      <c r="M715" s="901"/>
      <c r="N715" s="902"/>
    </row>
    <row r="716" spans="1:14" x14ac:dyDescent="0.25">
      <c r="A716" s="883" t="s">
        <v>4628</v>
      </c>
      <c r="B716" s="883" t="s">
        <v>4429</v>
      </c>
      <c r="C716" s="883" t="s">
        <v>4815</v>
      </c>
      <c r="D716" s="886">
        <v>1</v>
      </c>
      <c r="E716" s="887">
        <v>1</v>
      </c>
      <c r="F716" s="888">
        <f>ListaMaterial[[#This Row],[REPETIÇÃO]]*ListaMaterial[[#This Row],[QUANTIDADE]]</f>
        <v>1</v>
      </c>
      <c r="H716" s="890">
        <f>ListaMaterial[[#This Row],[TOTAL]]*(1+ListaMaterial[[#This Row],[PERDA]])</f>
        <v>1</v>
      </c>
      <c r="I716" s="887" t="s">
        <v>4243</v>
      </c>
      <c r="J716" s="891">
        <f>_xlfn.XLOOKUP(ListaMaterial[[#This Row],[ITEM]],M:M,N:N,,0)</f>
        <v>33.270000000000003</v>
      </c>
      <c r="K716" s="891">
        <f>J716*ListaMaterial[[#This Row],[TOTAL C/PERDA]]</f>
        <v>33.270000000000003</v>
      </c>
      <c r="M716" s="901"/>
      <c r="N716" s="902"/>
    </row>
    <row r="717" spans="1:14" x14ac:dyDescent="0.25">
      <c r="A717" s="883" t="s">
        <v>4628</v>
      </c>
      <c r="B717" s="883" t="s">
        <v>4429</v>
      </c>
      <c r="C717" s="883" t="s">
        <v>4816</v>
      </c>
      <c r="D717" s="886">
        <v>1</v>
      </c>
      <c r="E717" s="887">
        <v>1</v>
      </c>
      <c r="F717" s="888">
        <f>ListaMaterial[[#This Row],[REPETIÇÃO]]*ListaMaterial[[#This Row],[QUANTIDADE]]</f>
        <v>1</v>
      </c>
      <c r="H717" s="890">
        <f>ListaMaterial[[#This Row],[TOTAL]]*(1+ListaMaterial[[#This Row],[PERDA]])</f>
        <v>1</v>
      </c>
      <c r="I717" s="887" t="s">
        <v>4243</v>
      </c>
      <c r="J717" s="891">
        <f>_xlfn.XLOOKUP(ListaMaterial[[#This Row],[ITEM]],M:M,N:N,,0)</f>
        <v>33.270000000000003</v>
      </c>
      <c r="K717" s="891">
        <f>J717*ListaMaterial[[#This Row],[TOTAL C/PERDA]]</f>
        <v>33.270000000000003</v>
      </c>
      <c r="M717" s="901"/>
      <c r="N717" s="902"/>
    </row>
    <row r="718" spans="1:14" x14ac:dyDescent="0.25">
      <c r="A718" s="883" t="s">
        <v>4628</v>
      </c>
      <c r="B718" s="883" t="s">
        <v>4429</v>
      </c>
      <c r="C718" s="883" t="s">
        <v>4817</v>
      </c>
      <c r="D718" s="886">
        <v>5</v>
      </c>
      <c r="E718" s="887">
        <v>1</v>
      </c>
      <c r="F718" s="888">
        <f>ListaMaterial[[#This Row],[REPETIÇÃO]]*ListaMaterial[[#This Row],[QUANTIDADE]]</f>
        <v>5</v>
      </c>
      <c r="H718" s="890">
        <f>ListaMaterial[[#This Row],[TOTAL]]*(1+ListaMaterial[[#This Row],[PERDA]])</f>
        <v>5</v>
      </c>
      <c r="I718" s="887" t="s">
        <v>4243</v>
      </c>
      <c r="J718" s="891">
        <f>_xlfn.XLOOKUP(ListaMaterial[[#This Row],[ITEM]],M:M,N:N,,0)</f>
        <v>7.75</v>
      </c>
      <c r="K718" s="891">
        <f>J718*ListaMaterial[[#This Row],[TOTAL C/PERDA]]</f>
        <v>38.75</v>
      </c>
      <c r="M718" s="901"/>
      <c r="N718" s="902"/>
    </row>
    <row r="719" spans="1:14" x14ac:dyDescent="0.25">
      <c r="A719" s="883" t="s">
        <v>4628</v>
      </c>
      <c r="B719" s="883" t="s">
        <v>4429</v>
      </c>
      <c r="C719" s="883" t="s">
        <v>4651</v>
      </c>
      <c r="D719" s="886">
        <v>10</v>
      </c>
      <c r="E719" s="887">
        <v>1</v>
      </c>
      <c r="F719" s="888">
        <f>ListaMaterial[[#This Row],[REPETIÇÃO]]*ListaMaterial[[#This Row],[QUANTIDADE]]</f>
        <v>10</v>
      </c>
      <c r="H719" s="890">
        <f>ListaMaterial[[#This Row],[TOTAL]]*(1+ListaMaterial[[#This Row],[PERDA]])</f>
        <v>10</v>
      </c>
      <c r="I719" s="887" t="s">
        <v>4243</v>
      </c>
      <c r="J719" s="891">
        <f>_xlfn.XLOOKUP(ListaMaterial[[#This Row],[ITEM]],M:M,N:N,,0)</f>
        <v>12.6</v>
      </c>
      <c r="K719" s="891">
        <f>J719*ListaMaterial[[#This Row],[TOTAL C/PERDA]]</f>
        <v>126</v>
      </c>
      <c r="M719" s="901"/>
      <c r="N719" s="902"/>
    </row>
    <row r="720" spans="1:14" x14ac:dyDescent="0.25">
      <c r="A720" s="883" t="s">
        <v>4628</v>
      </c>
      <c r="B720" s="883" t="s">
        <v>4429</v>
      </c>
      <c r="C720" s="883" t="s">
        <v>4818</v>
      </c>
      <c r="D720" s="886">
        <v>2</v>
      </c>
      <c r="E720" s="887">
        <v>1</v>
      </c>
      <c r="F720" s="888">
        <f>ListaMaterial[[#This Row],[REPETIÇÃO]]*ListaMaterial[[#This Row],[QUANTIDADE]]</f>
        <v>2</v>
      </c>
      <c r="H720" s="890">
        <f>ListaMaterial[[#This Row],[TOTAL]]*(1+ListaMaterial[[#This Row],[PERDA]])</f>
        <v>2</v>
      </c>
      <c r="I720" s="887" t="s">
        <v>4243</v>
      </c>
      <c r="J720" s="891">
        <f>_xlfn.XLOOKUP(ListaMaterial[[#This Row],[ITEM]],M:M,N:N,,0)</f>
        <v>17.28</v>
      </c>
      <c r="K720" s="891">
        <f>J720*ListaMaterial[[#This Row],[TOTAL C/PERDA]]</f>
        <v>34.56</v>
      </c>
      <c r="M720" s="901"/>
      <c r="N720" s="902"/>
    </row>
    <row r="721" spans="1:14" x14ac:dyDescent="0.25">
      <c r="A721" s="883" t="s">
        <v>4628</v>
      </c>
      <c r="B721" s="883" t="s">
        <v>4429</v>
      </c>
      <c r="C721" s="883" t="s">
        <v>4819</v>
      </c>
      <c r="D721" s="886">
        <v>2</v>
      </c>
      <c r="E721" s="887">
        <v>1</v>
      </c>
      <c r="F721" s="888">
        <f>ListaMaterial[[#This Row],[REPETIÇÃO]]*ListaMaterial[[#This Row],[QUANTIDADE]]</f>
        <v>2</v>
      </c>
      <c r="H721" s="890">
        <f>ListaMaterial[[#This Row],[TOTAL]]*(1+ListaMaterial[[#This Row],[PERDA]])</f>
        <v>2</v>
      </c>
      <c r="I721" s="887" t="s">
        <v>4243</v>
      </c>
      <c r="J721" s="891">
        <f>_xlfn.XLOOKUP(ListaMaterial[[#This Row],[ITEM]],M:M,N:N,,0)</f>
        <v>22.4</v>
      </c>
      <c r="K721" s="891">
        <f>J721*ListaMaterial[[#This Row],[TOTAL C/PERDA]]</f>
        <v>44.8</v>
      </c>
      <c r="M721" s="901"/>
      <c r="N721" s="902"/>
    </row>
    <row r="722" spans="1:14" x14ac:dyDescent="0.25">
      <c r="A722" s="883" t="s">
        <v>4628</v>
      </c>
      <c r="B722" s="883" t="s">
        <v>4429</v>
      </c>
      <c r="C722" s="883" t="s">
        <v>4820</v>
      </c>
      <c r="D722" s="886">
        <v>3</v>
      </c>
      <c r="E722" s="887">
        <v>1</v>
      </c>
      <c r="F722" s="888">
        <f>ListaMaterial[[#This Row],[REPETIÇÃO]]*ListaMaterial[[#This Row],[QUANTIDADE]]</f>
        <v>3</v>
      </c>
      <c r="H722" s="890">
        <f>ListaMaterial[[#This Row],[TOTAL]]*(1+ListaMaterial[[#This Row],[PERDA]])</f>
        <v>3</v>
      </c>
      <c r="I722" s="887" t="s">
        <v>4243</v>
      </c>
      <c r="J722" s="891">
        <f>_xlfn.XLOOKUP(ListaMaterial[[#This Row],[ITEM]],M:M,N:N,,0)</f>
        <v>4.7149999999999999</v>
      </c>
      <c r="K722" s="891">
        <f>J722*ListaMaterial[[#This Row],[TOTAL C/PERDA]]</f>
        <v>14.145</v>
      </c>
      <c r="M722" s="901"/>
      <c r="N722" s="902"/>
    </row>
    <row r="723" spans="1:14" x14ac:dyDescent="0.25">
      <c r="A723" s="883" t="s">
        <v>4628</v>
      </c>
      <c r="B723" s="883" t="s">
        <v>4429</v>
      </c>
      <c r="C723" s="883" t="s">
        <v>4821</v>
      </c>
      <c r="D723" s="886">
        <v>1</v>
      </c>
      <c r="E723" s="887">
        <v>1</v>
      </c>
      <c r="F723" s="888">
        <f>ListaMaterial[[#This Row],[REPETIÇÃO]]*ListaMaterial[[#This Row],[QUANTIDADE]]</f>
        <v>1</v>
      </c>
      <c r="H723" s="890">
        <f>ListaMaterial[[#This Row],[TOTAL]]*(1+ListaMaterial[[#This Row],[PERDA]])</f>
        <v>1</v>
      </c>
      <c r="I723" s="887" t="s">
        <v>4243</v>
      </c>
      <c r="J723" s="891">
        <f>_xlfn.XLOOKUP(ListaMaterial[[#This Row],[ITEM]],M:M,N:N,,0)</f>
        <v>140</v>
      </c>
      <c r="K723" s="891">
        <f>J723*ListaMaterial[[#This Row],[TOTAL C/PERDA]]</f>
        <v>140</v>
      </c>
      <c r="M723" s="901"/>
      <c r="N723" s="902"/>
    </row>
    <row r="724" spans="1:14" x14ac:dyDescent="0.25">
      <c r="A724" s="883" t="s">
        <v>4628</v>
      </c>
      <c r="B724" s="883" t="s">
        <v>4429</v>
      </c>
      <c r="C724" s="883" t="s">
        <v>4655</v>
      </c>
      <c r="D724" s="886">
        <v>4</v>
      </c>
      <c r="E724" s="887">
        <v>1</v>
      </c>
      <c r="F724" s="888">
        <f>ListaMaterial[[#This Row],[REPETIÇÃO]]*ListaMaterial[[#This Row],[QUANTIDADE]]</f>
        <v>4</v>
      </c>
      <c r="H724" s="890">
        <f>ListaMaterial[[#This Row],[TOTAL]]*(1+ListaMaterial[[#This Row],[PERDA]])</f>
        <v>4</v>
      </c>
      <c r="I724" s="887" t="s">
        <v>4243</v>
      </c>
      <c r="J724" s="891">
        <f>_xlfn.XLOOKUP(ListaMaterial[[#This Row],[ITEM]],M:M,N:N,,0)</f>
        <v>2.2519999999999998</v>
      </c>
      <c r="K724" s="891">
        <f>J724*ListaMaterial[[#This Row],[TOTAL C/PERDA]]</f>
        <v>9.0079999999999991</v>
      </c>
      <c r="M724" s="901"/>
      <c r="N724" s="902"/>
    </row>
    <row r="725" spans="1:14" x14ac:dyDescent="0.25">
      <c r="A725" s="883" t="s">
        <v>4628</v>
      </c>
      <c r="B725" s="883" t="s">
        <v>4429</v>
      </c>
      <c r="C725" s="883" t="s">
        <v>4752</v>
      </c>
      <c r="D725" s="886">
        <v>27</v>
      </c>
      <c r="E725" s="887">
        <v>1</v>
      </c>
      <c r="F725" s="888">
        <f>ListaMaterial[[#This Row],[REPETIÇÃO]]*ListaMaterial[[#This Row],[QUANTIDADE]]</f>
        <v>27</v>
      </c>
      <c r="H725" s="890">
        <f>ListaMaterial[[#This Row],[TOTAL]]*(1+ListaMaterial[[#This Row],[PERDA]])</f>
        <v>27</v>
      </c>
      <c r="I725" s="887" t="s">
        <v>4243</v>
      </c>
      <c r="J725" s="891">
        <f>_xlfn.XLOOKUP(ListaMaterial[[#This Row],[ITEM]],M:M,N:N,,0)</f>
        <v>4.5232000000000001</v>
      </c>
      <c r="K725" s="891">
        <f>J725*ListaMaterial[[#This Row],[TOTAL C/PERDA]]</f>
        <v>122.1264</v>
      </c>
      <c r="M725" s="901"/>
      <c r="N725" s="902"/>
    </row>
    <row r="726" spans="1:14" x14ac:dyDescent="0.25">
      <c r="A726" s="883" t="s">
        <v>4628</v>
      </c>
      <c r="B726" s="883" t="s">
        <v>4429</v>
      </c>
      <c r="C726" s="883" t="s">
        <v>4822</v>
      </c>
      <c r="D726" s="886">
        <v>21</v>
      </c>
      <c r="E726" s="887">
        <v>1</v>
      </c>
      <c r="F726" s="888">
        <f>ListaMaterial[[#This Row],[REPETIÇÃO]]*ListaMaterial[[#This Row],[QUANTIDADE]]</f>
        <v>21</v>
      </c>
      <c r="H726" s="890">
        <f>ListaMaterial[[#This Row],[TOTAL]]*(1+ListaMaterial[[#This Row],[PERDA]])</f>
        <v>21</v>
      </c>
      <c r="I726" s="887" t="s">
        <v>4243</v>
      </c>
      <c r="J726" s="891">
        <f>_xlfn.XLOOKUP(ListaMaterial[[#This Row],[ITEM]],M:M,N:N,,0)</f>
        <v>3.1238000000000001</v>
      </c>
      <c r="K726" s="891">
        <f>J726*ListaMaterial[[#This Row],[TOTAL C/PERDA]]</f>
        <v>65.599800000000002</v>
      </c>
      <c r="M726" s="901"/>
      <c r="N726" s="902"/>
    </row>
    <row r="727" spans="1:14" x14ac:dyDescent="0.25">
      <c r="A727" s="883" t="s">
        <v>4628</v>
      </c>
      <c r="B727" s="883" t="s">
        <v>4429</v>
      </c>
      <c r="C727" s="883" t="s">
        <v>4656</v>
      </c>
      <c r="D727" s="886">
        <v>25</v>
      </c>
      <c r="E727" s="887">
        <v>1</v>
      </c>
      <c r="F727" s="888">
        <f>ListaMaterial[[#This Row],[REPETIÇÃO]]*ListaMaterial[[#This Row],[QUANTIDADE]]</f>
        <v>25</v>
      </c>
      <c r="H727" s="890">
        <f>ListaMaterial[[#This Row],[TOTAL]]*(1+ListaMaterial[[#This Row],[PERDA]])</f>
        <v>25</v>
      </c>
      <c r="I727" s="887" t="s">
        <v>4243</v>
      </c>
      <c r="J727" s="891">
        <f>_xlfn.XLOOKUP(ListaMaterial[[#This Row],[ITEM]],M:M,N:N,,0)</f>
        <v>18.616</v>
      </c>
      <c r="K727" s="891">
        <f>J727*ListaMaterial[[#This Row],[TOTAL C/PERDA]]</f>
        <v>465.4</v>
      </c>
      <c r="M727" s="901"/>
      <c r="N727" s="902"/>
    </row>
    <row r="728" spans="1:14" x14ac:dyDescent="0.25">
      <c r="A728" s="883" t="s">
        <v>4628</v>
      </c>
      <c r="B728" s="883" t="s">
        <v>4429</v>
      </c>
      <c r="C728" s="883" t="s">
        <v>4823</v>
      </c>
      <c r="D728" s="886">
        <v>7</v>
      </c>
      <c r="E728" s="887">
        <v>1</v>
      </c>
      <c r="F728" s="888">
        <f>ListaMaterial[[#This Row],[REPETIÇÃO]]*ListaMaterial[[#This Row],[QUANTIDADE]]</f>
        <v>7</v>
      </c>
      <c r="H728" s="890">
        <f>ListaMaterial[[#This Row],[TOTAL]]*(1+ListaMaterial[[#This Row],[PERDA]])</f>
        <v>7</v>
      </c>
      <c r="I728" s="887" t="s">
        <v>4243</v>
      </c>
      <c r="J728" s="891">
        <f>_xlfn.XLOOKUP(ListaMaterial[[#This Row],[ITEM]],M:M,N:N,,0)</f>
        <v>314.08</v>
      </c>
      <c r="K728" s="891">
        <f>J728*ListaMaterial[[#This Row],[TOTAL C/PERDA]]</f>
        <v>2198.56</v>
      </c>
      <c r="M728" s="901"/>
      <c r="N728" s="902"/>
    </row>
    <row r="729" spans="1:14" x14ac:dyDescent="0.25">
      <c r="A729" s="883" t="s">
        <v>4628</v>
      </c>
      <c r="B729" s="883" t="s">
        <v>4429</v>
      </c>
      <c r="C729" s="883" t="s">
        <v>4824</v>
      </c>
      <c r="D729" s="886">
        <v>17</v>
      </c>
      <c r="E729" s="887">
        <v>1</v>
      </c>
      <c r="F729" s="888">
        <f>ListaMaterial[[#This Row],[REPETIÇÃO]]*ListaMaterial[[#This Row],[QUANTIDADE]]</f>
        <v>17</v>
      </c>
      <c r="H729" s="890">
        <f>ListaMaterial[[#This Row],[TOTAL]]*(1+ListaMaterial[[#This Row],[PERDA]])</f>
        <v>17</v>
      </c>
      <c r="I729" s="887" t="s">
        <v>4243</v>
      </c>
      <c r="J729" s="891">
        <f>_xlfn.XLOOKUP(ListaMaterial[[#This Row],[ITEM]],M:M,N:N,,0)</f>
        <v>288.08</v>
      </c>
      <c r="K729" s="891">
        <f>J729*ListaMaterial[[#This Row],[TOTAL C/PERDA]]</f>
        <v>4897.3599999999997</v>
      </c>
      <c r="M729" s="901"/>
      <c r="N729" s="902"/>
    </row>
    <row r="730" spans="1:14" x14ac:dyDescent="0.25">
      <c r="A730" s="883" t="s">
        <v>4628</v>
      </c>
      <c r="B730" s="883" t="s">
        <v>4429</v>
      </c>
      <c r="C730" s="883" t="s">
        <v>4825</v>
      </c>
      <c r="D730" s="886">
        <v>26</v>
      </c>
      <c r="E730" s="887">
        <v>1</v>
      </c>
      <c r="F730" s="888">
        <f>ListaMaterial[[#This Row],[REPETIÇÃO]]*ListaMaterial[[#This Row],[QUANTIDADE]]</f>
        <v>26</v>
      </c>
      <c r="H730" s="890">
        <f>ListaMaterial[[#This Row],[TOTAL]]*(1+ListaMaterial[[#This Row],[PERDA]])</f>
        <v>26</v>
      </c>
      <c r="I730" s="887" t="s">
        <v>4243</v>
      </c>
      <c r="J730" s="891">
        <f>_xlfn.XLOOKUP(ListaMaterial[[#This Row],[ITEM]],M:M,N:N,,0)</f>
        <v>15</v>
      </c>
      <c r="K730" s="891">
        <f>J730*ListaMaterial[[#This Row],[TOTAL C/PERDA]]</f>
        <v>390</v>
      </c>
      <c r="M730" s="901"/>
      <c r="N730" s="902"/>
    </row>
    <row r="731" spans="1:14" x14ac:dyDescent="0.25">
      <c r="A731" s="883" t="s">
        <v>4628</v>
      </c>
      <c r="B731" s="883" t="s">
        <v>4429</v>
      </c>
      <c r="C731" s="883" t="s">
        <v>4826</v>
      </c>
      <c r="D731" s="886">
        <v>43</v>
      </c>
      <c r="E731" s="887">
        <v>1</v>
      </c>
      <c r="F731" s="888">
        <f>ListaMaterial[[#This Row],[REPETIÇÃO]]*ListaMaterial[[#This Row],[QUANTIDADE]]</f>
        <v>43</v>
      </c>
      <c r="H731" s="890">
        <f>ListaMaterial[[#This Row],[TOTAL]]*(1+ListaMaterial[[#This Row],[PERDA]])</f>
        <v>43</v>
      </c>
      <c r="I731" s="887" t="s">
        <v>4243</v>
      </c>
      <c r="J731" s="891">
        <f>_xlfn.XLOOKUP(ListaMaterial[[#This Row],[ITEM]],M:M,N:N,,0)</f>
        <v>10.300700000000001</v>
      </c>
      <c r="K731" s="891">
        <f>J731*ListaMaterial[[#This Row],[TOTAL C/PERDA]]</f>
        <v>442.93010000000004</v>
      </c>
      <c r="M731" s="901"/>
      <c r="N731" s="902"/>
    </row>
    <row r="732" spans="1:14" x14ac:dyDescent="0.25">
      <c r="A732" s="883" t="s">
        <v>4628</v>
      </c>
      <c r="B732" s="883" t="s">
        <v>4429</v>
      </c>
      <c r="C732" s="883" t="s">
        <v>4827</v>
      </c>
      <c r="D732" s="886">
        <v>1</v>
      </c>
      <c r="E732" s="887">
        <v>1</v>
      </c>
      <c r="F732" s="888">
        <f>ListaMaterial[[#This Row],[REPETIÇÃO]]*ListaMaterial[[#This Row],[QUANTIDADE]]</f>
        <v>1</v>
      </c>
      <c r="H732" s="890">
        <f>ListaMaterial[[#This Row],[TOTAL]]*(1+ListaMaterial[[#This Row],[PERDA]])</f>
        <v>1</v>
      </c>
      <c r="I732" s="887" t="s">
        <v>4243</v>
      </c>
      <c r="J732" s="891">
        <f>_xlfn.XLOOKUP(ListaMaterial[[#This Row],[ITEM]],M:M,N:N,,0)</f>
        <v>17.28</v>
      </c>
      <c r="K732" s="891">
        <f>J732*ListaMaterial[[#This Row],[TOTAL C/PERDA]]</f>
        <v>17.28</v>
      </c>
      <c r="M732" s="901"/>
      <c r="N732" s="902"/>
    </row>
    <row r="733" spans="1:14" x14ac:dyDescent="0.25">
      <c r="A733" s="883" t="s">
        <v>4628</v>
      </c>
      <c r="B733" s="883" t="s">
        <v>4429</v>
      </c>
      <c r="C733" s="883" t="s">
        <v>4828</v>
      </c>
      <c r="D733" s="886">
        <v>4</v>
      </c>
      <c r="E733" s="887">
        <v>1</v>
      </c>
      <c r="F733" s="888">
        <f>ListaMaterial[[#This Row],[REPETIÇÃO]]*ListaMaterial[[#This Row],[QUANTIDADE]]</f>
        <v>4</v>
      </c>
      <c r="H733" s="890">
        <f>ListaMaterial[[#This Row],[TOTAL]]*(1+ListaMaterial[[#This Row],[PERDA]])</f>
        <v>4</v>
      </c>
      <c r="I733" s="887" t="s">
        <v>4243</v>
      </c>
      <c r="J733" s="891">
        <f>_xlfn.XLOOKUP(ListaMaterial[[#This Row],[ITEM]],M:M,N:N,,0)</f>
        <v>44.51</v>
      </c>
      <c r="K733" s="891">
        <f>J733*ListaMaterial[[#This Row],[TOTAL C/PERDA]]</f>
        <v>178.04</v>
      </c>
      <c r="M733" s="901"/>
      <c r="N733" s="902"/>
    </row>
    <row r="734" spans="1:14" x14ac:dyDescent="0.25">
      <c r="A734" s="883" t="s">
        <v>4628</v>
      </c>
      <c r="B734" s="883" t="s">
        <v>4429</v>
      </c>
      <c r="C734" s="883" t="s">
        <v>4829</v>
      </c>
      <c r="D734" s="886">
        <v>7</v>
      </c>
      <c r="E734" s="887">
        <v>1</v>
      </c>
      <c r="F734" s="888">
        <f>ListaMaterial[[#This Row],[REPETIÇÃO]]*ListaMaterial[[#This Row],[QUANTIDADE]]</f>
        <v>7</v>
      </c>
      <c r="H734" s="890">
        <f>ListaMaterial[[#This Row],[TOTAL]]*(1+ListaMaterial[[#This Row],[PERDA]])</f>
        <v>7</v>
      </c>
      <c r="I734" s="887" t="s">
        <v>4243</v>
      </c>
      <c r="J734" s="891">
        <f>_xlfn.XLOOKUP(ListaMaterial[[#This Row],[ITEM]],M:M,N:N,,0)</f>
        <v>70</v>
      </c>
      <c r="K734" s="891">
        <f>J734*ListaMaterial[[#This Row],[TOTAL C/PERDA]]</f>
        <v>490</v>
      </c>
      <c r="M734" s="901"/>
      <c r="N734" s="902"/>
    </row>
    <row r="735" spans="1:14" x14ac:dyDescent="0.25">
      <c r="A735" s="883" t="s">
        <v>4628</v>
      </c>
      <c r="B735" s="883" t="s">
        <v>4429</v>
      </c>
      <c r="C735" s="883" t="s">
        <v>4830</v>
      </c>
      <c r="D735" s="886">
        <v>2</v>
      </c>
      <c r="E735" s="887">
        <v>1</v>
      </c>
      <c r="F735" s="888">
        <f>ListaMaterial[[#This Row],[REPETIÇÃO]]*ListaMaterial[[#This Row],[QUANTIDADE]]</f>
        <v>2</v>
      </c>
      <c r="H735" s="890">
        <f>ListaMaterial[[#This Row],[TOTAL]]*(1+ListaMaterial[[#This Row],[PERDA]])</f>
        <v>2</v>
      </c>
      <c r="I735" s="887" t="s">
        <v>4243</v>
      </c>
      <c r="J735" s="891">
        <f>_xlfn.XLOOKUP(ListaMaterial[[#This Row],[ITEM]],M:M,N:N,,0)</f>
        <v>90.2</v>
      </c>
      <c r="K735" s="891">
        <f>J735*ListaMaterial[[#This Row],[TOTAL C/PERDA]]</f>
        <v>180.4</v>
      </c>
      <c r="M735" s="901"/>
      <c r="N735" s="902"/>
    </row>
    <row r="736" spans="1:14" x14ac:dyDescent="0.25">
      <c r="A736" s="883" t="s">
        <v>4628</v>
      </c>
      <c r="B736" s="883" t="s">
        <v>4429</v>
      </c>
      <c r="C736" s="883" t="s">
        <v>4831</v>
      </c>
      <c r="D736" s="886">
        <v>7</v>
      </c>
      <c r="E736" s="887">
        <v>1</v>
      </c>
      <c r="F736" s="888">
        <f>ListaMaterial[[#This Row],[REPETIÇÃO]]*ListaMaterial[[#This Row],[QUANTIDADE]]</f>
        <v>7</v>
      </c>
      <c r="H736" s="890">
        <f>ListaMaterial[[#This Row],[TOTAL]]*(1+ListaMaterial[[#This Row],[PERDA]])</f>
        <v>7</v>
      </c>
      <c r="I736" s="887" t="s">
        <v>4243</v>
      </c>
      <c r="J736" s="891">
        <f>_xlfn.XLOOKUP(ListaMaterial[[#This Row],[ITEM]],M:M,N:N,,0)</f>
        <v>7.39</v>
      </c>
      <c r="K736" s="891">
        <f>J736*ListaMaterial[[#This Row],[TOTAL C/PERDA]]</f>
        <v>51.73</v>
      </c>
      <c r="M736" s="901"/>
      <c r="N736" s="902"/>
    </row>
    <row r="737" spans="1:14" x14ac:dyDescent="0.25">
      <c r="A737" s="883" t="s">
        <v>4628</v>
      </c>
      <c r="B737" s="883" t="s">
        <v>4429</v>
      </c>
      <c r="C737" s="883" t="s">
        <v>4832</v>
      </c>
      <c r="D737" s="886">
        <v>1</v>
      </c>
      <c r="E737" s="887">
        <v>1</v>
      </c>
      <c r="F737" s="888">
        <f>ListaMaterial[[#This Row],[REPETIÇÃO]]*ListaMaterial[[#This Row],[QUANTIDADE]]</f>
        <v>1</v>
      </c>
      <c r="H737" s="890">
        <f>ListaMaterial[[#This Row],[TOTAL]]*(1+ListaMaterial[[#This Row],[PERDA]])</f>
        <v>1</v>
      </c>
      <c r="I737" s="887" t="s">
        <v>4243</v>
      </c>
      <c r="J737" s="891">
        <f>_xlfn.XLOOKUP(ListaMaterial[[#This Row],[ITEM]],M:M,N:N,,0)</f>
        <v>7.1167999999999996</v>
      </c>
      <c r="K737" s="891">
        <f>J737*ListaMaterial[[#This Row],[TOTAL C/PERDA]]</f>
        <v>7.1167999999999996</v>
      </c>
      <c r="M737" s="901"/>
      <c r="N737" s="902"/>
    </row>
    <row r="738" spans="1:14" x14ac:dyDescent="0.25">
      <c r="A738" s="883" t="s">
        <v>4628</v>
      </c>
      <c r="B738" s="883" t="s">
        <v>4429</v>
      </c>
      <c r="C738" s="883" t="s">
        <v>4661</v>
      </c>
      <c r="D738" s="886">
        <v>13</v>
      </c>
      <c r="E738" s="887">
        <v>1</v>
      </c>
      <c r="F738" s="888">
        <f>ListaMaterial[[#This Row],[REPETIÇÃO]]*ListaMaterial[[#This Row],[QUANTIDADE]]</f>
        <v>13</v>
      </c>
      <c r="H738" s="890">
        <f>ListaMaterial[[#This Row],[TOTAL]]*(1+ListaMaterial[[#This Row],[PERDA]])</f>
        <v>13</v>
      </c>
      <c r="I738" s="887" t="s">
        <v>4243</v>
      </c>
      <c r="J738" s="891">
        <f>_xlfn.XLOOKUP(ListaMaterial[[#This Row],[ITEM]],M:M,N:N,,0)</f>
        <v>21.563300000000002</v>
      </c>
      <c r="K738" s="891">
        <f>J738*ListaMaterial[[#This Row],[TOTAL C/PERDA]]</f>
        <v>280.3229</v>
      </c>
      <c r="M738" s="901"/>
      <c r="N738" s="902"/>
    </row>
    <row r="739" spans="1:14" x14ac:dyDescent="0.25">
      <c r="A739" s="883" t="s">
        <v>4628</v>
      </c>
      <c r="B739" s="883" t="s">
        <v>4429</v>
      </c>
      <c r="C739" s="883" t="s">
        <v>4833</v>
      </c>
      <c r="D739" s="886">
        <v>6</v>
      </c>
      <c r="E739" s="887">
        <v>1</v>
      </c>
      <c r="F739" s="888">
        <f>ListaMaterial[[#This Row],[REPETIÇÃO]]*ListaMaterial[[#This Row],[QUANTIDADE]]</f>
        <v>6</v>
      </c>
      <c r="H739" s="890">
        <f>ListaMaterial[[#This Row],[TOTAL]]*(1+ListaMaterial[[#This Row],[PERDA]])</f>
        <v>6</v>
      </c>
      <c r="I739" s="887" t="s">
        <v>4243</v>
      </c>
      <c r="J739" s="891">
        <f>_xlfn.XLOOKUP(ListaMaterial[[#This Row],[ITEM]],M:M,N:N,,0)</f>
        <v>120.6</v>
      </c>
      <c r="K739" s="891">
        <f>J739*ListaMaterial[[#This Row],[TOTAL C/PERDA]]</f>
        <v>723.59999999999991</v>
      </c>
      <c r="M739" s="901"/>
      <c r="N739" s="902"/>
    </row>
    <row r="740" spans="1:14" x14ac:dyDescent="0.25">
      <c r="A740" s="883" t="s">
        <v>4628</v>
      </c>
      <c r="B740" s="883" t="s">
        <v>4429</v>
      </c>
      <c r="C740" s="883" t="s">
        <v>4834</v>
      </c>
      <c r="D740" s="886">
        <v>1</v>
      </c>
      <c r="E740" s="887">
        <v>1</v>
      </c>
      <c r="F740" s="888">
        <f>ListaMaterial[[#This Row],[REPETIÇÃO]]*ListaMaterial[[#This Row],[QUANTIDADE]]</f>
        <v>1</v>
      </c>
      <c r="H740" s="890">
        <f>ListaMaterial[[#This Row],[TOTAL]]*(1+ListaMaterial[[#This Row],[PERDA]])</f>
        <v>1</v>
      </c>
      <c r="I740" s="887" t="s">
        <v>4243</v>
      </c>
      <c r="J740" s="891">
        <f>_xlfn.XLOOKUP(ListaMaterial[[#This Row],[ITEM]],M:M,N:N,,0)</f>
        <v>200.8</v>
      </c>
      <c r="K740" s="891">
        <f>J740*ListaMaterial[[#This Row],[TOTAL C/PERDA]]</f>
        <v>200.8</v>
      </c>
      <c r="M740" s="901"/>
      <c r="N740" s="902"/>
    </row>
    <row r="741" spans="1:14" x14ac:dyDescent="0.25">
      <c r="A741" s="883" t="s">
        <v>4628</v>
      </c>
      <c r="B741" s="883" t="s">
        <v>4250</v>
      </c>
      <c r="C741" s="883" t="s">
        <v>4756</v>
      </c>
      <c r="D741" s="886">
        <v>0.24</v>
      </c>
      <c r="E741" s="887">
        <v>1</v>
      </c>
      <c r="F741" s="888">
        <f>ListaMaterial[[#This Row],[REPETIÇÃO]]*ListaMaterial[[#This Row],[QUANTIDADE]]</f>
        <v>0.24</v>
      </c>
      <c r="G741" s="889">
        <v>0.15</v>
      </c>
      <c r="H741" s="890">
        <f>ListaMaterial[[#This Row],[TOTAL]]*(1+ListaMaterial[[#This Row],[PERDA]])</f>
        <v>0.27599999999999997</v>
      </c>
      <c r="I741" s="887" t="s">
        <v>3</v>
      </c>
      <c r="J741" s="891">
        <f>_xlfn.XLOOKUP(ListaMaterial[[#This Row],[ITEM]],M:M,N:N,,0)</f>
        <v>9.11</v>
      </c>
      <c r="K741" s="891">
        <f>J741*ListaMaterial[[#This Row],[TOTAL C/PERDA]]</f>
        <v>2.5143599999999995</v>
      </c>
      <c r="M741" s="901"/>
      <c r="N741" s="902"/>
    </row>
    <row r="742" spans="1:14" x14ac:dyDescent="0.25">
      <c r="A742" s="883" t="s">
        <v>4628</v>
      </c>
      <c r="B742" s="883" t="s">
        <v>4250</v>
      </c>
      <c r="C742" s="883" t="s">
        <v>4835</v>
      </c>
      <c r="D742" s="886">
        <v>0.48</v>
      </c>
      <c r="E742" s="887">
        <v>1</v>
      </c>
      <c r="F742" s="888">
        <f>ListaMaterial[[#This Row],[REPETIÇÃO]]*ListaMaterial[[#This Row],[QUANTIDADE]]</f>
        <v>0.48</v>
      </c>
      <c r="G742" s="889">
        <v>0.15</v>
      </c>
      <c r="H742" s="890">
        <f>ListaMaterial[[#This Row],[TOTAL]]*(1+ListaMaterial[[#This Row],[PERDA]])</f>
        <v>0.55199999999999994</v>
      </c>
      <c r="I742" s="887" t="s">
        <v>3</v>
      </c>
      <c r="J742" s="891">
        <f>_xlfn.XLOOKUP(ListaMaterial[[#This Row],[ITEM]],M:M,N:N,,0)</f>
        <v>43.8</v>
      </c>
      <c r="K742" s="891">
        <f>J742*ListaMaterial[[#This Row],[TOTAL C/PERDA]]</f>
        <v>24.177599999999995</v>
      </c>
      <c r="M742" s="901"/>
      <c r="N742" s="902"/>
    </row>
    <row r="743" spans="1:14" x14ac:dyDescent="0.25">
      <c r="A743" s="883" t="s">
        <v>4628</v>
      </c>
      <c r="B743" s="883" t="s">
        <v>4250</v>
      </c>
      <c r="C743" s="883" t="s">
        <v>4836</v>
      </c>
      <c r="D743" s="886">
        <v>10.57</v>
      </c>
      <c r="E743" s="887">
        <v>1</v>
      </c>
      <c r="F743" s="888">
        <f>ListaMaterial[[#This Row],[REPETIÇÃO]]*ListaMaterial[[#This Row],[QUANTIDADE]]</f>
        <v>10.57</v>
      </c>
      <c r="G743" s="889">
        <v>0.15</v>
      </c>
      <c r="H743" s="890">
        <f>ListaMaterial[[#This Row],[TOTAL]]*(1+ListaMaterial[[#This Row],[PERDA]])</f>
        <v>12.1555</v>
      </c>
      <c r="I743" s="887" t="s">
        <v>3</v>
      </c>
      <c r="J743" s="891">
        <f>_xlfn.XLOOKUP(ListaMaterial[[#This Row],[ITEM]],M:M,N:N,,0)</f>
        <v>39.85</v>
      </c>
      <c r="K743" s="891">
        <f>J743*ListaMaterial[[#This Row],[TOTAL C/PERDA]]</f>
        <v>484.39667500000002</v>
      </c>
      <c r="M743" s="901"/>
      <c r="N743" s="902"/>
    </row>
    <row r="744" spans="1:14" x14ac:dyDescent="0.25">
      <c r="A744" s="883" t="s">
        <v>4628</v>
      </c>
      <c r="B744" s="883" t="s">
        <v>4250</v>
      </c>
      <c r="C744" s="883" t="s">
        <v>4678</v>
      </c>
      <c r="D744" s="886">
        <v>0.33</v>
      </c>
      <c r="E744" s="887">
        <v>1</v>
      </c>
      <c r="F744" s="888">
        <f>ListaMaterial[[#This Row],[REPETIÇÃO]]*ListaMaterial[[#This Row],[QUANTIDADE]]</f>
        <v>0.33</v>
      </c>
      <c r="G744" s="889">
        <v>0.15</v>
      </c>
      <c r="H744" s="890">
        <f>ListaMaterial[[#This Row],[TOTAL]]*(1+ListaMaterial[[#This Row],[PERDA]])</f>
        <v>0.3795</v>
      </c>
      <c r="I744" s="887" t="s">
        <v>3</v>
      </c>
      <c r="J744" s="891">
        <f>_xlfn.XLOOKUP(ListaMaterial[[#This Row],[ITEM]],M:M,N:N,,0)</f>
        <v>27.96</v>
      </c>
      <c r="K744" s="891">
        <f>J744*ListaMaterial[[#This Row],[TOTAL C/PERDA]]</f>
        <v>10.61082</v>
      </c>
      <c r="M744" s="901"/>
      <c r="N744" s="902"/>
    </row>
    <row r="745" spans="1:14" x14ac:dyDescent="0.25">
      <c r="A745" s="883" t="s">
        <v>4628</v>
      </c>
      <c r="B745" s="883" t="s">
        <v>4250</v>
      </c>
      <c r="C745" s="883" t="s">
        <v>4837</v>
      </c>
      <c r="D745" s="886">
        <v>1.74</v>
      </c>
      <c r="E745" s="887">
        <v>1</v>
      </c>
      <c r="F745" s="888">
        <f>ListaMaterial[[#This Row],[REPETIÇÃO]]*ListaMaterial[[#This Row],[QUANTIDADE]]</f>
        <v>1.74</v>
      </c>
      <c r="G745" s="889">
        <v>0.15</v>
      </c>
      <c r="H745" s="890">
        <f>ListaMaterial[[#This Row],[TOTAL]]*(1+ListaMaterial[[#This Row],[PERDA]])</f>
        <v>2.0009999999999999</v>
      </c>
      <c r="I745" s="887" t="s">
        <v>3</v>
      </c>
      <c r="J745" s="891">
        <f>_xlfn.XLOOKUP(ListaMaterial[[#This Row],[ITEM]],M:M,N:N,,0)</f>
        <v>96.39</v>
      </c>
      <c r="K745" s="891">
        <f>J745*ListaMaterial[[#This Row],[TOTAL C/PERDA]]</f>
        <v>192.87638999999999</v>
      </c>
      <c r="M745" s="901"/>
      <c r="N745" s="902"/>
    </row>
    <row r="746" spans="1:14" x14ac:dyDescent="0.25">
      <c r="A746" s="883" t="s">
        <v>4628</v>
      </c>
      <c r="B746" s="883" t="s">
        <v>4250</v>
      </c>
      <c r="C746" s="883" t="s">
        <v>4838</v>
      </c>
      <c r="D746" s="886">
        <v>0.51</v>
      </c>
      <c r="E746" s="887">
        <v>1</v>
      </c>
      <c r="F746" s="888">
        <f>ListaMaterial[[#This Row],[REPETIÇÃO]]*ListaMaterial[[#This Row],[QUANTIDADE]]</f>
        <v>0.51</v>
      </c>
      <c r="G746" s="889">
        <v>0.15</v>
      </c>
      <c r="H746" s="890">
        <f>ListaMaterial[[#This Row],[TOTAL]]*(1+ListaMaterial[[#This Row],[PERDA]])</f>
        <v>0.58649999999999991</v>
      </c>
      <c r="I746" s="887" t="s">
        <v>3</v>
      </c>
      <c r="J746" s="891">
        <f>_xlfn.XLOOKUP(ListaMaterial[[#This Row],[ITEM]],M:M,N:N,,0)</f>
        <v>108.9</v>
      </c>
      <c r="K746" s="891">
        <f>J746*ListaMaterial[[#This Row],[TOTAL C/PERDA]]</f>
        <v>63.869849999999992</v>
      </c>
      <c r="M746" s="901"/>
      <c r="N746" s="902"/>
    </row>
    <row r="747" spans="1:14" x14ac:dyDescent="0.25">
      <c r="A747" s="883" t="s">
        <v>4628</v>
      </c>
      <c r="B747" s="883" t="s">
        <v>4630</v>
      </c>
      <c r="C747" s="883" t="s">
        <v>4846</v>
      </c>
      <c r="D747" s="886">
        <v>1.99</v>
      </c>
      <c r="E747" s="887">
        <v>1</v>
      </c>
      <c r="F747" s="888">
        <f>ListaMaterial[[#This Row],[REPETIÇÃO]]*ListaMaterial[[#This Row],[QUANTIDADE]]</f>
        <v>1.99</v>
      </c>
      <c r="G747" s="889">
        <v>0.15</v>
      </c>
      <c r="H747" s="890">
        <f>ListaMaterial[[#This Row],[TOTAL]]*(1+ListaMaterial[[#This Row],[PERDA]])</f>
        <v>2.2885</v>
      </c>
      <c r="I747" s="887" t="s">
        <v>3</v>
      </c>
      <c r="J747" s="891">
        <f>_xlfn.XLOOKUP(ListaMaterial[[#This Row],[ITEM]],M:M,N:N,,0)</f>
        <v>24.353333333333335</v>
      </c>
      <c r="K747" s="891">
        <f>J747*ListaMaterial[[#This Row],[TOTAL C/PERDA]]</f>
        <v>55.732603333333337</v>
      </c>
      <c r="M747" s="901"/>
      <c r="N747" s="902"/>
    </row>
    <row r="748" spans="1:14" x14ac:dyDescent="0.25">
      <c r="A748" s="883" t="s">
        <v>4628</v>
      </c>
      <c r="B748" s="883" t="s">
        <v>4630</v>
      </c>
      <c r="C748" s="883" t="s">
        <v>4847</v>
      </c>
      <c r="D748" s="886">
        <v>0.51</v>
      </c>
      <c r="E748" s="887">
        <v>1</v>
      </c>
      <c r="F748" s="888">
        <f>ListaMaterial[[#This Row],[REPETIÇÃO]]*ListaMaterial[[#This Row],[QUANTIDADE]]</f>
        <v>0.51</v>
      </c>
      <c r="G748" s="889">
        <v>0.15</v>
      </c>
      <c r="H748" s="890">
        <f>ListaMaterial[[#This Row],[TOTAL]]*(1+ListaMaterial[[#This Row],[PERDA]])</f>
        <v>0.58649999999999991</v>
      </c>
      <c r="I748" s="887" t="s">
        <v>3</v>
      </c>
      <c r="J748" s="891">
        <f>_xlfn.XLOOKUP(ListaMaterial[[#This Row],[ITEM]],M:M,N:N,,0)</f>
        <v>13.89</v>
      </c>
      <c r="K748" s="891">
        <f>J748*ListaMaterial[[#This Row],[TOTAL C/PERDA]]</f>
        <v>8.1464849999999984</v>
      </c>
      <c r="M748" s="901"/>
      <c r="N748" s="902"/>
    </row>
    <row r="749" spans="1:14" x14ac:dyDescent="0.25">
      <c r="A749" s="883" t="s">
        <v>4628</v>
      </c>
      <c r="B749" s="883" t="s">
        <v>4630</v>
      </c>
      <c r="C749" s="883" t="s">
        <v>4848</v>
      </c>
      <c r="D749" s="886">
        <v>0.05</v>
      </c>
      <c r="E749" s="887">
        <v>1</v>
      </c>
      <c r="F749" s="888">
        <f>ListaMaterial[[#This Row],[REPETIÇÃO]]*ListaMaterial[[#This Row],[QUANTIDADE]]</f>
        <v>0.05</v>
      </c>
      <c r="G749" s="889">
        <v>0.15</v>
      </c>
      <c r="H749" s="890">
        <f>ListaMaterial[[#This Row],[TOTAL]]*(1+ListaMaterial[[#This Row],[PERDA]])</f>
        <v>5.7499999999999996E-2</v>
      </c>
      <c r="I749" s="887" t="s">
        <v>3</v>
      </c>
      <c r="J749" s="891">
        <f>_xlfn.XLOOKUP(ListaMaterial[[#This Row],[ITEM]],M:M,N:N,,0)</f>
        <v>23.196666666666669</v>
      </c>
      <c r="K749" s="891">
        <f>J749*ListaMaterial[[#This Row],[TOTAL C/PERDA]]</f>
        <v>1.3338083333333333</v>
      </c>
      <c r="M749" s="901"/>
      <c r="N749" s="902"/>
    </row>
    <row r="750" spans="1:14" x14ac:dyDescent="0.25">
      <c r="A750" s="883" t="s">
        <v>4628</v>
      </c>
      <c r="B750" s="883" t="s">
        <v>4630</v>
      </c>
      <c r="C750" s="883" t="s">
        <v>4849</v>
      </c>
      <c r="D750" s="886">
        <v>12.81</v>
      </c>
      <c r="E750" s="887">
        <v>1</v>
      </c>
      <c r="F750" s="888">
        <f>ListaMaterial[[#This Row],[REPETIÇÃO]]*ListaMaterial[[#This Row],[QUANTIDADE]]</f>
        <v>12.81</v>
      </c>
      <c r="G750" s="889">
        <v>0.15</v>
      </c>
      <c r="H750" s="890">
        <f>ListaMaterial[[#This Row],[TOTAL]]*(1+ListaMaterial[[#This Row],[PERDA]])</f>
        <v>14.731499999999999</v>
      </c>
      <c r="I750" s="887" t="s">
        <v>3</v>
      </c>
      <c r="J750" s="891">
        <f>_xlfn.XLOOKUP(ListaMaterial[[#This Row],[ITEM]],M:M,N:N,,0)</f>
        <v>35.256666666666668</v>
      </c>
      <c r="K750" s="891">
        <f>J750*ListaMaterial[[#This Row],[TOTAL C/PERDA]]</f>
        <v>519.38358499999993</v>
      </c>
      <c r="M750" s="901"/>
      <c r="N750" s="902"/>
    </row>
    <row r="751" spans="1:14" x14ac:dyDescent="0.25">
      <c r="A751" s="883" t="s">
        <v>4628</v>
      </c>
      <c r="B751" s="883" t="s">
        <v>4630</v>
      </c>
      <c r="C751" s="883" t="s">
        <v>4850</v>
      </c>
      <c r="D751" s="886">
        <v>3.43</v>
      </c>
      <c r="E751" s="887">
        <v>1</v>
      </c>
      <c r="F751" s="888">
        <f>ListaMaterial[[#This Row],[REPETIÇÃO]]*ListaMaterial[[#This Row],[QUANTIDADE]]</f>
        <v>3.43</v>
      </c>
      <c r="G751" s="889">
        <v>0.15</v>
      </c>
      <c r="H751" s="890">
        <f>ListaMaterial[[#This Row],[TOTAL]]*(1+ListaMaterial[[#This Row],[PERDA]])</f>
        <v>3.9444999999999997</v>
      </c>
      <c r="I751" s="887" t="s">
        <v>3</v>
      </c>
      <c r="J751" s="891">
        <f>_xlfn.XLOOKUP(ListaMaterial[[#This Row],[ITEM]],M:M,N:N,,0)</f>
        <v>83.236666666666665</v>
      </c>
      <c r="K751" s="891">
        <f>J751*ListaMaterial[[#This Row],[TOTAL C/PERDA]]</f>
        <v>328.32703166666664</v>
      </c>
      <c r="M751" s="901"/>
      <c r="N751" s="902"/>
    </row>
    <row r="752" spans="1:14" x14ac:dyDescent="0.25">
      <c r="A752" s="883" t="s">
        <v>4628</v>
      </c>
      <c r="B752" s="883" t="s">
        <v>4631</v>
      </c>
      <c r="C752" s="883" t="s">
        <v>4851</v>
      </c>
      <c r="D752" s="886">
        <v>5.46</v>
      </c>
      <c r="E752" s="887">
        <v>1</v>
      </c>
      <c r="F752" s="888">
        <f>ListaMaterial[[#This Row],[REPETIÇÃO]]*ListaMaterial[[#This Row],[QUANTIDADE]]</f>
        <v>5.46</v>
      </c>
      <c r="G752" s="889">
        <v>0.15</v>
      </c>
      <c r="H752" s="890">
        <f>ListaMaterial[[#This Row],[TOTAL]]*(1+ListaMaterial[[#This Row],[PERDA]])</f>
        <v>6.2789999999999999</v>
      </c>
      <c r="I752" s="887" t="s">
        <v>3</v>
      </c>
      <c r="J752" s="891">
        <f>_xlfn.XLOOKUP(ListaMaterial[[#This Row],[ITEM]],M:M,N:N,,0)</f>
        <v>13.708133333333334</v>
      </c>
      <c r="K752" s="891">
        <f>J752*ListaMaterial[[#This Row],[TOTAL C/PERDA]]</f>
        <v>86.073369200000002</v>
      </c>
      <c r="M752" s="901"/>
      <c r="N752" s="902"/>
    </row>
    <row r="753" spans="1:14" x14ac:dyDescent="0.25">
      <c r="A753" s="883" t="s">
        <v>4628</v>
      </c>
      <c r="B753" s="883" t="s">
        <v>4631</v>
      </c>
      <c r="C753" s="883" t="s">
        <v>4852</v>
      </c>
      <c r="D753" s="886">
        <v>91.68</v>
      </c>
      <c r="E753" s="887">
        <v>1</v>
      </c>
      <c r="F753" s="888">
        <f>ListaMaterial[[#This Row],[REPETIÇÃO]]*ListaMaterial[[#This Row],[QUANTIDADE]]</f>
        <v>91.68</v>
      </c>
      <c r="G753" s="889">
        <v>0.15</v>
      </c>
      <c r="H753" s="890">
        <f>ListaMaterial[[#This Row],[TOTAL]]*(1+ListaMaterial[[#This Row],[PERDA]])</f>
        <v>105.432</v>
      </c>
      <c r="I753" s="887" t="s">
        <v>3</v>
      </c>
      <c r="J753" s="891">
        <f>_xlfn.XLOOKUP(ListaMaterial[[#This Row],[ITEM]],M:M,N:N,,0)</f>
        <v>150.99666666666667</v>
      </c>
      <c r="K753" s="891">
        <f>J753*ListaMaterial[[#This Row],[TOTAL C/PERDA]]</f>
        <v>15919.880560000001</v>
      </c>
      <c r="M753" s="901"/>
      <c r="N753" s="902"/>
    </row>
    <row r="754" spans="1:14" x14ac:dyDescent="0.25">
      <c r="A754" s="883" t="s">
        <v>4628</v>
      </c>
      <c r="B754" s="883" t="s">
        <v>4619</v>
      </c>
      <c r="C754" s="883" t="s">
        <v>4685</v>
      </c>
      <c r="D754" s="886">
        <v>43.31</v>
      </c>
      <c r="E754" s="887">
        <v>1</v>
      </c>
      <c r="F754" s="888">
        <f>ListaMaterial[[#This Row],[REPETIÇÃO]]*ListaMaterial[[#This Row],[QUANTIDADE]]</f>
        <v>43.31</v>
      </c>
      <c r="G754" s="889">
        <v>0.15</v>
      </c>
      <c r="H754" s="890">
        <f>ListaMaterial[[#This Row],[TOTAL]]*(1+ListaMaterial[[#This Row],[PERDA]])</f>
        <v>49.8065</v>
      </c>
      <c r="I754" s="887" t="s">
        <v>3</v>
      </c>
      <c r="J754" s="891">
        <f>_xlfn.XLOOKUP(ListaMaterial[[#This Row],[ITEM]],M:M,N:N,,0)</f>
        <v>7.7985833333333332</v>
      </c>
      <c r="K754" s="891">
        <f>J754*ListaMaterial[[#This Row],[TOTAL C/PERDA]]</f>
        <v>388.42014079166665</v>
      </c>
      <c r="M754" s="901"/>
      <c r="N754" s="902"/>
    </row>
    <row r="755" spans="1:14" x14ac:dyDescent="0.25">
      <c r="A755" s="883" t="s">
        <v>4628</v>
      </c>
      <c r="B755" s="883" t="s">
        <v>4619</v>
      </c>
      <c r="C755" s="883" t="s">
        <v>4740</v>
      </c>
      <c r="D755" s="886">
        <v>33.450000000000003</v>
      </c>
      <c r="E755" s="887">
        <v>1</v>
      </c>
      <c r="F755" s="888">
        <f>ListaMaterial[[#This Row],[REPETIÇÃO]]*ListaMaterial[[#This Row],[QUANTIDADE]]</f>
        <v>33.450000000000003</v>
      </c>
      <c r="G755" s="889">
        <v>0.15</v>
      </c>
      <c r="H755" s="890">
        <f>ListaMaterial[[#This Row],[TOTAL]]*(1+ListaMaterial[[#This Row],[PERDA]])</f>
        <v>38.467500000000001</v>
      </c>
      <c r="I755" s="887" t="s">
        <v>3</v>
      </c>
      <c r="J755" s="891">
        <f>_xlfn.XLOOKUP(ListaMaterial[[#This Row],[ITEM]],M:M,N:N,,0)</f>
        <v>12.832716666666668</v>
      </c>
      <c r="K755" s="891">
        <f>J755*ListaMaterial[[#This Row],[TOTAL C/PERDA]]</f>
        <v>493.6425283750001</v>
      </c>
      <c r="M755" s="901"/>
      <c r="N755" s="902"/>
    </row>
    <row r="756" spans="1:14" x14ac:dyDescent="0.25">
      <c r="A756" s="883" t="s">
        <v>4628</v>
      </c>
      <c r="B756" s="883" t="s">
        <v>4619</v>
      </c>
      <c r="C756" s="883" t="s">
        <v>4839</v>
      </c>
      <c r="D756" s="886">
        <v>11.66</v>
      </c>
      <c r="E756" s="887">
        <v>1</v>
      </c>
      <c r="F756" s="888">
        <f>ListaMaterial[[#This Row],[REPETIÇÃO]]*ListaMaterial[[#This Row],[QUANTIDADE]]</f>
        <v>11.66</v>
      </c>
      <c r="G756" s="889">
        <v>0.15</v>
      </c>
      <c r="H756" s="890">
        <f>ListaMaterial[[#This Row],[TOTAL]]*(1+ListaMaterial[[#This Row],[PERDA]])</f>
        <v>13.408999999999999</v>
      </c>
      <c r="I756" s="887" t="s">
        <v>3</v>
      </c>
      <c r="J756" s="891">
        <f>_xlfn.XLOOKUP(ListaMaterial[[#This Row],[ITEM]],M:M,N:N,,0)</f>
        <v>62.834299999999999</v>
      </c>
      <c r="K756" s="891">
        <f>J756*ListaMaterial[[#This Row],[TOTAL C/PERDA]]</f>
        <v>842.54512869999996</v>
      </c>
      <c r="M756" s="901"/>
      <c r="N756" s="902"/>
    </row>
    <row r="757" spans="1:14" x14ac:dyDescent="0.25">
      <c r="A757" s="883" t="s">
        <v>4628</v>
      </c>
      <c r="B757" s="883" t="s">
        <v>4619</v>
      </c>
      <c r="C757" s="883" t="s">
        <v>4686</v>
      </c>
      <c r="D757" s="886">
        <v>34.67</v>
      </c>
      <c r="E757" s="887">
        <v>1</v>
      </c>
      <c r="F757" s="888">
        <f>ListaMaterial[[#This Row],[REPETIÇÃO]]*ListaMaterial[[#This Row],[QUANTIDADE]]</f>
        <v>34.67</v>
      </c>
      <c r="G757" s="889">
        <v>0.15</v>
      </c>
      <c r="H757" s="890">
        <f>ListaMaterial[[#This Row],[TOTAL]]*(1+ListaMaterial[[#This Row],[PERDA]])</f>
        <v>39.8705</v>
      </c>
      <c r="I757" s="887" t="s">
        <v>3</v>
      </c>
      <c r="J757" s="891">
        <f>_xlfn.XLOOKUP(ListaMaterial[[#This Row],[ITEM]],M:M,N:N,,0)</f>
        <v>19.054383333333334</v>
      </c>
      <c r="K757" s="891">
        <f>J757*ListaMaterial[[#This Row],[TOTAL C/PERDA]]</f>
        <v>759.70779069166667</v>
      </c>
      <c r="M757" s="901"/>
      <c r="N757" s="902"/>
    </row>
    <row r="758" spans="1:14" x14ac:dyDescent="0.25">
      <c r="A758" s="883" t="s">
        <v>4628</v>
      </c>
      <c r="B758" s="883" t="s">
        <v>4619</v>
      </c>
      <c r="C758" s="883" t="s">
        <v>4840</v>
      </c>
      <c r="D758" s="886">
        <v>19.690000000000001</v>
      </c>
      <c r="E758" s="887">
        <v>1</v>
      </c>
      <c r="F758" s="888">
        <f>ListaMaterial[[#This Row],[REPETIÇÃO]]*ListaMaterial[[#This Row],[QUANTIDADE]]</f>
        <v>19.690000000000001</v>
      </c>
      <c r="G758" s="889">
        <v>0.15</v>
      </c>
      <c r="H758" s="890">
        <f>ListaMaterial[[#This Row],[TOTAL]]*(1+ListaMaterial[[#This Row],[PERDA]])</f>
        <v>22.6435</v>
      </c>
      <c r="I758" s="887" t="s">
        <v>3</v>
      </c>
      <c r="J758" s="891">
        <f>_xlfn.XLOOKUP(ListaMaterial[[#This Row],[ITEM]],M:M,N:N,,0)</f>
        <v>60.661666666666669</v>
      </c>
      <c r="K758" s="891">
        <f>J758*ListaMaterial[[#This Row],[TOTAL C/PERDA]]</f>
        <v>1373.5924491666667</v>
      </c>
      <c r="M758" s="901"/>
      <c r="N758" s="902"/>
    </row>
    <row r="759" spans="1:14" x14ac:dyDescent="0.25">
      <c r="A759" s="883" t="s">
        <v>4628</v>
      </c>
      <c r="B759" s="883" t="s">
        <v>4619</v>
      </c>
      <c r="C759" s="883" t="s">
        <v>4841</v>
      </c>
      <c r="D759" s="886">
        <v>34.799999999999997</v>
      </c>
      <c r="E759" s="887">
        <v>1</v>
      </c>
      <c r="F759" s="888">
        <f>ListaMaterial[[#This Row],[REPETIÇÃO]]*ListaMaterial[[#This Row],[QUANTIDADE]]</f>
        <v>34.799999999999997</v>
      </c>
      <c r="G759" s="889">
        <v>0.15</v>
      </c>
      <c r="H759" s="890">
        <f>ListaMaterial[[#This Row],[TOTAL]]*(1+ListaMaterial[[#This Row],[PERDA]])</f>
        <v>40.019999999999996</v>
      </c>
      <c r="I759" s="887" t="s">
        <v>3</v>
      </c>
      <c r="J759" s="891">
        <f>_xlfn.XLOOKUP(ListaMaterial[[#This Row],[ITEM]],M:M,N:N,,0)</f>
        <v>79.850000000000009</v>
      </c>
      <c r="K759" s="891">
        <f>J759*ListaMaterial[[#This Row],[TOTAL C/PERDA]]</f>
        <v>3195.5970000000002</v>
      </c>
      <c r="M759" s="901"/>
      <c r="N759" s="902"/>
    </row>
    <row r="760" spans="1:14" ht="15.75" customHeight="1" x14ac:dyDescent="0.25">
      <c r="A760" s="883" t="s">
        <v>4628</v>
      </c>
      <c r="B760" s="883" t="s">
        <v>4619</v>
      </c>
      <c r="C760" s="883" t="s">
        <v>4842</v>
      </c>
      <c r="D760" s="886">
        <v>13.78</v>
      </c>
      <c r="E760" s="887">
        <v>1</v>
      </c>
      <c r="F760" s="888">
        <f>ListaMaterial[[#This Row],[REPETIÇÃO]]*ListaMaterial[[#This Row],[QUANTIDADE]]</f>
        <v>13.78</v>
      </c>
      <c r="G760" s="889">
        <v>0.15</v>
      </c>
      <c r="H760" s="890">
        <f>ListaMaterial[[#This Row],[TOTAL]]*(1+ListaMaterial[[#This Row],[PERDA]])</f>
        <v>15.846999999999998</v>
      </c>
      <c r="I760" s="887" t="s">
        <v>3</v>
      </c>
      <c r="J760" s="891">
        <f>_xlfn.XLOOKUP(ListaMaterial[[#This Row],[ITEM]],M:M,N:N,,0)</f>
        <v>123.985</v>
      </c>
      <c r="K760" s="891">
        <f>J760*ListaMaterial[[#This Row],[TOTAL C/PERDA]]</f>
        <v>1964.7902949999998</v>
      </c>
      <c r="M760" s="901"/>
      <c r="N760" s="902"/>
    </row>
    <row r="761" spans="1:14" x14ac:dyDescent="0.25">
      <c r="A761" s="883" t="s">
        <v>4628</v>
      </c>
      <c r="B761" s="883" t="s">
        <v>4629</v>
      </c>
      <c r="C761" s="883" t="s">
        <v>4797</v>
      </c>
      <c r="D761" s="886">
        <v>1</v>
      </c>
      <c r="E761" s="886">
        <v>1</v>
      </c>
      <c r="F761" s="888">
        <f>ListaMaterial[[#This Row],[REPETIÇÃO]]*ListaMaterial[[#This Row],[QUANTIDADE]]</f>
        <v>1</v>
      </c>
      <c r="H761" s="890">
        <f>ListaMaterial[[#This Row],[TOTAL]]*(1+ListaMaterial[[#This Row],[PERDA]])</f>
        <v>1</v>
      </c>
      <c r="I761" s="886" t="s">
        <v>4243</v>
      </c>
      <c r="J761" s="891">
        <f>_xlfn.XLOOKUP(ListaMaterial[[#This Row],[ITEM]],M:M,N:N,,0)</f>
        <v>32.9</v>
      </c>
      <c r="K761" s="891">
        <f>J761*ListaMaterial[[#This Row],[TOTAL C/PERDA]]</f>
        <v>32.9</v>
      </c>
      <c r="M761" s="901"/>
      <c r="N761" s="902"/>
    </row>
    <row r="762" spans="1:14" x14ac:dyDescent="0.25">
      <c r="A762" s="883" t="s">
        <v>4628</v>
      </c>
      <c r="B762" s="883" t="s">
        <v>4629</v>
      </c>
      <c r="C762" s="883" t="s">
        <v>4800</v>
      </c>
      <c r="D762" s="886">
        <v>1</v>
      </c>
      <c r="E762" s="886">
        <v>1</v>
      </c>
      <c r="F762" s="888">
        <f>ListaMaterial[[#This Row],[REPETIÇÃO]]*ListaMaterial[[#This Row],[QUANTIDADE]]</f>
        <v>1</v>
      </c>
      <c r="H762" s="890">
        <f>ListaMaterial[[#This Row],[TOTAL]]*(1+ListaMaterial[[#This Row],[PERDA]])</f>
        <v>1</v>
      </c>
      <c r="I762" s="886" t="s">
        <v>4243</v>
      </c>
      <c r="J762" s="891">
        <f>_xlfn.XLOOKUP(ListaMaterial[[#This Row],[ITEM]],M:M,N:N,,0)</f>
        <v>546.77</v>
      </c>
      <c r="K762" s="891">
        <f>J762*ListaMaterial[[#This Row],[TOTAL C/PERDA]]</f>
        <v>546.77</v>
      </c>
      <c r="M762" s="901"/>
      <c r="N762" s="902"/>
    </row>
    <row r="763" spans="1:14" x14ac:dyDescent="0.25">
      <c r="A763" s="919"/>
      <c r="B763" s="920" t="s">
        <v>4628</v>
      </c>
      <c r="C763" s="921"/>
      <c r="D763" s="922"/>
      <c r="E763" s="923"/>
      <c r="F763" s="924">
        <f>ListaMaterial[[#This Row],[REPETIÇÃO]]*ListaMaterial[[#This Row],[QUANTIDADE]]</f>
        <v>0</v>
      </c>
      <c r="G763" s="925"/>
      <c r="H763" s="926">
        <f>ListaMaterial[[#This Row],[TOTAL]]*(1+ListaMaterial[[#This Row],[PERDA]])</f>
        <v>0</v>
      </c>
      <c r="I763" s="927"/>
      <c r="J763" s="900"/>
      <c r="K763" s="900">
        <f>SUM(K645:K762)</f>
        <v>109652.81337025836</v>
      </c>
    </row>
  </sheetData>
  <autoFilter ref="N1:N762" xr:uid="{49637790-4A39-4988-83A2-6EA9B0314088}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A1F0-C052-4135-AE98-6F1EDAB3F08A}">
  <sheetPr>
    <tabColor rgb="FFF43800"/>
  </sheetPr>
  <dimension ref="A1:G822"/>
  <sheetViews>
    <sheetView topLeftCell="A13" zoomScaleNormal="100" workbookViewId="0">
      <selection activeCell="E32" sqref="E32:E33"/>
    </sheetView>
  </sheetViews>
  <sheetFormatPr defaultRowHeight="15" x14ac:dyDescent="0.25"/>
  <cols>
    <col min="1" max="1" width="42.28515625" style="1012" customWidth="1"/>
    <col min="2" max="2" width="11" style="1012" customWidth="1"/>
    <col min="3" max="3" width="12.7109375" style="1012" customWidth="1"/>
    <col min="4" max="5" width="15.5703125" style="1012" customWidth="1"/>
    <col min="6" max="6" width="20.42578125" style="1013" customWidth="1"/>
    <col min="7" max="7" width="13.28515625" style="1012" bestFit="1" customWidth="1"/>
    <col min="8" max="8" width="9.42578125" style="1012" bestFit="1" customWidth="1"/>
    <col min="9" max="11" width="10.42578125" style="1012" bestFit="1" customWidth="1"/>
    <col min="12" max="16384" width="9.140625" style="1012"/>
  </cols>
  <sheetData>
    <row r="1" spans="1:6" hidden="1" x14ac:dyDescent="0.25"/>
    <row r="2" spans="1:6" hidden="1" x14ac:dyDescent="0.25"/>
    <row r="3" spans="1:6" hidden="1" x14ac:dyDescent="0.25"/>
    <row r="4" spans="1:6" hidden="1" x14ac:dyDescent="0.25"/>
    <row r="5" spans="1:6" hidden="1" x14ac:dyDescent="0.25"/>
    <row r="6" spans="1:6" hidden="1" x14ac:dyDescent="0.25"/>
    <row r="7" spans="1:6" hidden="1" x14ac:dyDescent="0.25"/>
    <row r="8" spans="1:6" hidden="1" x14ac:dyDescent="0.25"/>
    <row r="9" spans="1:6" hidden="1" x14ac:dyDescent="0.25"/>
    <row r="10" spans="1:6" hidden="1" x14ac:dyDescent="0.25"/>
    <row r="11" spans="1:6" hidden="1" x14ac:dyDescent="0.25"/>
    <row r="12" spans="1:6" hidden="1" x14ac:dyDescent="0.25"/>
    <row r="13" spans="1:6" x14ac:dyDescent="0.25">
      <c r="A13" s="1014"/>
      <c r="B13" s="1015" t="s">
        <v>124</v>
      </c>
      <c r="C13" s="1033" t="str">
        <f>'Obra '!D1</f>
        <v>Porto Cerro</v>
      </c>
      <c r="D13" s="1034"/>
      <c r="E13" s="1034"/>
      <c r="F13" s="1035"/>
    </row>
    <row r="14" spans="1:6" ht="15" customHeight="1" x14ac:dyDescent="0.25">
      <c r="A14" s="1016"/>
      <c r="B14" s="1017" t="s">
        <v>100</v>
      </c>
      <c r="C14" s="1033" t="str">
        <f>'Obra '!D2</f>
        <v>XPCon Empreendimentos</v>
      </c>
      <c r="D14" s="1034"/>
      <c r="E14" s="1034"/>
      <c r="F14" s="1035"/>
    </row>
    <row r="15" spans="1:6" x14ac:dyDescent="0.25">
      <c r="A15" s="1018"/>
      <c r="B15" s="1019" t="s">
        <v>101</v>
      </c>
      <c r="C15" s="1033" t="str">
        <f>'Obra '!D3</f>
        <v>R01 - 03/09/2025</v>
      </c>
      <c r="D15" s="1034"/>
      <c r="E15" s="1034"/>
      <c r="F15" s="1035"/>
    </row>
    <row r="16" spans="1:6" ht="18.75" x14ac:dyDescent="0.25">
      <c r="A16" s="1200" t="s">
        <v>5075</v>
      </c>
      <c r="B16" s="1201"/>
      <c r="C16" s="1201"/>
      <c r="D16" s="1201"/>
      <c r="E16" s="1201"/>
      <c r="F16" s="1201"/>
    </row>
    <row r="17" spans="1:7" ht="15.75" x14ac:dyDescent="0.25">
      <c r="A17" s="1020" t="s">
        <v>0</v>
      </c>
      <c r="B17" s="1021" t="s">
        <v>46</v>
      </c>
      <c r="C17" s="1021" t="s">
        <v>5076</v>
      </c>
      <c r="D17" s="1021" t="s">
        <v>5077</v>
      </c>
      <c r="E17" s="1021" t="s">
        <v>12</v>
      </c>
      <c r="F17" s="1021" t="s">
        <v>5078</v>
      </c>
    </row>
    <row r="18" spans="1:7" x14ac:dyDescent="0.25">
      <c r="A18" s="1022" t="s">
        <v>5079</v>
      </c>
      <c r="B18" s="1023"/>
      <c r="C18" s="1023"/>
      <c r="D18" s="1023"/>
      <c r="E18" s="1023">
        <f>SUM(E19:E34)</f>
        <v>87801.188571428575</v>
      </c>
      <c r="F18" s="1023"/>
    </row>
    <row r="19" spans="1:7" x14ac:dyDescent="0.25">
      <c r="A19" s="1024" t="s">
        <v>5082</v>
      </c>
      <c r="B19" s="1025" t="s">
        <v>46</v>
      </c>
      <c r="C19" s="1026">
        <v>1</v>
      </c>
      <c r="D19" s="1027">
        <f>520*18*1.6</f>
        <v>14976</v>
      </c>
      <c r="E19" s="1027">
        <f>D19*C19</f>
        <v>14976</v>
      </c>
      <c r="F19" s="1028" t="s">
        <v>5081</v>
      </c>
    </row>
    <row r="20" spans="1:7" x14ac:dyDescent="0.25">
      <c r="A20" s="1024" t="s">
        <v>5083</v>
      </c>
      <c r="B20" s="1025" t="s">
        <v>46</v>
      </c>
      <c r="C20" s="1026">
        <v>1</v>
      </c>
      <c r="D20" s="1027">
        <f>SUMPRODUCT(C21:C31,D21:D31)</f>
        <v>39681.942857142858</v>
      </c>
      <c r="E20" s="1027">
        <f>D20*C20</f>
        <v>39681.942857142858</v>
      </c>
      <c r="F20" s="1028" t="s">
        <v>5080</v>
      </c>
    </row>
    <row r="21" spans="1:7" x14ac:dyDescent="0.25">
      <c r="A21" s="1036" t="s">
        <v>5086</v>
      </c>
      <c r="B21" s="1037" t="s">
        <v>46</v>
      </c>
      <c r="C21" s="1038">
        <f>'Obra '!E10+8</f>
        <v>94</v>
      </c>
      <c r="D21" s="1039">
        <v>72</v>
      </c>
      <c r="E21" s="1027"/>
      <c r="F21" s="1028"/>
    </row>
    <row r="22" spans="1:7" x14ac:dyDescent="0.25">
      <c r="A22" s="1036" t="s">
        <v>5095</v>
      </c>
      <c r="B22" s="1037" t="s">
        <v>46</v>
      </c>
      <c r="C22" s="1038">
        <v>1</v>
      </c>
      <c r="D22" s="1039">
        <f>1149+1</f>
        <v>1150</v>
      </c>
      <c r="E22" s="1027"/>
      <c r="F22" s="1028"/>
    </row>
    <row r="23" spans="1:7" x14ac:dyDescent="0.25">
      <c r="A23" s="1036" t="s">
        <v>5087</v>
      </c>
      <c r="B23" s="1037" t="s">
        <v>46</v>
      </c>
      <c r="C23" s="1038">
        <v>9</v>
      </c>
      <c r="D23" s="1039">
        <v>1310</v>
      </c>
      <c r="E23" s="1027"/>
      <c r="F23" s="1028"/>
    </row>
    <row r="24" spans="1:7" x14ac:dyDescent="0.25">
      <c r="A24" s="1036" t="s">
        <v>5088</v>
      </c>
      <c r="B24" s="1037" t="s">
        <v>46</v>
      </c>
      <c r="C24" s="1038">
        <f>C22</f>
        <v>1</v>
      </c>
      <c r="D24" s="1039">
        <v>169</v>
      </c>
      <c r="E24" s="1027"/>
      <c r="F24" s="1028"/>
    </row>
    <row r="25" spans="1:7" x14ac:dyDescent="0.25">
      <c r="A25" s="1036" t="s">
        <v>5089</v>
      </c>
      <c r="B25" s="1037" t="s">
        <v>46</v>
      </c>
      <c r="C25" s="1038">
        <f>C23</f>
        <v>9</v>
      </c>
      <c r="D25" s="1039">
        <v>179</v>
      </c>
      <c r="E25" s="1027"/>
      <c r="F25" s="1028"/>
    </row>
    <row r="26" spans="1:7" x14ac:dyDescent="0.25">
      <c r="A26" s="1036" t="s">
        <v>5090</v>
      </c>
      <c r="B26" s="1037" t="s">
        <v>46</v>
      </c>
      <c r="C26" s="1038">
        <f>C22</f>
        <v>1</v>
      </c>
      <c r="D26" s="1039">
        <v>188</v>
      </c>
      <c r="E26" s="1027"/>
      <c r="F26" s="1028"/>
    </row>
    <row r="27" spans="1:7" x14ac:dyDescent="0.25">
      <c r="A27" s="1036" t="s">
        <v>5091</v>
      </c>
      <c r="B27" s="1037" t="s">
        <v>46</v>
      </c>
      <c r="C27" s="1038">
        <f>C22</f>
        <v>1</v>
      </c>
      <c r="D27" s="1039">
        <v>520</v>
      </c>
      <c r="E27" s="1027"/>
      <c r="F27" s="1028"/>
    </row>
    <row r="28" spans="1:7" x14ac:dyDescent="0.25">
      <c r="A28" s="1036" t="s">
        <v>5092</v>
      </c>
      <c r="B28" s="1037" t="s">
        <v>46</v>
      </c>
      <c r="C28" s="1038">
        <f>C22</f>
        <v>1</v>
      </c>
      <c r="D28" s="1039">
        <v>95</v>
      </c>
      <c r="E28" s="1027"/>
      <c r="F28" s="1028"/>
    </row>
    <row r="29" spans="1:7" x14ac:dyDescent="0.25">
      <c r="A29" s="1036" t="s">
        <v>5093</v>
      </c>
      <c r="B29" s="1037" t="s">
        <v>46</v>
      </c>
      <c r="C29" s="1038">
        <f>C22+C23</f>
        <v>10</v>
      </c>
      <c r="D29" s="1039">
        <v>65</v>
      </c>
      <c r="E29" s="1027"/>
      <c r="F29" s="1028"/>
      <c r="G29" s="1040"/>
    </row>
    <row r="30" spans="1:7" x14ac:dyDescent="0.25">
      <c r="A30" s="1036" t="s">
        <v>5094</v>
      </c>
      <c r="B30" s="1037" t="s">
        <v>46</v>
      </c>
      <c r="C30" s="1038">
        <f>C21</f>
        <v>94</v>
      </c>
      <c r="D30" s="1039">
        <v>2.2000000000000002</v>
      </c>
      <c r="E30" s="1027"/>
      <c r="F30" s="1028"/>
    </row>
    <row r="31" spans="1:7" x14ac:dyDescent="0.25">
      <c r="A31" s="1036" t="s">
        <v>5098</v>
      </c>
      <c r="B31" s="1037" t="s">
        <v>46</v>
      </c>
      <c r="C31" s="1038">
        <f>C22</f>
        <v>1</v>
      </c>
      <c r="D31" s="1039">
        <f>SUMPRODUCT(C21:C30,D21:D30)/1.4</f>
        <v>16534.142857142859</v>
      </c>
      <c r="E31" s="1027"/>
      <c r="F31" s="1028"/>
    </row>
    <row r="32" spans="1:7" x14ac:dyDescent="0.25">
      <c r="A32" s="1024" t="s">
        <v>5084</v>
      </c>
      <c r="B32" s="1025" t="s">
        <v>46</v>
      </c>
      <c r="C32" s="1026">
        <v>8</v>
      </c>
      <c r="D32" s="1027">
        <f>937.38*1.5</f>
        <v>1406.07</v>
      </c>
      <c r="E32" s="1027">
        <f t="shared" ref="E32:E34" si="0">D32*C32</f>
        <v>11248.56</v>
      </c>
      <c r="F32" s="1028" t="s">
        <v>5096</v>
      </c>
    </row>
    <row r="33" spans="1:7" x14ac:dyDescent="0.25">
      <c r="A33" s="1024" t="s">
        <v>5085</v>
      </c>
      <c r="B33" s="1025" t="s">
        <v>46</v>
      </c>
      <c r="C33" s="1026">
        <v>11</v>
      </c>
      <c r="D33" s="1027">
        <f>490*1.5</f>
        <v>735</v>
      </c>
      <c r="E33" s="1027">
        <f t="shared" si="0"/>
        <v>8085</v>
      </c>
      <c r="F33" s="1028" t="s">
        <v>5096</v>
      </c>
    </row>
    <row r="34" spans="1:7" x14ac:dyDescent="0.25">
      <c r="A34" s="1024" t="s">
        <v>5099</v>
      </c>
      <c r="B34" s="1025" t="s">
        <v>46</v>
      </c>
      <c r="C34" s="1026">
        <v>1</v>
      </c>
      <c r="D34" s="1027">
        <f>(E32+E33)/1.4</f>
        <v>13809.685714285713</v>
      </c>
      <c r="E34" s="1027">
        <f t="shared" si="0"/>
        <v>13809.685714285713</v>
      </c>
      <c r="F34" s="1028" t="s">
        <v>5081</v>
      </c>
      <c r="G34" s="1029"/>
    </row>
    <row r="35" spans="1:7" x14ac:dyDescent="0.25">
      <c r="A35" s="1024"/>
      <c r="B35" s="1025"/>
      <c r="C35" s="1026"/>
      <c r="D35" s="1026"/>
      <c r="E35" s="1026"/>
      <c r="F35" s="1028"/>
    </row>
    <row r="36" spans="1:7" ht="15.75" x14ac:dyDescent="0.25">
      <c r="A36" s="1030"/>
      <c r="B36" s="1031"/>
      <c r="C36" s="1030"/>
      <c r="D36" s="1031"/>
      <c r="E36" s="1031"/>
      <c r="F36" s="1032"/>
    </row>
    <row r="37" spans="1:7" ht="15.75" x14ac:dyDescent="0.25">
      <c r="A37" s="1030"/>
      <c r="B37" s="1031"/>
      <c r="C37" s="1030"/>
      <c r="D37" s="1031"/>
      <c r="E37" s="1031"/>
      <c r="F37" s="1032"/>
    </row>
    <row r="38" spans="1:7" ht="15.75" x14ac:dyDescent="0.25">
      <c r="A38" s="1030"/>
      <c r="B38" s="1031"/>
      <c r="C38" s="1030"/>
      <c r="D38" s="1031"/>
      <c r="E38" s="1031"/>
      <c r="F38" s="1032"/>
    </row>
    <row r="39" spans="1:7" ht="15.75" x14ac:dyDescent="0.25">
      <c r="A39" s="1030"/>
      <c r="B39" s="1031"/>
      <c r="C39" s="1030"/>
      <c r="D39" s="1031"/>
      <c r="E39" s="1031"/>
      <c r="F39" s="1032"/>
    </row>
    <row r="40" spans="1:7" ht="15.75" x14ac:dyDescent="0.25">
      <c r="A40" s="1030"/>
      <c r="B40" s="1031"/>
      <c r="C40" s="1030"/>
      <c r="D40" s="1031"/>
      <c r="E40" s="1031"/>
      <c r="F40" s="1032"/>
    </row>
    <row r="41" spans="1:7" ht="15.75" x14ac:dyDescent="0.25">
      <c r="A41" s="1030"/>
      <c r="B41" s="1031"/>
      <c r="C41" s="1030"/>
      <c r="D41" s="1031"/>
      <c r="E41" s="1031"/>
      <c r="F41" s="1032"/>
    </row>
    <row r="42" spans="1:7" ht="15.75" x14ac:dyDescent="0.25">
      <c r="A42" s="1030"/>
      <c r="B42" s="1031"/>
      <c r="C42" s="1030"/>
      <c r="D42" s="1031"/>
      <c r="E42" s="1031"/>
      <c r="F42" s="1032"/>
    </row>
    <row r="43" spans="1:7" ht="15.75" x14ac:dyDescent="0.25">
      <c r="A43" s="1030"/>
      <c r="B43" s="1031"/>
      <c r="C43" s="1030"/>
      <c r="D43" s="1031"/>
      <c r="E43" s="1031"/>
      <c r="F43" s="1032"/>
    </row>
    <row r="44" spans="1:7" ht="15.75" x14ac:dyDescent="0.25">
      <c r="A44" s="1030"/>
      <c r="B44" s="1031"/>
      <c r="C44" s="1030"/>
      <c r="D44" s="1031"/>
      <c r="E44" s="1031"/>
      <c r="F44" s="1032"/>
    </row>
    <row r="45" spans="1:7" ht="15.75" x14ac:dyDescent="0.25">
      <c r="A45" s="1030"/>
      <c r="B45" s="1031"/>
      <c r="C45" s="1030"/>
      <c r="D45" s="1031"/>
      <c r="E45" s="1031"/>
      <c r="F45" s="1032"/>
    </row>
    <row r="46" spans="1:7" ht="15.75" x14ac:dyDescent="0.25">
      <c r="A46" s="1030"/>
      <c r="B46" s="1031"/>
      <c r="C46" s="1030"/>
      <c r="D46" s="1031"/>
      <c r="E46" s="1031"/>
      <c r="F46" s="1032"/>
    </row>
    <row r="47" spans="1:7" ht="15.75" x14ac:dyDescent="0.25">
      <c r="A47" s="1030"/>
      <c r="B47" s="1031"/>
      <c r="C47" s="1030"/>
      <c r="D47" s="1031"/>
      <c r="E47" s="1031"/>
      <c r="F47" s="1032"/>
    </row>
    <row r="48" spans="1:7" ht="15.75" x14ac:dyDescent="0.25">
      <c r="A48" s="1030"/>
      <c r="B48" s="1031"/>
      <c r="C48" s="1030"/>
      <c r="D48" s="1031"/>
      <c r="E48" s="1031"/>
      <c r="F48" s="1032"/>
    </row>
    <row r="49" spans="1:6" ht="15.75" x14ac:dyDescent="0.25">
      <c r="A49" s="1030"/>
      <c r="B49" s="1031"/>
      <c r="C49" s="1030"/>
      <c r="D49" s="1031"/>
      <c r="E49" s="1031"/>
      <c r="F49" s="1032"/>
    </row>
    <row r="50" spans="1:6" ht="15.75" x14ac:dyDescent="0.25">
      <c r="A50" s="1030"/>
      <c r="B50" s="1031"/>
      <c r="C50" s="1030"/>
      <c r="D50" s="1031"/>
      <c r="E50" s="1031"/>
      <c r="F50" s="1032"/>
    </row>
    <row r="51" spans="1:6" ht="15.75" x14ac:dyDescent="0.25">
      <c r="A51" s="1030"/>
      <c r="B51" s="1031"/>
      <c r="C51" s="1030"/>
      <c r="D51" s="1031"/>
      <c r="E51" s="1031"/>
      <c r="F51" s="1032"/>
    </row>
    <row r="52" spans="1:6" ht="15.75" x14ac:dyDescent="0.25">
      <c r="A52" s="1030"/>
      <c r="B52" s="1031"/>
      <c r="C52" s="1030"/>
      <c r="D52" s="1031"/>
      <c r="E52" s="1031"/>
      <c r="F52" s="1032"/>
    </row>
    <row r="53" spans="1:6" ht="15.75" x14ac:dyDescent="0.25">
      <c r="A53" s="1030"/>
      <c r="B53" s="1031"/>
      <c r="C53" s="1030"/>
      <c r="D53" s="1031"/>
      <c r="E53" s="1031"/>
      <c r="F53" s="1032"/>
    </row>
    <row r="54" spans="1:6" ht="15.75" x14ac:dyDescent="0.25">
      <c r="A54" s="1030"/>
      <c r="B54" s="1031"/>
      <c r="C54" s="1030"/>
      <c r="D54" s="1031"/>
      <c r="E54" s="1031"/>
      <c r="F54" s="1032"/>
    </row>
    <row r="55" spans="1:6" ht="15.75" x14ac:dyDescent="0.25">
      <c r="A55" s="1030"/>
      <c r="B55" s="1031"/>
      <c r="C55" s="1030"/>
      <c r="D55" s="1031"/>
      <c r="E55" s="1031"/>
      <c r="F55" s="1032"/>
    </row>
    <row r="56" spans="1:6" ht="15.75" x14ac:dyDescent="0.25">
      <c r="A56" s="1030"/>
      <c r="B56" s="1031"/>
      <c r="C56" s="1030"/>
      <c r="D56" s="1031"/>
      <c r="E56" s="1031"/>
      <c r="F56" s="1032"/>
    </row>
    <row r="57" spans="1:6" ht="15.75" x14ac:dyDescent="0.25">
      <c r="A57" s="1030"/>
      <c r="B57" s="1031"/>
      <c r="C57" s="1030"/>
      <c r="D57" s="1031"/>
      <c r="E57" s="1031"/>
      <c r="F57" s="1032"/>
    </row>
    <row r="58" spans="1:6" ht="15.75" x14ac:dyDescent="0.25">
      <c r="A58" s="1030"/>
      <c r="B58" s="1031"/>
      <c r="C58" s="1030"/>
      <c r="D58" s="1031"/>
      <c r="E58" s="1031"/>
      <c r="F58" s="1032"/>
    </row>
    <row r="59" spans="1:6" ht="15.75" x14ac:dyDescent="0.25">
      <c r="A59" s="1030"/>
      <c r="B59" s="1031"/>
      <c r="C59" s="1030"/>
      <c r="D59" s="1031"/>
      <c r="E59" s="1031"/>
      <c r="F59" s="1032"/>
    </row>
    <row r="60" spans="1:6" ht="15.75" x14ac:dyDescent="0.25">
      <c r="A60" s="1030"/>
      <c r="B60" s="1031"/>
      <c r="C60" s="1030"/>
      <c r="D60" s="1031"/>
      <c r="E60" s="1031"/>
      <c r="F60" s="1032"/>
    </row>
    <row r="61" spans="1:6" ht="15.75" x14ac:dyDescent="0.25">
      <c r="A61" s="1030"/>
      <c r="B61" s="1031"/>
      <c r="C61" s="1030"/>
      <c r="D61" s="1031"/>
      <c r="E61" s="1031"/>
      <c r="F61" s="1032"/>
    </row>
    <row r="62" spans="1:6" ht="15.75" x14ac:dyDescent="0.25">
      <c r="A62" s="1030"/>
      <c r="B62" s="1031"/>
      <c r="C62" s="1030"/>
      <c r="D62" s="1031"/>
      <c r="E62" s="1031"/>
      <c r="F62" s="1032"/>
    </row>
    <row r="63" spans="1:6" ht="15.75" x14ac:dyDescent="0.25">
      <c r="A63" s="1030"/>
      <c r="B63" s="1031"/>
      <c r="C63" s="1030"/>
      <c r="D63" s="1031"/>
      <c r="E63" s="1031"/>
      <c r="F63" s="1032"/>
    </row>
    <row r="64" spans="1:6" ht="15.75" x14ac:dyDescent="0.25">
      <c r="A64" s="1030"/>
      <c r="B64" s="1031"/>
      <c r="C64" s="1030"/>
      <c r="D64" s="1031"/>
      <c r="E64" s="1031"/>
      <c r="F64" s="1032"/>
    </row>
    <row r="65" spans="1:6" ht="15.75" x14ac:dyDescent="0.25">
      <c r="A65" s="1030"/>
      <c r="B65" s="1031"/>
      <c r="C65" s="1030"/>
      <c r="D65" s="1031"/>
      <c r="E65" s="1031"/>
      <c r="F65" s="1032"/>
    </row>
    <row r="66" spans="1:6" ht="15.75" x14ac:dyDescent="0.25">
      <c r="A66" s="1030"/>
      <c r="B66" s="1031"/>
      <c r="C66" s="1030"/>
      <c r="D66" s="1031"/>
      <c r="E66" s="1031"/>
      <c r="F66" s="1032"/>
    </row>
    <row r="67" spans="1:6" ht="15.75" x14ac:dyDescent="0.25">
      <c r="A67" s="1030"/>
      <c r="B67" s="1031"/>
      <c r="C67" s="1030"/>
      <c r="D67" s="1031"/>
      <c r="E67" s="1031"/>
      <c r="F67" s="1032"/>
    </row>
    <row r="68" spans="1:6" ht="15.75" x14ac:dyDescent="0.25">
      <c r="A68" s="1030"/>
      <c r="B68" s="1031"/>
      <c r="C68" s="1030"/>
      <c r="D68" s="1031"/>
      <c r="E68" s="1031"/>
      <c r="F68" s="1032"/>
    </row>
    <row r="69" spans="1:6" ht="15.75" x14ac:dyDescent="0.25">
      <c r="A69" s="1030"/>
      <c r="B69" s="1031"/>
      <c r="C69" s="1030"/>
      <c r="D69" s="1031"/>
      <c r="E69" s="1031"/>
      <c r="F69" s="1032"/>
    </row>
    <row r="70" spans="1:6" ht="15.75" x14ac:dyDescent="0.25">
      <c r="A70" s="1030"/>
      <c r="B70" s="1031"/>
      <c r="C70" s="1030"/>
      <c r="D70" s="1031"/>
      <c r="E70" s="1031"/>
      <c r="F70" s="1032"/>
    </row>
    <row r="71" spans="1:6" ht="15.75" x14ac:dyDescent="0.25">
      <c r="A71" s="1030"/>
      <c r="B71" s="1031"/>
      <c r="C71" s="1030"/>
      <c r="D71" s="1031"/>
      <c r="E71" s="1031"/>
      <c r="F71" s="1032"/>
    </row>
    <row r="72" spans="1:6" ht="15.75" x14ac:dyDescent="0.25">
      <c r="A72" s="1030"/>
      <c r="B72" s="1031"/>
      <c r="C72" s="1030"/>
      <c r="D72" s="1031"/>
      <c r="E72" s="1031"/>
      <c r="F72" s="1032"/>
    </row>
    <row r="73" spans="1:6" ht="15.75" x14ac:dyDescent="0.25">
      <c r="A73" s="1030"/>
      <c r="B73" s="1031"/>
      <c r="C73" s="1030"/>
      <c r="D73" s="1031"/>
      <c r="E73" s="1031"/>
      <c r="F73" s="1032"/>
    </row>
    <row r="74" spans="1:6" ht="15.75" x14ac:dyDescent="0.25">
      <c r="A74" s="1030"/>
      <c r="B74" s="1031"/>
      <c r="C74" s="1030"/>
      <c r="D74" s="1031"/>
      <c r="E74" s="1031"/>
      <c r="F74" s="1032"/>
    </row>
    <row r="75" spans="1:6" ht="15.75" x14ac:dyDescent="0.25">
      <c r="A75" s="1030"/>
      <c r="B75" s="1031"/>
      <c r="C75" s="1030"/>
      <c r="D75" s="1031"/>
      <c r="E75" s="1031"/>
      <c r="F75" s="1032"/>
    </row>
    <row r="76" spans="1:6" ht="15.75" x14ac:dyDescent="0.25">
      <c r="A76" s="1030"/>
      <c r="B76" s="1031"/>
      <c r="C76" s="1030"/>
      <c r="D76" s="1031"/>
      <c r="E76" s="1031"/>
      <c r="F76" s="1032"/>
    </row>
    <row r="77" spans="1:6" ht="15.75" x14ac:dyDescent="0.25">
      <c r="A77" s="1030"/>
      <c r="B77" s="1031"/>
      <c r="C77" s="1030"/>
      <c r="D77" s="1031"/>
      <c r="E77" s="1031"/>
      <c r="F77" s="1032"/>
    </row>
    <row r="78" spans="1:6" ht="15.75" x14ac:dyDescent="0.25">
      <c r="A78" s="1030"/>
      <c r="B78" s="1031"/>
      <c r="C78" s="1030"/>
      <c r="D78" s="1031"/>
      <c r="E78" s="1031"/>
      <c r="F78" s="1032"/>
    </row>
    <row r="79" spans="1:6" ht="15.75" x14ac:dyDescent="0.25">
      <c r="A79" s="1030"/>
      <c r="B79" s="1031"/>
      <c r="C79" s="1030"/>
      <c r="D79" s="1031"/>
      <c r="E79" s="1031"/>
      <c r="F79" s="1032"/>
    </row>
    <row r="80" spans="1:6" ht="15.75" x14ac:dyDescent="0.25">
      <c r="A80" s="1030"/>
      <c r="B80" s="1031"/>
      <c r="C80" s="1030"/>
      <c r="D80" s="1031"/>
      <c r="E80" s="1031"/>
      <c r="F80" s="1032"/>
    </row>
    <row r="81" spans="1:6" ht="15.75" x14ac:dyDescent="0.25">
      <c r="A81" s="1030"/>
      <c r="B81" s="1031"/>
      <c r="C81" s="1030"/>
      <c r="D81" s="1031"/>
      <c r="E81" s="1031"/>
      <c r="F81" s="1032"/>
    </row>
    <row r="82" spans="1:6" ht="15.75" x14ac:dyDescent="0.25">
      <c r="A82" s="1030"/>
      <c r="B82" s="1031"/>
      <c r="C82" s="1030"/>
      <c r="D82" s="1031"/>
      <c r="E82" s="1031"/>
      <c r="F82" s="1032"/>
    </row>
    <row r="83" spans="1:6" ht="15.75" x14ac:dyDescent="0.25">
      <c r="A83" s="1030"/>
      <c r="B83" s="1031"/>
      <c r="C83" s="1030"/>
      <c r="D83" s="1031"/>
      <c r="E83" s="1031"/>
      <c r="F83" s="1032"/>
    </row>
    <row r="84" spans="1:6" ht="15.75" x14ac:dyDescent="0.25">
      <c r="A84" s="1030"/>
      <c r="B84" s="1031"/>
      <c r="C84" s="1030"/>
      <c r="D84" s="1031"/>
      <c r="E84" s="1031"/>
      <c r="F84" s="1032"/>
    </row>
    <row r="85" spans="1:6" ht="15.75" x14ac:dyDescent="0.25">
      <c r="A85" s="1030"/>
      <c r="B85" s="1031"/>
      <c r="C85" s="1030"/>
      <c r="D85" s="1031"/>
      <c r="E85" s="1031"/>
      <c r="F85" s="1032"/>
    </row>
    <row r="86" spans="1:6" ht="15.75" x14ac:dyDescent="0.25">
      <c r="A86" s="1030"/>
      <c r="B86" s="1031"/>
      <c r="C86" s="1030"/>
      <c r="D86" s="1031"/>
      <c r="E86" s="1031"/>
      <c r="F86" s="1032"/>
    </row>
    <row r="87" spans="1:6" ht="15.75" x14ac:dyDescent="0.25">
      <c r="A87" s="1030"/>
      <c r="B87" s="1031"/>
      <c r="C87" s="1030"/>
      <c r="D87" s="1031"/>
      <c r="E87" s="1031"/>
      <c r="F87" s="1032"/>
    </row>
    <row r="88" spans="1:6" ht="15.75" x14ac:dyDescent="0.25">
      <c r="A88" s="1030"/>
      <c r="B88" s="1031"/>
      <c r="C88" s="1030"/>
      <c r="D88" s="1031"/>
      <c r="E88" s="1031"/>
      <c r="F88" s="1032"/>
    </row>
    <row r="89" spans="1:6" ht="15.75" x14ac:dyDescent="0.25">
      <c r="A89" s="1030"/>
      <c r="B89" s="1031"/>
      <c r="C89" s="1030"/>
      <c r="D89" s="1031"/>
      <c r="E89" s="1031"/>
      <c r="F89" s="1032"/>
    </row>
    <row r="90" spans="1:6" ht="15.75" x14ac:dyDescent="0.25">
      <c r="A90" s="1030"/>
      <c r="B90" s="1031"/>
      <c r="C90" s="1030"/>
      <c r="D90" s="1031"/>
      <c r="E90" s="1031"/>
      <c r="F90" s="1032"/>
    </row>
    <row r="91" spans="1:6" ht="15.75" x14ac:dyDescent="0.25">
      <c r="A91" s="1030"/>
      <c r="B91" s="1031"/>
      <c r="C91" s="1030"/>
      <c r="D91" s="1031"/>
      <c r="E91" s="1031"/>
      <c r="F91" s="1032"/>
    </row>
    <row r="92" spans="1:6" ht="15.75" x14ac:dyDescent="0.25">
      <c r="A92" s="1030"/>
      <c r="B92" s="1031"/>
      <c r="C92" s="1030"/>
      <c r="D92" s="1031"/>
      <c r="E92" s="1031"/>
      <c r="F92" s="1032"/>
    </row>
    <row r="93" spans="1:6" ht="15.75" x14ac:dyDescent="0.25">
      <c r="A93" s="1030"/>
      <c r="B93" s="1031"/>
      <c r="C93" s="1030"/>
      <c r="D93" s="1031"/>
      <c r="E93" s="1031"/>
      <c r="F93" s="1032"/>
    </row>
    <row r="94" spans="1:6" ht="15.75" x14ac:dyDescent="0.25">
      <c r="A94" s="1030"/>
      <c r="B94" s="1031"/>
      <c r="C94" s="1030"/>
      <c r="D94" s="1031"/>
      <c r="E94" s="1031"/>
      <c r="F94" s="1032"/>
    </row>
    <row r="95" spans="1:6" ht="15.75" x14ac:dyDescent="0.25">
      <c r="A95" s="1030"/>
      <c r="B95" s="1031"/>
      <c r="C95" s="1030"/>
      <c r="D95" s="1031"/>
      <c r="E95" s="1031"/>
      <c r="F95" s="1032"/>
    </row>
    <row r="96" spans="1:6" ht="15.75" x14ac:dyDescent="0.25">
      <c r="A96" s="1030"/>
      <c r="B96" s="1031"/>
      <c r="C96" s="1030"/>
      <c r="D96" s="1031"/>
      <c r="E96" s="1031"/>
      <c r="F96" s="1032"/>
    </row>
    <row r="97" spans="1:6" ht="15.75" x14ac:dyDescent="0.25">
      <c r="A97" s="1030"/>
      <c r="B97" s="1031"/>
      <c r="C97" s="1030"/>
      <c r="D97" s="1031"/>
      <c r="E97" s="1031"/>
      <c r="F97" s="1032"/>
    </row>
    <row r="98" spans="1:6" ht="15.75" x14ac:dyDescent="0.25">
      <c r="A98" s="1030"/>
      <c r="B98" s="1031"/>
      <c r="C98" s="1030"/>
      <c r="D98" s="1031"/>
      <c r="E98" s="1031"/>
      <c r="F98" s="1032"/>
    </row>
    <row r="99" spans="1:6" ht="15.75" x14ac:dyDescent="0.25">
      <c r="A99" s="1030"/>
      <c r="B99" s="1031"/>
      <c r="C99" s="1030"/>
      <c r="D99" s="1031"/>
      <c r="E99" s="1031"/>
      <c r="F99" s="1032"/>
    </row>
    <row r="100" spans="1:6" ht="15.75" x14ac:dyDescent="0.25">
      <c r="A100" s="1030"/>
      <c r="B100" s="1031"/>
      <c r="C100" s="1030"/>
      <c r="D100" s="1031"/>
      <c r="E100" s="1031"/>
      <c r="F100" s="1032"/>
    </row>
    <row r="101" spans="1:6" ht="15.75" x14ac:dyDescent="0.25">
      <c r="A101" s="1030"/>
      <c r="B101" s="1031"/>
      <c r="C101" s="1030"/>
      <c r="D101" s="1031"/>
      <c r="E101" s="1031"/>
      <c r="F101" s="1032"/>
    </row>
    <row r="102" spans="1:6" ht="15.75" x14ac:dyDescent="0.25">
      <c r="A102" s="1030"/>
      <c r="B102" s="1031"/>
      <c r="C102" s="1030"/>
      <c r="D102" s="1031"/>
      <c r="E102" s="1031"/>
      <c r="F102" s="1032"/>
    </row>
    <row r="103" spans="1:6" ht="15.75" x14ac:dyDescent="0.25">
      <c r="A103" s="1030"/>
      <c r="B103" s="1031"/>
      <c r="C103" s="1030"/>
      <c r="D103" s="1031"/>
      <c r="E103" s="1031"/>
      <c r="F103" s="1032"/>
    </row>
    <row r="104" spans="1:6" ht="15.75" x14ac:dyDescent="0.25">
      <c r="A104" s="1030"/>
      <c r="B104" s="1031"/>
      <c r="C104" s="1030"/>
      <c r="D104" s="1031"/>
      <c r="E104" s="1031"/>
      <c r="F104" s="1032"/>
    </row>
    <row r="105" spans="1:6" ht="15.75" x14ac:dyDescent="0.25">
      <c r="A105" s="1030"/>
      <c r="B105" s="1031"/>
      <c r="C105" s="1030"/>
      <c r="D105" s="1031"/>
      <c r="E105" s="1031"/>
      <c r="F105" s="1032"/>
    </row>
    <row r="106" spans="1:6" ht="15.75" x14ac:dyDescent="0.25">
      <c r="A106" s="1030"/>
      <c r="B106" s="1031"/>
      <c r="C106" s="1030"/>
      <c r="D106" s="1031"/>
      <c r="E106" s="1031"/>
      <c r="F106" s="1032"/>
    </row>
    <row r="107" spans="1:6" ht="15.75" x14ac:dyDescent="0.25">
      <c r="A107" s="1030"/>
      <c r="B107" s="1031"/>
      <c r="C107" s="1030"/>
      <c r="D107" s="1031"/>
      <c r="E107" s="1031"/>
      <c r="F107" s="1032"/>
    </row>
    <row r="108" spans="1:6" ht="15.75" x14ac:dyDescent="0.25">
      <c r="A108" s="1030"/>
      <c r="B108" s="1031"/>
      <c r="C108" s="1030"/>
      <c r="D108" s="1031"/>
      <c r="E108" s="1031"/>
      <c r="F108" s="1032"/>
    </row>
    <row r="109" spans="1:6" ht="15.75" x14ac:dyDescent="0.25">
      <c r="A109" s="1030"/>
      <c r="B109" s="1031"/>
      <c r="C109" s="1030"/>
      <c r="D109" s="1031"/>
      <c r="E109" s="1031"/>
      <c r="F109" s="1032"/>
    </row>
    <row r="110" spans="1:6" ht="15.75" x14ac:dyDescent="0.25">
      <c r="A110" s="1030"/>
      <c r="B110" s="1031"/>
      <c r="C110" s="1030"/>
      <c r="D110" s="1031"/>
      <c r="E110" s="1031"/>
      <c r="F110" s="1032"/>
    </row>
    <row r="111" spans="1:6" ht="15.75" x14ac:dyDescent="0.25">
      <c r="A111" s="1030"/>
      <c r="B111" s="1031"/>
      <c r="C111" s="1030"/>
      <c r="D111" s="1031"/>
      <c r="E111" s="1031"/>
      <c r="F111" s="1032"/>
    </row>
    <row r="112" spans="1:6" ht="15.75" x14ac:dyDescent="0.25">
      <c r="A112" s="1030"/>
      <c r="B112" s="1031"/>
      <c r="C112" s="1030"/>
      <c r="D112" s="1031"/>
      <c r="E112" s="1031"/>
      <c r="F112" s="1032"/>
    </row>
    <row r="113" spans="1:6" ht="15.75" x14ac:dyDescent="0.25">
      <c r="A113" s="1030"/>
      <c r="B113" s="1031"/>
      <c r="C113" s="1030"/>
      <c r="D113" s="1031"/>
      <c r="E113" s="1031"/>
      <c r="F113" s="1032"/>
    </row>
    <row r="114" spans="1:6" ht="15.75" x14ac:dyDescent="0.25">
      <c r="A114" s="1030"/>
      <c r="B114" s="1031"/>
      <c r="C114" s="1030"/>
      <c r="D114" s="1031"/>
      <c r="E114" s="1031"/>
      <c r="F114" s="1032"/>
    </row>
    <row r="115" spans="1:6" ht="15.75" x14ac:dyDescent="0.25">
      <c r="A115" s="1030"/>
      <c r="B115" s="1031"/>
      <c r="C115" s="1030"/>
      <c r="D115" s="1031"/>
      <c r="E115" s="1031"/>
      <c r="F115" s="1032"/>
    </row>
    <row r="116" spans="1:6" ht="15.75" x14ac:dyDescent="0.25">
      <c r="A116" s="1030"/>
      <c r="B116" s="1031"/>
      <c r="C116" s="1030"/>
      <c r="D116" s="1031"/>
      <c r="E116" s="1031"/>
      <c r="F116" s="1032"/>
    </row>
    <row r="117" spans="1:6" ht="15.75" x14ac:dyDescent="0.25">
      <c r="A117" s="1030"/>
      <c r="B117" s="1031"/>
      <c r="C117" s="1030"/>
      <c r="D117" s="1031"/>
      <c r="E117" s="1031"/>
      <c r="F117" s="1032"/>
    </row>
    <row r="118" spans="1:6" ht="15.75" x14ac:dyDescent="0.25">
      <c r="A118" s="1030"/>
      <c r="B118" s="1031"/>
      <c r="C118" s="1030"/>
      <c r="D118" s="1031"/>
      <c r="E118" s="1031"/>
      <c r="F118" s="1032"/>
    </row>
    <row r="119" spans="1:6" ht="15.75" x14ac:dyDescent="0.25">
      <c r="A119" s="1030"/>
      <c r="B119" s="1031"/>
      <c r="C119" s="1030"/>
      <c r="D119" s="1031"/>
      <c r="E119" s="1031"/>
      <c r="F119" s="1032"/>
    </row>
    <row r="120" spans="1:6" ht="15.75" x14ac:dyDescent="0.25">
      <c r="A120" s="1030"/>
      <c r="B120" s="1031"/>
      <c r="C120" s="1030"/>
      <c r="D120" s="1031"/>
      <c r="E120" s="1031"/>
      <c r="F120" s="1032"/>
    </row>
    <row r="121" spans="1:6" ht="15.75" x14ac:dyDescent="0.25">
      <c r="A121" s="1030"/>
      <c r="B121" s="1031"/>
      <c r="C121" s="1030"/>
      <c r="D121" s="1031"/>
      <c r="E121" s="1031"/>
      <c r="F121" s="1032"/>
    </row>
    <row r="122" spans="1:6" ht="15.75" x14ac:dyDescent="0.25">
      <c r="A122" s="1030"/>
      <c r="B122" s="1031"/>
      <c r="C122" s="1030"/>
      <c r="D122" s="1031"/>
      <c r="E122" s="1031"/>
      <c r="F122" s="1032"/>
    </row>
    <row r="123" spans="1:6" ht="15.75" x14ac:dyDescent="0.25">
      <c r="A123" s="1030"/>
      <c r="B123" s="1031"/>
      <c r="C123" s="1030"/>
      <c r="D123" s="1031"/>
      <c r="E123" s="1031"/>
      <c r="F123" s="1032"/>
    </row>
    <row r="124" spans="1:6" ht="15.75" x14ac:dyDescent="0.25">
      <c r="A124" s="1030"/>
      <c r="B124" s="1031"/>
      <c r="C124" s="1030"/>
      <c r="D124" s="1031"/>
      <c r="E124" s="1031"/>
      <c r="F124" s="1032"/>
    </row>
    <row r="125" spans="1:6" ht="15.75" x14ac:dyDescent="0.25">
      <c r="A125" s="1030"/>
      <c r="B125" s="1031"/>
      <c r="C125" s="1030"/>
      <c r="D125" s="1031"/>
      <c r="E125" s="1031"/>
      <c r="F125" s="1032"/>
    </row>
    <row r="126" spans="1:6" ht="15.75" x14ac:dyDescent="0.25">
      <c r="A126" s="1030"/>
      <c r="B126" s="1031"/>
      <c r="C126" s="1030"/>
      <c r="D126" s="1031"/>
      <c r="E126" s="1031"/>
      <c r="F126" s="1032"/>
    </row>
    <row r="127" spans="1:6" ht="15.75" x14ac:dyDescent="0.25">
      <c r="A127" s="1030"/>
      <c r="B127" s="1031"/>
      <c r="C127" s="1030"/>
      <c r="D127" s="1031"/>
      <c r="E127" s="1031"/>
      <c r="F127" s="1032"/>
    </row>
    <row r="128" spans="1:6" ht="15.75" x14ac:dyDescent="0.25">
      <c r="A128" s="1030"/>
      <c r="B128" s="1031"/>
      <c r="C128" s="1030"/>
      <c r="D128" s="1031"/>
      <c r="E128" s="1031"/>
      <c r="F128" s="1032"/>
    </row>
    <row r="129" spans="1:6" ht="15.75" x14ac:dyDescent="0.25">
      <c r="A129" s="1030"/>
      <c r="B129" s="1031"/>
      <c r="C129" s="1030"/>
      <c r="D129" s="1031"/>
      <c r="E129" s="1031"/>
      <c r="F129" s="1032"/>
    </row>
    <row r="130" spans="1:6" ht="15.75" x14ac:dyDescent="0.25">
      <c r="A130" s="1030"/>
      <c r="B130" s="1031"/>
      <c r="C130" s="1030"/>
      <c r="D130" s="1031"/>
      <c r="E130" s="1031"/>
      <c r="F130" s="1032"/>
    </row>
    <row r="131" spans="1:6" ht="15.75" x14ac:dyDescent="0.25">
      <c r="A131" s="1030"/>
      <c r="B131" s="1031"/>
      <c r="C131" s="1030"/>
      <c r="D131" s="1031"/>
      <c r="E131" s="1031"/>
      <c r="F131" s="1032"/>
    </row>
    <row r="132" spans="1:6" ht="15.75" x14ac:dyDescent="0.25">
      <c r="A132" s="1030"/>
      <c r="B132" s="1031"/>
      <c r="C132" s="1030"/>
      <c r="D132" s="1031"/>
      <c r="E132" s="1031"/>
      <c r="F132" s="1032"/>
    </row>
    <row r="133" spans="1:6" ht="15.75" x14ac:dyDescent="0.25">
      <c r="A133" s="1030"/>
      <c r="B133" s="1031"/>
      <c r="C133" s="1030"/>
      <c r="D133" s="1031"/>
      <c r="E133" s="1031"/>
      <c r="F133" s="1032"/>
    </row>
    <row r="134" spans="1:6" ht="15.75" x14ac:dyDescent="0.25">
      <c r="A134" s="1030"/>
      <c r="B134" s="1031"/>
      <c r="C134" s="1030"/>
      <c r="D134" s="1031"/>
      <c r="E134" s="1031"/>
      <c r="F134" s="1032"/>
    </row>
    <row r="135" spans="1:6" ht="15.75" x14ac:dyDescent="0.25">
      <c r="A135" s="1030"/>
      <c r="B135" s="1031"/>
      <c r="C135" s="1030"/>
      <c r="D135" s="1031"/>
      <c r="E135" s="1031"/>
      <c r="F135" s="1032"/>
    </row>
    <row r="136" spans="1:6" ht="15.75" x14ac:dyDescent="0.25">
      <c r="A136" s="1030"/>
      <c r="B136" s="1031"/>
      <c r="C136" s="1030"/>
      <c r="D136" s="1031"/>
      <c r="E136" s="1031"/>
      <c r="F136" s="1032"/>
    </row>
    <row r="137" spans="1:6" ht="15.75" x14ac:dyDescent="0.25">
      <c r="A137" s="1030"/>
      <c r="B137" s="1031"/>
      <c r="C137" s="1030"/>
      <c r="D137" s="1031"/>
      <c r="E137" s="1031"/>
      <c r="F137" s="1032"/>
    </row>
    <row r="138" spans="1:6" ht="15.75" x14ac:dyDescent="0.25">
      <c r="A138" s="1030"/>
      <c r="B138" s="1031"/>
      <c r="C138" s="1030"/>
      <c r="D138" s="1031"/>
      <c r="E138" s="1031"/>
      <c r="F138" s="1032"/>
    </row>
    <row r="139" spans="1:6" ht="15.75" x14ac:dyDescent="0.25">
      <c r="A139" s="1030"/>
      <c r="B139" s="1031"/>
      <c r="C139" s="1030"/>
      <c r="D139" s="1031"/>
      <c r="E139" s="1031"/>
      <c r="F139" s="1032"/>
    </row>
    <row r="140" spans="1:6" ht="15.75" x14ac:dyDescent="0.25">
      <c r="A140" s="1030"/>
      <c r="B140" s="1031"/>
      <c r="C140" s="1030"/>
      <c r="D140" s="1031"/>
      <c r="E140" s="1031"/>
      <c r="F140" s="1032"/>
    </row>
    <row r="141" spans="1:6" ht="15.75" x14ac:dyDescent="0.25">
      <c r="A141" s="1030"/>
      <c r="B141" s="1031"/>
      <c r="C141" s="1030"/>
      <c r="D141" s="1031"/>
      <c r="E141" s="1031"/>
      <c r="F141" s="1032"/>
    </row>
    <row r="142" spans="1:6" ht="15.75" x14ac:dyDescent="0.25">
      <c r="A142" s="1030"/>
      <c r="B142" s="1031"/>
      <c r="C142" s="1030"/>
      <c r="D142" s="1031"/>
      <c r="E142" s="1031"/>
      <c r="F142" s="1032"/>
    </row>
    <row r="143" spans="1:6" ht="15.75" x14ac:dyDescent="0.25">
      <c r="A143" s="1030"/>
      <c r="B143" s="1031"/>
      <c r="C143" s="1030"/>
      <c r="D143" s="1031"/>
      <c r="E143" s="1031"/>
      <c r="F143" s="1032"/>
    </row>
    <row r="144" spans="1:6" ht="15.75" x14ac:dyDescent="0.25">
      <c r="A144" s="1030"/>
      <c r="B144" s="1031"/>
      <c r="C144" s="1030"/>
      <c r="D144" s="1031"/>
      <c r="E144" s="1031"/>
      <c r="F144" s="1032"/>
    </row>
    <row r="145" spans="1:6" ht="15.75" x14ac:dyDescent="0.25">
      <c r="A145" s="1030"/>
      <c r="B145" s="1031"/>
      <c r="C145" s="1030"/>
      <c r="D145" s="1031"/>
      <c r="E145" s="1031"/>
      <c r="F145" s="1032"/>
    </row>
    <row r="146" spans="1:6" ht="15.75" x14ac:dyDescent="0.25">
      <c r="A146" s="1030"/>
      <c r="B146" s="1031"/>
      <c r="C146" s="1030"/>
      <c r="D146" s="1031"/>
      <c r="E146" s="1031"/>
      <c r="F146" s="1032"/>
    </row>
    <row r="147" spans="1:6" ht="15.75" x14ac:dyDescent="0.25">
      <c r="A147" s="1030"/>
      <c r="B147" s="1031"/>
      <c r="C147" s="1030"/>
      <c r="D147" s="1031"/>
      <c r="E147" s="1031"/>
      <c r="F147" s="1032"/>
    </row>
    <row r="148" spans="1:6" ht="15.75" x14ac:dyDescent="0.25">
      <c r="A148" s="1030"/>
      <c r="B148" s="1031"/>
      <c r="C148" s="1030"/>
      <c r="D148" s="1031"/>
      <c r="E148" s="1031"/>
      <c r="F148" s="1032"/>
    </row>
    <row r="149" spans="1:6" ht="15.75" x14ac:dyDescent="0.25">
      <c r="A149" s="1030"/>
      <c r="B149" s="1031"/>
      <c r="C149" s="1030"/>
      <c r="D149" s="1031"/>
      <c r="E149" s="1031"/>
      <c r="F149" s="1032"/>
    </row>
    <row r="150" spans="1:6" ht="15.75" x14ac:dyDescent="0.25">
      <c r="A150" s="1030"/>
      <c r="B150" s="1031"/>
      <c r="C150" s="1030"/>
      <c r="D150" s="1031"/>
      <c r="E150" s="1031"/>
      <c r="F150" s="1032"/>
    </row>
    <row r="151" spans="1:6" ht="15.75" x14ac:dyDescent="0.25">
      <c r="A151" s="1030"/>
      <c r="B151" s="1031"/>
      <c r="C151" s="1030"/>
      <c r="D151" s="1031"/>
      <c r="E151" s="1031"/>
      <c r="F151" s="1032"/>
    </row>
    <row r="152" spans="1:6" ht="15.75" x14ac:dyDescent="0.25">
      <c r="A152" s="1030"/>
      <c r="B152" s="1031"/>
      <c r="C152" s="1030"/>
      <c r="D152" s="1031"/>
      <c r="E152" s="1031"/>
      <c r="F152" s="1032"/>
    </row>
    <row r="153" spans="1:6" ht="15.75" x14ac:dyDescent="0.25">
      <c r="A153" s="1030"/>
      <c r="B153" s="1031"/>
      <c r="C153" s="1030"/>
      <c r="D153" s="1031"/>
      <c r="E153" s="1031"/>
      <c r="F153" s="1032"/>
    </row>
    <row r="154" spans="1:6" ht="15.75" x14ac:dyDescent="0.25">
      <c r="A154" s="1030"/>
      <c r="B154" s="1031"/>
      <c r="C154" s="1030"/>
      <c r="D154" s="1031"/>
      <c r="E154" s="1031"/>
      <c r="F154" s="1032"/>
    </row>
    <row r="155" spans="1:6" ht="15.75" x14ac:dyDescent="0.25">
      <c r="A155" s="1030"/>
      <c r="B155" s="1031"/>
      <c r="C155" s="1030"/>
      <c r="D155" s="1031"/>
      <c r="E155" s="1031"/>
      <c r="F155" s="1032"/>
    </row>
    <row r="156" spans="1:6" ht="15.75" x14ac:dyDescent="0.25">
      <c r="A156" s="1030"/>
      <c r="B156" s="1031"/>
      <c r="C156" s="1030"/>
      <c r="D156" s="1031"/>
      <c r="E156" s="1031"/>
      <c r="F156" s="1032"/>
    </row>
    <row r="157" spans="1:6" ht="15.75" x14ac:dyDescent="0.25">
      <c r="A157" s="1030"/>
      <c r="B157" s="1031"/>
      <c r="C157" s="1030"/>
      <c r="D157" s="1031"/>
      <c r="E157" s="1031"/>
      <c r="F157" s="1032"/>
    </row>
    <row r="158" spans="1:6" ht="15.75" x14ac:dyDescent="0.25">
      <c r="A158" s="1030"/>
      <c r="B158" s="1031"/>
      <c r="C158" s="1030"/>
      <c r="D158" s="1031"/>
      <c r="E158" s="1031"/>
      <c r="F158" s="1032"/>
    </row>
    <row r="159" spans="1:6" ht="15.75" x14ac:dyDescent="0.25">
      <c r="A159" s="1030"/>
      <c r="B159" s="1031"/>
      <c r="C159" s="1030"/>
      <c r="D159" s="1031"/>
      <c r="E159" s="1031"/>
      <c r="F159" s="1032"/>
    </row>
    <row r="160" spans="1:6" ht="15.75" x14ac:dyDescent="0.25">
      <c r="A160" s="1030"/>
      <c r="B160" s="1031"/>
      <c r="C160" s="1030"/>
      <c r="D160" s="1031"/>
      <c r="E160" s="1031"/>
      <c r="F160" s="1032"/>
    </row>
    <row r="161" spans="1:6" ht="15.75" x14ac:dyDescent="0.25">
      <c r="A161" s="1030"/>
      <c r="B161" s="1031"/>
      <c r="C161" s="1030"/>
      <c r="D161" s="1031"/>
      <c r="E161" s="1031"/>
      <c r="F161" s="1032"/>
    </row>
    <row r="162" spans="1:6" ht="15.75" x14ac:dyDescent="0.25">
      <c r="A162" s="1030"/>
      <c r="B162" s="1031"/>
      <c r="C162" s="1030"/>
      <c r="D162" s="1031"/>
      <c r="E162" s="1031"/>
      <c r="F162" s="1032"/>
    </row>
    <row r="163" spans="1:6" ht="15.75" x14ac:dyDescent="0.25">
      <c r="A163" s="1030"/>
      <c r="B163" s="1031"/>
      <c r="C163" s="1030"/>
      <c r="D163" s="1031"/>
      <c r="E163" s="1031"/>
      <c r="F163" s="1032"/>
    </row>
    <row r="164" spans="1:6" ht="15.75" x14ac:dyDescent="0.25">
      <c r="A164" s="1030"/>
      <c r="B164" s="1031"/>
      <c r="C164" s="1030"/>
      <c r="D164" s="1031"/>
      <c r="E164" s="1031"/>
      <c r="F164" s="1032"/>
    </row>
    <row r="165" spans="1:6" ht="15.75" x14ac:dyDescent="0.25">
      <c r="A165" s="1030"/>
      <c r="B165" s="1031"/>
      <c r="C165" s="1030"/>
      <c r="D165" s="1031"/>
      <c r="E165" s="1031"/>
      <c r="F165" s="1032"/>
    </row>
    <row r="166" spans="1:6" ht="15.75" x14ac:dyDescent="0.25">
      <c r="A166" s="1030"/>
      <c r="B166" s="1031"/>
      <c r="C166" s="1030"/>
      <c r="D166" s="1031"/>
      <c r="E166" s="1031"/>
      <c r="F166" s="1032"/>
    </row>
    <row r="167" spans="1:6" ht="15.75" x14ac:dyDescent="0.25">
      <c r="A167" s="1030"/>
      <c r="B167" s="1031"/>
      <c r="C167" s="1030"/>
      <c r="D167" s="1031"/>
      <c r="E167" s="1031"/>
      <c r="F167" s="1032"/>
    </row>
    <row r="168" spans="1:6" ht="15.75" x14ac:dyDescent="0.25">
      <c r="A168" s="1030"/>
      <c r="B168" s="1031"/>
      <c r="C168" s="1030"/>
      <c r="D168" s="1031"/>
      <c r="E168" s="1031"/>
      <c r="F168" s="1032"/>
    </row>
    <row r="169" spans="1:6" ht="15.75" x14ac:dyDescent="0.25">
      <c r="A169" s="1030"/>
      <c r="B169" s="1031"/>
      <c r="C169" s="1030"/>
      <c r="D169" s="1031"/>
      <c r="E169" s="1031"/>
      <c r="F169" s="1032"/>
    </row>
    <row r="170" spans="1:6" ht="15.75" x14ac:dyDescent="0.25">
      <c r="A170" s="1030"/>
      <c r="B170" s="1031"/>
      <c r="C170" s="1030"/>
      <c r="D170" s="1031"/>
      <c r="E170" s="1031"/>
      <c r="F170" s="1032"/>
    </row>
    <row r="171" spans="1:6" ht="15.75" x14ac:dyDescent="0.25">
      <c r="A171" s="1030"/>
      <c r="B171" s="1031"/>
      <c r="C171" s="1030"/>
      <c r="D171" s="1031"/>
      <c r="E171" s="1031"/>
      <c r="F171" s="1032"/>
    </row>
    <row r="172" spans="1:6" ht="15.75" x14ac:dyDescent="0.25">
      <c r="A172" s="1030"/>
      <c r="B172" s="1031"/>
      <c r="C172" s="1030"/>
      <c r="D172" s="1031"/>
      <c r="E172" s="1031"/>
      <c r="F172" s="1032"/>
    </row>
    <row r="173" spans="1:6" ht="15.75" x14ac:dyDescent="0.25">
      <c r="A173" s="1030"/>
      <c r="B173" s="1031"/>
      <c r="C173" s="1030"/>
      <c r="D173" s="1031"/>
      <c r="E173" s="1031"/>
      <c r="F173" s="1032"/>
    </row>
    <row r="174" spans="1:6" ht="15.75" x14ac:dyDescent="0.25">
      <c r="A174" s="1030"/>
      <c r="B174" s="1031"/>
      <c r="C174" s="1030"/>
      <c r="D174" s="1031"/>
      <c r="E174" s="1031"/>
      <c r="F174" s="1032"/>
    </row>
    <row r="175" spans="1:6" ht="15.75" x14ac:dyDescent="0.25">
      <c r="A175" s="1030"/>
      <c r="B175" s="1031"/>
      <c r="C175" s="1030"/>
      <c r="D175" s="1031"/>
      <c r="E175" s="1031"/>
      <c r="F175" s="1032"/>
    </row>
    <row r="176" spans="1:6" ht="15.75" x14ac:dyDescent="0.25">
      <c r="A176" s="1030"/>
      <c r="B176" s="1031"/>
      <c r="C176" s="1030"/>
      <c r="D176" s="1031"/>
      <c r="E176" s="1031"/>
      <c r="F176" s="1032"/>
    </row>
    <row r="177" spans="1:6" ht="15.75" x14ac:dyDescent="0.25">
      <c r="A177" s="1030"/>
      <c r="B177" s="1031"/>
      <c r="C177" s="1030"/>
      <c r="D177" s="1031"/>
      <c r="E177" s="1031"/>
      <c r="F177" s="1032"/>
    </row>
    <row r="178" spans="1:6" ht="15.75" x14ac:dyDescent="0.25">
      <c r="A178" s="1030"/>
      <c r="B178" s="1031"/>
      <c r="C178" s="1030"/>
      <c r="D178" s="1031"/>
      <c r="E178" s="1031"/>
      <c r="F178" s="1032"/>
    </row>
    <row r="179" spans="1:6" ht="15.75" x14ac:dyDescent="0.25">
      <c r="A179" s="1030"/>
      <c r="B179" s="1031"/>
      <c r="C179" s="1030"/>
      <c r="D179" s="1031"/>
      <c r="E179" s="1031"/>
      <c r="F179" s="1032"/>
    </row>
    <row r="180" spans="1:6" ht="15.75" x14ac:dyDescent="0.25">
      <c r="A180" s="1030"/>
      <c r="B180" s="1031"/>
      <c r="C180" s="1030"/>
      <c r="D180" s="1031"/>
      <c r="E180" s="1031"/>
      <c r="F180" s="1032"/>
    </row>
    <row r="181" spans="1:6" ht="15.75" x14ac:dyDescent="0.25">
      <c r="A181" s="1030"/>
      <c r="B181" s="1031"/>
      <c r="C181" s="1030"/>
      <c r="D181" s="1031"/>
      <c r="E181" s="1031"/>
      <c r="F181" s="1032"/>
    </row>
    <row r="182" spans="1:6" ht="15.75" x14ac:dyDescent="0.25">
      <c r="A182" s="1030"/>
      <c r="B182" s="1031"/>
      <c r="C182" s="1030"/>
      <c r="D182" s="1031"/>
      <c r="E182" s="1031"/>
      <c r="F182" s="1032"/>
    </row>
    <row r="183" spans="1:6" ht="15.75" x14ac:dyDescent="0.25">
      <c r="A183" s="1030"/>
      <c r="B183" s="1031"/>
      <c r="C183" s="1030"/>
      <c r="D183" s="1031"/>
      <c r="E183" s="1031"/>
      <c r="F183" s="1032"/>
    </row>
    <row r="184" spans="1:6" ht="15.75" x14ac:dyDescent="0.25">
      <c r="A184" s="1030"/>
      <c r="B184" s="1031"/>
      <c r="C184" s="1030"/>
      <c r="D184" s="1031"/>
      <c r="E184" s="1031"/>
      <c r="F184" s="1032"/>
    </row>
    <row r="185" spans="1:6" ht="15.75" x14ac:dyDescent="0.25">
      <c r="A185" s="1030"/>
      <c r="B185" s="1031"/>
      <c r="C185" s="1030"/>
      <c r="D185" s="1031"/>
      <c r="E185" s="1031"/>
      <c r="F185" s="1032"/>
    </row>
    <row r="186" spans="1:6" ht="15.75" x14ac:dyDescent="0.25">
      <c r="A186" s="1030"/>
      <c r="B186" s="1031"/>
      <c r="C186" s="1030"/>
      <c r="D186" s="1031"/>
      <c r="E186" s="1031"/>
      <c r="F186" s="1032"/>
    </row>
    <row r="187" spans="1:6" ht="15.75" x14ac:dyDescent="0.25">
      <c r="A187" s="1030"/>
      <c r="B187" s="1031"/>
      <c r="C187" s="1030"/>
      <c r="D187" s="1031"/>
      <c r="E187" s="1031"/>
      <c r="F187" s="1032"/>
    </row>
    <row r="188" spans="1:6" ht="15.75" x14ac:dyDescent="0.25">
      <c r="A188" s="1030"/>
      <c r="B188" s="1031"/>
      <c r="C188" s="1030"/>
      <c r="D188" s="1031"/>
      <c r="E188" s="1031"/>
      <c r="F188" s="1032"/>
    </row>
    <row r="189" spans="1:6" ht="15.75" x14ac:dyDescent="0.25">
      <c r="A189" s="1030"/>
      <c r="B189" s="1031"/>
      <c r="C189" s="1030"/>
      <c r="D189" s="1031"/>
      <c r="E189" s="1031"/>
      <c r="F189" s="1032"/>
    </row>
    <row r="190" spans="1:6" ht="15.75" x14ac:dyDescent="0.25">
      <c r="A190" s="1030"/>
      <c r="B190" s="1031"/>
      <c r="C190" s="1030"/>
      <c r="D190" s="1031"/>
      <c r="E190" s="1031"/>
      <c r="F190" s="1032"/>
    </row>
    <row r="191" spans="1:6" ht="15.75" x14ac:dyDescent="0.25">
      <c r="A191" s="1030"/>
      <c r="B191" s="1031"/>
      <c r="C191" s="1030"/>
      <c r="D191" s="1031"/>
      <c r="E191" s="1031"/>
      <c r="F191" s="1032"/>
    </row>
    <row r="192" spans="1:6" ht="15.75" x14ac:dyDescent="0.25">
      <c r="A192" s="1030"/>
      <c r="B192" s="1031"/>
      <c r="C192" s="1030"/>
      <c r="D192" s="1031"/>
      <c r="E192" s="1031"/>
      <c r="F192" s="1032"/>
    </row>
    <row r="193" spans="1:6" ht="15.75" x14ac:dyDescent="0.25">
      <c r="A193" s="1030"/>
      <c r="B193" s="1031"/>
      <c r="C193" s="1030"/>
      <c r="D193" s="1031"/>
      <c r="E193" s="1031"/>
      <c r="F193" s="1032"/>
    </row>
    <row r="194" spans="1:6" ht="15.75" x14ac:dyDescent="0.25">
      <c r="A194" s="1030"/>
      <c r="B194" s="1031"/>
      <c r="C194" s="1030"/>
      <c r="D194" s="1031"/>
      <c r="E194" s="1031"/>
      <c r="F194" s="1032"/>
    </row>
    <row r="195" spans="1:6" ht="15.75" x14ac:dyDescent="0.25">
      <c r="A195" s="1030"/>
      <c r="B195" s="1031"/>
      <c r="C195" s="1030"/>
      <c r="D195" s="1031"/>
      <c r="E195" s="1031"/>
      <c r="F195" s="1032"/>
    </row>
    <row r="196" spans="1:6" ht="15.75" x14ac:dyDescent="0.25">
      <c r="A196" s="1030"/>
      <c r="B196" s="1031"/>
      <c r="C196" s="1030"/>
      <c r="D196" s="1031"/>
      <c r="E196" s="1031"/>
      <c r="F196" s="1032"/>
    </row>
    <row r="197" spans="1:6" ht="15.75" x14ac:dyDescent="0.25">
      <c r="A197" s="1030"/>
      <c r="B197" s="1031"/>
      <c r="C197" s="1030"/>
      <c r="D197" s="1031"/>
      <c r="E197" s="1031"/>
      <c r="F197" s="1032"/>
    </row>
    <row r="198" spans="1:6" ht="15.75" x14ac:dyDescent="0.25">
      <c r="A198" s="1030"/>
      <c r="B198" s="1031"/>
      <c r="C198" s="1030"/>
      <c r="D198" s="1031"/>
      <c r="E198" s="1031"/>
      <c r="F198" s="1032"/>
    </row>
    <row r="199" spans="1:6" ht="15.75" x14ac:dyDescent="0.25">
      <c r="A199" s="1030"/>
      <c r="B199" s="1031"/>
      <c r="C199" s="1030"/>
      <c r="D199" s="1031"/>
      <c r="E199" s="1031"/>
      <c r="F199" s="1032"/>
    </row>
    <row r="200" spans="1:6" ht="15.75" x14ac:dyDescent="0.25">
      <c r="A200" s="1030"/>
      <c r="B200" s="1031"/>
      <c r="C200" s="1030"/>
      <c r="D200" s="1031"/>
      <c r="E200" s="1031"/>
      <c r="F200" s="1032"/>
    </row>
    <row r="201" spans="1:6" ht="15.75" x14ac:dyDescent="0.25">
      <c r="A201" s="1030"/>
      <c r="B201" s="1031"/>
      <c r="C201" s="1030"/>
      <c r="D201" s="1031"/>
      <c r="E201" s="1031"/>
      <c r="F201" s="1032"/>
    </row>
    <row r="202" spans="1:6" ht="15.75" x14ac:dyDescent="0.25">
      <c r="A202" s="1030"/>
      <c r="B202" s="1031"/>
      <c r="C202" s="1030"/>
      <c r="D202" s="1031"/>
      <c r="E202" s="1031"/>
      <c r="F202" s="1032"/>
    </row>
    <row r="203" spans="1:6" ht="15.75" x14ac:dyDescent="0.25">
      <c r="A203" s="1030"/>
      <c r="B203" s="1031"/>
      <c r="C203" s="1030"/>
      <c r="D203" s="1031"/>
      <c r="E203" s="1031"/>
      <c r="F203" s="1032"/>
    </row>
    <row r="204" spans="1:6" ht="15.75" x14ac:dyDescent="0.25">
      <c r="A204" s="1030"/>
      <c r="B204" s="1031"/>
      <c r="C204" s="1030"/>
      <c r="D204" s="1031"/>
      <c r="E204" s="1031"/>
      <c r="F204" s="1032"/>
    </row>
    <row r="205" spans="1:6" ht="15.75" x14ac:dyDescent="0.25">
      <c r="A205" s="1030"/>
      <c r="B205" s="1031"/>
      <c r="C205" s="1030"/>
      <c r="D205" s="1031"/>
      <c r="E205" s="1031"/>
      <c r="F205" s="1032"/>
    </row>
    <row r="206" spans="1:6" ht="15.75" x14ac:dyDescent="0.25">
      <c r="A206" s="1030"/>
      <c r="B206" s="1031"/>
      <c r="C206" s="1030"/>
      <c r="D206" s="1031"/>
      <c r="E206" s="1031"/>
      <c r="F206" s="1032"/>
    </row>
    <row r="207" spans="1:6" ht="15.75" x14ac:dyDescent="0.25">
      <c r="A207" s="1030"/>
      <c r="B207" s="1031"/>
      <c r="C207" s="1030"/>
      <c r="D207" s="1031"/>
      <c r="E207" s="1031"/>
      <c r="F207" s="1032"/>
    </row>
    <row r="208" spans="1:6" ht="15.75" x14ac:dyDescent="0.25">
      <c r="A208" s="1030"/>
      <c r="B208" s="1031"/>
      <c r="C208" s="1030"/>
      <c r="D208" s="1031"/>
      <c r="E208" s="1031"/>
      <c r="F208" s="1032"/>
    </row>
    <row r="209" spans="1:6" ht="15.75" x14ac:dyDescent="0.25">
      <c r="A209" s="1030"/>
      <c r="B209" s="1031"/>
      <c r="C209" s="1030"/>
      <c r="D209" s="1031"/>
      <c r="E209" s="1031"/>
      <c r="F209" s="1032"/>
    </row>
    <row r="210" spans="1:6" ht="15.75" x14ac:dyDescent="0.25">
      <c r="A210" s="1030"/>
      <c r="B210" s="1031"/>
      <c r="C210" s="1030"/>
      <c r="D210" s="1031"/>
      <c r="E210" s="1031"/>
      <c r="F210" s="1032"/>
    </row>
    <row r="211" spans="1:6" ht="15.75" x14ac:dyDescent="0.25">
      <c r="A211" s="1030"/>
      <c r="B211" s="1031"/>
      <c r="C211" s="1030"/>
      <c r="D211" s="1031"/>
      <c r="E211" s="1031"/>
      <c r="F211" s="1032"/>
    </row>
    <row r="212" spans="1:6" ht="15.75" x14ac:dyDescent="0.25">
      <c r="A212" s="1030"/>
      <c r="B212" s="1031"/>
      <c r="C212" s="1030"/>
      <c r="D212" s="1031"/>
      <c r="E212" s="1031"/>
      <c r="F212" s="1032"/>
    </row>
    <row r="213" spans="1:6" ht="15.75" x14ac:dyDescent="0.25">
      <c r="A213" s="1030"/>
      <c r="B213" s="1031"/>
      <c r="C213" s="1030"/>
      <c r="D213" s="1031"/>
      <c r="E213" s="1031"/>
      <c r="F213" s="1032"/>
    </row>
    <row r="214" spans="1:6" ht="15.75" x14ac:dyDescent="0.25">
      <c r="A214" s="1030"/>
      <c r="B214" s="1031"/>
      <c r="C214" s="1030"/>
      <c r="D214" s="1031"/>
      <c r="E214" s="1031"/>
      <c r="F214" s="1032"/>
    </row>
    <row r="215" spans="1:6" ht="15.75" x14ac:dyDescent="0.25">
      <c r="A215" s="1030"/>
      <c r="B215" s="1031"/>
      <c r="C215" s="1030"/>
      <c r="D215" s="1031"/>
      <c r="E215" s="1031"/>
      <c r="F215" s="1032"/>
    </row>
    <row r="216" spans="1:6" ht="15.75" x14ac:dyDescent="0.25">
      <c r="A216" s="1030"/>
      <c r="B216" s="1031"/>
      <c r="C216" s="1030"/>
      <c r="D216" s="1031"/>
      <c r="E216" s="1031"/>
      <c r="F216" s="1032"/>
    </row>
    <row r="217" spans="1:6" ht="15.75" x14ac:dyDescent="0.25">
      <c r="A217" s="1030"/>
      <c r="B217" s="1031"/>
      <c r="C217" s="1030"/>
      <c r="D217" s="1031"/>
      <c r="E217" s="1031"/>
      <c r="F217" s="1032"/>
    </row>
    <row r="218" spans="1:6" ht="15.75" x14ac:dyDescent="0.25">
      <c r="A218" s="1030"/>
      <c r="B218" s="1031"/>
      <c r="C218" s="1030"/>
      <c r="D218" s="1031"/>
      <c r="E218" s="1031"/>
      <c r="F218" s="1032"/>
    </row>
    <row r="219" spans="1:6" ht="15.75" x14ac:dyDescent="0.25">
      <c r="A219" s="1030"/>
      <c r="B219" s="1031"/>
      <c r="C219" s="1030"/>
      <c r="D219" s="1031"/>
      <c r="E219" s="1031"/>
      <c r="F219" s="1032"/>
    </row>
    <row r="220" spans="1:6" ht="15.75" x14ac:dyDescent="0.25">
      <c r="A220" s="1030"/>
      <c r="B220" s="1031"/>
      <c r="C220" s="1030"/>
      <c r="D220" s="1031"/>
      <c r="E220" s="1031"/>
      <c r="F220" s="1032"/>
    </row>
    <row r="221" spans="1:6" ht="15.75" x14ac:dyDescent="0.25">
      <c r="A221" s="1030"/>
      <c r="B221" s="1031"/>
      <c r="C221" s="1030"/>
      <c r="D221" s="1031"/>
      <c r="E221" s="1031"/>
      <c r="F221" s="1032"/>
    </row>
    <row r="222" spans="1:6" ht="15.75" x14ac:dyDescent="0.25">
      <c r="A222" s="1030"/>
      <c r="B222" s="1031"/>
      <c r="C222" s="1030"/>
      <c r="D222" s="1031"/>
      <c r="E222" s="1031"/>
      <c r="F222" s="1032"/>
    </row>
    <row r="223" spans="1:6" ht="15.75" x14ac:dyDescent="0.25">
      <c r="A223" s="1030"/>
      <c r="B223" s="1031"/>
      <c r="C223" s="1030"/>
      <c r="D223" s="1031"/>
      <c r="E223" s="1031"/>
      <c r="F223" s="1032"/>
    </row>
    <row r="224" spans="1:6" ht="15.75" x14ac:dyDescent="0.25">
      <c r="A224" s="1030"/>
      <c r="B224" s="1031"/>
      <c r="C224" s="1030"/>
      <c r="D224" s="1031"/>
      <c r="E224" s="1031"/>
      <c r="F224" s="1032"/>
    </row>
    <row r="225" spans="1:6" ht="15.75" x14ac:dyDescent="0.25">
      <c r="A225" s="1030"/>
      <c r="B225" s="1031"/>
      <c r="C225" s="1030"/>
      <c r="D225" s="1031"/>
      <c r="E225" s="1031"/>
      <c r="F225" s="1032"/>
    </row>
    <row r="226" spans="1:6" ht="15.75" x14ac:dyDescent="0.25">
      <c r="A226" s="1030"/>
      <c r="B226" s="1031"/>
      <c r="C226" s="1030"/>
      <c r="D226" s="1031"/>
      <c r="E226" s="1031"/>
      <c r="F226" s="1032"/>
    </row>
    <row r="227" spans="1:6" ht="15.75" x14ac:dyDescent="0.25">
      <c r="A227" s="1030"/>
      <c r="B227" s="1031"/>
      <c r="C227" s="1030"/>
      <c r="D227" s="1031"/>
      <c r="E227" s="1031"/>
      <c r="F227" s="1032"/>
    </row>
    <row r="228" spans="1:6" ht="15.75" x14ac:dyDescent="0.25">
      <c r="A228" s="1030"/>
      <c r="B228" s="1031"/>
      <c r="C228" s="1030"/>
      <c r="D228" s="1031"/>
      <c r="E228" s="1031"/>
      <c r="F228" s="1032"/>
    </row>
    <row r="229" spans="1:6" ht="15.75" x14ac:dyDescent="0.25">
      <c r="A229" s="1030"/>
      <c r="B229" s="1031"/>
      <c r="C229" s="1030"/>
      <c r="D229" s="1031"/>
      <c r="E229" s="1031"/>
      <c r="F229" s="1032"/>
    </row>
    <row r="230" spans="1:6" ht="15.75" x14ac:dyDescent="0.25">
      <c r="A230" s="1030"/>
      <c r="B230" s="1031"/>
      <c r="C230" s="1030"/>
      <c r="D230" s="1031"/>
      <c r="E230" s="1031"/>
      <c r="F230" s="1032"/>
    </row>
    <row r="231" spans="1:6" ht="15.75" x14ac:dyDescent="0.25">
      <c r="A231" s="1030"/>
      <c r="B231" s="1031"/>
      <c r="C231" s="1030"/>
      <c r="D231" s="1031"/>
      <c r="E231" s="1031"/>
      <c r="F231" s="1032"/>
    </row>
    <row r="232" spans="1:6" ht="15.75" x14ac:dyDescent="0.25">
      <c r="A232" s="1030"/>
      <c r="B232" s="1031"/>
      <c r="C232" s="1030"/>
      <c r="D232" s="1031"/>
      <c r="E232" s="1031"/>
      <c r="F232" s="1032"/>
    </row>
    <row r="233" spans="1:6" ht="15.75" x14ac:dyDescent="0.25">
      <c r="A233" s="1030"/>
      <c r="B233" s="1031"/>
      <c r="C233" s="1030"/>
      <c r="D233" s="1031"/>
      <c r="E233" s="1031"/>
      <c r="F233" s="1032"/>
    </row>
    <row r="234" spans="1:6" ht="15.75" x14ac:dyDescent="0.25">
      <c r="A234" s="1030"/>
      <c r="B234" s="1031"/>
      <c r="C234" s="1030"/>
      <c r="D234" s="1031"/>
      <c r="E234" s="1031"/>
      <c r="F234" s="1032"/>
    </row>
    <row r="235" spans="1:6" ht="15.75" x14ac:dyDescent="0.25">
      <c r="A235" s="1030"/>
      <c r="B235" s="1031"/>
      <c r="C235" s="1030"/>
      <c r="D235" s="1031"/>
      <c r="E235" s="1031"/>
      <c r="F235" s="1032"/>
    </row>
    <row r="236" spans="1:6" ht="15.75" x14ac:dyDescent="0.25">
      <c r="A236" s="1030"/>
      <c r="B236" s="1031"/>
      <c r="C236" s="1030"/>
      <c r="D236" s="1031"/>
      <c r="E236" s="1031"/>
      <c r="F236" s="1032"/>
    </row>
    <row r="237" spans="1:6" ht="15.75" x14ac:dyDescent="0.25">
      <c r="A237" s="1030"/>
      <c r="B237" s="1031"/>
      <c r="C237" s="1030"/>
      <c r="D237" s="1031"/>
      <c r="E237" s="1031"/>
      <c r="F237" s="1032"/>
    </row>
    <row r="238" spans="1:6" ht="15.75" x14ac:dyDescent="0.25">
      <c r="A238" s="1030"/>
      <c r="B238" s="1031"/>
      <c r="C238" s="1030"/>
      <c r="D238" s="1031"/>
      <c r="E238" s="1031"/>
      <c r="F238" s="1032"/>
    </row>
    <row r="239" spans="1:6" ht="15.75" x14ac:dyDescent="0.25">
      <c r="A239" s="1030"/>
      <c r="B239" s="1031"/>
      <c r="C239" s="1030"/>
      <c r="D239" s="1031"/>
      <c r="E239" s="1031"/>
      <c r="F239" s="1032"/>
    </row>
    <row r="240" spans="1:6" ht="15.75" x14ac:dyDescent="0.25">
      <c r="A240" s="1030"/>
      <c r="B240" s="1031"/>
      <c r="C240" s="1030"/>
      <c r="D240" s="1031"/>
      <c r="E240" s="1031"/>
      <c r="F240" s="1032"/>
    </row>
    <row r="241" spans="1:6" ht="15.75" x14ac:dyDescent="0.25">
      <c r="A241" s="1030"/>
      <c r="B241" s="1031"/>
      <c r="C241" s="1030"/>
      <c r="D241" s="1031"/>
      <c r="E241" s="1031"/>
      <c r="F241" s="1032"/>
    </row>
    <row r="242" spans="1:6" ht="15.75" x14ac:dyDescent="0.25">
      <c r="A242" s="1030"/>
      <c r="B242" s="1031"/>
      <c r="C242" s="1030"/>
      <c r="D242" s="1031"/>
      <c r="E242" s="1031"/>
      <c r="F242" s="1032"/>
    </row>
    <row r="243" spans="1:6" ht="15.75" x14ac:dyDescent="0.25">
      <c r="A243" s="1030"/>
      <c r="B243" s="1031"/>
      <c r="C243" s="1030"/>
      <c r="D243" s="1031"/>
      <c r="E243" s="1031"/>
      <c r="F243" s="1032"/>
    </row>
    <row r="244" spans="1:6" ht="15.75" x14ac:dyDescent="0.25">
      <c r="A244" s="1030"/>
      <c r="B244" s="1031"/>
      <c r="C244" s="1030"/>
      <c r="D244" s="1031"/>
      <c r="E244" s="1031"/>
      <c r="F244" s="1032"/>
    </row>
    <row r="245" spans="1:6" ht="15.75" x14ac:dyDescent="0.25">
      <c r="A245" s="1030"/>
      <c r="B245" s="1031"/>
      <c r="C245" s="1030"/>
      <c r="D245" s="1031"/>
      <c r="E245" s="1031"/>
      <c r="F245" s="1032"/>
    </row>
    <row r="246" spans="1:6" ht="15.75" x14ac:dyDescent="0.25">
      <c r="A246" s="1030"/>
      <c r="B246" s="1031"/>
      <c r="C246" s="1030"/>
      <c r="D246" s="1031"/>
      <c r="E246" s="1031"/>
      <c r="F246" s="1032"/>
    </row>
    <row r="247" spans="1:6" ht="15.75" x14ac:dyDescent="0.25">
      <c r="A247" s="1030"/>
      <c r="B247" s="1031"/>
      <c r="C247" s="1030"/>
      <c r="D247" s="1031"/>
      <c r="E247" s="1031"/>
      <c r="F247" s="1032"/>
    </row>
    <row r="248" spans="1:6" ht="15.75" x14ac:dyDescent="0.25">
      <c r="A248" s="1030"/>
      <c r="B248" s="1031"/>
      <c r="C248" s="1030"/>
      <c r="D248" s="1031"/>
      <c r="E248" s="1031"/>
      <c r="F248" s="1032"/>
    </row>
    <row r="249" spans="1:6" ht="15.75" x14ac:dyDescent="0.25">
      <c r="A249" s="1030"/>
      <c r="B249" s="1031"/>
      <c r="C249" s="1030"/>
      <c r="D249" s="1031"/>
      <c r="E249" s="1031"/>
      <c r="F249" s="1032"/>
    </row>
    <row r="250" spans="1:6" ht="15.75" x14ac:dyDescent="0.25">
      <c r="A250" s="1030"/>
      <c r="B250" s="1031"/>
      <c r="C250" s="1030"/>
      <c r="D250" s="1031"/>
      <c r="E250" s="1031"/>
      <c r="F250" s="1032"/>
    </row>
    <row r="251" spans="1:6" ht="15.75" x14ac:dyDescent="0.25">
      <c r="A251" s="1030"/>
      <c r="B251" s="1031"/>
      <c r="C251" s="1030"/>
      <c r="D251" s="1031"/>
      <c r="E251" s="1031"/>
      <c r="F251" s="1032"/>
    </row>
    <row r="252" spans="1:6" ht="15.75" x14ac:dyDescent="0.25">
      <c r="A252" s="1030"/>
      <c r="B252" s="1031"/>
      <c r="C252" s="1030"/>
      <c r="D252" s="1031"/>
      <c r="E252" s="1031"/>
      <c r="F252" s="1032"/>
    </row>
    <row r="253" spans="1:6" ht="15.75" x14ac:dyDescent="0.25">
      <c r="A253" s="1030"/>
      <c r="B253" s="1031"/>
      <c r="C253" s="1030"/>
      <c r="D253" s="1031"/>
      <c r="E253" s="1031"/>
      <c r="F253" s="1032"/>
    </row>
    <row r="254" spans="1:6" ht="15.75" x14ac:dyDescent="0.25">
      <c r="A254" s="1030"/>
      <c r="B254" s="1031"/>
      <c r="C254" s="1030"/>
      <c r="D254" s="1031"/>
      <c r="E254" s="1031"/>
      <c r="F254" s="1032"/>
    </row>
    <row r="255" spans="1:6" ht="15.75" x14ac:dyDescent="0.25">
      <c r="A255" s="1030"/>
      <c r="B255" s="1031"/>
      <c r="C255" s="1030"/>
      <c r="D255" s="1031"/>
      <c r="E255" s="1031"/>
      <c r="F255" s="1032"/>
    </row>
    <row r="256" spans="1:6" ht="15.75" x14ac:dyDescent="0.25">
      <c r="A256" s="1030"/>
      <c r="B256" s="1031"/>
      <c r="C256" s="1030"/>
      <c r="D256" s="1031"/>
      <c r="E256" s="1031"/>
      <c r="F256" s="1032"/>
    </row>
    <row r="257" spans="1:6" ht="15.75" x14ac:dyDescent="0.25">
      <c r="A257" s="1030"/>
      <c r="B257" s="1031"/>
      <c r="C257" s="1030"/>
      <c r="D257" s="1031"/>
      <c r="E257" s="1031"/>
      <c r="F257" s="1032"/>
    </row>
    <row r="258" spans="1:6" ht="15.75" x14ac:dyDescent="0.25">
      <c r="A258" s="1030"/>
      <c r="B258" s="1031"/>
      <c r="C258" s="1030"/>
      <c r="D258" s="1031"/>
      <c r="E258" s="1031"/>
      <c r="F258" s="1032"/>
    </row>
    <row r="259" spans="1:6" ht="15.75" x14ac:dyDescent="0.25">
      <c r="A259" s="1030"/>
      <c r="B259" s="1031"/>
      <c r="C259" s="1030"/>
      <c r="D259" s="1031"/>
      <c r="E259" s="1031"/>
      <c r="F259" s="1032"/>
    </row>
    <row r="260" spans="1:6" ht="15.75" x14ac:dyDescent="0.25">
      <c r="A260" s="1030"/>
      <c r="B260" s="1031"/>
      <c r="C260" s="1030"/>
      <c r="D260" s="1031"/>
      <c r="E260" s="1031"/>
      <c r="F260" s="1032"/>
    </row>
    <row r="261" spans="1:6" ht="15.75" x14ac:dyDescent="0.25">
      <c r="A261" s="1030"/>
      <c r="B261" s="1031"/>
      <c r="C261" s="1030"/>
      <c r="D261" s="1031"/>
      <c r="E261" s="1031"/>
      <c r="F261" s="1032"/>
    </row>
    <row r="262" spans="1:6" ht="15.75" x14ac:dyDescent="0.25">
      <c r="A262" s="1030"/>
      <c r="B262" s="1031"/>
      <c r="C262" s="1030"/>
      <c r="D262" s="1031"/>
      <c r="E262" s="1031"/>
      <c r="F262" s="1032"/>
    </row>
    <row r="263" spans="1:6" ht="15.75" x14ac:dyDescent="0.25">
      <c r="A263" s="1030"/>
      <c r="B263" s="1031"/>
      <c r="C263" s="1030"/>
      <c r="D263" s="1031"/>
      <c r="E263" s="1031"/>
      <c r="F263" s="1032"/>
    </row>
    <row r="264" spans="1:6" ht="15.75" x14ac:dyDescent="0.25">
      <c r="A264" s="1030"/>
      <c r="B264" s="1031"/>
      <c r="C264" s="1030"/>
      <c r="D264" s="1031"/>
      <c r="E264" s="1031"/>
      <c r="F264" s="1032"/>
    </row>
    <row r="265" spans="1:6" ht="15.75" x14ac:dyDescent="0.25">
      <c r="A265" s="1030"/>
      <c r="B265" s="1031"/>
      <c r="C265" s="1030"/>
      <c r="D265" s="1031"/>
      <c r="E265" s="1031"/>
      <c r="F265" s="1032"/>
    </row>
    <row r="266" spans="1:6" ht="15.75" x14ac:dyDescent="0.25">
      <c r="A266" s="1030"/>
      <c r="B266" s="1031"/>
      <c r="C266" s="1030"/>
      <c r="D266" s="1031"/>
      <c r="E266" s="1031"/>
      <c r="F266" s="1032"/>
    </row>
    <row r="267" spans="1:6" ht="15.75" x14ac:dyDescent="0.25">
      <c r="A267" s="1030"/>
      <c r="B267" s="1031"/>
      <c r="C267" s="1030"/>
      <c r="D267" s="1031"/>
      <c r="E267" s="1031"/>
      <c r="F267" s="1032"/>
    </row>
    <row r="268" spans="1:6" ht="15.75" x14ac:dyDescent="0.25">
      <c r="A268" s="1030"/>
      <c r="B268" s="1031"/>
      <c r="C268" s="1030"/>
      <c r="D268" s="1031"/>
      <c r="E268" s="1031"/>
      <c r="F268" s="1032"/>
    </row>
    <row r="269" spans="1:6" ht="15.75" x14ac:dyDescent="0.25">
      <c r="A269" s="1030"/>
      <c r="B269" s="1031"/>
      <c r="C269" s="1030"/>
      <c r="D269" s="1031"/>
      <c r="E269" s="1031"/>
      <c r="F269" s="1032"/>
    </row>
    <row r="270" spans="1:6" ht="15.75" x14ac:dyDescent="0.25">
      <c r="A270" s="1030"/>
      <c r="B270" s="1031"/>
      <c r="C270" s="1030"/>
      <c r="D270" s="1031"/>
      <c r="E270" s="1031"/>
      <c r="F270" s="1032"/>
    </row>
    <row r="271" spans="1:6" ht="15.75" x14ac:dyDescent="0.25">
      <c r="A271" s="1030"/>
      <c r="B271" s="1031"/>
      <c r="C271" s="1030"/>
      <c r="D271" s="1031"/>
      <c r="E271" s="1031"/>
      <c r="F271" s="1032"/>
    </row>
    <row r="272" spans="1:6" ht="15.75" x14ac:dyDescent="0.25">
      <c r="A272" s="1030"/>
      <c r="B272" s="1031"/>
      <c r="C272" s="1030"/>
      <c r="D272" s="1031"/>
      <c r="E272" s="1031"/>
      <c r="F272" s="1032"/>
    </row>
    <row r="273" spans="1:6" ht="15.75" x14ac:dyDescent="0.25">
      <c r="A273" s="1030"/>
      <c r="B273" s="1031"/>
      <c r="C273" s="1030"/>
      <c r="D273" s="1031"/>
      <c r="E273" s="1031"/>
      <c r="F273" s="1032"/>
    </row>
    <row r="274" spans="1:6" ht="15.75" x14ac:dyDescent="0.25">
      <c r="A274" s="1030"/>
      <c r="B274" s="1031"/>
      <c r="C274" s="1030"/>
      <c r="D274" s="1031"/>
      <c r="E274" s="1031"/>
      <c r="F274" s="1032"/>
    </row>
    <row r="275" spans="1:6" ht="15.75" x14ac:dyDescent="0.25">
      <c r="A275" s="1030"/>
      <c r="B275" s="1031"/>
      <c r="C275" s="1030"/>
      <c r="D275" s="1031"/>
      <c r="E275" s="1031"/>
      <c r="F275" s="1032"/>
    </row>
    <row r="276" spans="1:6" ht="15.75" x14ac:dyDescent="0.25">
      <c r="A276" s="1030"/>
      <c r="B276" s="1031"/>
      <c r="C276" s="1030"/>
      <c r="D276" s="1031"/>
      <c r="E276" s="1031"/>
      <c r="F276" s="1032"/>
    </row>
    <row r="277" spans="1:6" ht="15.75" x14ac:dyDescent="0.25">
      <c r="A277" s="1030"/>
      <c r="B277" s="1031"/>
      <c r="C277" s="1030"/>
      <c r="D277" s="1031"/>
      <c r="E277" s="1031"/>
      <c r="F277" s="1032"/>
    </row>
    <row r="278" spans="1:6" ht="15.75" x14ac:dyDescent="0.25">
      <c r="A278" s="1030"/>
      <c r="B278" s="1031"/>
      <c r="C278" s="1030"/>
      <c r="D278" s="1031"/>
      <c r="E278" s="1031"/>
      <c r="F278" s="1032"/>
    </row>
    <row r="279" spans="1:6" ht="15.75" x14ac:dyDescent="0.25">
      <c r="A279" s="1030"/>
      <c r="B279" s="1031"/>
      <c r="C279" s="1030"/>
      <c r="D279" s="1031"/>
      <c r="E279" s="1031"/>
      <c r="F279" s="1032"/>
    </row>
    <row r="280" spans="1:6" ht="15.75" x14ac:dyDescent="0.25">
      <c r="A280" s="1030"/>
      <c r="B280" s="1031"/>
      <c r="C280" s="1030"/>
      <c r="D280" s="1031"/>
      <c r="E280" s="1031"/>
      <c r="F280" s="1032"/>
    </row>
    <row r="281" spans="1:6" ht="15.75" x14ac:dyDescent="0.25">
      <c r="A281" s="1030"/>
      <c r="B281" s="1031"/>
      <c r="C281" s="1030"/>
      <c r="D281" s="1031"/>
      <c r="E281" s="1031"/>
      <c r="F281" s="1032"/>
    </row>
    <row r="282" spans="1:6" ht="15.75" x14ac:dyDescent="0.25">
      <c r="A282" s="1030"/>
      <c r="B282" s="1031"/>
      <c r="C282" s="1030"/>
      <c r="D282" s="1031"/>
      <c r="E282" s="1031"/>
      <c r="F282" s="1032"/>
    </row>
    <row r="283" spans="1:6" ht="15.75" x14ac:dyDescent="0.25">
      <c r="A283" s="1030"/>
      <c r="B283" s="1031"/>
      <c r="C283" s="1030"/>
      <c r="D283" s="1031"/>
      <c r="E283" s="1031"/>
      <c r="F283" s="1032"/>
    </row>
    <row r="284" spans="1:6" ht="15.75" x14ac:dyDescent="0.25">
      <c r="A284" s="1030"/>
      <c r="B284" s="1031"/>
      <c r="C284" s="1030"/>
      <c r="D284" s="1031"/>
      <c r="E284" s="1031"/>
      <c r="F284" s="1032"/>
    </row>
    <row r="285" spans="1:6" ht="15.75" x14ac:dyDescent="0.25">
      <c r="A285" s="1030"/>
      <c r="B285" s="1031"/>
      <c r="C285" s="1030"/>
      <c r="D285" s="1031"/>
      <c r="E285" s="1031"/>
      <c r="F285" s="1032"/>
    </row>
    <row r="286" spans="1:6" ht="15.75" x14ac:dyDescent="0.25">
      <c r="A286" s="1030"/>
      <c r="B286" s="1031"/>
      <c r="C286" s="1030"/>
      <c r="D286" s="1031"/>
      <c r="E286" s="1031"/>
      <c r="F286" s="1032"/>
    </row>
    <row r="287" spans="1:6" ht="15.75" x14ac:dyDescent="0.25">
      <c r="A287" s="1030"/>
      <c r="B287" s="1031"/>
      <c r="C287" s="1030"/>
      <c r="D287" s="1031"/>
      <c r="E287" s="1031"/>
      <c r="F287" s="1032"/>
    </row>
    <row r="288" spans="1:6" ht="15.75" x14ac:dyDescent="0.25">
      <c r="A288" s="1030"/>
      <c r="B288" s="1031"/>
      <c r="C288" s="1030"/>
      <c r="D288" s="1031"/>
      <c r="E288" s="1031"/>
      <c r="F288" s="1032"/>
    </row>
    <row r="289" spans="1:6" ht="15.75" x14ac:dyDescent="0.25">
      <c r="A289" s="1030"/>
      <c r="B289" s="1031"/>
      <c r="C289" s="1030"/>
      <c r="D289" s="1031"/>
      <c r="E289" s="1031"/>
      <c r="F289" s="1032"/>
    </row>
    <row r="290" spans="1:6" ht="15.75" x14ac:dyDescent="0.25">
      <c r="A290" s="1030"/>
      <c r="B290" s="1031"/>
      <c r="C290" s="1030"/>
      <c r="D290" s="1031"/>
      <c r="E290" s="1031"/>
      <c r="F290" s="1032"/>
    </row>
    <row r="291" spans="1:6" ht="15.75" x14ac:dyDescent="0.25">
      <c r="A291" s="1030"/>
      <c r="B291" s="1031"/>
      <c r="C291" s="1030"/>
      <c r="D291" s="1031"/>
      <c r="E291" s="1031"/>
      <c r="F291" s="1032"/>
    </row>
    <row r="292" spans="1:6" ht="15.75" x14ac:dyDescent="0.25">
      <c r="A292" s="1030"/>
      <c r="B292" s="1031"/>
      <c r="C292" s="1030"/>
      <c r="D292" s="1031"/>
      <c r="E292" s="1031"/>
      <c r="F292" s="1032"/>
    </row>
    <row r="293" spans="1:6" ht="15.75" x14ac:dyDescent="0.25">
      <c r="A293" s="1030"/>
      <c r="B293" s="1031"/>
      <c r="C293" s="1030"/>
      <c r="D293" s="1031"/>
      <c r="E293" s="1031"/>
      <c r="F293" s="1032"/>
    </row>
    <row r="294" spans="1:6" ht="15.75" x14ac:dyDescent="0.25">
      <c r="A294" s="1030"/>
      <c r="B294" s="1031"/>
      <c r="C294" s="1030"/>
      <c r="D294" s="1031"/>
      <c r="E294" s="1031"/>
      <c r="F294" s="1032"/>
    </row>
    <row r="295" spans="1:6" ht="15.75" x14ac:dyDescent="0.25">
      <c r="A295" s="1030"/>
      <c r="B295" s="1031"/>
      <c r="C295" s="1030"/>
      <c r="D295" s="1031"/>
      <c r="E295" s="1031"/>
      <c r="F295" s="1032"/>
    </row>
    <row r="296" spans="1:6" ht="15.75" x14ac:dyDescent="0.25">
      <c r="A296" s="1030"/>
      <c r="B296" s="1031"/>
      <c r="C296" s="1030"/>
      <c r="D296" s="1031"/>
      <c r="E296" s="1031"/>
      <c r="F296" s="1032"/>
    </row>
    <row r="297" spans="1:6" ht="15.75" x14ac:dyDescent="0.25">
      <c r="A297" s="1030"/>
      <c r="B297" s="1031"/>
      <c r="C297" s="1030"/>
      <c r="D297" s="1031"/>
      <c r="E297" s="1031"/>
      <c r="F297" s="1032"/>
    </row>
    <row r="298" spans="1:6" ht="15.75" x14ac:dyDescent="0.25">
      <c r="A298" s="1030"/>
      <c r="B298" s="1031"/>
      <c r="C298" s="1030"/>
      <c r="D298" s="1031"/>
      <c r="E298" s="1031"/>
      <c r="F298" s="1032"/>
    </row>
    <row r="299" spans="1:6" ht="15.75" x14ac:dyDescent="0.25">
      <c r="A299" s="1030"/>
      <c r="B299" s="1031"/>
      <c r="C299" s="1030"/>
      <c r="D299" s="1031"/>
      <c r="E299" s="1031"/>
      <c r="F299" s="1032"/>
    </row>
    <row r="300" spans="1:6" ht="15.75" x14ac:dyDescent="0.25">
      <c r="A300" s="1030"/>
      <c r="B300" s="1031"/>
      <c r="C300" s="1030"/>
      <c r="D300" s="1031"/>
      <c r="E300" s="1031"/>
      <c r="F300" s="1032"/>
    </row>
    <row r="301" spans="1:6" ht="15.75" x14ac:dyDescent="0.25">
      <c r="A301" s="1030"/>
      <c r="B301" s="1031"/>
      <c r="C301" s="1030"/>
      <c r="D301" s="1031"/>
      <c r="E301" s="1031"/>
      <c r="F301" s="1032"/>
    </row>
    <row r="302" spans="1:6" ht="15.75" x14ac:dyDescent="0.25">
      <c r="A302" s="1030"/>
      <c r="B302" s="1031"/>
      <c r="C302" s="1030"/>
      <c r="D302" s="1031"/>
      <c r="E302" s="1031"/>
      <c r="F302" s="1032"/>
    </row>
    <row r="303" spans="1:6" ht="15.75" x14ac:dyDescent="0.25">
      <c r="A303" s="1030"/>
      <c r="B303" s="1031"/>
      <c r="C303" s="1030"/>
      <c r="D303" s="1031"/>
      <c r="E303" s="1031"/>
      <c r="F303" s="1032"/>
    </row>
    <row r="304" spans="1:6" ht="15.75" x14ac:dyDescent="0.25">
      <c r="A304" s="1030"/>
      <c r="B304" s="1031"/>
      <c r="C304" s="1030"/>
      <c r="D304" s="1031"/>
      <c r="E304" s="1031"/>
      <c r="F304" s="1032"/>
    </row>
    <row r="305" spans="1:6" ht="15.75" x14ac:dyDescent="0.25">
      <c r="A305" s="1030"/>
      <c r="B305" s="1031"/>
      <c r="C305" s="1030"/>
      <c r="D305" s="1031"/>
      <c r="E305" s="1031"/>
      <c r="F305" s="1032"/>
    </row>
    <row r="306" spans="1:6" ht="15.75" x14ac:dyDescent="0.25">
      <c r="A306" s="1030"/>
      <c r="B306" s="1031"/>
      <c r="C306" s="1030"/>
      <c r="D306" s="1031"/>
      <c r="E306" s="1031"/>
      <c r="F306" s="1032"/>
    </row>
    <row r="307" spans="1:6" ht="15.75" x14ac:dyDescent="0.25">
      <c r="A307" s="1030"/>
      <c r="B307" s="1031"/>
      <c r="C307" s="1030"/>
      <c r="D307" s="1031"/>
      <c r="E307" s="1031"/>
      <c r="F307" s="1032"/>
    </row>
    <row r="308" spans="1:6" ht="15.75" x14ac:dyDescent="0.25">
      <c r="A308" s="1030"/>
      <c r="B308" s="1031"/>
      <c r="C308" s="1030"/>
      <c r="D308" s="1031"/>
      <c r="E308" s="1031"/>
      <c r="F308" s="1032"/>
    </row>
    <row r="309" spans="1:6" ht="15.75" x14ac:dyDescent="0.25">
      <c r="A309" s="1030"/>
      <c r="B309" s="1031"/>
      <c r="C309" s="1030"/>
      <c r="D309" s="1031"/>
      <c r="E309" s="1031"/>
      <c r="F309" s="1032"/>
    </row>
    <row r="310" spans="1:6" ht="15.75" x14ac:dyDescent="0.25">
      <c r="A310" s="1030"/>
      <c r="B310" s="1031"/>
      <c r="C310" s="1030"/>
      <c r="D310" s="1031"/>
      <c r="E310" s="1031"/>
      <c r="F310" s="1032"/>
    </row>
    <row r="311" spans="1:6" ht="15.75" x14ac:dyDescent="0.25">
      <c r="A311" s="1030"/>
      <c r="B311" s="1031"/>
      <c r="C311" s="1030"/>
      <c r="D311" s="1031"/>
      <c r="E311" s="1031"/>
      <c r="F311" s="1032"/>
    </row>
    <row r="312" spans="1:6" ht="15.75" x14ac:dyDescent="0.25">
      <c r="A312" s="1030"/>
      <c r="B312" s="1031"/>
      <c r="C312" s="1030"/>
      <c r="D312" s="1031"/>
      <c r="E312" s="1031"/>
      <c r="F312" s="1032"/>
    </row>
    <row r="313" spans="1:6" ht="15.75" x14ac:dyDescent="0.25">
      <c r="A313" s="1030"/>
      <c r="B313" s="1031"/>
      <c r="C313" s="1030"/>
      <c r="D313" s="1031"/>
      <c r="E313" s="1031"/>
      <c r="F313" s="1032"/>
    </row>
    <row r="314" spans="1:6" ht="15.75" x14ac:dyDescent="0.25">
      <c r="A314" s="1030"/>
      <c r="B314" s="1031"/>
      <c r="C314" s="1030"/>
      <c r="D314" s="1031"/>
      <c r="E314" s="1031"/>
      <c r="F314" s="1032"/>
    </row>
    <row r="315" spans="1:6" ht="15.75" x14ac:dyDescent="0.25">
      <c r="A315" s="1030"/>
      <c r="B315" s="1031"/>
      <c r="C315" s="1030"/>
      <c r="D315" s="1031"/>
      <c r="E315" s="1031"/>
      <c r="F315" s="1032"/>
    </row>
    <row r="316" spans="1:6" ht="15.75" x14ac:dyDescent="0.25">
      <c r="A316" s="1030"/>
      <c r="B316" s="1031"/>
      <c r="C316" s="1030"/>
      <c r="D316" s="1031"/>
      <c r="E316" s="1031"/>
      <c r="F316" s="1032"/>
    </row>
    <row r="317" spans="1:6" ht="15.75" x14ac:dyDescent="0.25">
      <c r="A317" s="1030"/>
      <c r="B317" s="1031"/>
      <c r="C317" s="1030"/>
      <c r="D317" s="1031"/>
      <c r="E317" s="1031"/>
      <c r="F317" s="1032"/>
    </row>
    <row r="318" spans="1:6" ht="15.75" x14ac:dyDescent="0.25">
      <c r="A318" s="1030"/>
      <c r="B318" s="1031"/>
      <c r="C318" s="1030"/>
      <c r="D318" s="1031"/>
      <c r="E318" s="1031"/>
      <c r="F318" s="1032"/>
    </row>
    <row r="319" spans="1:6" ht="15.75" x14ac:dyDescent="0.25">
      <c r="A319" s="1030"/>
      <c r="B319" s="1031"/>
      <c r="C319" s="1030"/>
      <c r="D319" s="1031"/>
      <c r="E319" s="1031"/>
      <c r="F319" s="1032"/>
    </row>
    <row r="320" spans="1:6" ht="15.75" x14ac:dyDescent="0.25">
      <c r="A320" s="1030"/>
      <c r="B320" s="1031"/>
      <c r="C320" s="1030"/>
      <c r="D320" s="1031"/>
      <c r="E320" s="1031"/>
      <c r="F320" s="1032"/>
    </row>
    <row r="321" spans="1:6" ht="15.75" x14ac:dyDescent="0.25">
      <c r="A321" s="1030"/>
      <c r="B321" s="1031"/>
      <c r="C321" s="1030"/>
      <c r="D321" s="1031"/>
      <c r="E321" s="1031"/>
      <c r="F321" s="1032"/>
    </row>
    <row r="322" spans="1:6" ht="15.75" x14ac:dyDescent="0.25">
      <c r="A322" s="1030"/>
      <c r="B322" s="1031"/>
      <c r="C322" s="1030"/>
      <c r="D322" s="1031"/>
      <c r="E322" s="1031"/>
      <c r="F322" s="1032"/>
    </row>
    <row r="323" spans="1:6" ht="15.75" x14ac:dyDescent="0.25">
      <c r="A323" s="1030"/>
      <c r="B323" s="1031"/>
      <c r="C323" s="1030"/>
      <c r="D323" s="1031"/>
      <c r="E323" s="1031"/>
      <c r="F323" s="1032"/>
    </row>
    <row r="324" spans="1:6" ht="15.75" x14ac:dyDescent="0.25">
      <c r="A324" s="1030"/>
      <c r="B324" s="1031"/>
      <c r="C324" s="1030"/>
      <c r="D324" s="1031"/>
      <c r="E324" s="1031"/>
      <c r="F324" s="1032"/>
    </row>
    <row r="325" spans="1:6" ht="15.75" x14ac:dyDescent="0.25">
      <c r="A325" s="1030"/>
      <c r="B325" s="1031"/>
      <c r="C325" s="1030"/>
      <c r="D325" s="1031"/>
      <c r="E325" s="1031"/>
      <c r="F325" s="1032"/>
    </row>
    <row r="326" spans="1:6" ht="15.75" x14ac:dyDescent="0.25">
      <c r="A326" s="1030"/>
      <c r="B326" s="1031"/>
      <c r="C326" s="1030"/>
      <c r="D326" s="1031"/>
      <c r="E326" s="1031"/>
      <c r="F326" s="1032"/>
    </row>
    <row r="327" spans="1:6" ht="15.75" x14ac:dyDescent="0.25">
      <c r="A327" s="1030"/>
      <c r="B327" s="1031"/>
      <c r="C327" s="1030"/>
      <c r="D327" s="1031"/>
      <c r="E327" s="1031"/>
      <c r="F327" s="1032"/>
    </row>
    <row r="328" spans="1:6" ht="15.75" x14ac:dyDescent="0.25">
      <c r="A328" s="1030"/>
      <c r="B328" s="1031"/>
      <c r="C328" s="1030"/>
      <c r="D328" s="1031"/>
      <c r="E328" s="1031"/>
      <c r="F328" s="1032"/>
    </row>
    <row r="329" spans="1:6" ht="15.75" x14ac:dyDescent="0.25">
      <c r="A329" s="1030"/>
      <c r="B329" s="1031"/>
      <c r="C329" s="1030"/>
      <c r="D329" s="1031"/>
      <c r="E329" s="1031"/>
      <c r="F329" s="1032"/>
    </row>
    <row r="330" spans="1:6" ht="15.75" x14ac:dyDescent="0.25">
      <c r="A330" s="1030"/>
      <c r="B330" s="1031"/>
      <c r="C330" s="1030"/>
      <c r="D330" s="1031"/>
      <c r="E330" s="1031"/>
      <c r="F330" s="1032"/>
    </row>
    <row r="331" spans="1:6" ht="15.75" x14ac:dyDescent="0.25">
      <c r="A331" s="1030"/>
      <c r="B331" s="1031"/>
      <c r="C331" s="1030"/>
      <c r="D331" s="1031"/>
      <c r="E331" s="1031"/>
      <c r="F331" s="1032"/>
    </row>
    <row r="332" spans="1:6" ht="15.75" x14ac:dyDescent="0.25">
      <c r="A332" s="1030"/>
      <c r="B332" s="1031"/>
      <c r="C332" s="1030"/>
      <c r="D332" s="1031"/>
      <c r="E332" s="1031"/>
      <c r="F332" s="1032"/>
    </row>
    <row r="333" spans="1:6" ht="15.75" x14ac:dyDescent="0.25">
      <c r="A333" s="1030"/>
      <c r="B333" s="1031"/>
      <c r="C333" s="1030"/>
      <c r="D333" s="1031"/>
      <c r="E333" s="1031"/>
      <c r="F333" s="1032"/>
    </row>
    <row r="334" spans="1:6" ht="15.75" x14ac:dyDescent="0.25">
      <c r="A334" s="1030"/>
      <c r="B334" s="1031"/>
      <c r="C334" s="1030"/>
      <c r="D334" s="1031"/>
      <c r="E334" s="1031"/>
      <c r="F334" s="1032"/>
    </row>
    <row r="335" spans="1:6" ht="15.75" x14ac:dyDescent="0.25">
      <c r="A335" s="1030"/>
      <c r="B335" s="1031"/>
      <c r="C335" s="1030"/>
      <c r="D335" s="1031"/>
      <c r="E335" s="1031"/>
      <c r="F335" s="1032"/>
    </row>
    <row r="336" spans="1:6" ht="15.75" x14ac:dyDescent="0.25">
      <c r="A336" s="1030"/>
      <c r="B336" s="1031"/>
      <c r="C336" s="1030"/>
      <c r="D336" s="1031"/>
      <c r="E336" s="1031"/>
      <c r="F336" s="1032"/>
    </row>
    <row r="337" spans="1:6" ht="15.75" x14ac:dyDescent="0.25">
      <c r="A337" s="1030"/>
      <c r="B337" s="1031"/>
      <c r="C337" s="1030"/>
      <c r="D337" s="1031"/>
      <c r="E337" s="1031"/>
      <c r="F337" s="1032"/>
    </row>
    <row r="338" spans="1:6" ht="15.75" x14ac:dyDescent="0.25">
      <c r="A338" s="1030"/>
      <c r="B338" s="1031"/>
      <c r="C338" s="1030"/>
      <c r="D338" s="1031"/>
      <c r="E338" s="1031"/>
      <c r="F338" s="1032"/>
    </row>
    <row r="339" spans="1:6" ht="15.75" x14ac:dyDescent="0.25">
      <c r="A339" s="1030"/>
      <c r="B339" s="1031"/>
      <c r="C339" s="1030"/>
      <c r="D339" s="1031"/>
      <c r="E339" s="1031"/>
      <c r="F339" s="1032"/>
    </row>
    <row r="340" spans="1:6" ht="15.75" x14ac:dyDescent="0.25">
      <c r="A340" s="1030"/>
      <c r="B340" s="1031"/>
      <c r="C340" s="1030"/>
      <c r="D340" s="1031"/>
      <c r="E340" s="1031"/>
      <c r="F340" s="1032"/>
    </row>
    <row r="341" spans="1:6" ht="15.75" x14ac:dyDescent="0.25">
      <c r="A341" s="1030"/>
      <c r="B341" s="1031"/>
      <c r="C341" s="1030"/>
      <c r="D341" s="1031"/>
      <c r="E341" s="1031"/>
      <c r="F341" s="1032"/>
    </row>
    <row r="342" spans="1:6" ht="15.75" x14ac:dyDescent="0.25">
      <c r="A342" s="1030"/>
      <c r="B342" s="1031"/>
      <c r="C342" s="1030"/>
      <c r="D342" s="1031"/>
      <c r="E342" s="1031"/>
      <c r="F342" s="1032"/>
    </row>
    <row r="343" spans="1:6" ht="15.75" x14ac:dyDescent="0.25">
      <c r="A343" s="1030"/>
      <c r="B343" s="1031"/>
      <c r="C343" s="1030"/>
      <c r="D343" s="1031"/>
      <c r="E343" s="1031"/>
      <c r="F343" s="1032"/>
    </row>
    <row r="344" spans="1:6" ht="15.75" x14ac:dyDescent="0.25">
      <c r="A344" s="1030"/>
      <c r="B344" s="1031"/>
      <c r="C344" s="1030"/>
      <c r="D344" s="1031"/>
      <c r="E344" s="1031"/>
      <c r="F344" s="1032"/>
    </row>
    <row r="345" spans="1:6" ht="15.75" x14ac:dyDescent="0.25">
      <c r="A345" s="1030"/>
      <c r="B345" s="1031"/>
      <c r="C345" s="1030"/>
      <c r="D345" s="1031"/>
      <c r="E345" s="1031"/>
      <c r="F345" s="1032"/>
    </row>
    <row r="346" spans="1:6" ht="15.75" x14ac:dyDescent="0.25">
      <c r="A346" s="1030"/>
      <c r="B346" s="1031"/>
      <c r="C346" s="1030"/>
      <c r="D346" s="1031"/>
      <c r="E346" s="1031"/>
      <c r="F346" s="1032"/>
    </row>
    <row r="347" spans="1:6" ht="15.75" x14ac:dyDescent="0.25">
      <c r="A347" s="1030"/>
      <c r="B347" s="1031"/>
      <c r="C347" s="1030"/>
      <c r="D347" s="1031"/>
      <c r="E347" s="1031"/>
      <c r="F347" s="1032"/>
    </row>
    <row r="348" spans="1:6" ht="15.75" x14ac:dyDescent="0.25">
      <c r="A348" s="1030"/>
      <c r="B348" s="1031"/>
      <c r="C348" s="1030"/>
      <c r="D348" s="1031"/>
      <c r="E348" s="1031"/>
      <c r="F348" s="1032"/>
    </row>
    <row r="349" spans="1:6" ht="15.75" x14ac:dyDescent="0.25">
      <c r="A349" s="1030"/>
      <c r="B349" s="1031"/>
      <c r="C349" s="1030"/>
      <c r="D349" s="1031"/>
      <c r="E349" s="1031"/>
      <c r="F349" s="1032"/>
    </row>
    <row r="350" spans="1:6" ht="15.75" x14ac:dyDescent="0.25">
      <c r="A350" s="1030"/>
      <c r="B350" s="1031"/>
      <c r="C350" s="1030"/>
      <c r="D350" s="1031"/>
      <c r="E350" s="1031"/>
      <c r="F350" s="1032"/>
    </row>
    <row r="351" spans="1:6" ht="15.75" x14ac:dyDescent="0.25">
      <c r="A351" s="1030"/>
      <c r="B351" s="1031"/>
      <c r="C351" s="1030"/>
      <c r="D351" s="1031"/>
      <c r="E351" s="1031"/>
      <c r="F351" s="1032"/>
    </row>
    <row r="352" spans="1:6" ht="15.75" x14ac:dyDescent="0.25">
      <c r="A352" s="1030"/>
      <c r="B352" s="1031"/>
      <c r="C352" s="1030"/>
      <c r="D352" s="1031"/>
      <c r="E352" s="1031"/>
      <c r="F352" s="1032"/>
    </row>
    <row r="353" spans="1:6" ht="15.75" x14ac:dyDescent="0.25">
      <c r="A353" s="1030"/>
      <c r="B353" s="1031"/>
      <c r="C353" s="1030"/>
      <c r="D353" s="1031"/>
      <c r="E353" s="1031"/>
      <c r="F353" s="1032"/>
    </row>
    <row r="354" spans="1:6" ht="15.75" x14ac:dyDescent="0.25">
      <c r="A354" s="1030"/>
      <c r="B354" s="1031"/>
      <c r="C354" s="1030"/>
      <c r="D354" s="1031"/>
      <c r="E354" s="1031"/>
      <c r="F354" s="1032"/>
    </row>
    <row r="355" spans="1:6" ht="15.75" x14ac:dyDescent="0.25">
      <c r="A355" s="1030"/>
      <c r="B355" s="1031"/>
      <c r="C355" s="1030"/>
      <c r="D355" s="1031"/>
      <c r="E355" s="1031"/>
      <c r="F355" s="1032"/>
    </row>
    <row r="356" spans="1:6" ht="15.75" x14ac:dyDescent="0.25">
      <c r="A356" s="1030"/>
      <c r="B356" s="1031"/>
      <c r="C356" s="1030"/>
      <c r="D356" s="1031"/>
      <c r="E356" s="1031"/>
      <c r="F356" s="1032"/>
    </row>
    <row r="357" spans="1:6" ht="15.75" x14ac:dyDescent="0.25">
      <c r="A357" s="1030"/>
      <c r="B357" s="1031"/>
      <c r="C357" s="1030"/>
      <c r="D357" s="1031"/>
      <c r="E357" s="1031"/>
      <c r="F357" s="1032"/>
    </row>
    <row r="358" spans="1:6" ht="15.75" x14ac:dyDescent="0.25">
      <c r="A358" s="1030"/>
      <c r="B358" s="1031"/>
      <c r="C358" s="1030"/>
      <c r="D358" s="1031"/>
      <c r="E358" s="1031"/>
      <c r="F358" s="1032"/>
    </row>
    <row r="359" spans="1:6" ht="15.75" x14ac:dyDescent="0.25">
      <c r="A359" s="1030"/>
      <c r="B359" s="1031"/>
      <c r="C359" s="1030"/>
      <c r="D359" s="1031"/>
      <c r="E359" s="1031"/>
      <c r="F359" s="1032"/>
    </row>
    <row r="360" spans="1:6" ht="15.75" x14ac:dyDescent="0.25">
      <c r="A360" s="1030"/>
      <c r="B360" s="1031"/>
      <c r="C360" s="1030"/>
      <c r="D360" s="1031"/>
      <c r="E360" s="1031"/>
      <c r="F360" s="1032"/>
    </row>
    <row r="361" spans="1:6" ht="15.75" x14ac:dyDescent="0.25">
      <c r="A361" s="1030"/>
      <c r="B361" s="1031"/>
      <c r="C361" s="1030"/>
      <c r="D361" s="1031"/>
      <c r="E361" s="1031"/>
      <c r="F361" s="1032"/>
    </row>
    <row r="362" spans="1:6" ht="15.75" x14ac:dyDescent="0.25">
      <c r="A362" s="1030"/>
      <c r="B362" s="1031"/>
      <c r="C362" s="1030"/>
      <c r="D362" s="1031"/>
      <c r="E362" s="1031"/>
      <c r="F362" s="1032"/>
    </row>
    <row r="363" spans="1:6" ht="15.75" x14ac:dyDescent="0.25">
      <c r="A363" s="1030"/>
      <c r="B363" s="1031"/>
      <c r="C363" s="1030"/>
      <c r="D363" s="1031"/>
      <c r="E363" s="1031"/>
      <c r="F363" s="1032"/>
    </row>
    <row r="364" spans="1:6" ht="15.75" x14ac:dyDescent="0.25">
      <c r="A364" s="1030"/>
      <c r="B364" s="1031"/>
      <c r="C364" s="1030"/>
      <c r="D364" s="1031"/>
      <c r="E364" s="1031"/>
      <c r="F364" s="1032"/>
    </row>
    <row r="365" spans="1:6" ht="15.75" x14ac:dyDescent="0.25">
      <c r="A365" s="1030"/>
      <c r="B365" s="1031"/>
      <c r="C365" s="1030"/>
      <c r="D365" s="1031"/>
      <c r="E365" s="1031"/>
      <c r="F365" s="1032"/>
    </row>
    <row r="366" spans="1:6" ht="15.75" x14ac:dyDescent="0.25">
      <c r="A366" s="1030"/>
      <c r="B366" s="1031"/>
      <c r="C366" s="1030"/>
      <c r="D366" s="1031"/>
      <c r="E366" s="1031"/>
      <c r="F366" s="1032"/>
    </row>
    <row r="367" spans="1:6" ht="15.75" x14ac:dyDescent="0.25">
      <c r="A367" s="1030"/>
      <c r="B367" s="1031"/>
      <c r="C367" s="1030"/>
      <c r="D367" s="1031"/>
      <c r="E367" s="1031"/>
      <c r="F367" s="1032"/>
    </row>
    <row r="368" spans="1:6" ht="15.75" x14ac:dyDescent="0.25">
      <c r="A368" s="1030"/>
      <c r="B368" s="1031"/>
      <c r="C368" s="1030"/>
      <c r="D368" s="1031"/>
      <c r="E368" s="1031"/>
      <c r="F368" s="1032"/>
    </row>
    <row r="369" spans="1:6" ht="15.75" x14ac:dyDescent="0.25">
      <c r="A369" s="1030"/>
      <c r="B369" s="1031"/>
      <c r="C369" s="1030"/>
      <c r="D369" s="1031"/>
      <c r="E369" s="1031"/>
      <c r="F369" s="1032"/>
    </row>
    <row r="370" spans="1:6" ht="15.75" x14ac:dyDescent="0.25">
      <c r="A370" s="1030"/>
      <c r="B370" s="1031"/>
      <c r="C370" s="1030"/>
      <c r="D370" s="1031"/>
      <c r="E370" s="1031"/>
      <c r="F370" s="1032"/>
    </row>
    <row r="371" spans="1:6" ht="15.75" x14ac:dyDescent="0.25">
      <c r="A371" s="1030"/>
      <c r="B371" s="1031"/>
      <c r="C371" s="1030"/>
      <c r="D371" s="1031"/>
      <c r="E371" s="1031"/>
      <c r="F371" s="1032"/>
    </row>
    <row r="372" spans="1:6" ht="15.75" x14ac:dyDescent="0.25">
      <c r="A372" s="1030"/>
      <c r="B372" s="1031"/>
      <c r="C372" s="1030"/>
      <c r="D372" s="1031"/>
      <c r="E372" s="1031"/>
      <c r="F372" s="1032"/>
    </row>
    <row r="373" spans="1:6" ht="15.75" x14ac:dyDescent="0.25">
      <c r="A373" s="1030"/>
      <c r="B373" s="1031"/>
      <c r="C373" s="1030"/>
      <c r="D373" s="1031"/>
      <c r="E373" s="1031"/>
      <c r="F373" s="1032"/>
    </row>
    <row r="374" spans="1:6" ht="15.75" x14ac:dyDescent="0.25">
      <c r="A374" s="1030"/>
      <c r="B374" s="1031"/>
      <c r="C374" s="1030"/>
      <c r="D374" s="1031"/>
      <c r="E374" s="1031"/>
      <c r="F374" s="1032"/>
    </row>
    <row r="375" spans="1:6" ht="15.75" x14ac:dyDescent="0.25">
      <c r="A375" s="1030"/>
      <c r="B375" s="1031"/>
      <c r="C375" s="1030"/>
      <c r="D375" s="1031"/>
      <c r="E375" s="1031"/>
      <c r="F375" s="1032"/>
    </row>
    <row r="376" spans="1:6" ht="15.75" x14ac:dyDescent="0.25">
      <c r="A376" s="1030"/>
      <c r="B376" s="1031"/>
      <c r="C376" s="1030"/>
      <c r="D376" s="1031"/>
      <c r="E376" s="1031"/>
      <c r="F376" s="1032"/>
    </row>
    <row r="377" spans="1:6" ht="15.75" x14ac:dyDescent="0.25">
      <c r="A377" s="1030"/>
      <c r="B377" s="1031"/>
      <c r="C377" s="1030"/>
      <c r="D377" s="1031"/>
      <c r="E377" s="1031"/>
      <c r="F377" s="1032"/>
    </row>
    <row r="378" spans="1:6" ht="15.75" x14ac:dyDescent="0.25">
      <c r="A378" s="1030"/>
      <c r="B378" s="1031"/>
      <c r="C378" s="1030"/>
      <c r="D378" s="1031"/>
      <c r="E378" s="1031"/>
      <c r="F378" s="1032"/>
    </row>
    <row r="379" spans="1:6" ht="15.75" x14ac:dyDescent="0.25">
      <c r="A379" s="1030"/>
      <c r="B379" s="1031"/>
      <c r="C379" s="1030"/>
      <c r="D379" s="1031"/>
      <c r="E379" s="1031"/>
      <c r="F379" s="1032"/>
    </row>
    <row r="380" spans="1:6" ht="15.75" x14ac:dyDescent="0.25">
      <c r="A380" s="1030"/>
      <c r="B380" s="1031"/>
      <c r="C380" s="1030"/>
      <c r="D380" s="1031"/>
      <c r="E380" s="1031"/>
      <c r="F380" s="1032"/>
    </row>
    <row r="381" spans="1:6" ht="15.75" x14ac:dyDescent="0.25">
      <c r="A381" s="1030"/>
      <c r="B381" s="1031"/>
      <c r="C381" s="1030"/>
      <c r="D381" s="1031"/>
      <c r="E381" s="1031"/>
      <c r="F381" s="1032"/>
    </row>
    <row r="382" spans="1:6" ht="15.75" x14ac:dyDescent="0.25">
      <c r="A382" s="1030"/>
      <c r="B382" s="1031"/>
      <c r="C382" s="1030"/>
      <c r="D382" s="1031"/>
      <c r="E382" s="1031"/>
      <c r="F382" s="1032"/>
    </row>
    <row r="383" spans="1:6" ht="15.75" x14ac:dyDescent="0.25">
      <c r="A383" s="1030"/>
      <c r="B383" s="1031"/>
      <c r="C383" s="1030"/>
      <c r="D383" s="1031"/>
      <c r="E383" s="1031"/>
      <c r="F383" s="1032"/>
    </row>
    <row r="384" spans="1:6" ht="15.75" x14ac:dyDescent="0.25">
      <c r="A384" s="1030"/>
      <c r="B384" s="1031"/>
      <c r="C384" s="1030"/>
      <c r="D384" s="1031"/>
      <c r="E384" s="1031"/>
      <c r="F384" s="1032"/>
    </row>
    <row r="385" spans="1:6" ht="15.75" x14ac:dyDescent="0.25">
      <c r="A385" s="1030"/>
      <c r="B385" s="1031"/>
      <c r="C385" s="1030"/>
      <c r="D385" s="1031"/>
      <c r="E385" s="1031"/>
      <c r="F385" s="1032"/>
    </row>
    <row r="386" spans="1:6" ht="15.75" x14ac:dyDescent="0.25">
      <c r="A386" s="1030"/>
      <c r="B386" s="1031"/>
      <c r="C386" s="1030"/>
      <c r="D386" s="1031"/>
      <c r="E386" s="1031"/>
      <c r="F386" s="1032"/>
    </row>
    <row r="387" spans="1:6" ht="15.75" x14ac:dyDescent="0.25">
      <c r="A387" s="1030"/>
      <c r="B387" s="1031"/>
      <c r="C387" s="1030"/>
      <c r="D387" s="1031"/>
      <c r="E387" s="1031"/>
      <c r="F387" s="1032"/>
    </row>
    <row r="388" spans="1:6" ht="15.75" x14ac:dyDescent="0.25">
      <c r="A388" s="1030"/>
      <c r="B388" s="1031"/>
      <c r="C388" s="1030"/>
      <c r="D388" s="1031"/>
      <c r="E388" s="1031"/>
      <c r="F388" s="1032"/>
    </row>
    <row r="389" spans="1:6" ht="15.75" x14ac:dyDescent="0.25">
      <c r="A389" s="1030"/>
      <c r="B389" s="1031"/>
      <c r="C389" s="1030"/>
      <c r="D389" s="1031"/>
      <c r="E389" s="1031"/>
      <c r="F389" s="1032"/>
    </row>
    <row r="390" spans="1:6" ht="15.75" x14ac:dyDescent="0.25">
      <c r="A390" s="1030"/>
      <c r="B390" s="1031"/>
      <c r="C390" s="1030"/>
      <c r="D390" s="1031"/>
      <c r="E390" s="1031"/>
      <c r="F390" s="1032"/>
    </row>
    <row r="391" spans="1:6" ht="15.75" x14ac:dyDescent="0.25">
      <c r="A391" s="1030"/>
      <c r="B391" s="1031"/>
      <c r="C391" s="1030"/>
      <c r="D391" s="1031"/>
      <c r="E391" s="1031"/>
      <c r="F391" s="1032"/>
    </row>
    <row r="392" spans="1:6" ht="15.75" x14ac:dyDescent="0.25">
      <c r="A392" s="1030"/>
      <c r="B392" s="1031"/>
      <c r="C392" s="1030"/>
      <c r="D392" s="1031"/>
      <c r="E392" s="1031"/>
      <c r="F392" s="1032"/>
    </row>
    <row r="393" spans="1:6" ht="15.75" x14ac:dyDescent="0.25">
      <c r="A393" s="1030"/>
      <c r="B393" s="1031"/>
      <c r="C393" s="1030"/>
      <c r="D393" s="1031"/>
      <c r="E393" s="1031"/>
      <c r="F393" s="1032"/>
    </row>
    <row r="394" spans="1:6" ht="15.75" x14ac:dyDescent="0.25">
      <c r="A394" s="1030"/>
      <c r="B394" s="1031"/>
      <c r="C394" s="1030"/>
      <c r="D394" s="1031"/>
      <c r="E394" s="1031"/>
      <c r="F394" s="1032"/>
    </row>
    <row r="395" spans="1:6" ht="15.75" x14ac:dyDescent="0.25">
      <c r="A395" s="1030"/>
      <c r="B395" s="1031"/>
      <c r="C395" s="1030"/>
      <c r="D395" s="1031"/>
      <c r="E395" s="1031"/>
      <c r="F395" s="1032"/>
    </row>
    <row r="396" spans="1:6" ht="15.75" x14ac:dyDescent="0.25">
      <c r="A396" s="1030"/>
      <c r="B396" s="1031"/>
      <c r="C396" s="1030"/>
      <c r="D396" s="1031"/>
      <c r="E396" s="1031"/>
      <c r="F396" s="1032"/>
    </row>
    <row r="397" spans="1:6" ht="15.75" x14ac:dyDescent="0.25">
      <c r="A397" s="1030"/>
      <c r="B397" s="1031"/>
      <c r="C397" s="1030"/>
      <c r="D397" s="1031"/>
      <c r="E397" s="1031"/>
      <c r="F397" s="1032"/>
    </row>
    <row r="398" spans="1:6" ht="15.75" x14ac:dyDescent="0.25">
      <c r="A398" s="1030"/>
      <c r="B398" s="1031"/>
      <c r="C398" s="1030"/>
      <c r="D398" s="1031"/>
      <c r="E398" s="1031"/>
      <c r="F398" s="1032"/>
    </row>
    <row r="399" spans="1:6" ht="15.75" x14ac:dyDescent="0.25">
      <c r="A399" s="1030"/>
      <c r="B399" s="1031"/>
      <c r="C399" s="1030"/>
      <c r="D399" s="1031"/>
      <c r="E399" s="1031"/>
      <c r="F399" s="1032"/>
    </row>
    <row r="400" spans="1:6" ht="15.75" x14ac:dyDescent="0.25">
      <c r="A400" s="1030"/>
      <c r="B400" s="1031"/>
      <c r="C400" s="1030"/>
      <c r="D400" s="1031"/>
      <c r="E400" s="1031"/>
      <c r="F400" s="1032"/>
    </row>
    <row r="401" spans="1:6" ht="15.75" x14ac:dyDescent="0.25">
      <c r="A401" s="1030"/>
      <c r="B401" s="1031"/>
      <c r="C401" s="1030"/>
      <c r="D401" s="1031"/>
      <c r="E401" s="1031"/>
      <c r="F401" s="1032"/>
    </row>
    <row r="402" spans="1:6" ht="15.75" x14ac:dyDescent="0.25">
      <c r="A402" s="1030"/>
      <c r="B402" s="1031"/>
      <c r="C402" s="1030"/>
      <c r="D402" s="1031"/>
      <c r="E402" s="1031"/>
      <c r="F402" s="1032"/>
    </row>
    <row r="403" spans="1:6" ht="15.75" x14ac:dyDescent="0.25">
      <c r="A403" s="1030"/>
      <c r="B403" s="1031"/>
      <c r="C403" s="1030"/>
      <c r="D403" s="1031"/>
      <c r="E403" s="1031"/>
      <c r="F403" s="1032"/>
    </row>
    <row r="404" spans="1:6" ht="15.75" x14ac:dyDescent="0.25">
      <c r="A404" s="1030"/>
      <c r="B404" s="1031"/>
      <c r="C404" s="1030"/>
      <c r="D404" s="1031"/>
      <c r="E404" s="1031"/>
      <c r="F404" s="1032"/>
    </row>
    <row r="405" spans="1:6" ht="15.75" x14ac:dyDescent="0.25">
      <c r="A405" s="1030"/>
      <c r="B405" s="1031"/>
      <c r="C405" s="1030"/>
      <c r="D405" s="1031"/>
      <c r="E405" s="1031"/>
      <c r="F405" s="1032"/>
    </row>
    <row r="406" spans="1:6" ht="15.75" x14ac:dyDescent="0.25">
      <c r="A406" s="1030"/>
      <c r="B406" s="1031"/>
      <c r="C406" s="1030"/>
      <c r="D406" s="1031"/>
      <c r="E406" s="1031"/>
      <c r="F406" s="1032"/>
    </row>
    <row r="407" spans="1:6" ht="15.75" x14ac:dyDescent="0.25">
      <c r="A407" s="1030"/>
      <c r="B407" s="1031"/>
      <c r="C407" s="1030"/>
      <c r="D407" s="1031"/>
      <c r="E407" s="1031"/>
      <c r="F407" s="1032"/>
    </row>
    <row r="408" spans="1:6" ht="15.75" x14ac:dyDescent="0.25">
      <c r="A408" s="1030"/>
      <c r="B408" s="1031"/>
      <c r="C408" s="1030"/>
      <c r="D408" s="1031"/>
      <c r="E408" s="1031"/>
      <c r="F408" s="1032"/>
    </row>
    <row r="409" spans="1:6" ht="15.75" x14ac:dyDescent="0.25">
      <c r="A409" s="1030"/>
      <c r="B409" s="1031"/>
      <c r="C409" s="1030"/>
      <c r="D409" s="1031"/>
      <c r="E409" s="1031"/>
      <c r="F409" s="1032"/>
    </row>
    <row r="410" spans="1:6" ht="15.75" x14ac:dyDescent="0.25">
      <c r="A410" s="1030"/>
      <c r="B410" s="1031"/>
      <c r="C410" s="1030"/>
      <c r="D410" s="1031"/>
      <c r="E410" s="1031"/>
      <c r="F410" s="1032"/>
    </row>
    <row r="411" spans="1:6" ht="15.75" x14ac:dyDescent="0.25">
      <c r="A411" s="1030"/>
      <c r="B411" s="1031"/>
      <c r="C411" s="1030"/>
      <c r="D411" s="1031"/>
      <c r="E411" s="1031"/>
      <c r="F411" s="1032"/>
    </row>
    <row r="412" spans="1:6" ht="15.75" x14ac:dyDescent="0.25">
      <c r="A412" s="1030"/>
      <c r="B412" s="1031"/>
      <c r="C412" s="1030"/>
      <c r="D412" s="1031"/>
      <c r="E412" s="1031"/>
      <c r="F412" s="1032"/>
    </row>
    <row r="413" spans="1:6" ht="15.75" x14ac:dyDescent="0.25">
      <c r="A413" s="1030"/>
      <c r="B413" s="1031"/>
      <c r="C413" s="1030"/>
      <c r="D413" s="1031"/>
      <c r="E413" s="1031"/>
      <c r="F413" s="1032"/>
    </row>
    <row r="414" spans="1:6" ht="15.75" x14ac:dyDescent="0.25">
      <c r="A414" s="1030"/>
      <c r="B414" s="1031"/>
      <c r="C414" s="1030"/>
      <c r="D414" s="1031"/>
      <c r="E414" s="1031"/>
      <c r="F414" s="1032"/>
    </row>
    <row r="415" spans="1:6" ht="15.75" x14ac:dyDescent="0.25">
      <c r="A415" s="1030"/>
      <c r="B415" s="1031"/>
      <c r="C415" s="1030"/>
      <c r="D415" s="1031"/>
      <c r="E415" s="1031"/>
      <c r="F415" s="1032"/>
    </row>
    <row r="416" spans="1:6" ht="15.75" x14ac:dyDescent="0.25">
      <c r="A416" s="1030"/>
      <c r="B416" s="1031"/>
      <c r="C416" s="1030"/>
      <c r="D416" s="1031"/>
      <c r="E416" s="1031"/>
      <c r="F416" s="1032"/>
    </row>
    <row r="417" spans="1:6" ht="15.75" x14ac:dyDescent="0.25">
      <c r="A417" s="1030"/>
      <c r="B417" s="1031"/>
      <c r="C417" s="1030"/>
      <c r="D417" s="1031"/>
      <c r="E417" s="1031"/>
      <c r="F417" s="1032"/>
    </row>
    <row r="418" spans="1:6" ht="15.75" x14ac:dyDescent="0.25">
      <c r="A418" s="1030"/>
      <c r="B418" s="1031"/>
      <c r="C418" s="1030"/>
      <c r="D418" s="1031"/>
      <c r="E418" s="1031"/>
      <c r="F418" s="1032"/>
    </row>
    <row r="419" spans="1:6" ht="15.75" x14ac:dyDescent="0.25">
      <c r="A419" s="1030"/>
      <c r="B419" s="1031"/>
      <c r="C419" s="1030"/>
      <c r="D419" s="1031"/>
      <c r="E419" s="1031"/>
      <c r="F419" s="1032"/>
    </row>
    <row r="420" spans="1:6" ht="15.75" x14ac:dyDescent="0.25">
      <c r="A420" s="1030"/>
      <c r="B420" s="1031"/>
      <c r="C420" s="1030"/>
      <c r="D420" s="1031"/>
      <c r="E420" s="1031"/>
      <c r="F420" s="1032"/>
    </row>
    <row r="421" spans="1:6" ht="15.75" x14ac:dyDescent="0.25">
      <c r="A421" s="1030"/>
      <c r="B421" s="1031"/>
      <c r="C421" s="1030"/>
      <c r="D421" s="1031"/>
      <c r="E421" s="1031"/>
      <c r="F421" s="1032"/>
    </row>
    <row r="422" spans="1:6" ht="15.75" x14ac:dyDescent="0.25">
      <c r="A422" s="1030"/>
      <c r="B422" s="1031"/>
      <c r="C422" s="1030"/>
      <c r="D422" s="1031"/>
      <c r="E422" s="1031"/>
      <c r="F422" s="1032"/>
    </row>
    <row r="423" spans="1:6" ht="15.75" x14ac:dyDescent="0.25">
      <c r="A423" s="1030"/>
      <c r="B423" s="1031"/>
      <c r="C423" s="1030"/>
      <c r="D423" s="1031"/>
      <c r="E423" s="1031"/>
      <c r="F423" s="1032"/>
    </row>
    <row r="424" spans="1:6" ht="15.75" x14ac:dyDescent="0.25">
      <c r="A424" s="1030"/>
      <c r="B424" s="1031"/>
      <c r="C424" s="1030"/>
      <c r="D424" s="1031"/>
      <c r="E424" s="1031"/>
      <c r="F424" s="1032"/>
    </row>
    <row r="425" spans="1:6" ht="15.75" x14ac:dyDescent="0.25">
      <c r="A425" s="1030"/>
      <c r="B425" s="1031"/>
      <c r="C425" s="1030"/>
      <c r="D425" s="1031"/>
      <c r="E425" s="1031"/>
      <c r="F425" s="1032"/>
    </row>
    <row r="426" spans="1:6" ht="15.75" x14ac:dyDescent="0.25">
      <c r="A426" s="1030"/>
      <c r="B426" s="1031"/>
      <c r="C426" s="1030"/>
      <c r="D426" s="1031"/>
      <c r="E426" s="1031"/>
      <c r="F426" s="1032"/>
    </row>
    <row r="427" spans="1:6" ht="15.75" x14ac:dyDescent="0.25">
      <c r="A427" s="1030"/>
      <c r="B427" s="1031"/>
      <c r="C427" s="1030"/>
      <c r="D427" s="1031"/>
      <c r="E427" s="1031"/>
      <c r="F427" s="1032"/>
    </row>
    <row r="428" spans="1:6" ht="15.75" x14ac:dyDescent="0.25">
      <c r="A428" s="1030"/>
      <c r="B428" s="1031"/>
      <c r="C428" s="1030"/>
      <c r="D428" s="1031"/>
      <c r="E428" s="1031"/>
      <c r="F428" s="1032"/>
    </row>
    <row r="429" spans="1:6" ht="15.75" x14ac:dyDescent="0.25">
      <c r="A429" s="1030"/>
      <c r="B429" s="1031"/>
      <c r="C429" s="1030"/>
      <c r="D429" s="1031"/>
      <c r="E429" s="1031"/>
      <c r="F429" s="1032"/>
    </row>
    <row r="430" spans="1:6" ht="15.75" x14ac:dyDescent="0.25">
      <c r="A430" s="1030"/>
      <c r="B430" s="1031"/>
      <c r="C430" s="1030"/>
      <c r="D430" s="1031"/>
      <c r="E430" s="1031"/>
      <c r="F430" s="1032"/>
    </row>
    <row r="431" spans="1:6" ht="15.75" x14ac:dyDescent="0.25">
      <c r="A431" s="1030"/>
      <c r="B431" s="1031"/>
      <c r="C431" s="1030"/>
      <c r="D431" s="1031"/>
      <c r="E431" s="1031"/>
      <c r="F431" s="1032"/>
    </row>
    <row r="432" spans="1:6" ht="15.75" x14ac:dyDescent="0.25">
      <c r="A432" s="1030"/>
      <c r="B432" s="1031"/>
      <c r="C432" s="1030"/>
      <c r="D432" s="1031"/>
      <c r="E432" s="1031"/>
      <c r="F432" s="1032"/>
    </row>
    <row r="433" spans="1:6" ht="15.75" x14ac:dyDescent="0.25">
      <c r="A433" s="1030"/>
      <c r="B433" s="1031"/>
      <c r="C433" s="1030"/>
      <c r="D433" s="1031"/>
      <c r="E433" s="1031"/>
      <c r="F433" s="1032"/>
    </row>
    <row r="434" spans="1:6" ht="15.75" x14ac:dyDescent="0.25">
      <c r="A434" s="1030"/>
      <c r="B434" s="1031"/>
      <c r="C434" s="1030"/>
      <c r="D434" s="1031"/>
      <c r="E434" s="1031"/>
      <c r="F434" s="1032"/>
    </row>
    <row r="435" spans="1:6" ht="15.75" x14ac:dyDescent="0.25">
      <c r="A435" s="1030"/>
      <c r="B435" s="1031"/>
      <c r="C435" s="1030"/>
      <c r="D435" s="1031"/>
      <c r="E435" s="1031"/>
      <c r="F435" s="1032"/>
    </row>
    <row r="436" spans="1:6" ht="15.75" x14ac:dyDescent="0.25">
      <c r="A436" s="1030"/>
      <c r="B436" s="1031"/>
      <c r="C436" s="1030"/>
      <c r="D436" s="1031"/>
      <c r="E436" s="1031"/>
      <c r="F436" s="1032"/>
    </row>
    <row r="437" spans="1:6" ht="15.75" x14ac:dyDescent="0.25">
      <c r="A437" s="1030"/>
      <c r="B437" s="1031"/>
      <c r="C437" s="1030"/>
      <c r="D437" s="1031"/>
      <c r="E437" s="1031"/>
      <c r="F437" s="1032"/>
    </row>
    <row r="438" spans="1:6" ht="15.75" x14ac:dyDescent="0.25">
      <c r="A438" s="1030"/>
      <c r="B438" s="1031"/>
      <c r="C438" s="1030"/>
      <c r="D438" s="1031"/>
      <c r="E438" s="1031"/>
      <c r="F438" s="1032"/>
    </row>
    <row r="439" spans="1:6" ht="15.75" x14ac:dyDescent="0.25">
      <c r="A439" s="1030"/>
      <c r="B439" s="1031"/>
      <c r="C439" s="1030"/>
      <c r="D439" s="1031"/>
      <c r="E439" s="1031"/>
      <c r="F439" s="1032"/>
    </row>
    <row r="440" spans="1:6" ht="15.75" x14ac:dyDescent="0.25">
      <c r="A440" s="1030"/>
      <c r="B440" s="1031"/>
      <c r="C440" s="1030"/>
      <c r="D440" s="1031"/>
      <c r="E440" s="1031"/>
      <c r="F440" s="1032"/>
    </row>
    <row r="441" spans="1:6" ht="15.75" x14ac:dyDescent="0.25">
      <c r="A441" s="1030"/>
      <c r="B441" s="1031"/>
      <c r="C441" s="1030"/>
      <c r="D441" s="1031"/>
      <c r="E441" s="1031"/>
      <c r="F441" s="1032"/>
    </row>
    <row r="442" spans="1:6" ht="15.75" x14ac:dyDescent="0.25">
      <c r="A442" s="1030"/>
      <c r="B442" s="1031"/>
      <c r="C442" s="1030"/>
      <c r="D442" s="1031"/>
      <c r="E442" s="1031"/>
      <c r="F442" s="1032"/>
    </row>
    <row r="443" spans="1:6" ht="15.75" x14ac:dyDescent="0.25">
      <c r="A443" s="1030"/>
      <c r="B443" s="1031"/>
      <c r="C443" s="1030"/>
      <c r="D443" s="1031"/>
      <c r="E443" s="1031"/>
      <c r="F443" s="1032"/>
    </row>
    <row r="444" spans="1:6" ht="15.75" x14ac:dyDescent="0.25">
      <c r="A444" s="1030"/>
      <c r="B444" s="1031"/>
      <c r="C444" s="1030"/>
      <c r="D444" s="1031"/>
      <c r="E444" s="1031"/>
      <c r="F444" s="1032"/>
    </row>
    <row r="445" spans="1:6" ht="15.75" x14ac:dyDescent="0.25">
      <c r="A445" s="1030"/>
      <c r="B445" s="1031"/>
      <c r="C445" s="1030"/>
      <c r="D445" s="1031"/>
      <c r="E445" s="1031"/>
      <c r="F445" s="1032"/>
    </row>
    <row r="446" spans="1:6" ht="15.75" x14ac:dyDescent="0.25">
      <c r="A446" s="1030"/>
      <c r="B446" s="1031"/>
      <c r="C446" s="1030"/>
      <c r="D446" s="1031"/>
      <c r="E446" s="1031"/>
      <c r="F446" s="1032"/>
    </row>
    <row r="447" spans="1:6" ht="15.75" x14ac:dyDescent="0.25">
      <c r="A447" s="1030"/>
      <c r="B447" s="1031"/>
      <c r="C447" s="1030"/>
      <c r="D447" s="1031"/>
      <c r="E447" s="1031"/>
      <c r="F447" s="1032"/>
    </row>
    <row r="448" spans="1:6" ht="15.75" x14ac:dyDescent="0.25">
      <c r="A448" s="1030"/>
      <c r="B448" s="1031"/>
      <c r="C448" s="1030"/>
      <c r="D448" s="1031"/>
      <c r="E448" s="1031"/>
      <c r="F448" s="1032"/>
    </row>
    <row r="449" spans="1:6" ht="15.75" x14ac:dyDescent="0.25">
      <c r="A449" s="1030"/>
      <c r="B449" s="1031"/>
      <c r="C449" s="1030"/>
      <c r="D449" s="1031"/>
      <c r="E449" s="1031"/>
      <c r="F449" s="1032"/>
    </row>
    <row r="450" spans="1:6" ht="15.75" x14ac:dyDescent="0.25">
      <c r="A450" s="1030"/>
      <c r="B450" s="1031"/>
      <c r="C450" s="1030"/>
      <c r="D450" s="1031"/>
      <c r="E450" s="1031"/>
      <c r="F450" s="1032"/>
    </row>
    <row r="451" spans="1:6" ht="15.75" x14ac:dyDescent="0.25">
      <c r="A451" s="1030"/>
      <c r="B451" s="1031"/>
      <c r="C451" s="1030"/>
      <c r="D451" s="1031"/>
      <c r="E451" s="1031"/>
      <c r="F451" s="1032"/>
    </row>
    <row r="452" spans="1:6" ht="15.75" x14ac:dyDescent="0.25">
      <c r="A452" s="1030"/>
      <c r="B452" s="1031"/>
      <c r="C452" s="1030"/>
      <c r="D452" s="1031"/>
      <c r="E452" s="1031"/>
      <c r="F452" s="1032"/>
    </row>
    <row r="453" spans="1:6" ht="15.75" x14ac:dyDescent="0.25">
      <c r="A453" s="1030"/>
      <c r="B453" s="1031"/>
      <c r="C453" s="1030"/>
      <c r="D453" s="1031"/>
      <c r="E453" s="1031"/>
      <c r="F453" s="1032"/>
    </row>
    <row r="454" spans="1:6" ht="15.75" x14ac:dyDescent="0.25">
      <c r="A454" s="1030"/>
      <c r="B454" s="1031"/>
      <c r="C454" s="1030"/>
      <c r="D454" s="1031"/>
      <c r="E454" s="1031"/>
      <c r="F454" s="1032"/>
    </row>
    <row r="455" spans="1:6" ht="15.75" x14ac:dyDescent="0.25">
      <c r="A455" s="1030"/>
      <c r="B455" s="1031"/>
      <c r="C455" s="1030"/>
      <c r="D455" s="1031"/>
      <c r="E455" s="1031"/>
      <c r="F455" s="1032"/>
    </row>
    <row r="456" spans="1:6" ht="15.75" x14ac:dyDescent="0.25">
      <c r="A456" s="1030"/>
      <c r="B456" s="1031"/>
      <c r="C456" s="1030"/>
      <c r="D456" s="1031"/>
      <c r="E456" s="1031"/>
      <c r="F456" s="1032"/>
    </row>
    <row r="457" spans="1:6" ht="15.75" x14ac:dyDescent="0.25">
      <c r="A457" s="1030"/>
      <c r="B457" s="1031"/>
      <c r="C457" s="1030"/>
      <c r="D457" s="1031"/>
      <c r="E457" s="1031"/>
      <c r="F457" s="1032"/>
    </row>
    <row r="458" spans="1:6" ht="15.75" x14ac:dyDescent="0.25">
      <c r="A458" s="1030"/>
      <c r="B458" s="1031"/>
      <c r="C458" s="1030"/>
      <c r="D458" s="1031"/>
      <c r="E458" s="1031"/>
      <c r="F458" s="1032"/>
    </row>
    <row r="459" spans="1:6" ht="15.75" x14ac:dyDescent="0.25">
      <c r="A459" s="1030"/>
      <c r="B459" s="1031"/>
      <c r="C459" s="1030"/>
      <c r="D459" s="1031"/>
      <c r="E459" s="1031"/>
      <c r="F459" s="1032"/>
    </row>
    <row r="460" spans="1:6" ht="15.75" x14ac:dyDescent="0.25">
      <c r="A460" s="1030"/>
      <c r="B460" s="1031"/>
      <c r="C460" s="1030"/>
      <c r="D460" s="1031"/>
      <c r="E460" s="1031"/>
      <c r="F460" s="1032"/>
    </row>
    <row r="461" spans="1:6" ht="15.75" x14ac:dyDescent="0.25">
      <c r="A461" s="1030"/>
      <c r="B461" s="1031"/>
      <c r="C461" s="1030"/>
      <c r="D461" s="1031"/>
      <c r="E461" s="1031"/>
      <c r="F461" s="1032"/>
    </row>
    <row r="462" spans="1:6" ht="15.75" x14ac:dyDescent="0.25">
      <c r="A462" s="1030"/>
      <c r="B462" s="1031"/>
      <c r="C462" s="1030"/>
      <c r="D462" s="1031"/>
      <c r="E462" s="1031"/>
      <c r="F462" s="1032"/>
    </row>
    <row r="463" spans="1:6" ht="15.75" x14ac:dyDescent="0.25">
      <c r="A463" s="1030"/>
      <c r="B463" s="1031"/>
      <c r="C463" s="1030"/>
      <c r="D463" s="1031"/>
      <c r="E463" s="1031"/>
      <c r="F463" s="1032"/>
    </row>
    <row r="464" spans="1:6" ht="15.75" x14ac:dyDescent="0.25">
      <c r="A464" s="1030"/>
      <c r="B464" s="1031"/>
      <c r="C464" s="1030"/>
      <c r="D464" s="1031"/>
      <c r="E464" s="1031"/>
      <c r="F464" s="1032"/>
    </row>
    <row r="465" spans="1:6" ht="15.75" x14ac:dyDescent="0.25">
      <c r="A465" s="1030"/>
      <c r="B465" s="1031"/>
      <c r="C465" s="1030"/>
      <c r="D465" s="1031"/>
      <c r="E465" s="1031"/>
      <c r="F465" s="1032"/>
    </row>
    <row r="466" spans="1:6" ht="15.75" x14ac:dyDescent="0.25">
      <c r="A466" s="1030"/>
      <c r="B466" s="1031"/>
      <c r="C466" s="1030"/>
      <c r="D466" s="1031"/>
      <c r="E466" s="1031"/>
      <c r="F466" s="1032"/>
    </row>
    <row r="467" spans="1:6" ht="15.75" x14ac:dyDescent="0.25">
      <c r="A467" s="1030"/>
      <c r="B467" s="1031"/>
      <c r="C467" s="1030"/>
      <c r="D467" s="1031"/>
      <c r="E467" s="1031"/>
      <c r="F467" s="1032"/>
    </row>
    <row r="468" spans="1:6" ht="15.75" x14ac:dyDescent="0.25">
      <c r="A468" s="1030"/>
      <c r="B468" s="1031"/>
      <c r="C468" s="1030"/>
      <c r="D468" s="1031"/>
      <c r="E468" s="1031"/>
      <c r="F468" s="1032"/>
    </row>
    <row r="469" spans="1:6" ht="15.75" x14ac:dyDescent="0.25">
      <c r="A469" s="1030"/>
      <c r="B469" s="1031"/>
      <c r="C469" s="1030"/>
      <c r="D469" s="1031"/>
      <c r="E469" s="1031"/>
      <c r="F469" s="1032"/>
    </row>
    <row r="470" spans="1:6" ht="15.75" x14ac:dyDescent="0.25">
      <c r="A470" s="1030"/>
      <c r="B470" s="1031"/>
      <c r="C470" s="1030"/>
      <c r="D470" s="1031"/>
      <c r="E470" s="1031"/>
      <c r="F470" s="1032"/>
    </row>
    <row r="471" spans="1:6" ht="15.75" x14ac:dyDescent="0.25">
      <c r="A471" s="1030"/>
      <c r="B471" s="1031"/>
      <c r="C471" s="1030"/>
      <c r="D471" s="1031"/>
      <c r="E471" s="1031"/>
      <c r="F471" s="1032"/>
    </row>
    <row r="472" spans="1:6" ht="15.75" x14ac:dyDescent="0.25">
      <c r="A472" s="1030"/>
      <c r="B472" s="1031"/>
      <c r="C472" s="1030"/>
      <c r="D472" s="1031"/>
      <c r="E472" s="1031"/>
      <c r="F472" s="1032"/>
    </row>
    <row r="473" spans="1:6" ht="15.75" x14ac:dyDescent="0.25">
      <c r="A473" s="1030"/>
      <c r="B473" s="1031"/>
      <c r="C473" s="1030"/>
      <c r="D473" s="1031"/>
      <c r="E473" s="1031"/>
      <c r="F473" s="1032"/>
    </row>
    <row r="474" spans="1:6" ht="15.75" x14ac:dyDescent="0.25">
      <c r="A474" s="1030"/>
      <c r="B474" s="1031"/>
      <c r="C474" s="1030"/>
      <c r="D474" s="1031"/>
      <c r="E474" s="1031"/>
      <c r="F474" s="1032"/>
    </row>
    <row r="475" spans="1:6" ht="15.75" x14ac:dyDescent="0.25">
      <c r="A475" s="1030"/>
      <c r="B475" s="1031"/>
      <c r="C475" s="1030"/>
      <c r="D475" s="1031"/>
      <c r="E475" s="1031"/>
      <c r="F475" s="1032"/>
    </row>
    <row r="476" spans="1:6" ht="15.75" x14ac:dyDescent="0.25">
      <c r="A476" s="1030"/>
      <c r="B476" s="1031"/>
      <c r="C476" s="1030"/>
      <c r="D476" s="1031"/>
      <c r="E476" s="1031"/>
      <c r="F476" s="1032"/>
    </row>
    <row r="477" spans="1:6" ht="15.75" x14ac:dyDescent="0.25">
      <c r="A477" s="1030"/>
      <c r="B477" s="1031"/>
      <c r="C477" s="1030"/>
      <c r="D477" s="1031"/>
      <c r="E477" s="1031"/>
      <c r="F477" s="1032"/>
    </row>
    <row r="478" spans="1:6" ht="15.75" x14ac:dyDescent="0.25">
      <c r="A478" s="1030"/>
      <c r="B478" s="1031"/>
      <c r="C478" s="1030"/>
      <c r="D478" s="1031"/>
      <c r="E478" s="1031"/>
      <c r="F478" s="1032"/>
    </row>
    <row r="479" spans="1:6" ht="15.75" x14ac:dyDescent="0.25">
      <c r="A479" s="1030"/>
      <c r="B479" s="1031"/>
      <c r="C479" s="1030"/>
      <c r="D479" s="1031"/>
      <c r="E479" s="1031"/>
      <c r="F479" s="1032"/>
    </row>
    <row r="480" spans="1:6" ht="15.75" x14ac:dyDescent="0.25">
      <c r="A480" s="1030"/>
      <c r="B480" s="1031"/>
      <c r="C480" s="1030"/>
      <c r="D480" s="1031"/>
      <c r="E480" s="1031"/>
      <c r="F480" s="1032"/>
    </row>
    <row r="481" spans="1:6" ht="15.75" x14ac:dyDescent="0.25">
      <c r="A481" s="1030"/>
      <c r="B481" s="1031"/>
      <c r="C481" s="1030"/>
      <c r="D481" s="1031"/>
      <c r="E481" s="1031"/>
      <c r="F481" s="1032"/>
    </row>
    <row r="482" spans="1:6" ht="15.75" x14ac:dyDescent="0.25">
      <c r="A482" s="1030"/>
      <c r="B482" s="1031"/>
      <c r="C482" s="1030"/>
      <c r="D482" s="1031"/>
      <c r="E482" s="1031"/>
      <c r="F482" s="1032"/>
    </row>
    <row r="483" spans="1:6" ht="15.75" x14ac:dyDescent="0.25">
      <c r="A483" s="1030"/>
      <c r="B483" s="1031"/>
      <c r="C483" s="1030"/>
      <c r="D483" s="1031"/>
      <c r="E483" s="1031"/>
      <c r="F483" s="1032"/>
    </row>
    <row r="484" spans="1:6" ht="15.75" x14ac:dyDescent="0.25">
      <c r="A484" s="1030"/>
      <c r="B484" s="1031"/>
      <c r="C484" s="1030"/>
      <c r="D484" s="1031"/>
      <c r="E484" s="1031"/>
      <c r="F484" s="1032"/>
    </row>
    <row r="485" spans="1:6" ht="15.75" x14ac:dyDescent="0.25">
      <c r="A485" s="1030"/>
      <c r="B485" s="1031"/>
      <c r="C485" s="1030"/>
      <c r="D485" s="1031"/>
      <c r="E485" s="1031"/>
      <c r="F485" s="1032"/>
    </row>
    <row r="486" spans="1:6" ht="15.75" x14ac:dyDescent="0.25">
      <c r="A486" s="1030"/>
      <c r="B486" s="1031"/>
      <c r="C486" s="1030"/>
      <c r="D486" s="1031"/>
      <c r="E486" s="1031"/>
      <c r="F486" s="1032"/>
    </row>
    <row r="487" spans="1:6" ht="15.75" x14ac:dyDescent="0.25">
      <c r="A487" s="1030"/>
      <c r="B487" s="1031"/>
      <c r="C487" s="1030"/>
      <c r="D487" s="1031"/>
      <c r="E487" s="1031"/>
      <c r="F487" s="1032"/>
    </row>
    <row r="488" spans="1:6" ht="15.75" x14ac:dyDescent="0.25">
      <c r="A488" s="1030"/>
      <c r="B488" s="1031"/>
      <c r="C488" s="1030"/>
      <c r="D488" s="1031"/>
      <c r="E488" s="1031"/>
      <c r="F488" s="1032"/>
    </row>
    <row r="489" spans="1:6" ht="15.75" x14ac:dyDescent="0.25">
      <c r="A489" s="1030"/>
      <c r="B489" s="1031"/>
      <c r="C489" s="1030"/>
      <c r="D489" s="1031"/>
      <c r="E489" s="1031"/>
      <c r="F489" s="1032"/>
    </row>
    <row r="490" spans="1:6" ht="15.75" x14ac:dyDescent="0.25">
      <c r="A490" s="1030"/>
      <c r="B490" s="1031"/>
      <c r="C490" s="1030"/>
      <c r="D490" s="1031"/>
      <c r="E490" s="1031"/>
      <c r="F490" s="1032"/>
    </row>
    <row r="491" spans="1:6" ht="15.75" x14ac:dyDescent="0.25">
      <c r="A491" s="1030"/>
      <c r="B491" s="1031"/>
      <c r="C491" s="1030"/>
      <c r="D491" s="1031"/>
      <c r="E491" s="1031"/>
      <c r="F491" s="1032"/>
    </row>
    <row r="492" spans="1:6" ht="15.75" x14ac:dyDescent="0.25">
      <c r="A492" s="1030"/>
      <c r="B492" s="1031"/>
      <c r="C492" s="1030"/>
      <c r="D492" s="1031"/>
      <c r="E492" s="1031"/>
      <c r="F492" s="1032"/>
    </row>
    <row r="493" spans="1:6" ht="15.75" x14ac:dyDescent="0.25">
      <c r="A493" s="1030"/>
      <c r="B493" s="1031"/>
      <c r="C493" s="1030"/>
      <c r="D493" s="1031"/>
      <c r="E493" s="1031"/>
      <c r="F493" s="1032"/>
    </row>
    <row r="494" spans="1:6" ht="15.75" x14ac:dyDescent="0.25">
      <c r="A494" s="1030"/>
      <c r="B494" s="1031"/>
      <c r="C494" s="1030"/>
      <c r="D494" s="1031"/>
      <c r="E494" s="1031"/>
      <c r="F494" s="1032"/>
    </row>
    <row r="495" spans="1:6" ht="15.75" x14ac:dyDescent="0.25">
      <c r="A495" s="1030"/>
      <c r="B495" s="1031"/>
      <c r="C495" s="1030"/>
      <c r="D495" s="1031"/>
      <c r="E495" s="1031"/>
      <c r="F495" s="1032"/>
    </row>
    <row r="496" spans="1:6" ht="15.75" x14ac:dyDescent="0.25">
      <c r="A496" s="1030"/>
      <c r="B496" s="1031"/>
      <c r="C496" s="1030"/>
      <c r="D496" s="1031"/>
      <c r="E496" s="1031"/>
      <c r="F496" s="1032"/>
    </row>
    <row r="497" spans="1:6" ht="15.75" x14ac:dyDescent="0.25">
      <c r="A497" s="1030"/>
      <c r="B497" s="1031"/>
      <c r="C497" s="1030"/>
      <c r="D497" s="1031"/>
      <c r="E497" s="1031"/>
      <c r="F497" s="1032"/>
    </row>
    <row r="498" spans="1:6" ht="15.75" x14ac:dyDescent="0.25">
      <c r="A498" s="1030"/>
      <c r="B498" s="1031"/>
      <c r="C498" s="1030"/>
      <c r="D498" s="1031"/>
      <c r="E498" s="1031"/>
      <c r="F498" s="1032"/>
    </row>
    <row r="499" spans="1:6" ht="15.75" x14ac:dyDescent="0.25">
      <c r="A499" s="1030"/>
      <c r="B499" s="1031"/>
      <c r="C499" s="1030"/>
      <c r="D499" s="1031"/>
      <c r="E499" s="1031"/>
      <c r="F499" s="1032"/>
    </row>
    <row r="500" spans="1:6" ht="15.75" x14ac:dyDescent="0.25">
      <c r="A500" s="1030"/>
      <c r="B500" s="1031"/>
      <c r="C500" s="1030"/>
      <c r="D500" s="1031"/>
      <c r="E500" s="1031"/>
      <c r="F500" s="1032"/>
    </row>
    <row r="501" spans="1:6" ht="15.75" x14ac:dyDescent="0.25">
      <c r="A501" s="1030"/>
      <c r="B501" s="1031"/>
      <c r="C501" s="1030"/>
      <c r="D501" s="1031"/>
      <c r="E501" s="1031"/>
      <c r="F501" s="1032"/>
    </row>
    <row r="502" spans="1:6" ht="15.75" x14ac:dyDescent="0.25">
      <c r="A502" s="1030"/>
      <c r="B502" s="1031"/>
      <c r="C502" s="1030"/>
      <c r="D502" s="1031"/>
      <c r="E502" s="1031"/>
      <c r="F502" s="1032"/>
    </row>
    <row r="503" spans="1:6" ht="15.75" x14ac:dyDescent="0.25">
      <c r="A503" s="1030"/>
      <c r="B503" s="1031"/>
      <c r="C503" s="1030"/>
      <c r="D503" s="1031"/>
      <c r="E503" s="1031"/>
      <c r="F503" s="1032"/>
    </row>
    <row r="504" spans="1:6" ht="15.75" x14ac:dyDescent="0.25">
      <c r="A504" s="1030"/>
      <c r="B504" s="1031"/>
      <c r="C504" s="1030"/>
      <c r="D504" s="1031"/>
      <c r="E504" s="1031"/>
      <c r="F504" s="1032"/>
    </row>
    <row r="505" spans="1:6" ht="15.75" x14ac:dyDescent="0.25">
      <c r="A505" s="1030"/>
      <c r="B505" s="1031"/>
      <c r="C505" s="1030"/>
      <c r="D505" s="1031"/>
      <c r="E505" s="1031"/>
      <c r="F505" s="1032"/>
    </row>
    <row r="506" spans="1:6" ht="15.75" x14ac:dyDescent="0.25">
      <c r="A506" s="1030"/>
      <c r="B506" s="1031"/>
      <c r="C506" s="1030"/>
      <c r="D506" s="1031"/>
      <c r="E506" s="1031"/>
      <c r="F506" s="1032"/>
    </row>
    <row r="507" spans="1:6" ht="15.75" x14ac:dyDescent="0.25">
      <c r="A507" s="1030"/>
      <c r="B507" s="1031"/>
      <c r="C507" s="1030"/>
      <c r="D507" s="1031"/>
      <c r="E507" s="1031"/>
      <c r="F507" s="1032"/>
    </row>
    <row r="508" spans="1:6" ht="15.75" x14ac:dyDescent="0.25">
      <c r="A508" s="1030"/>
      <c r="B508" s="1031"/>
      <c r="C508" s="1030"/>
      <c r="D508" s="1031"/>
      <c r="E508" s="1031"/>
      <c r="F508" s="1032"/>
    </row>
    <row r="509" spans="1:6" ht="15.75" x14ac:dyDescent="0.25">
      <c r="A509" s="1030"/>
      <c r="B509" s="1031"/>
      <c r="C509" s="1030"/>
      <c r="D509" s="1031"/>
      <c r="E509" s="1031"/>
      <c r="F509" s="1032"/>
    </row>
    <row r="510" spans="1:6" ht="15.75" x14ac:dyDescent="0.25">
      <c r="A510" s="1030"/>
      <c r="B510" s="1031"/>
      <c r="C510" s="1030"/>
      <c r="D510" s="1031"/>
      <c r="E510" s="1031"/>
      <c r="F510" s="1032"/>
    </row>
    <row r="511" spans="1:6" ht="15.75" x14ac:dyDescent="0.25">
      <c r="A511" s="1030"/>
      <c r="B511" s="1031"/>
      <c r="C511" s="1030"/>
      <c r="D511" s="1031"/>
      <c r="E511" s="1031"/>
      <c r="F511" s="1032"/>
    </row>
    <row r="512" spans="1:6" ht="15.75" x14ac:dyDescent="0.25">
      <c r="A512" s="1030"/>
      <c r="B512" s="1031"/>
      <c r="C512" s="1030"/>
      <c r="D512" s="1031"/>
      <c r="E512" s="1031"/>
      <c r="F512" s="1032"/>
    </row>
    <row r="513" spans="1:6" ht="15.75" x14ac:dyDescent="0.25">
      <c r="A513" s="1030"/>
      <c r="B513" s="1031"/>
      <c r="C513" s="1030"/>
      <c r="D513" s="1031"/>
      <c r="E513" s="1031"/>
      <c r="F513" s="1032"/>
    </row>
    <row r="514" spans="1:6" ht="15.75" x14ac:dyDescent="0.25">
      <c r="A514" s="1030"/>
      <c r="B514" s="1031"/>
      <c r="C514" s="1030"/>
      <c r="D514" s="1031"/>
      <c r="E514" s="1031"/>
      <c r="F514" s="1032"/>
    </row>
    <row r="515" spans="1:6" ht="15.75" x14ac:dyDescent="0.25">
      <c r="A515" s="1030"/>
      <c r="B515" s="1031"/>
      <c r="C515" s="1030"/>
      <c r="D515" s="1031"/>
      <c r="E515" s="1031"/>
      <c r="F515" s="1032"/>
    </row>
    <row r="516" spans="1:6" ht="15.75" x14ac:dyDescent="0.25">
      <c r="A516" s="1030"/>
      <c r="B516" s="1031"/>
      <c r="C516" s="1030"/>
      <c r="D516" s="1031"/>
      <c r="E516" s="1031"/>
      <c r="F516" s="1032"/>
    </row>
    <row r="517" spans="1:6" ht="15.75" x14ac:dyDescent="0.25">
      <c r="A517" s="1030"/>
      <c r="B517" s="1031"/>
      <c r="C517" s="1030"/>
      <c r="D517" s="1031"/>
      <c r="E517" s="1031"/>
      <c r="F517" s="1032"/>
    </row>
    <row r="518" spans="1:6" ht="15.75" x14ac:dyDescent="0.25">
      <c r="A518" s="1030"/>
      <c r="B518" s="1031"/>
      <c r="C518" s="1030"/>
      <c r="D518" s="1031"/>
      <c r="E518" s="1031"/>
      <c r="F518" s="1032"/>
    </row>
    <row r="519" spans="1:6" ht="15.75" x14ac:dyDescent="0.25">
      <c r="A519" s="1030"/>
      <c r="B519" s="1031"/>
      <c r="C519" s="1030"/>
      <c r="D519" s="1031"/>
      <c r="E519" s="1031"/>
      <c r="F519" s="1032"/>
    </row>
    <row r="520" spans="1:6" ht="15.75" x14ac:dyDescent="0.25">
      <c r="A520" s="1030"/>
      <c r="B520" s="1031"/>
      <c r="C520" s="1030"/>
      <c r="D520" s="1031"/>
      <c r="E520" s="1031"/>
      <c r="F520" s="1032"/>
    </row>
    <row r="521" spans="1:6" ht="15.75" x14ac:dyDescent="0.25">
      <c r="A521" s="1030"/>
      <c r="B521" s="1031"/>
      <c r="C521" s="1030"/>
      <c r="D521" s="1031"/>
      <c r="E521" s="1031"/>
      <c r="F521" s="1032"/>
    </row>
    <row r="522" spans="1:6" ht="15.75" x14ac:dyDescent="0.25">
      <c r="A522" s="1030"/>
      <c r="B522" s="1031"/>
      <c r="C522" s="1030"/>
      <c r="D522" s="1031"/>
      <c r="E522" s="1031"/>
      <c r="F522" s="1032"/>
    </row>
    <row r="523" spans="1:6" ht="15.75" x14ac:dyDescent="0.25">
      <c r="A523" s="1030"/>
      <c r="B523" s="1031"/>
      <c r="C523" s="1030"/>
      <c r="D523" s="1031"/>
      <c r="E523" s="1031"/>
      <c r="F523" s="1032"/>
    </row>
    <row r="524" spans="1:6" ht="15.75" x14ac:dyDescent="0.25">
      <c r="A524" s="1030"/>
      <c r="B524" s="1031"/>
      <c r="C524" s="1030"/>
      <c r="D524" s="1031"/>
      <c r="E524" s="1031"/>
      <c r="F524" s="1032"/>
    </row>
    <row r="525" spans="1:6" ht="15.75" x14ac:dyDescent="0.25">
      <c r="A525" s="1030"/>
      <c r="B525" s="1031"/>
      <c r="C525" s="1030"/>
      <c r="D525" s="1031"/>
      <c r="E525" s="1031"/>
      <c r="F525" s="1032"/>
    </row>
    <row r="526" spans="1:6" ht="15.75" x14ac:dyDescent="0.25">
      <c r="A526" s="1030"/>
      <c r="B526" s="1031"/>
      <c r="C526" s="1030"/>
      <c r="D526" s="1031"/>
      <c r="E526" s="1031"/>
      <c r="F526" s="1032"/>
    </row>
    <row r="527" spans="1:6" ht="15.75" x14ac:dyDescent="0.25">
      <c r="A527" s="1030"/>
      <c r="B527" s="1031"/>
      <c r="C527" s="1030"/>
      <c r="D527" s="1031"/>
      <c r="E527" s="1031"/>
      <c r="F527" s="1032"/>
    </row>
    <row r="528" spans="1:6" ht="15.75" x14ac:dyDescent="0.25">
      <c r="A528" s="1030"/>
      <c r="B528" s="1031"/>
      <c r="C528" s="1030"/>
      <c r="D528" s="1031"/>
      <c r="E528" s="1031"/>
      <c r="F528" s="1032"/>
    </row>
    <row r="529" spans="1:6" ht="15.75" x14ac:dyDescent="0.25">
      <c r="A529" s="1030"/>
      <c r="B529" s="1031"/>
      <c r="C529" s="1030"/>
      <c r="D529" s="1031"/>
      <c r="E529" s="1031"/>
      <c r="F529" s="1032"/>
    </row>
    <row r="530" spans="1:6" ht="15.75" x14ac:dyDescent="0.25">
      <c r="A530" s="1030"/>
      <c r="B530" s="1031"/>
      <c r="C530" s="1030"/>
      <c r="D530" s="1031"/>
      <c r="E530" s="1031"/>
      <c r="F530" s="1032"/>
    </row>
    <row r="531" spans="1:6" ht="15.75" x14ac:dyDescent="0.25">
      <c r="A531" s="1030"/>
      <c r="B531" s="1031"/>
      <c r="C531" s="1030"/>
      <c r="D531" s="1031"/>
      <c r="E531" s="1031"/>
      <c r="F531" s="1032"/>
    </row>
    <row r="532" spans="1:6" ht="15.75" x14ac:dyDescent="0.25">
      <c r="A532" s="1030"/>
      <c r="B532" s="1031"/>
      <c r="C532" s="1030"/>
      <c r="D532" s="1031"/>
      <c r="E532" s="1031"/>
      <c r="F532" s="1032"/>
    </row>
    <row r="533" spans="1:6" ht="15.75" x14ac:dyDescent="0.25">
      <c r="A533" s="1030"/>
      <c r="B533" s="1031"/>
      <c r="C533" s="1030"/>
      <c r="D533" s="1031"/>
      <c r="E533" s="1031"/>
      <c r="F533" s="1032"/>
    </row>
    <row r="534" spans="1:6" ht="15.75" x14ac:dyDescent="0.25">
      <c r="A534" s="1030"/>
      <c r="B534" s="1031"/>
      <c r="C534" s="1030"/>
      <c r="D534" s="1031"/>
      <c r="E534" s="1031"/>
      <c r="F534" s="1032"/>
    </row>
    <row r="535" spans="1:6" ht="15.75" x14ac:dyDescent="0.25">
      <c r="A535" s="1030"/>
      <c r="B535" s="1031"/>
      <c r="C535" s="1030"/>
      <c r="D535" s="1031"/>
      <c r="E535" s="1031"/>
      <c r="F535" s="1032"/>
    </row>
    <row r="536" spans="1:6" ht="15.75" x14ac:dyDescent="0.25">
      <c r="A536" s="1030"/>
      <c r="B536" s="1031"/>
      <c r="C536" s="1030"/>
      <c r="D536" s="1031"/>
      <c r="E536" s="1031"/>
      <c r="F536" s="1032"/>
    </row>
    <row r="537" spans="1:6" ht="15.75" x14ac:dyDescent="0.25">
      <c r="A537" s="1030"/>
      <c r="B537" s="1031"/>
      <c r="C537" s="1030"/>
      <c r="D537" s="1031"/>
      <c r="E537" s="1031"/>
      <c r="F537" s="1032"/>
    </row>
    <row r="538" spans="1:6" ht="15.75" x14ac:dyDescent="0.25">
      <c r="A538" s="1030"/>
      <c r="B538" s="1031"/>
      <c r="C538" s="1030"/>
      <c r="D538" s="1031"/>
      <c r="E538" s="1031"/>
      <c r="F538" s="1032"/>
    </row>
    <row r="539" spans="1:6" ht="15.75" x14ac:dyDescent="0.25">
      <c r="A539" s="1030"/>
      <c r="B539" s="1031"/>
      <c r="C539" s="1030"/>
      <c r="D539" s="1031"/>
      <c r="E539" s="1031"/>
      <c r="F539" s="1032"/>
    </row>
    <row r="540" spans="1:6" ht="15.75" x14ac:dyDescent="0.25">
      <c r="A540" s="1030"/>
      <c r="B540" s="1031"/>
      <c r="C540" s="1030"/>
      <c r="D540" s="1031"/>
      <c r="E540" s="1031"/>
      <c r="F540" s="1032"/>
    </row>
    <row r="541" spans="1:6" ht="15.75" x14ac:dyDescent="0.25">
      <c r="A541" s="1030"/>
      <c r="B541" s="1031"/>
      <c r="C541" s="1030"/>
      <c r="D541" s="1031"/>
      <c r="E541" s="1031"/>
      <c r="F541" s="1032"/>
    </row>
    <row r="542" spans="1:6" ht="15.75" x14ac:dyDescent="0.25">
      <c r="A542" s="1030"/>
      <c r="B542" s="1031"/>
      <c r="C542" s="1030"/>
      <c r="D542" s="1031"/>
      <c r="E542" s="1031"/>
      <c r="F542" s="1032"/>
    </row>
    <row r="543" spans="1:6" ht="15.75" x14ac:dyDescent="0.25">
      <c r="A543" s="1030"/>
      <c r="B543" s="1031"/>
      <c r="C543" s="1030"/>
      <c r="D543" s="1031"/>
      <c r="E543" s="1031"/>
      <c r="F543" s="1032"/>
    </row>
    <row r="544" spans="1:6" ht="15.75" x14ac:dyDescent="0.25">
      <c r="A544" s="1030"/>
      <c r="B544" s="1031"/>
      <c r="C544" s="1030"/>
      <c r="D544" s="1031"/>
      <c r="E544" s="1031"/>
      <c r="F544" s="1032"/>
    </row>
    <row r="545" spans="1:6" ht="15.75" x14ac:dyDescent="0.25">
      <c r="A545" s="1030"/>
      <c r="B545" s="1031"/>
      <c r="C545" s="1030"/>
      <c r="D545" s="1031"/>
      <c r="E545" s="1031"/>
      <c r="F545" s="1032"/>
    </row>
    <row r="546" spans="1:6" ht="15.75" x14ac:dyDescent="0.25">
      <c r="A546" s="1030"/>
      <c r="B546" s="1031"/>
      <c r="C546" s="1030"/>
      <c r="D546" s="1031"/>
      <c r="E546" s="1031"/>
      <c r="F546" s="1032"/>
    </row>
    <row r="547" spans="1:6" ht="15.75" x14ac:dyDescent="0.25">
      <c r="A547" s="1030"/>
      <c r="B547" s="1031"/>
      <c r="C547" s="1030"/>
      <c r="D547" s="1031"/>
      <c r="E547" s="1031"/>
      <c r="F547" s="1032"/>
    </row>
    <row r="548" spans="1:6" ht="15.75" x14ac:dyDescent="0.25">
      <c r="A548" s="1030"/>
      <c r="B548" s="1031"/>
      <c r="C548" s="1030"/>
      <c r="D548" s="1031"/>
      <c r="E548" s="1031"/>
      <c r="F548" s="1032"/>
    </row>
    <row r="549" spans="1:6" ht="15.75" x14ac:dyDescent="0.25">
      <c r="A549" s="1030"/>
      <c r="B549" s="1031"/>
      <c r="C549" s="1030"/>
      <c r="D549" s="1031"/>
      <c r="E549" s="1031"/>
      <c r="F549" s="1032"/>
    </row>
    <row r="550" spans="1:6" ht="15.75" x14ac:dyDescent="0.25">
      <c r="A550" s="1030"/>
      <c r="B550" s="1031"/>
      <c r="C550" s="1030"/>
      <c r="D550" s="1031"/>
      <c r="E550" s="1031"/>
      <c r="F550" s="1032"/>
    </row>
    <row r="551" spans="1:6" ht="15.75" x14ac:dyDescent="0.25">
      <c r="A551" s="1030"/>
      <c r="B551" s="1031"/>
      <c r="C551" s="1030"/>
      <c r="D551" s="1031"/>
      <c r="E551" s="1031"/>
      <c r="F551" s="1032"/>
    </row>
    <row r="552" spans="1:6" ht="15.75" x14ac:dyDescent="0.25">
      <c r="A552" s="1030"/>
      <c r="B552" s="1031"/>
      <c r="C552" s="1030"/>
      <c r="D552" s="1031"/>
      <c r="E552" s="1031"/>
      <c r="F552" s="1032"/>
    </row>
    <row r="553" spans="1:6" ht="15.75" x14ac:dyDescent="0.25">
      <c r="A553" s="1030"/>
      <c r="B553" s="1031"/>
      <c r="C553" s="1030"/>
      <c r="D553" s="1031"/>
      <c r="E553" s="1031"/>
      <c r="F553" s="1032"/>
    </row>
    <row r="554" spans="1:6" ht="15.75" x14ac:dyDescent="0.25">
      <c r="A554" s="1030"/>
      <c r="B554" s="1031"/>
      <c r="C554" s="1030"/>
      <c r="D554" s="1031"/>
      <c r="E554" s="1031"/>
      <c r="F554" s="1032"/>
    </row>
    <row r="555" spans="1:6" ht="15.75" x14ac:dyDescent="0.25">
      <c r="A555" s="1030"/>
      <c r="B555" s="1031"/>
      <c r="C555" s="1030"/>
      <c r="D555" s="1031"/>
      <c r="E555" s="1031"/>
      <c r="F555" s="1032"/>
    </row>
    <row r="556" spans="1:6" ht="15.75" x14ac:dyDescent="0.25">
      <c r="A556" s="1030"/>
      <c r="B556" s="1031"/>
      <c r="C556" s="1030"/>
      <c r="D556" s="1031"/>
      <c r="E556" s="1031"/>
      <c r="F556" s="1032"/>
    </row>
    <row r="557" spans="1:6" ht="15.75" x14ac:dyDescent="0.25">
      <c r="A557" s="1030"/>
      <c r="B557" s="1031"/>
      <c r="C557" s="1030"/>
      <c r="D557" s="1031"/>
      <c r="E557" s="1031"/>
      <c r="F557" s="1032"/>
    </row>
    <row r="558" spans="1:6" ht="15.75" x14ac:dyDescent="0.25">
      <c r="A558" s="1030"/>
      <c r="B558" s="1031"/>
      <c r="C558" s="1030"/>
      <c r="D558" s="1031"/>
      <c r="E558" s="1031"/>
      <c r="F558" s="1032"/>
    </row>
    <row r="559" spans="1:6" ht="15.75" x14ac:dyDescent="0.25">
      <c r="A559" s="1030"/>
      <c r="B559" s="1031"/>
      <c r="C559" s="1030"/>
      <c r="D559" s="1031"/>
      <c r="E559" s="1031"/>
      <c r="F559" s="1032"/>
    </row>
    <row r="560" spans="1:6" ht="15.75" x14ac:dyDescent="0.25">
      <c r="A560" s="1030"/>
      <c r="B560" s="1031"/>
      <c r="C560" s="1030"/>
      <c r="D560" s="1031"/>
      <c r="E560" s="1031"/>
      <c r="F560" s="1032"/>
    </row>
    <row r="561" spans="1:6" ht="15.75" x14ac:dyDescent="0.25">
      <c r="A561" s="1030"/>
      <c r="B561" s="1031"/>
      <c r="C561" s="1030"/>
      <c r="D561" s="1031"/>
      <c r="E561" s="1031"/>
      <c r="F561" s="1032"/>
    </row>
    <row r="562" spans="1:6" ht="15.75" x14ac:dyDescent="0.25">
      <c r="A562" s="1030"/>
      <c r="B562" s="1031"/>
      <c r="C562" s="1030"/>
      <c r="D562" s="1031"/>
      <c r="E562" s="1031"/>
      <c r="F562" s="1032"/>
    </row>
    <row r="563" spans="1:6" ht="15.75" x14ac:dyDescent="0.25">
      <c r="A563" s="1030"/>
      <c r="B563" s="1031"/>
      <c r="C563" s="1030"/>
      <c r="D563" s="1031"/>
      <c r="E563" s="1031"/>
      <c r="F563" s="1032"/>
    </row>
    <row r="564" spans="1:6" ht="15.75" x14ac:dyDescent="0.25">
      <c r="A564" s="1030"/>
      <c r="B564" s="1031"/>
      <c r="C564" s="1030"/>
      <c r="D564" s="1031"/>
      <c r="E564" s="1031"/>
      <c r="F564" s="1032"/>
    </row>
    <row r="565" spans="1:6" ht="15.75" x14ac:dyDescent="0.25">
      <c r="A565" s="1030"/>
      <c r="B565" s="1031"/>
      <c r="C565" s="1030"/>
      <c r="D565" s="1031"/>
      <c r="E565" s="1031"/>
      <c r="F565" s="1032"/>
    </row>
    <row r="566" spans="1:6" ht="15.75" x14ac:dyDescent="0.25">
      <c r="A566" s="1030"/>
      <c r="B566" s="1031"/>
      <c r="C566" s="1030"/>
      <c r="D566" s="1031"/>
      <c r="E566" s="1031"/>
      <c r="F566" s="1032"/>
    </row>
    <row r="567" spans="1:6" ht="15.75" x14ac:dyDescent="0.25">
      <c r="A567" s="1030"/>
      <c r="B567" s="1031"/>
      <c r="C567" s="1030"/>
      <c r="D567" s="1031"/>
      <c r="E567" s="1031"/>
      <c r="F567" s="1032"/>
    </row>
    <row r="568" spans="1:6" ht="15.75" x14ac:dyDescent="0.25">
      <c r="A568" s="1030"/>
      <c r="B568" s="1031"/>
      <c r="C568" s="1030"/>
      <c r="D568" s="1031"/>
      <c r="E568" s="1031"/>
      <c r="F568" s="1032"/>
    </row>
    <row r="569" spans="1:6" ht="15.75" x14ac:dyDescent="0.25">
      <c r="A569" s="1030"/>
      <c r="B569" s="1031"/>
      <c r="C569" s="1030"/>
      <c r="D569" s="1031"/>
      <c r="E569" s="1031"/>
      <c r="F569" s="1032"/>
    </row>
    <row r="570" spans="1:6" ht="15.75" x14ac:dyDescent="0.25">
      <c r="A570" s="1030"/>
      <c r="B570" s="1031"/>
      <c r="C570" s="1030"/>
      <c r="D570" s="1031"/>
      <c r="E570" s="1031"/>
      <c r="F570" s="1032"/>
    </row>
    <row r="571" spans="1:6" ht="15.75" x14ac:dyDescent="0.25">
      <c r="A571" s="1030"/>
      <c r="B571" s="1031"/>
      <c r="C571" s="1030"/>
      <c r="D571" s="1031"/>
      <c r="E571" s="1031"/>
      <c r="F571" s="1032"/>
    </row>
    <row r="572" spans="1:6" ht="15.75" x14ac:dyDescent="0.25">
      <c r="A572" s="1030"/>
      <c r="B572" s="1031"/>
      <c r="C572" s="1030"/>
      <c r="D572" s="1031"/>
      <c r="E572" s="1031"/>
      <c r="F572" s="1032"/>
    </row>
    <row r="573" spans="1:6" ht="15.75" x14ac:dyDescent="0.25">
      <c r="A573" s="1030"/>
      <c r="B573" s="1031"/>
      <c r="C573" s="1030"/>
      <c r="D573" s="1031"/>
      <c r="E573" s="1031"/>
      <c r="F573" s="1032"/>
    </row>
    <row r="574" spans="1:6" ht="15.75" x14ac:dyDescent="0.25">
      <c r="A574" s="1030"/>
      <c r="B574" s="1031"/>
      <c r="C574" s="1030"/>
      <c r="D574" s="1031"/>
      <c r="E574" s="1031"/>
      <c r="F574" s="1032"/>
    </row>
    <row r="575" spans="1:6" ht="15.75" x14ac:dyDescent="0.25">
      <c r="A575" s="1030"/>
      <c r="B575" s="1031"/>
      <c r="C575" s="1030"/>
      <c r="D575" s="1031"/>
      <c r="E575" s="1031"/>
      <c r="F575" s="1032"/>
    </row>
    <row r="576" spans="1:6" ht="15.75" x14ac:dyDescent="0.25">
      <c r="A576" s="1030"/>
      <c r="B576" s="1031"/>
      <c r="C576" s="1030"/>
      <c r="D576" s="1031"/>
      <c r="E576" s="1031"/>
      <c r="F576" s="1032"/>
    </row>
    <row r="577" spans="1:6" ht="15.75" x14ac:dyDescent="0.25">
      <c r="A577" s="1030"/>
      <c r="B577" s="1031"/>
      <c r="C577" s="1030"/>
      <c r="D577" s="1031"/>
      <c r="E577" s="1031"/>
      <c r="F577" s="1032"/>
    </row>
    <row r="578" spans="1:6" ht="15.75" x14ac:dyDescent="0.25">
      <c r="A578" s="1030"/>
      <c r="B578" s="1031"/>
      <c r="C578" s="1030"/>
      <c r="D578" s="1031"/>
      <c r="E578" s="1031"/>
      <c r="F578" s="1032"/>
    </row>
    <row r="579" spans="1:6" ht="15.75" x14ac:dyDescent="0.25">
      <c r="A579" s="1030"/>
      <c r="B579" s="1031"/>
      <c r="C579" s="1030"/>
      <c r="D579" s="1031"/>
      <c r="E579" s="1031"/>
      <c r="F579" s="1032"/>
    </row>
    <row r="580" spans="1:6" ht="15.75" x14ac:dyDescent="0.25">
      <c r="A580" s="1030"/>
      <c r="B580" s="1031"/>
      <c r="C580" s="1030"/>
      <c r="D580" s="1031"/>
      <c r="E580" s="1031"/>
      <c r="F580" s="1032"/>
    </row>
    <row r="581" spans="1:6" ht="15.75" x14ac:dyDescent="0.25">
      <c r="A581" s="1030"/>
      <c r="B581" s="1031"/>
      <c r="C581" s="1030"/>
      <c r="D581" s="1031"/>
      <c r="E581" s="1031"/>
      <c r="F581" s="1032"/>
    </row>
    <row r="582" spans="1:6" ht="15.75" x14ac:dyDescent="0.25">
      <c r="A582" s="1030"/>
      <c r="B582" s="1031"/>
      <c r="C582" s="1030"/>
      <c r="D582" s="1031"/>
      <c r="E582" s="1031"/>
      <c r="F582" s="1032"/>
    </row>
    <row r="583" spans="1:6" ht="15.75" x14ac:dyDescent="0.25">
      <c r="A583" s="1030"/>
      <c r="B583" s="1031"/>
      <c r="C583" s="1030"/>
      <c r="D583" s="1031"/>
      <c r="E583" s="1031"/>
      <c r="F583" s="1032"/>
    </row>
    <row r="584" spans="1:6" ht="15.75" x14ac:dyDescent="0.25">
      <c r="A584" s="1030"/>
      <c r="B584" s="1031"/>
      <c r="C584" s="1030"/>
      <c r="D584" s="1031"/>
      <c r="E584" s="1031"/>
      <c r="F584" s="1032"/>
    </row>
    <row r="585" spans="1:6" ht="15.75" x14ac:dyDescent="0.25">
      <c r="A585" s="1030"/>
      <c r="B585" s="1031"/>
      <c r="C585" s="1030"/>
      <c r="D585" s="1031"/>
      <c r="E585" s="1031"/>
      <c r="F585" s="1032"/>
    </row>
    <row r="586" spans="1:6" ht="15.75" x14ac:dyDescent="0.25">
      <c r="A586" s="1030"/>
      <c r="B586" s="1031"/>
      <c r="C586" s="1030"/>
      <c r="D586" s="1031"/>
      <c r="E586" s="1031"/>
      <c r="F586" s="1032"/>
    </row>
    <row r="587" spans="1:6" ht="15.75" x14ac:dyDescent="0.25">
      <c r="A587" s="1030"/>
      <c r="B587" s="1031"/>
      <c r="C587" s="1030"/>
      <c r="D587" s="1031"/>
      <c r="E587" s="1031"/>
      <c r="F587" s="1032"/>
    </row>
    <row r="588" spans="1:6" ht="15.75" x14ac:dyDescent="0.25">
      <c r="A588" s="1030"/>
      <c r="B588" s="1031"/>
      <c r="C588" s="1030"/>
      <c r="D588" s="1031"/>
      <c r="E588" s="1031"/>
      <c r="F588" s="1032"/>
    </row>
    <row r="589" spans="1:6" ht="15.75" x14ac:dyDescent="0.25">
      <c r="A589" s="1030"/>
      <c r="B589" s="1031"/>
      <c r="C589" s="1030"/>
      <c r="D589" s="1031"/>
      <c r="E589" s="1031"/>
      <c r="F589" s="1032"/>
    </row>
    <row r="590" spans="1:6" ht="15.75" x14ac:dyDescent="0.25">
      <c r="A590" s="1030"/>
      <c r="B590" s="1031"/>
      <c r="C590" s="1030"/>
      <c r="D590" s="1031"/>
      <c r="E590" s="1031"/>
      <c r="F590" s="1032"/>
    </row>
    <row r="591" spans="1:6" ht="15.75" x14ac:dyDescent="0.25">
      <c r="A591" s="1030"/>
      <c r="B591" s="1031"/>
      <c r="C591" s="1030"/>
      <c r="D591" s="1031"/>
      <c r="E591" s="1031"/>
      <c r="F591" s="1032"/>
    </row>
    <row r="592" spans="1:6" ht="15.75" x14ac:dyDescent="0.25">
      <c r="A592" s="1030"/>
      <c r="B592" s="1031"/>
      <c r="C592" s="1030"/>
      <c r="D592" s="1031"/>
      <c r="E592" s="1031"/>
      <c r="F592" s="1032"/>
    </row>
    <row r="593" spans="1:6" ht="15.75" x14ac:dyDescent="0.25">
      <c r="A593" s="1030"/>
      <c r="B593" s="1031"/>
      <c r="C593" s="1030"/>
      <c r="D593" s="1031"/>
      <c r="E593" s="1031"/>
      <c r="F593" s="1032"/>
    </row>
    <row r="594" spans="1:6" ht="15.75" x14ac:dyDescent="0.25">
      <c r="A594" s="1030"/>
      <c r="B594" s="1031"/>
      <c r="C594" s="1030"/>
      <c r="D594" s="1031"/>
      <c r="E594" s="1031"/>
      <c r="F594" s="1032"/>
    </row>
    <row r="595" spans="1:6" ht="15.75" x14ac:dyDescent="0.25">
      <c r="A595" s="1030"/>
      <c r="B595" s="1031"/>
      <c r="C595" s="1030"/>
      <c r="D595" s="1031"/>
      <c r="E595" s="1031"/>
      <c r="F595" s="1032"/>
    </row>
    <row r="596" spans="1:6" ht="15.75" x14ac:dyDescent="0.25">
      <c r="A596" s="1030"/>
      <c r="B596" s="1031"/>
      <c r="C596" s="1030"/>
      <c r="D596" s="1031"/>
      <c r="E596" s="1031"/>
      <c r="F596" s="1032"/>
    </row>
    <row r="597" spans="1:6" ht="15.75" x14ac:dyDescent="0.25">
      <c r="A597" s="1030"/>
      <c r="B597" s="1031"/>
      <c r="C597" s="1030"/>
      <c r="D597" s="1031"/>
      <c r="E597" s="1031"/>
      <c r="F597" s="1032"/>
    </row>
    <row r="598" spans="1:6" ht="15.75" x14ac:dyDescent="0.25">
      <c r="A598" s="1030"/>
      <c r="B598" s="1031"/>
      <c r="C598" s="1030"/>
      <c r="D598" s="1031"/>
      <c r="E598" s="1031"/>
      <c r="F598" s="1032"/>
    </row>
    <row r="599" spans="1:6" ht="15.75" x14ac:dyDescent="0.25">
      <c r="A599" s="1030"/>
      <c r="B599" s="1031"/>
      <c r="C599" s="1030"/>
      <c r="D599" s="1031"/>
      <c r="E599" s="1031"/>
      <c r="F599" s="1032"/>
    </row>
    <row r="600" spans="1:6" ht="15.75" x14ac:dyDescent="0.25">
      <c r="A600" s="1030"/>
      <c r="B600" s="1031"/>
      <c r="C600" s="1030"/>
      <c r="D600" s="1031"/>
      <c r="E600" s="1031"/>
      <c r="F600" s="1032"/>
    </row>
    <row r="601" spans="1:6" ht="15.75" x14ac:dyDescent="0.25">
      <c r="A601" s="1030"/>
      <c r="B601" s="1031"/>
      <c r="C601" s="1030"/>
      <c r="D601" s="1031"/>
      <c r="E601" s="1031"/>
      <c r="F601" s="1032"/>
    </row>
    <row r="602" spans="1:6" ht="15.75" x14ac:dyDescent="0.25">
      <c r="A602" s="1030"/>
      <c r="B602" s="1031"/>
      <c r="C602" s="1030"/>
      <c r="D602" s="1031"/>
      <c r="E602" s="1031"/>
      <c r="F602" s="1032"/>
    </row>
    <row r="603" spans="1:6" ht="15.75" x14ac:dyDescent="0.25">
      <c r="A603" s="1030"/>
      <c r="B603" s="1031"/>
      <c r="C603" s="1030"/>
      <c r="D603" s="1031"/>
      <c r="E603" s="1031"/>
      <c r="F603" s="1032"/>
    </row>
    <row r="604" spans="1:6" ht="15.75" x14ac:dyDescent="0.25">
      <c r="A604" s="1030"/>
      <c r="B604" s="1031"/>
      <c r="C604" s="1030"/>
      <c r="D604" s="1031"/>
      <c r="E604" s="1031"/>
      <c r="F604" s="1032"/>
    </row>
    <row r="605" spans="1:6" ht="15.75" x14ac:dyDescent="0.25">
      <c r="A605" s="1030"/>
      <c r="B605" s="1031"/>
      <c r="C605" s="1030"/>
      <c r="D605" s="1031"/>
      <c r="E605" s="1031"/>
      <c r="F605" s="1032"/>
    </row>
    <row r="606" spans="1:6" ht="15.75" x14ac:dyDescent="0.25">
      <c r="A606" s="1030"/>
      <c r="B606" s="1031"/>
      <c r="C606" s="1030"/>
      <c r="D606" s="1031"/>
      <c r="E606" s="1031"/>
      <c r="F606" s="1032"/>
    </row>
    <row r="607" spans="1:6" ht="15.75" x14ac:dyDescent="0.25">
      <c r="A607" s="1030"/>
      <c r="B607" s="1031"/>
      <c r="C607" s="1030"/>
      <c r="D607" s="1031"/>
      <c r="E607" s="1031"/>
      <c r="F607" s="1032"/>
    </row>
    <row r="608" spans="1:6" ht="15.75" x14ac:dyDescent="0.25">
      <c r="A608" s="1030"/>
      <c r="B608" s="1031"/>
      <c r="C608" s="1030"/>
      <c r="D608" s="1031"/>
      <c r="E608" s="1031"/>
      <c r="F608" s="1032"/>
    </row>
    <row r="609" spans="1:6" ht="15.75" x14ac:dyDescent="0.25">
      <c r="A609" s="1030"/>
      <c r="B609" s="1031"/>
      <c r="C609" s="1030"/>
      <c r="D609" s="1031"/>
      <c r="E609" s="1031"/>
      <c r="F609" s="1032"/>
    </row>
    <row r="610" spans="1:6" ht="15.75" x14ac:dyDescent="0.25">
      <c r="A610" s="1030"/>
      <c r="B610" s="1031"/>
      <c r="C610" s="1030"/>
      <c r="D610" s="1031"/>
      <c r="E610" s="1031"/>
      <c r="F610" s="1032"/>
    </row>
    <row r="611" spans="1:6" ht="15.75" x14ac:dyDescent="0.25">
      <c r="A611" s="1030"/>
      <c r="B611" s="1031"/>
      <c r="C611" s="1030"/>
      <c r="D611" s="1031"/>
      <c r="E611" s="1031"/>
      <c r="F611" s="1032"/>
    </row>
    <row r="612" spans="1:6" ht="15.75" x14ac:dyDescent="0.25">
      <c r="A612" s="1030"/>
      <c r="B612" s="1031"/>
      <c r="C612" s="1030"/>
      <c r="D612" s="1031"/>
      <c r="E612" s="1031"/>
      <c r="F612" s="1032"/>
    </row>
    <row r="613" spans="1:6" ht="15.75" x14ac:dyDescent="0.25">
      <c r="A613" s="1030"/>
      <c r="B613" s="1031"/>
      <c r="C613" s="1030"/>
      <c r="D613" s="1031"/>
      <c r="E613" s="1031"/>
      <c r="F613" s="1032"/>
    </row>
    <row r="614" spans="1:6" ht="15.75" x14ac:dyDescent="0.25">
      <c r="A614" s="1030"/>
      <c r="B614" s="1031"/>
      <c r="C614" s="1030"/>
      <c r="D614" s="1031"/>
      <c r="E614" s="1031"/>
      <c r="F614" s="1032"/>
    </row>
    <row r="615" spans="1:6" ht="15.75" x14ac:dyDescent="0.25">
      <c r="A615" s="1030"/>
      <c r="B615" s="1031"/>
      <c r="C615" s="1030"/>
      <c r="D615" s="1031"/>
      <c r="E615" s="1031"/>
      <c r="F615" s="1032"/>
    </row>
    <row r="616" spans="1:6" ht="15.75" x14ac:dyDescent="0.25">
      <c r="A616" s="1030"/>
      <c r="B616" s="1031"/>
      <c r="C616" s="1030"/>
      <c r="D616" s="1031"/>
      <c r="E616" s="1031"/>
      <c r="F616" s="1032"/>
    </row>
    <row r="617" spans="1:6" ht="15.75" x14ac:dyDescent="0.25">
      <c r="A617" s="1030"/>
      <c r="B617" s="1031"/>
      <c r="C617" s="1030"/>
      <c r="D617" s="1031"/>
      <c r="E617" s="1031"/>
      <c r="F617" s="1032"/>
    </row>
    <row r="618" spans="1:6" ht="15.75" x14ac:dyDescent="0.25">
      <c r="A618" s="1030"/>
      <c r="B618" s="1031"/>
      <c r="C618" s="1030"/>
      <c r="D618" s="1031"/>
      <c r="E618" s="1031"/>
      <c r="F618" s="1032"/>
    </row>
    <row r="619" spans="1:6" ht="15.75" x14ac:dyDescent="0.25">
      <c r="A619" s="1030"/>
      <c r="B619" s="1031"/>
      <c r="C619" s="1030"/>
      <c r="D619" s="1031"/>
      <c r="E619" s="1031"/>
      <c r="F619" s="1032"/>
    </row>
    <row r="620" spans="1:6" ht="15.75" x14ac:dyDescent="0.25">
      <c r="A620" s="1030"/>
      <c r="B620" s="1031"/>
      <c r="C620" s="1030"/>
      <c r="D620" s="1031"/>
      <c r="E620" s="1031"/>
      <c r="F620" s="1032"/>
    </row>
    <row r="621" spans="1:6" ht="15.75" x14ac:dyDescent="0.25">
      <c r="A621" s="1030"/>
      <c r="B621" s="1031"/>
      <c r="C621" s="1030"/>
      <c r="D621" s="1031"/>
      <c r="E621" s="1031"/>
      <c r="F621" s="1032"/>
    </row>
    <row r="622" spans="1:6" ht="15.75" x14ac:dyDescent="0.25">
      <c r="A622" s="1030"/>
      <c r="B622" s="1031"/>
      <c r="C622" s="1030"/>
      <c r="D622" s="1031"/>
      <c r="E622" s="1031"/>
      <c r="F622" s="1032"/>
    </row>
    <row r="623" spans="1:6" ht="15.75" x14ac:dyDescent="0.25">
      <c r="A623" s="1030"/>
      <c r="B623" s="1031"/>
      <c r="C623" s="1030"/>
      <c r="D623" s="1031"/>
      <c r="E623" s="1031"/>
      <c r="F623" s="1032"/>
    </row>
    <row r="624" spans="1:6" ht="15.75" x14ac:dyDescent="0.25">
      <c r="A624" s="1030"/>
      <c r="B624" s="1031"/>
      <c r="C624" s="1030"/>
      <c r="D624" s="1031"/>
      <c r="E624" s="1031"/>
      <c r="F624" s="1032"/>
    </row>
    <row r="625" spans="1:6" ht="15.75" x14ac:dyDescent="0.25">
      <c r="A625" s="1030"/>
      <c r="B625" s="1031"/>
      <c r="C625" s="1030"/>
      <c r="D625" s="1031"/>
      <c r="E625" s="1031"/>
      <c r="F625" s="1032"/>
    </row>
    <row r="626" spans="1:6" ht="15.75" x14ac:dyDescent="0.25">
      <c r="A626" s="1030"/>
      <c r="B626" s="1031"/>
      <c r="C626" s="1030"/>
      <c r="D626" s="1031"/>
      <c r="E626" s="1031"/>
      <c r="F626" s="1032"/>
    </row>
    <row r="627" spans="1:6" ht="15.75" x14ac:dyDescent="0.25">
      <c r="A627" s="1030"/>
      <c r="B627" s="1031"/>
      <c r="C627" s="1030"/>
      <c r="D627" s="1031"/>
      <c r="E627" s="1031"/>
      <c r="F627" s="1032"/>
    </row>
    <row r="628" spans="1:6" ht="15.75" x14ac:dyDescent="0.25">
      <c r="A628" s="1030"/>
      <c r="B628" s="1031"/>
      <c r="C628" s="1030"/>
      <c r="D628" s="1031"/>
      <c r="E628" s="1031"/>
      <c r="F628" s="1032"/>
    </row>
    <row r="629" spans="1:6" ht="15.75" x14ac:dyDescent="0.25">
      <c r="A629" s="1030"/>
      <c r="B629" s="1031"/>
      <c r="C629" s="1030"/>
      <c r="D629" s="1031"/>
      <c r="E629" s="1031"/>
      <c r="F629" s="1032"/>
    </row>
    <row r="630" spans="1:6" ht="15.75" x14ac:dyDescent="0.25">
      <c r="A630" s="1030"/>
      <c r="B630" s="1031"/>
      <c r="C630" s="1030"/>
      <c r="D630" s="1031"/>
      <c r="E630" s="1031"/>
      <c r="F630" s="1032"/>
    </row>
    <row r="631" spans="1:6" ht="15.75" x14ac:dyDescent="0.25">
      <c r="A631" s="1030"/>
      <c r="B631" s="1031"/>
      <c r="C631" s="1030"/>
      <c r="D631" s="1031"/>
      <c r="E631" s="1031"/>
      <c r="F631" s="1032"/>
    </row>
    <row r="632" spans="1:6" ht="15.75" x14ac:dyDescent="0.25">
      <c r="A632" s="1030"/>
      <c r="B632" s="1031"/>
      <c r="C632" s="1030"/>
      <c r="D632" s="1031"/>
      <c r="E632" s="1031"/>
      <c r="F632" s="1032"/>
    </row>
    <row r="633" spans="1:6" ht="15.75" x14ac:dyDescent="0.25">
      <c r="A633" s="1030"/>
      <c r="B633" s="1031"/>
      <c r="C633" s="1030"/>
      <c r="D633" s="1031"/>
      <c r="E633" s="1031"/>
      <c r="F633" s="1032"/>
    </row>
    <row r="634" spans="1:6" ht="15.75" x14ac:dyDescent="0.25">
      <c r="A634" s="1030"/>
      <c r="B634" s="1031"/>
      <c r="C634" s="1030"/>
      <c r="D634" s="1031"/>
      <c r="E634" s="1031"/>
      <c r="F634" s="1032"/>
    </row>
    <row r="635" spans="1:6" ht="15.75" x14ac:dyDescent="0.25">
      <c r="A635" s="1030"/>
      <c r="B635" s="1031"/>
      <c r="C635" s="1030"/>
      <c r="D635" s="1031"/>
      <c r="E635" s="1031"/>
      <c r="F635" s="1032"/>
    </row>
    <row r="636" spans="1:6" ht="15.75" x14ac:dyDescent="0.25">
      <c r="A636" s="1030"/>
      <c r="B636" s="1031"/>
      <c r="C636" s="1030"/>
      <c r="D636" s="1031"/>
      <c r="E636" s="1031"/>
      <c r="F636" s="1032"/>
    </row>
    <row r="637" spans="1:6" ht="15.75" x14ac:dyDescent="0.25">
      <c r="A637" s="1030"/>
      <c r="B637" s="1031"/>
      <c r="C637" s="1030"/>
      <c r="D637" s="1031"/>
      <c r="E637" s="1031"/>
      <c r="F637" s="1032"/>
    </row>
    <row r="638" spans="1:6" ht="15.75" x14ac:dyDescent="0.25">
      <c r="A638" s="1030"/>
      <c r="B638" s="1031"/>
      <c r="C638" s="1030"/>
      <c r="D638" s="1031"/>
      <c r="E638" s="1031"/>
      <c r="F638" s="1032"/>
    </row>
    <row r="639" spans="1:6" ht="15.75" x14ac:dyDescent="0.25">
      <c r="A639" s="1030"/>
      <c r="B639" s="1031"/>
      <c r="C639" s="1030"/>
      <c r="D639" s="1031"/>
      <c r="E639" s="1031"/>
      <c r="F639" s="1032"/>
    </row>
    <row r="640" spans="1:6" ht="15.75" x14ac:dyDescent="0.25">
      <c r="A640" s="1030"/>
      <c r="B640" s="1031"/>
      <c r="C640" s="1030"/>
      <c r="D640" s="1031"/>
      <c r="E640" s="1031"/>
      <c r="F640" s="1032"/>
    </row>
    <row r="641" spans="1:6" ht="15.75" x14ac:dyDescent="0.25">
      <c r="A641" s="1030"/>
      <c r="B641" s="1031"/>
      <c r="C641" s="1030"/>
      <c r="D641" s="1031"/>
      <c r="E641" s="1031"/>
      <c r="F641" s="1032"/>
    </row>
    <row r="642" spans="1:6" ht="15.75" x14ac:dyDescent="0.25">
      <c r="A642" s="1030"/>
      <c r="B642" s="1031"/>
      <c r="C642" s="1030"/>
      <c r="D642" s="1031"/>
      <c r="E642" s="1031"/>
      <c r="F642" s="1032"/>
    </row>
    <row r="643" spans="1:6" ht="15.75" x14ac:dyDescent="0.25">
      <c r="A643" s="1030"/>
      <c r="B643" s="1031"/>
      <c r="C643" s="1030"/>
      <c r="D643" s="1031"/>
      <c r="E643" s="1031"/>
      <c r="F643" s="1032"/>
    </row>
    <row r="644" spans="1:6" ht="15.75" x14ac:dyDescent="0.25">
      <c r="A644" s="1030"/>
      <c r="B644" s="1031"/>
      <c r="C644" s="1030"/>
      <c r="D644" s="1031"/>
      <c r="E644" s="1031"/>
      <c r="F644" s="1032"/>
    </row>
    <row r="645" spans="1:6" ht="15.75" x14ac:dyDescent="0.25">
      <c r="A645" s="1030"/>
      <c r="B645" s="1031"/>
      <c r="C645" s="1030"/>
      <c r="D645" s="1031"/>
      <c r="E645" s="1031"/>
      <c r="F645" s="1032"/>
    </row>
    <row r="646" spans="1:6" ht="15.75" x14ac:dyDescent="0.25">
      <c r="A646" s="1030"/>
      <c r="B646" s="1031"/>
      <c r="C646" s="1030"/>
      <c r="D646" s="1031"/>
      <c r="E646" s="1031"/>
      <c r="F646" s="1032"/>
    </row>
    <row r="647" spans="1:6" ht="15.75" x14ac:dyDescent="0.25">
      <c r="A647" s="1030"/>
      <c r="B647" s="1031"/>
      <c r="C647" s="1030"/>
      <c r="D647" s="1031"/>
      <c r="E647" s="1031"/>
      <c r="F647" s="1032"/>
    </row>
    <row r="648" spans="1:6" ht="15.75" x14ac:dyDescent="0.25">
      <c r="A648" s="1030"/>
      <c r="B648" s="1031"/>
      <c r="C648" s="1030"/>
      <c r="D648" s="1031"/>
      <c r="E648" s="1031"/>
      <c r="F648" s="1032"/>
    </row>
    <row r="649" spans="1:6" ht="15.75" x14ac:dyDescent="0.25">
      <c r="A649" s="1030"/>
      <c r="B649" s="1031"/>
      <c r="C649" s="1030"/>
      <c r="D649" s="1031"/>
      <c r="E649" s="1031"/>
      <c r="F649" s="1032"/>
    </row>
    <row r="650" spans="1:6" ht="15.75" x14ac:dyDescent="0.25">
      <c r="A650" s="1030"/>
      <c r="B650" s="1031"/>
      <c r="C650" s="1030"/>
      <c r="D650" s="1031"/>
      <c r="E650" s="1031"/>
      <c r="F650" s="1032"/>
    </row>
    <row r="651" spans="1:6" ht="15.75" x14ac:dyDescent="0.25">
      <c r="A651" s="1030"/>
      <c r="B651" s="1031"/>
      <c r="C651" s="1030"/>
      <c r="D651" s="1031"/>
      <c r="E651" s="1031"/>
      <c r="F651" s="1032"/>
    </row>
    <row r="652" spans="1:6" ht="15.75" x14ac:dyDescent="0.25">
      <c r="A652" s="1030"/>
      <c r="B652" s="1031"/>
      <c r="C652" s="1030"/>
      <c r="D652" s="1031"/>
      <c r="E652" s="1031"/>
      <c r="F652" s="1032"/>
    </row>
    <row r="653" spans="1:6" ht="15.75" x14ac:dyDescent="0.25">
      <c r="A653" s="1030"/>
      <c r="B653" s="1031"/>
      <c r="C653" s="1030"/>
      <c r="D653" s="1031"/>
      <c r="E653" s="1031"/>
      <c r="F653" s="1032"/>
    </row>
    <row r="654" spans="1:6" ht="15.75" x14ac:dyDescent="0.25">
      <c r="A654" s="1030"/>
      <c r="B654" s="1031"/>
      <c r="C654" s="1030"/>
      <c r="D654" s="1031"/>
      <c r="E654" s="1031"/>
      <c r="F654" s="1032"/>
    </row>
    <row r="655" spans="1:6" ht="15.75" x14ac:dyDescent="0.25">
      <c r="A655" s="1030"/>
      <c r="B655" s="1031"/>
      <c r="C655" s="1030"/>
      <c r="D655" s="1031"/>
      <c r="E655" s="1031"/>
      <c r="F655" s="1032"/>
    </row>
    <row r="656" spans="1:6" ht="15.75" x14ac:dyDescent="0.25">
      <c r="A656" s="1030"/>
      <c r="B656" s="1031"/>
      <c r="C656" s="1030"/>
      <c r="D656" s="1031"/>
      <c r="E656" s="1031"/>
      <c r="F656" s="1032"/>
    </row>
    <row r="657" spans="1:6" ht="15.75" x14ac:dyDescent="0.25">
      <c r="A657" s="1030"/>
      <c r="B657" s="1031"/>
      <c r="C657" s="1030"/>
      <c r="D657" s="1031"/>
      <c r="E657" s="1031"/>
      <c r="F657" s="1032"/>
    </row>
    <row r="658" spans="1:6" ht="15.75" x14ac:dyDescent="0.25">
      <c r="A658" s="1030"/>
      <c r="B658" s="1031"/>
      <c r="C658" s="1030"/>
      <c r="D658" s="1031"/>
      <c r="E658" s="1031"/>
      <c r="F658" s="1032"/>
    </row>
    <row r="659" spans="1:6" ht="15.75" x14ac:dyDescent="0.25">
      <c r="A659" s="1030"/>
      <c r="B659" s="1031"/>
      <c r="C659" s="1030"/>
      <c r="D659" s="1031"/>
      <c r="E659" s="1031"/>
      <c r="F659" s="1032"/>
    </row>
    <row r="660" spans="1:6" ht="15.75" x14ac:dyDescent="0.25">
      <c r="A660" s="1030"/>
      <c r="B660" s="1031"/>
      <c r="C660" s="1030"/>
      <c r="D660" s="1031"/>
      <c r="E660" s="1031"/>
      <c r="F660" s="1032"/>
    </row>
    <row r="661" spans="1:6" ht="15.75" x14ac:dyDescent="0.25">
      <c r="A661" s="1030"/>
      <c r="B661" s="1031"/>
      <c r="C661" s="1030"/>
      <c r="D661" s="1031"/>
      <c r="E661" s="1031"/>
      <c r="F661" s="1032"/>
    </row>
    <row r="662" spans="1:6" ht="15.75" x14ac:dyDescent="0.25">
      <c r="A662" s="1030"/>
      <c r="B662" s="1031"/>
      <c r="C662" s="1030"/>
      <c r="D662" s="1031"/>
      <c r="E662" s="1031"/>
      <c r="F662" s="1032"/>
    </row>
    <row r="663" spans="1:6" ht="15.75" x14ac:dyDescent="0.25">
      <c r="A663" s="1030"/>
      <c r="B663" s="1031"/>
      <c r="C663" s="1030"/>
      <c r="D663" s="1031"/>
      <c r="E663" s="1031"/>
      <c r="F663" s="1032"/>
    </row>
    <row r="664" spans="1:6" ht="15.75" x14ac:dyDescent="0.25">
      <c r="A664" s="1030"/>
      <c r="B664" s="1031"/>
      <c r="C664" s="1030"/>
      <c r="D664" s="1031"/>
      <c r="E664" s="1031"/>
      <c r="F664" s="1032"/>
    </row>
    <row r="665" spans="1:6" ht="15.75" x14ac:dyDescent="0.25">
      <c r="A665" s="1030"/>
      <c r="B665" s="1031"/>
      <c r="C665" s="1030"/>
      <c r="D665" s="1031"/>
      <c r="E665" s="1031"/>
      <c r="F665" s="1032"/>
    </row>
    <row r="666" spans="1:6" ht="15.75" x14ac:dyDescent="0.25">
      <c r="A666" s="1030"/>
      <c r="B666" s="1031"/>
      <c r="C666" s="1030"/>
      <c r="D666" s="1031"/>
      <c r="E666" s="1031"/>
      <c r="F666" s="1032"/>
    </row>
    <row r="667" spans="1:6" ht="15.75" x14ac:dyDescent="0.25">
      <c r="A667" s="1030"/>
      <c r="B667" s="1031"/>
      <c r="C667" s="1030"/>
      <c r="D667" s="1031"/>
      <c r="E667" s="1031"/>
      <c r="F667" s="1032"/>
    </row>
    <row r="668" spans="1:6" ht="15.75" x14ac:dyDescent="0.25">
      <c r="A668" s="1030"/>
      <c r="B668" s="1031"/>
      <c r="C668" s="1030"/>
      <c r="D668" s="1031"/>
      <c r="E668" s="1031"/>
      <c r="F668" s="1032"/>
    </row>
    <row r="669" spans="1:6" ht="15.75" x14ac:dyDescent="0.25">
      <c r="A669" s="1030"/>
      <c r="B669" s="1031"/>
      <c r="C669" s="1030"/>
      <c r="D669" s="1031"/>
      <c r="E669" s="1031"/>
      <c r="F669" s="1032"/>
    </row>
    <row r="670" spans="1:6" ht="15.75" x14ac:dyDescent="0.25">
      <c r="A670" s="1030"/>
      <c r="B670" s="1031"/>
      <c r="C670" s="1030"/>
      <c r="D670" s="1031"/>
      <c r="E670" s="1031"/>
      <c r="F670" s="1032"/>
    </row>
    <row r="671" spans="1:6" ht="15.75" x14ac:dyDescent="0.25">
      <c r="A671" s="1030"/>
      <c r="B671" s="1031"/>
      <c r="C671" s="1030"/>
      <c r="D671" s="1031"/>
      <c r="E671" s="1031"/>
      <c r="F671" s="1032"/>
    </row>
    <row r="672" spans="1:6" ht="15.75" x14ac:dyDescent="0.25">
      <c r="A672" s="1030"/>
      <c r="B672" s="1031"/>
      <c r="C672" s="1030"/>
      <c r="D672" s="1031"/>
      <c r="E672" s="1031"/>
      <c r="F672" s="1032"/>
    </row>
    <row r="673" spans="1:6" ht="15.75" x14ac:dyDescent="0.25">
      <c r="A673" s="1030"/>
      <c r="B673" s="1031"/>
      <c r="C673" s="1030"/>
      <c r="D673" s="1031"/>
      <c r="E673" s="1031"/>
      <c r="F673" s="1032"/>
    </row>
    <row r="674" spans="1:6" ht="15.75" x14ac:dyDescent="0.25">
      <c r="A674" s="1030"/>
      <c r="B674" s="1031"/>
      <c r="C674" s="1030"/>
      <c r="D674" s="1031"/>
      <c r="E674" s="1031"/>
      <c r="F674" s="1032"/>
    </row>
    <row r="675" spans="1:6" ht="15.75" x14ac:dyDescent="0.25">
      <c r="A675" s="1030"/>
      <c r="B675" s="1031"/>
      <c r="C675" s="1030"/>
      <c r="D675" s="1031"/>
      <c r="E675" s="1031"/>
      <c r="F675" s="1032"/>
    </row>
    <row r="676" spans="1:6" ht="15.75" x14ac:dyDescent="0.25">
      <c r="A676" s="1030"/>
      <c r="B676" s="1031"/>
      <c r="C676" s="1030"/>
      <c r="D676" s="1031"/>
      <c r="E676" s="1031"/>
      <c r="F676" s="1032"/>
    </row>
    <row r="677" spans="1:6" ht="15.75" x14ac:dyDescent="0.25">
      <c r="A677" s="1030"/>
      <c r="B677" s="1031"/>
      <c r="C677" s="1030"/>
      <c r="D677" s="1031"/>
      <c r="E677" s="1031"/>
      <c r="F677" s="1032"/>
    </row>
    <row r="678" spans="1:6" ht="15.75" x14ac:dyDescent="0.25">
      <c r="A678" s="1030"/>
      <c r="B678" s="1031"/>
      <c r="C678" s="1030"/>
      <c r="D678" s="1031"/>
      <c r="E678" s="1031"/>
      <c r="F678" s="1032"/>
    </row>
    <row r="679" spans="1:6" ht="15.75" x14ac:dyDescent="0.25">
      <c r="A679" s="1030"/>
      <c r="B679" s="1031"/>
      <c r="C679" s="1030"/>
      <c r="D679" s="1031"/>
      <c r="E679" s="1031"/>
      <c r="F679" s="1032"/>
    </row>
    <row r="680" spans="1:6" ht="15.75" x14ac:dyDescent="0.25">
      <c r="A680" s="1030"/>
      <c r="B680" s="1031"/>
      <c r="C680" s="1030"/>
      <c r="D680" s="1031"/>
      <c r="E680" s="1031"/>
      <c r="F680" s="1032"/>
    </row>
    <row r="681" spans="1:6" ht="15.75" x14ac:dyDescent="0.25">
      <c r="A681" s="1030"/>
      <c r="B681" s="1031"/>
      <c r="C681" s="1030"/>
      <c r="D681" s="1031"/>
      <c r="E681" s="1031"/>
      <c r="F681" s="1032"/>
    </row>
    <row r="682" spans="1:6" ht="15.75" x14ac:dyDescent="0.25">
      <c r="A682" s="1030"/>
      <c r="B682" s="1031"/>
      <c r="C682" s="1030"/>
      <c r="D682" s="1031"/>
      <c r="E682" s="1031"/>
      <c r="F682" s="1032"/>
    </row>
    <row r="683" spans="1:6" ht="15.75" x14ac:dyDescent="0.25">
      <c r="A683" s="1030"/>
      <c r="B683" s="1031"/>
      <c r="C683" s="1030"/>
      <c r="D683" s="1031"/>
      <c r="E683" s="1031"/>
      <c r="F683" s="1032"/>
    </row>
    <row r="684" spans="1:6" ht="15.75" x14ac:dyDescent="0.25">
      <c r="A684" s="1030"/>
      <c r="B684" s="1031"/>
      <c r="C684" s="1030"/>
      <c r="D684" s="1031"/>
      <c r="E684" s="1031"/>
      <c r="F684" s="1032"/>
    </row>
    <row r="685" spans="1:6" ht="15.75" x14ac:dyDescent="0.25">
      <c r="A685" s="1030"/>
      <c r="B685" s="1031"/>
      <c r="C685" s="1030"/>
      <c r="D685" s="1031"/>
      <c r="E685" s="1031"/>
      <c r="F685" s="1032"/>
    </row>
    <row r="686" spans="1:6" ht="15.75" x14ac:dyDescent="0.25">
      <c r="A686" s="1030"/>
      <c r="B686" s="1031"/>
      <c r="C686" s="1030"/>
      <c r="D686" s="1031"/>
      <c r="E686" s="1031"/>
      <c r="F686" s="1032"/>
    </row>
    <row r="687" spans="1:6" ht="15.75" x14ac:dyDescent="0.25">
      <c r="A687" s="1030"/>
      <c r="B687" s="1031"/>
      <c r="C687" s="1030"/>
      <c r="D687" s="1031"/>
      <c r="E687" s="1031"/>
      <c r="F687" s="1032"/>
    </row>
    <row r="688" spans="1:6" ht="15.75" x14ac:dyDescent="0.25">
      <c r="A688" s="1030"/>
      <c r="B688" s="1031"/>
      <c r="C688" s="1030"/>
      <c r="D688" s="1031"/>
      <c r="E688" s="1031"/>
      <c r="F688" s="1032"/>
    </row>
    <row r="689" spans="1:6" ht="15.75" x14ac:dyDescent="0.25">
      <c r="A689" s="1030"/>
      <c r="B689" s="1031"/>
      <c r="C689" s="1030"/>
      <c r="D689" s="1031"/>
      <c r="E689" s="1031"/>
      <c r="F689" s="1032"/>
    </row>
    <row r="690" spans="1:6" ht="15.75" x14ac:dyDescent="0.25">
      <c r="A690" s="1030"/>
      <c r="B690" s="1031"/>
      <c r="C690" s="1030"/>
      <c r="D690" s="1031"/>
      <c r="E690" s="1031"/>
      <c r="F690" s="1032"/>
    </row>
    <row r="691" spans="1:6" ht="15.75" x14ac:dyDescent="0.25">
      <c r="A691" s="1030"/>
      <c r="B691" s="1031"/>
      <c r="C691" s="1030"/>
      <c r="D691" s="1031"/>
      <c r="E691" s="1031"/>
      <c r="F691" s="1032"/>
    </row>
    <row r="692" spans="1:6" ht="15.75" x14ac:dyDescent="0.25">
      <c r="A692" s="1030"/>
      <c r="B692" s="1031"/>
      <c r="C692" s="1030"/>
      <c r="D692" s="1031"/>
      <c r="E692" s="1031"/>
      <c r="F692" s="1032"/>
    </row>
    <row r="693" spans="1:6" ht="15.75" x14ac:dyDescent="0.25">
      <c r="A693" s="1030"/>
      <c r="B693" s="1031"/>
      <c r="C693" s="1030"/>
      <c r="D693" s="1031"/>
      <c r="E693" s="1031"/>
      <c r="F693" s="1032"/>
    </row>
    <row r="694" spans="1:6" ht="15.75" x14ac:dyDescent="0.25">
      <c r="A694" s="1030"/>
      <c r="B694" s="1031"/>
      <c r="C694" s="1030"/>
      <c r="D694" s="1031"/>
      <c r="E694" s="1031"/>
      <c r="F694" s="1032"/>
    </row>
    <row r="695" spans="1:6" ht="15.75" x14ac:dyDescent="0.25">
      <c r="A695" s="1030"/>
      <c r="B695" s="1031"/>
      <c r="C695" s="1030"/>
      <c r="D695" s="1031"/>
      <c r="E695" s="1031"/>
      <c r="F695" s="1032"/>
    </row>
    <row r="696" spans="1:6" ht="15.75" x14ac:dyDescent="0.25">
      <c r="A696" s="1030"/>
      <c r="B696" s="1031"/>
      <c r="C696" s="1030"/>
      <c r="D696" s="1031"/>
      <c r="E696" s="1031"/>
      <c r="F696" s="1032"/>
    </row>
    <row r="697" spans="1:6" ht="15.75" x14ac:dyDescent="0.25">
      <c r="A697" s="1030"/>
      <c r="B697" s="1031"/>
      <c r="C697" s="1030"/>
      <c r="D697" s="1031"/>
      <c r="E697" s="1031"/>
      <c r="F697" s="1032"/>
    </row>
    <row r="698" spans="1:6" ht="15.75" x14ac:dyDescent="0.25">
      <c r="A698" s="1030"/>
      <c r="B698" s="1031"/>
      <c r="C698" s="1030"/>
      <c r="D698" s="1031"/>
      <c r="E698" s="1031"/>
      <c r="F698" s="1032"/>
    </row>
    <row r="699" spans="1:6" ht="15.75" x14ac:dyDescent="0.25">
      <c r="A699" s="1030"/>
      <c r="B699" s="1031"/>
      <c r="C699" s="1030"/>
      <c r="D699" s="1031"/>
      <c r="E699" s="1031"/>
      <c r="F699" s="1032"/>
    </row>
    <row r="700" spans="1:6" ht="15.75" x14ac:dyDescent="0.25">
      <c r="A700" s="1030"/>
      <c r="B700" s="1031"/>
      <c r="C700" s="1030"/>
      <c r="D700" s="1031"/>
      <c r="E700" s="1031"/>
      <c r="F700" s="1032"/>
    </row>
    <row r="701" spans="1:6" ht="15.75" x14ac:dyDescent="0.25">
      <c r="A701" s="1030"/>
      <c r="B701" s="1031"/>
      <c r="C701" s="1030"/>
      <c r="D701" s="1031"/>
      <c r="E701" s="1031"/>
      <c r="F701" s="1032"/>
    </row>
    <row r="702" spans="1:6" ht="15.75" x14ac:dyDescent="0.25">
      <c r="A702" s="1030"/>
      <c r="B702" s="1031"/>
      <c r="C702" s="1030"/>
      <c r="D702" s="1031"/>
      <c r="E702" s="1031"/>
      <c r="F702" s="1032"/>
    </row>
    <row r="703" spans="1:6" ht="15.75" x14ac:dyDescent="0.25">
      <c r="A703" s="1030"/>
      <c r="B703" s="1031"/>
      <c r="C703" s="1030"/>
      <c r="D703" s="1031"/>
      <c r="E703" s="1031"/>
      <c r="F703" s="1032"/>
    </row>
    <row r="704" spans="1:6" ht="15.75" x14ac:dyDescent="0.25">
      <c r="A704" s="1030"/>
      <c r="B704" s="1031"/>
      <c r="C704" s="1030"/>
      <c r="D704" s="1031"/>
      <c r="E704" s="1031"/>
      <c r="F704" s="1032"/>
    </row>
    <row r="705" spans="1:6" ht="15.75" x14ac:dyDescent="0.25">
      <c r="A705" s="1030"/>
      <c r="B705" s="1031"/>
      <c r="C705" s="1030"/>
      <c r="D705" s="1031"/>
      <c r="E705" s="1031"/>
      <c r="F705" s="1032"/>
    </row>
    <row r="706" spans="1:6" ht="15.75" x14ac:dyDescent="0.25">
      <c r="A706" s="1030"/>
      <c r="B706" s="1031"/>
      <c r="C706" s="1030"/>
      <c r="D706" s="1031"/>
      <c r="E706" s="1031"/>
      <c r="F706" s="1032"/>
    </row>
    <row r="707" spans="1:6" ht="15.75" x14ac:dyDescent="0.25">
      <c r="A707" s="1030"/>
      <c r="B707" s="1031"/>
      <c r="C707" s="1030"/>
      <c r="D707" s="1031"/>
      <c r="E707" s="1031"/>
      <c r="F707" s="1032"/>
    </row>
    <row r="708" spans="1:6" ht="15.75" x14ac:dyDescent="0.25">
      <c r="A708" s="1030"/>
      <c r="B708" s="1031"/>
      <c r="C708" s="1030"/>
      <c r="D708" s="1031"/>
      <c r="E708" s="1031"/>
      <c r="F708" s="1032"/>
    </row>
    <row r="709" spans="1:6" ht="15.75" x14ac:dyDescent="0.25">
      <c r="A709" s="1030"/>
      <c r="B709" s="1031"/>
      <c r="C709" s="1030"/>
      <c r="D709" s="1031"/>
      <c r="E709" s="1031"/>
      <c r="F709" s="1032"/>
    </row>
    <row r="710" spans="1:6" ht="15.75" x14ac:dyDescent="0.25">
      <c r="A710" s="1030"/>
      <c r="B710" s="1031"/>
      <c r="C710" s="1030"/>
      <c r="D710" s="1031"/>
      <c r="E710" s="1031"/>
      <c r="F710" s="1032"/>
    </row>
    <row r="711" spans="1:6" ht="15.75" x14ac:dyDescent="0.25">
      <c r="A711" s="1030"/>
      <c r="B711" s="1031"/>
      <c r="C711" s="1030"/>
      <c r="D711" s="1031"/>
      <c r="E711" s="1031"/>
      <c r="F711" s="1032"/>
    </row>
    <row r="712" spans="1:6" ht="15.75" x14ac:dyDescent="0.25">
      <c r="A712" s="1030"/>
      <c r="B712" s="1031"/>
      <c r="C712" s="1030"/>
      <c r="D712" s="1031"/>
      <c r="E712" s="1031"/>
      <c r="F712" s="1032"/>
    </row>
    <row r="713" spans="1:6" ht="15.75" x14ac:dyDescent="0.25">
      <c r="A713" s="1030"/>
      <c r="B713" s="1031"/>
      <c r="C713" s="1030"/>
      <c r="D713" s="1031"/>
      <c r="E713" s="1031"/>
      <c r="F713" s="1032"/>
    </row>
    <row r="714" spans="1:6" ht="15.75" x14ac:dyDescent="0.25">
      <c r="A714" s="1030"/>
      <c r="B714" s="1031"/>
      <c r="C714" s="1030"/>
      <c r="D714" s="1031"/>
      <c r="E714" s="1031"/>
      <c r="F714" s="1032"/>
    </row>
    <row r="715" spans="1:6" ht="15.75" x14ac:dyDescent="0.25">
      <c r="A715" s="1030"/>
      <c r="B715" s="1031"/>
      <c r="C715" s="1030"/>
      <c r="D715" s="1031"/>
      <c r="E715" s="1031"/>
      <c r="F715" s="1032"/>
    </row>
    <row r="716" spans="1:6" ht="15.75" x14ac:dyDescent="0.25">
      <c r="A716" s="1030"/>
      <c r="B716" s="1031"/>
      <c r="C716" s="1030"/>
      <c r="D716" s="1031"/>
      <c r="E716" s="1031"/>
      <c r="F716" s="1032"/>
    </row>
    <row r="717" spans="1:6" ht="15.75" x14ac:dyDescent="0.25">
      <c r="A717" s="1030"/>
      <c r="B717" s="1031"/>
      <c r="C717" s="1030"/>
      <c r="D717" s="1031"/>
      <c r="E717" s="1031"/>
      <c r="F717" s="1032"/>
    </row>
    <row r="718" spans="1:6" ht="15.75" x14ac:dyDescent="0.25">
      <c r="A718" s="1030"/>
      <c r="B718" s="1031"/>
      <c r="C718" s="1030"/>
      <c r="D718" s="1031"/>
      <c r="E718" s="1031"/>
      <c r="F718" s="1032"/>
    </row>
    <row r="719" spans="1:6" ht="15.75" x14ac:dyDescent="0.25">
      <c r="A719" s="1030"/>
      <c r="B719" s="1031"/>
      <c r="C719" s="1030"/>
      <c r="D719" s="1031"/>
      <c r="E719" s="1031"/>
      <c r="F719" s="1032"/>
    </row>
    <row r="720" spans="1:6" ht="15.75" x14ac:dyDescent="0.25">
      <c r="A720" s="1030"/>
      <c r="B720" s="1031"/>
      <c r="C720" s="1030"/>
      <c r="D720" s="1031"/>
      <c r="E720" s="1031"/>
      <c r="F720" s="1032"/>
    </row>
    <row r="721" spans="1:6" ht="15.75" x14ac:dyDescent="0.25">
      <c r="A721" s="1030"/>
      <c r="B721" s="1031"/>
      <c r="C721" s="1030"/>
      <c r="D721" s="1031"/>
      <c r="E721" s="1031"/>
      <c r="F721" s="1032"/>
    </row>
    <row r="722" spans="1:6" ht="15.75" x14ac:dyDescent="0.25">
      <c r="A722" s="1030"/>
      <c r="B722" s="1031"/>
      <c r="C722" s="1030"/>
      <c r="D722" s="1031"/>
      <c r="E722" s="1031"/>
      <c r="F722" s="1032"/>
    </row>
    <row r="723" spans="1:6" ht="15.75" x14ac:dyDescent="0.25">
      <c r="A723" s="1030"/>
      <c r="B723" s="1031"/>
      <c r="C723" s="1030"/>
      <c r="D723" s="1031"/>
      <c r="E723" s="1031"/>
      <c r="F723" s="1032"/>
    </row>
    <row r="724" spans="1:6" ht="15.75" x14ac:dyDescent="0.25">
      <c r="A724" s="1030"/>
      <c r="B724" s="1031"/>
      <c r="C724" s="1030"/>
      <c r="D724" s="1031"/>
      <c r="E724" s="1031"/>
      <c r="F724" s="1032"/>
    </row>
    <row r="725" spans="1:6" ht="15.75" x14ac:dyDescent="0.25">
      <c r="A725" s="1030"/>
      <c r="B725" s="1031"/>
      <c r="C725" s="1030"/>
      <c r="D725" s="1031"/>
      <c r="E725" s="1031"/>
      <c r="F725" s="1032"/>
    </row>
    <row r="726" spans="1:6" ht="15.75" x14ac:dyDescent="0.25">
      <c r="A726" s="1030"/>
      <c r="B726" s="1031"/>
      <c r="C726" s="1030"/>
      <c r="D726" s="1031"/>
      <c r="E726" s="1031"/>
      <c r="F726" s="1032"/>
    </row>
    <row r="727" spans="1:6" ht="15.75" x14ac:dyDescent="0.25">
      <c r="A727" s="1030"/>
      <c r="B727" s="1031"/>
      <c r="C727" s="1030"/>
      <c r="D727" s="1031"/>
      <c r="E727" s="1031"/>
      <c r="F727" s="1032"/>
    </row>
    <row r="728" spans="1:6" ht="15.75" x14ac:dyDescent="0.25">
      <c r="A728" s="1030"/>
      <c r="B728" s="1031"/>
      <c r="C728" s="1030"/>
      <c r="D728" s="1031"/>
      <c r="E728" s="1031"/>
      <c r="F728" s="1032"/>
    </row>
    <row r="729" spans="1:6" ht="15.75" x14ac:dyDescent="0.25">
      <c r="A729" s="1030"/>
      <c r="B729" s="1031"/>
      <c r="C729" s="1030"/>
      <c r="D729" s="1031"/>
      <c r="E729" s="1031"/>
      <c r="F729" s="1032"/>
    </row>
    <row r="730" spans="1:6" ht="15.75" x14ac:dyDescent="0.25">
      <c r="A730" s="1030"/>
      <c r="B730" s="1031"/>
      <c r="C730" s="1030"/>
      <c r="D730" s="1031"/>
      <c r="E730" s="1031"/>
      <c r="F730" s="1032"/>
    </row>
    <row r="731" spans="1:6" ht="15.75" x14ac:dyDescent="0.25">
      <c r="A731" s="1030"/>
      <c r="B731" s="1031"/>
      <c r="C731" s="1030"/>
      <c r="D731" s="1031"/>
      <c r="E731" s="1031"/>
      <c r="F731" s="1032"/>
    </row>
    <row r="732" spans="1:6" ht="15.75" x14ac:dyDescent="0.25">
      <c r="A732" s="1030"/>
      <c r="B732" s="1031"/>
      <c r="C732" s="1030"/>
      <c r="D732" s="1031"/>
      <c r="E732" s="1031"/>
      <c r="F732" s="1032"/>
    </row>
    <row r="733" spans="1:6" ht="15.75" x14ac:dyDescent="0.25">
      <c r="A733" s="1030"/>
      <c r="B733" s="1031"/>
      <c r="C733" s="1030"/>
      <c r="D733" s="1031"/>
      <c r="E733" s="1031"/>
      <c r="F733" s="1032"/>
    </row>
    <row r="734" spans="1:6" ht="15.75" x14ac:dyDescent="0.25">
      <c r="A734" s="1030"/>
      <c r="B734" s="1031"/>
      <c r="C734" s="1030"/>
      <c r="D734" s="1031"/>
      <c r="E734" s="1031"/>
      <c r="F734" s="1032"/>
    </row>
    <row r="735" spans="1:6" ht="15.75" x14ac:dyDescent="0.25">
      <c r="A735" s="1030"/>
      <c r="B735" s="1031"/>
      <c r="C735" s="1030"/>
      <c r="D735" s="1031"/>
      <c r="E735" s="1031"/>
      <c r="F735" s="1032"/>
    </row>
    <row r="736" spans="1:6" ht="15.75" x14ac:dyDescent="0.25">
      <c r="A736" s="1030"/>
      <c r="B736" s="1031"/>
      <c r="C736" s="1030"/>
      <c r="D736" s="1031"/>
      <c r="E736" s="1031"/>
      <c r="F736" s="1032"/>
    </row>
    <row r="737" spans="1:6" ht="15.75" x14ac:dyDescent="0.25">
      <c r="A737" s="1030"/>
      <c r="B737" s="1031"/>
      <c r="C737" s="1030"/>
      <c r="D737" s="1031"/>
      <c r="E737" s="1031"/>
      <c r="F737" s="1032"/>
    </row>
    <row r="738" spans="1:6" ht="15.75" x14ac:dyDescent="0.25">
      <c r="A738" s="1030"/>
      <c r="B738" s="1031"/>
      <c r="C738" s="1030"/>
      <c r="D738" s="1031"/>
      <c r="E738" s="1031"/>
      <c r="F738" s="1032"/>
    </row>
    <row r="739" spans="1:6" ht="15.75" x14ac:dyDescent="0.25">
      <c r="A739" s="1030"/>
      <c r="B739" s="1031"/>
      <c r="C739" s="1030"/>
      <c r="D739" s="1031"/>
      <c r="E739" s="1031"/>
      <c r="F739" s="1032"/>
    </row>
    <row r="740" spans="1:6" ht="15.75" x14ac:dyDescent="0.25">
      <c r="A740" s="1030"/>
      <c r="B740" s="1031"/>
      <c r="C740" s="1030"/>
      <c r="D740" s="1031"/>
      <c r="E740" s="1031"/>
      <c r="F740" s="1032"/>
    </row>
    <row r="741" spans="1:6" ht="15.75" x14ac:dyDescent="0.25">
      <c r="A741" s="1030"/>
      <c r="B741" s="1031"/>
      <c r="C741" s="1030"/>
      <c r="D741" s="1031"/>
      <c r="E741" s="1031"/>
      <c r="F741" s="1032"/>
    </row>
    <row r="742" spans="1:6" ht="15.75" x14ac:dyDescent="0.25">
      <c r="A742" s="1030"/>
      <c r="B742" s="1031"/>
      <c r="C742" s="1030"/>
      <c r="D742" s="1031"/>
      <c r="E742" s="1031"/>
      <c r="F742" s="1032"/>
    </row>
    <row r="743" spans="1:6" ht="15.75" x14ac:dyDescent="0.25">
      <c r="A743" s="1030"/>
      <c r="B743" s="1031"/>
      <c r="C743" s="1030"/>
      <c r="D743" s="1031"/>
      <c r="E743" s="1031"/>
      <c r="F743" s="1032"/>
    </row>
    <row r="744" spans="1:6" ht="15.75" x14ac:dyDescent="0.25">
      <c r="A744" s="1030"/>
      <c r="B744" s="1031"/>
      <c r="C744" s="1030"/>
      <c r="D744" s="1031"/>
      <c r="E744" s="1031"/>
      <c r="F744" s="1032"/>
    </row>
    <row r="745" spans="1:6" ht="15.75" x14ac:dyDescent="0.25">
      <c r="A745" s="1030"/>
      <c r="B745" s="1031"/>
      <c r="C745" s="1030"/>
      <c r="D745" s="1031"/>
      <c r="E745" s="1031"/>
      <c r="F745" s="1032"/>
    </row>
    <row r="746" spans="1:6" ht="15.75" x14ac:dyDescent="0.25">
      <c r="A746" s="1030"/>
      <c r="B746" s="1031"/>
      <c r="C746" s="1030"/>
      <c r="D746" s="1031"/>
      <c r="E746" s="1031"/>
      <c r="F746" s="1032"/>
    </row>
    <row r="747" spans="1:6" ht="15.75" x14ac:dyDescent="0.25">
      <c r="A747" s="1030"/>
      <c r="B747" s="1031"/>
      <c r="C747" s="1030"/>
      <c r="D747" s="1031"/>
      <c r="E747" s="1031"/>
      <c r="F747" s="1032"/>
    </row>
    <row r="748" spans="1:6" ht="15.75" x14ac:dyDescent="0.25">
      <c r="A748" s="1030"/>
      <c r="B748" s="1031"/>
      <c r="C748" s="1030"/>
      <c r="D748" s="1031"/>
      <c r="E748" s="1031"/>
      <c r="F748" s="1032"/>
    </row>
    <row r="749" spans="1:6" ht="15.75" x14ac:dyDescent="0.25">
      <c r="A749" s="1030"/>
      <c r="B749" s="1031"/>
      <c r="C749" s="1030"/>
      <c r="D749" s="1031"/>
      <c r="E749" s="1031"/>
      <c r="F749" s="1032"/>
    </row>
    <row r="750" spans="1:6" ht="15.75" x14ac:dyDescent="0.25">
      <c r="A750" s="1030"/>
      <c r="B750" s="1031"/>
      <c r="C750" s="1030"/>
      <c r="D750" s="1031"/>
      <c r="E750" s="1031"/>
      <c r="F750" s="1032"/>
    </row>
    <row r="751" spans="1:6" ht="15.75" x14ac:dyDescent="0.25">
      <c r="A751" s="1030"/>
      <c r="B751" s="1031"/>
      <c r="C751" s="1030"/>
      <c r="D751" s="1031"/>
      <c r="E751" s="1031"/>
      <c r="F751" s="1032"/>
    </row>
    <row r="752" spans="1:6" ht="15.75" x14ac:dyDescent="0.25">
      <c r="A752" s="1030"/>
      <c r="B752" s="1031"/>
      <c r="C752" s="1030"/>
      <c r="D752" s="1031"/>
      <c r="E752" s="1031"/>
      <c r="F752" s="1032"/>
    </row>
    <row r="753" spans="1:6" ht="15.75" x14ac:dyDescent="0.25">
      <c r="A753" s="1030"/>
      <c r="B753" s="1031"/>
      <c r="C753" s="1030"/>
      <c r="D753" s="1031"/>
      <c r="E753" s="1031"/>
      <c r="F753" s="1032"/>
    </row>
    <row r="754" spans="1:6" ht="15.75" x14ac:dyDescent="0.25">
      <c r="A754" s="1030"/>
      <c r="B754" s="1031"/>
      <c r="C754" s="1030"/>
      <c r="D754" s="1031"/>
      <c r="E754" s="1031"/>
      <c r="F754" s="1032"/>
    </row>
    <row r="755" spans="1:6" ht="15.75" x14ac:dyDescent="0.25">
      <c r="A755" s="1030"/>
      <c r="B755" s="1031"/>
      <c r="C755" s="1030"/>
      <c r="D755" s="1031"/>
      <c r="E755" s="1031"/>
      <c r="F755" s="1032"/>
    </row>
    <row r="756" spans="1:6" ht="15.75" x14ac:dyDescent="0.25">
      <c r="A756" s="1030"/>
      <c r="B756" s="1031"/>
      <c r="C756" s="1030"/>
      <c r="D756" s="1031"/>
      <c r="E756" s="1031"/>
      <c r="F756" s="1032"/>
    </row>
    <row r="757" spans="1:6" ht="15.75" x14ac:dyDescent="0.25">
      <c r="A757" s="1030"/>
      <c r="B757" s="1031"/>
      <c r="C757" s="1030"/>
      <c r="D757" s="1031"/>
      <c r="E757" s="1031"/>
      <c r="F757" s="1032"/>
    </row>
    <row r="758" spans="1:6" ht="15.75" x14ac:dyDescent="0.25">
      <c r="A758" s="1030"/>
      <c r="B758" s="1031"/>
      <c r="C758" s="1030"/>
      <c r="D758" s="1031"/>
      <c r="E758" s="1031"/>
      <c r="F758" s="1032"/>
    </row>
    <row r="759" spans="1:6" ht="15.75" x14ac:dyDescent="0.25">
      <c r="A759" s="1030"/>
      <c r="B759" s="1031"/>
      <c r="C759" s="1030"/>
      <c r="D759" s="1031"/>
      <c r="E759" s="1031"/>
      <c r="F759" s="1032"/>
    </row>
    <row r="760" spans="1:6" ht="15.75" x14ac:dyDescent="0.25">
      <c r="A760" s="1030"/>
      <c r="B760" s="1031"/>
      <c r="C760" s="1030"/>
      <c r="D760" s="1031"/>
      <c r="E760" s="1031"/>
      <c r="F760" s="1032"/>
    </row>
    <row r="761" spans="1:6" ht="15.75" x14ac:dyDescent="0.25">
      <c r="A761" s="1030"/>
      <c r="B761" s="1031"/>
      <c r="C761" s="1030"/>
      <c r="D761" s="1031"/>
      <c r="E761" s="1031"/>
      <c r="F761" s="1032"/>
    </row>
    <row r="762" spans="1:6" ht="15.75" x14ac:dyDescent="0.25">
      <c r="A762" s="1030"/>
      <c r="B762" s="1031"/>
      <c r="C762" s="1030"/>
      <c r="D762" s="1031"/>
      <c r="E762" s="1031"/>
      <c r="F762" s="1032"/>
    </row>
    <row r="763" spans="1:6" ht="15.75" x14ac:dyDescent="0.25">
      <c r="A763" s="1030"/>
      <c r="B763" s="1031"/>
      <c r="C763" s="1030"/>
      <c r="D763" s="1031"/>
      <c r="E763" s="1031"/>
      <c r="F763" s="1032"/>
    </row>
    <row r="764" spans="1:6" ht="15.75" x14ac:dyDescent="0.25">
      <c r="A764" s="1030"/>
      <c r="B764" s="1031"/>
      <c r="C764" s="1030"/>
      <c r="D764" s="1031"/>
      <c r="E764" s="1031"/>
      <c r="F764" s="1032"/>
    </row>
    <row r="765" spans="1:6" ht="15.75" x14ac:dyDescent="0.25">
      <c r="A765" s="1030"/>
      <c r="B765" s="1031"/>
      <c r="C765" s="1030"/>
      <c r="D765" s="1031"/>
      <c r="E765" s="1031"/>
      <c r="F765" s="1032"/>
    </row>
    <row r="766" spans="1:6" ht="15.75" x14ac:dyDescent="0.25">
      <c r="A766" s="1030"/>
      <c r="B766" s="1031"/>
      <c r="C766" s="1030"/>
      <c r="D766" s="1031"/>
      <c r="E766" s="1031"/>
      <c r="F766" s="1032"/>
    </row>
    <row r="767" spans="1:6" ht="15.75" x14ac:dyDescent="0.25">
      <c r="A767" s="1030"/>
      <c r="B767" s="1031"/>
      <c r="C767" s="1030"/>
      <c r="D767" s="1031"/>
      <c r="E767" s="1031"/>
      <c r="F767" s="1032"/>
    </row>
    <row r="768" spans="1:6" ht="15.75" x14ac:dyDescent="0.25">
      <c r="A768" s="1030"/>
      <c r="B768" s="1031"/>
      <c r="C768" s="1030"/>
      <c r="D768" s="1031"/>
      <c r="E768" s="1031"/>
      <c r="F768" s="1032"/>
    </row>
    <row r="769" spans="1:6" ht="15.75" x14ac:dyDescent="0.25">
      <c r="A769" s="1030"/>
      <c r="B769" s="1031"/>
      <c r="C769" s="1030"/>
      <c r="D769" s="1031"/>
      <c r="E769" s="1031"/>
      <c r="F769" s="1032"/>
    </row>
    <row r="770" spans="1:6" ht="15.75" x14ac:dyDescent="0.25">
      <c r="A770" s="1030"/>
      <c r="B770" s="1031"/>
      <c r="C770" s="1030"/>
      <c r="D770" s="1031"/>
      <c r="E770" s="1031"/>
      <c r="F770" s="1032"/>
    </row>
    <row r="771" spans="1:6" ht="15.75" x14ac:dyDescent="0.25">
      <c r="A771" s="1030"/>
      <c r="B771" s="1031"/>
      <c r="C771" s="1030"/>
      <c r="D771" s="1031"/>
      <c r="E771" s="1031"/>
      <c r="F771" s="1032"/>
    </row>
    <row r="772" spans="1:6" ht="15.75" x14ac:dyDescent="0.25">
      <c r="A772" s="1030"/>
      <c r="B772" s="1031"/>
      <c r="C772" s="1030"/>
      <c r="D772" s="1031"/>
      <c r="E772" s="1031"/>
      <c r="F772" s="1032"/>
    </row>
    <row r="773" spans="1:6" ht="15.75" x14ac:dyDescent="0.25">
      <c r="A773" s="1030"/>
      <c r="B773" s="1031"/>
      <c r="C773" s="1030"/>
      <c r="D773" s="1031"/>
      <c r="E773" s="1031"/>
      <c r="F773" s="1032"/>
    </row>
    <row r="774" spans="1:6" ht="15.75" x14ac:dyDescent="0.25">
      <c r="A774" s="1030"/>
      <c r="B774" s="1031"/>
      <c r="C774" s="1030"/>
      <c r="D774" s="1031"/>
      <c r="E774" s="1031"/>
      <c r="F774" s="1032"/>
    </row>
    <row r="775" spans="1:6" ht="15.75" x14ac:dyDescent="0.25">
      <c r="A775" s="1030"/>
      <c r="B775" s="1031"/>
      <c r="C775" s="1030"/>
      <c r="D775" s="1031"/>
      <c r="E775" s="1031"/>
      <c r="F775" s="1032"/>
    </row>
    <row r="776" spans="1:6" ht="15.75" x14ac:dyDescent="0.25">
      <c r="A776" s="1030"/>
      <c r="B776" s="1031"/>
      <c r="C776" s="1030"/>
      <c r="D776" s="1031"/>
      <c r="E776" s="1031"/>
      <c r="F776" s="1032"/>
    </row>
    <row r="777" spans="1:6" ht="15.75" x14ac:dyDescent="0.25">
      <c r="A777" s="1030"/>
      <c r="B777" s="1031"/>
      <c r="C777" s="1030"/>
      <c r="D777" s="1031"/>
      <c r="E777" s="1031"/>
      <c r="F777" s="1032"/>
    </row>
    <row r="778" spans="1:6" ht="15.75" x14ac:dyDescent="0.25">
      <c r="A778" s="1030"/>
      <c r="B778" s="1031"/>
      <c r="C778" s="1030"/>
      <c r="D778" s="1031"/>
      <c r="E778" s="1031"/>
      <c r="F778" s="1032"/>
    </row>
    <row r="779" spans="1:6" ht="15.75" x14ac:dyDescent="0.25">
      <c r="A779" s="1030"/>
      <c r="B779" s="1031"/>
      <c r="C779" s="1030"/>
      <c r="D779" s="1031"/>
      <c r="E779" s="1031"/>
      <c r="F779" s="1032"/>
    </row>
    <row r="780" spans="1:6" ht="15.75" x14ac:dyDescent="0.25">
      <c r="A780" s="1030"/>
      <c r="B780" s="1031"/>
      <c r="C780" s="1030"/>
      <c r="D780" s="1031"/>
      <c r="E780" s="1031"/>
      <c r="F780" s="1032"/>
    </row>
    <row r="781" spans="1:6" ht="15.75" x14ac:dyDescent="0.25">
      <c r="A781" s="1030"/>
      <c r="B781" s="1031"/>
      <c r="C781" s="1030"/>
      <c r="D781" s="1031"/>
      <c r="E781" s="1031"/>
      <c r="F781" s="1032"/>
    </row>
    <row r="782" spans="1:6" ht="15.75" x14ac:dyDescent="0.25">
      <c r="A782" s="1030"/>
      <c r="B782" s="1031"/>
      <c r="C782" s="1030"/>
      <c r="D782" s="1031"/>
      <c r="E782" s="1031"/>
      <c r="F782" s="1032"/>
    </row>
    <row r="783" spans="1:6" ht="15.75" x14ac:dyDescent="0.25">
      <c r="A783" s="1030"/>
      <c r="B783" s="1031"/>
      <c r="C783" s="1030"/>
      <c r="D783" s="1031"/>
      <c r="E783" s="1031"/>
      <c r="F783" s="1032"/>
    </row>
    <row r="784" spans="1:6" ht="15.75" x14ac:dyDescent="0.25">
      <c r="A784" s="1030"/>
      <c r="B784" s="1031"/>
      <c r="C784" s="1030"/>
      <c r="D784" s="1031"/>
      <c r="E784" s="1031"/>
      <c r="F784" s="1032"/>
    </row>
    <row r="785" spans="1:6" ht="15.75" x14ac:dyDescent="0.25">
      <c r="A785" s="1030"/>
      <c r="B785" s="1031"/>
      <c r="C785" s="1030"/>
      <c r="D785" s="1031"/>
      <c r="E785" s="1031"/>
      <c r="F785" s="1032"/>
    </row>
    <row r="786" spans="1:6" ht="15.75" x14ac:dyDescent="0.25">
      <c r="A786" s="1030"/>
      <c r="B786" s="1031"/>
      <c r="C786" s="1030"/>
      <c r="D786" s="1031"/>
      <c r="E786" s="1031"/>
      <c r="F786" s="1032"/>
    </row>
    <row r="787" spans="1:6" ht="15.75" x14ac:dyDescent="0.25">
      <c r="A787" s="1030"/>
      <c r="B787" s="1031"/>
      <c r="C787" s="1030"/>
      <c r="D787" s="1031"/>
      <c r="E787" s="1031"/>
      <c r="F787" s="1032"/>
    </row>
    <row r="788" spans="1:6" ht="15.75" x14ac:dyDescent="0.25">
      <c r="A788" s="1030"/>
      <c r="B788" s="1031"/>
      <c r="C788" s="1030"/>
      <c r="D788" s="1031"/>
      <c r="E788" s="1031"/>
      <c r="F788" s="1032"/>
    </row>
    <row r="789" spans="1:6" ht="15.75" x14ac:dyDescent="0.25">
      <c r="A789" s="1030"/>
      <c r="B789" s="1031"/>
      <c r="C789" s="1030"/>
      <c r="D789" s="1031"/>
      <c r="E789" s="1031"/>
      <c r="F789" s="1032"/>
    </row>
    <row r="790" spans="1:6" ht="15.75" x14ac:dyDescent="0.25">
      <c r="A790" s="1030"/>
      <c r="B790" s="1031"/>
      <c r="C790" s="1030"/>
      <c r="D790" s="1031"/>
      <c r="E790" s="1031"/>
      <c r="F790" s="1032"/>
    </row>
    <row r="791" spans="1:6" ht="15.75" x14ac:dyDescent="0.25">
      <c r="A791" s="1030"/>
      <c r="B791" s="1031"/>
      <c r="C791" s="1030"/>
      <c r="D791" s="1031"/>
      <c r="E791" s="1031"/>
      <c r="F791" s="1032"/>
    </row>
    <row r="792" spans="1:6" ht="15.75" x14ac:dyDescent="0.25">
      <c r="A792" s="1030"/>
      <c r="B792" s="1031"/>
      <c r="C792" s="1030"/>
      <c r="D792" s="1031"/>
      <c r="E792" s="1031"/>
      <c r="F792" s="1032"/>
    </row>
    <row r="793" spans="1:6" ht="15.75" x14ac:dyDescent="0.25">
      <c r="A793" s="1030"/>
      <c r="B793" s="1031"/>
      <c r="C793" s="1030"/>
      <c r="D793" s="1031"/>
      <c r="E793" s="1031"/>
      <c r="F793" s="1032"/>
    </row>
    <row r="794" spans="1:6" ht="15.75" x14ac:dyDescent="0.25">
      <c r="A794" s="1030"/>
      <c r="B794" s="1031"/>
      <c r="C794" s="1030"/>
      <c r="D794" s="1031"/>
      <c r="E794" s="1031"/>
      <c r="F794" s="1032"/>
    </row>
    <row r="795" spans="1:6" ht="15.75" x14ac:dyDescent="0.25">
      <c r="A795" s="1030"/>
      <c r="B795" s="1031"/>
      <c r="C795" s="1030"/>
      <c r="D795" s="1031"/>
      <c r="E795" s="1031"/>
      <c r="F795" s="1032"/>
    </row>
    <row r="796" spans="1:6" ht="15.75" x14ac:dyDescent="0.25">
      <c r="A796" s="1030"/>
      <c r="B796" s="1031"/>
      <c r="C796" s="1030"/>
      <c r="D796" s="1031"/>
      <c r="E796" s="1031"/>
      <c r="F796" s="1032"/>
    </row>
    <row r="797" spans="1:6" ht="15.75" x14ac:dyDescent="0.25">
      <c r="A797" s="1030"/>
      <c r="B797" s="1031"/>
      <c r="C797" s="1030"/>
      <c r="D797" s="1031"/>
      <c r="E797" s="1031"/>
      <c r="F797" s="1032"/>
    </row>
    <row r="798" spans="1:6" ht="15.75" x14ac:dyDescent="0.25">
      <c r="A798" s="1030"/>
      <c r="B798" s="1031"/>
      <c r="C798" s="1030"/>
      <c r="D798" s="1031"/>
      <c r="E798" s="1031"/>
      <c r="F798" s="1032"/>
    </row>
    <row r="799" spans="1:6" ht="15.75" x14ac:dyDescent="0.25">
      <c r="A799" s="1030"/>
      <c r="B799" s="1031"/>
      <c r="C799" s="1030"/>
      <c r="D799" s="1031"/>
      <c r="E799" s="1031"/>
      <c r="F799" s="1032"/>
    </row>
    <row r="800" spans="1:6" ht="15.75" x14ac:dyDescent="0.25">
      <c r="A800" s="1030"/>
      <c r="B800" s="1031"/>
      <c r="C800" s="1030"/>
      <c r="D800" s="1031"/>
      <c r="E800" s="1031"/>
      <c r="F800" s="1032"/>
    </row>
    <row r="801" spans="1:6" ht="15.75" x14ac:dyDescent="0.25">
      <c r="A801" s="1030"/>
      <c r="B801" s="1031"/>
      <c r="C801" s="1030"/>
      <c r="D801" s="1031"/>
      <c r="E801" s="1031"/>
      <c r="F801" s="1032"/>
    </row>
    <row r="802" spans="1:6" ht="15.75" x14ac:dyDescent="0.25">
      <c r="A802" s="1030"/>
      <c r="B802" s="1031"/>
      <c r="C802" s="1030"/>
      <c r="D802" s="1031"/>
      <c r="E802" s="1031"/>
      <c r="F802" s="1032"/>
    </row>
    <row r="803" spans="1:6" ht="15.75" x14ac:dyDescent="0.25">
      <c r="A803" s="1030"/>
      <c r="B803" s="1031"/>
      <c r="C803" s="1030"/>
      <c r="D803" s="1031"/>
      <c r="E803" s="1031"/>
      <c r="F803" s="1032"/>
    </row>
    <row r="804" spans="1:6" ht="15.75" x14ac:dyDescent="0.25">
      <c r="A804" s="1030"/>
      <c r="B804" s="1031"/>
      <c r="C804" s="1030"/>
      <c r="D804" s="1031"/>
      <c r="E804" s="1031"/>
      <c r="F804" s="1032"/>
    </row>
    <row r="805" spans="1:6" ht="15.75" x14ac:dyDescent="0.25">
      <c r="A805" s="1030"/>
      <c r="B805" s="1031"/>
      <c r="C805" s="1030"/>
      <c r="D805" s="1031"/>
      <c r="E805" s="1031"/>
      <c r="F805" s="1032"/>
    </row>
    <row r="806" spans="1:6" ht="15.75" x14ac:dyDescent="0.25">
      <c r="A806" s="1030"/>
      <c r="B806" s="1031"/>
      <c r="C806" s="1030"/>
      <c r="D806" s="1031"/>
      <c r="E806" s="1031"/>
      <c r="F806" s="1032"/>
    </row>
    <row r="807" spans="1:6" ht="15.75" x14ac:dyDescent="0.25">
      <c r="A807" s="1030"/>
      <c r="B807" s="1031"/>
      <c r="C807" s="1030"/>
      <c r="D807" s="1031"/>
      <c r="E807" s="1031"/>
      <c r="F807" s="1032"/>
    </row>
    <row r="808" spans="1:6" ht="15.75" x14ac:dyDescent="0.25">
      <c r="A808" s="1030"/>
      <c r="B808" s="1031"/>
      <c r="C808" s="1030"/>
      <c r="D808" s="1031"/>
      <c r="E808" s="1031"/>
      <c r="F808" s="1032"/>
    </row>
    <row r="809" spans="1:6" ht="15.75" x14ac:dyDescent="0.25">
      <c r="A809" s="1030"/>
      <c r="B809" s="1031"/>
      <c r="C809" s="1030"/>
      <c r="D809" s="1031"/>
      <c r="E809" s="1031"/>
      <c r="F809" s="1032"/>
    </row>
    <row r="810" spans="1:6" ht="15.75" x14ac:dyDescent="0.25">
      <c r="A810" s="1030"/>
      <c r="B810" s="1031"/>
      <c r="C810" s="1030"/>
      <c r="D810" s="1031"/>
      <c r="E810" s="1031"/>
      <c r="F810" s="1032"/>
    </row>
    <row r="811" spans="1:6" ht="15.75" x14ac:dyDescent="0.25">
      <c r="A811" s="1030"/>
      <c r="B811" s="1031"/>
      <c r="C811" s="1030"/>
      <c r="D811" s="1031"/>
      <c r="E811" s="1031"/>
      <c r="F811" s="1032"/>
    </row>
    <row r="812" spans="1:6" ht="15.75" x14ac:dyDescent="0.25">
      <c r="A812" s="1030"/>
      <c r="B812" s="1031"/>
      <c r="C812" s="1030"/>
      <c r="D812" s="1031"/>
      <c r="E812" s="1031"/>
      <c r="F812" s="1032"/>
    </row>
    <row r="813" spans="1:6" ht="15.75" x14ac:dyDescent="0.25">
      <c r="A813" s="1030"/>
      <c r="B813" s="1031"/>
      <c r="C813" s="1030"/>
      <c r="D813" s="1031"/>
      <c r="E813" s="1031"/>
      <c r="F813" s="1032"/>
    </row>
    <row r="814" spans="1:6" ht="15.75" x14ac:dyDescent="0.25">
      <c r="A814" s="1030"/>
      <c r="B814" s="1031"/>
      <c r="C814" s="1030"/>
      <c r="D814" s="1031"/>
      <c r="E814" s="1031"/>
      <c r="F814" s="1032"/>
    </row>
    <row r="815" spans="1:6" ht="15.75" x14ac:dyDescent="0.25">
      <c r="A815" s="1030"/>
      <c r="B815" s="1031"/>
      <c r="C815" s="1030"/>
      <c r="D815" s="1031"/>
      <c r="E815" s="1031"/>
      <c r="F815" s="1032"/>
    </row>
    <row r="816" spans="1:6" ht="15.75" x14ac:dyDescent="0.25">
      <c r="A816" s="1030"/>
      <c r="B816" s="1031"/>
      <c r="C816" s="1030"/>
      <c r="D816" s="1031"/>
      <c r="E816" s="1031"/>
      <c r="F816" s="1032"/>
    </row>
    <row r="817" spans="1:6" ht="15.75" x14ac:dyDescent="0.25">
      <c r="A817" s="1030"/>
      <c r="B817" s="1031"/>
      <c r="C817" s="1030"/>
      <c r="D817" s="1031"/>
      <c r="E817" s="1031"/>
      <c r="F817" s="1032"/>
    </row>
    <row r="818" spans="1:6" ht="15.75" x14ac:dyDescent="0.25">
      <c r="A818" s="1030"/>
      <c r="B818" s="1031"/>
      <c r="C818" s="1030"/>
      <c r="D818" s="1031"/>
      <c r="E818" s="1031"/>
      <c r="F818" s="1032"/>
    </row>
    <row r="819" spans="1:6" ht="15.75" x14ac:dyDescent="0.25">
      <c r="A819" s="1030"/>
      <c r="B819" s="1031"/>
      <c r="C819" s="1030"/>
      <c r="D819" s="1031"/>
      <c r="E819" s="1031"/>
      <c r="F819" s="1032"/>
    </row>
    <row r="820" spans="1:6" ht="15.75" x14ac:dyDescent="0.25">
      <c r="A820" s="1030"/>
      <c r="B820" s="1031"/>
      <c r="C820" s="1030"/>
      <c r="D820" s="1031"/>
      <c r="E820" s="1031"/>
      <c r="F820" s="1032"/>
    </row>
    <row r="821" spans="1:6" ht="15.75" x14ac:dyDescent="0.25">
      <c r="A821" s="1030"/>
      <c r="B821" s="1031"/>
      <c r="C821" s="1030"/>
      <c r="D821" s="1031"/>
      <c r="E821" s="1031"/>
      <c r="F821" s="1032"/>
    </row>
    <row r="822" spans="1:6" ht="15.75" x14ac:dyDescent="0.25">
      <c r="A822" s="1030"/>
      <c r="B822" s="1031"/>
      <c r="C822" s="1030"/>
      <c r="D822" s="1031"/>
      <c r="E822" s="1031"/>
      <c r="F822" s="1032"/>
    </row>
  </sheetData>
  <mergeCells count="1">
    <mergeCell ref="A16:F16"/>
  </mergeCells>
  <conditionalFormatting sqref="F19:F35">
    <cfRule type="containsText" dxfId="15281" priority="1" operator="containsText" text="média">
      <formula>NOT(ISERROR(SEARCH("média",F19)))</formula>
    </cfRule>
    <cfRule type="containsText" dxfId="15280" priority="2" operator="containsText" text="informado">
      <formula>NOT(ISERROR(SEARCH("informado",F19)))</formula>
    </cfRule>
  </conditionalFormatting>
  <pageMargins left="0.511811024" right="0.511811024" top="0.78740157499999996" bottom="0.78740157499999996" header="0.31496062000000002" footer="0.31496062000000002"/>
  <pageSetup orientation="portrait" horizontalDpi="300" verticalDpi="30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42E64-185F-475C-97FF-92483CDBDCDA}">
  <sheetPr>
    <tabColor rgb="FFFF0000"/>
  </sheetPr>
  <dimension ref="A1:V198"/>
  <sheetViews>
    <sheetView workbookViewId="0">
      <selection activeCell="E144" sqref="E144"/>
    </sheetView>
  </sheetViews>
  <sheetFormatPr defaultColWidth="9.140625" defaultRowHeight="12.75" x14ac:dyDescent="0.2"/>
  <cols>
    <col min="1" max="1" width="75.85546875" style="827" bestFit="1" customWidth="1"/>
    <col min="2" max="2" width="10.28515625" style="835" bestFit="1" customWidth="1"/>
    <col min="3" max="3" width="7.42578125" style="835" bestFit="1" customWidth="1"/>
    <col min="4" max="4" width="6.28515625" style="874" bestFit="1" customWidth="1"/>
    <col min="5" max="5" width="6.5703125" style="875" bestFit="1" customWidth="1"/>
    <col min="6" max="6" width="11.5703125" style="876" bestFit="1" customWidth="1"/>
    <col min="7" max="7" width="12.7109375" style="876" bestFit="1" customWidth="1"/>
    <col min="8" max="13" width="9.140625" style="827"/>
    <col min="14" max="14" width="118.85546875" style="827" bestFit="1" customWidth="1"/>
    <col min="15" max="15" width="12" style="877" bestFit="1" customWidth="1"/>
    <col min="16" max="19" width="9.140625" style="827"/>
    <col min="20" max="20" width="73.42578125" style="827" customWidth="1"/>
    <col min="21" max="16384" width="9.140625" style="827"/>
  </cols>
  <sheetData>
    <row r="1" spans="1:15" x14ac:dyDescent="0.2">
      <c r="A1" s="1202" t="s">
        <v>4506</v>
      </c>
      <c r="B1" s="1202"/>
      <c r="C1" s="1202"/>
      <c r="D1" s="1202"/>
      <c r="E1" s="1202"/>
      <c r="F1" s="1202"/>
      <c r="G1" s="1202"/>
      <c r="N1" s="827" t="s">
        <v>4361</v>
      </c>
      <c r="O1" s="877">
        <v>8.9499999999999993</v>
      </c>
    </row>
    <row r="2" spans="1:15" x14ac:dyDescent="0.2">
      <c r="A2" s="825" t="s">
        <v>0</v>
      </c>
      <c r="B2" s="825" t="s">
        <v>49</v>
      </c>
      <c r="C2" s="825" t="s">
        <v>46</v>
      </c>
      <c r="D2" s="856" t="s">
        <v>4301</v>
      </c>
      <c r="E2" s="857" t="s">
        <v>12</v>
      </c>
      <c r="F2" s="858" t="s">
        <v>4488</v>
      </c>
      <c r="G2" s="858" t="s">
        <v>4489</v>
      </c>
      <c r="N2" s="827" t="s">
        <v>4362</v>
      </c>
      <c r="O2" s="877">
        <v>1.5423</v>
      </c>
    </row>
    <row r="3" spans="1:15" x14ac:dyDescent="0.2">
      <c r="A3" s="859" t="s">
        <v>4361</v>
      </c>
      <c r="B3" s="860">
        <v>15</v>
      </c>
      <c r="C3" s="860" t="s">
        <v>4243</v>
      </c>
      <c r="D3" s="861"/>
      <c r="E3" s="862">
        <f>B3*(1+D3)</f>
        <v>15</v>
      </c>
      <c r="F3" s="863">
        <f>_xlfn.XLOOKUP(A3,N:N,O:O,,0)</f>
        <v>8.9499999999999993</v>
      </c>
      <c r="G3" s="863">
        <f>F3*E3</f>
        <v>134.25</v>
      </c>
      <c r="N3" s="827" t="s">
        <v>4490</v>
      </c>
      <c r="O3" s="877">
        <v>3.06</v>
      </c>
    </row>
    <row r="4" spans="1:15" x14ac:dyDescent="0.2">
      <c r="A4" s="864" t="s">
        <v>4362</v>
      </c>
      <c r="B4" s="865">
        <v>74</v>
      </c>
      <c r="C4" s="865" t="s">
        <v>4243</v>
      </c>
      <c r="D4" s="866"/>
      <c r="E4" s="867">
        <f>B4*(1+D4)</f>
        <v>74</v>
      </c>
      <c r="F4" s="868">
        <f t="shared" ref="F4:F25" si="0">_xlfn.SINGLE(_xlfn.XLOOKUP(A4,N:N,O:O,,0))</f>
        <v>1.5423</v>
      </c>
      <c r="G4" s="868">
        <f>F4*E4</f>
        <v>114.1302</v>
      </c>
      <c r="N4" s="827" t="s">
        <v>4491</v>
      </c>
      <c r="O4" s="877">
        <v>1759.33</v>
      </c>
    </row>
    <row r="5" spans="1:15" x14ac:dyDescent="0.2">
      <c r="A5" s="864" t="s">
        <v>4490</v>
      </c>
      <c r="B5" s="865">
        <v>4</v>
      </c>
      <c r="C5" s="865" t="s">
        <v>4243</v>
      </c>
      <c r="D5" s="866"/>
      <c r="E5" s="867">
        <f t="shared" ref="E5:E25" si="1">B5*(1+D5)</f>
        <v>4</v>
      </c>
      <c r="F5" s="868">
        <f t="shared" si="0"/>
        <v>3.06</v>
      </c>
      <c r="G5" s="868">
        <f t="shared" ref="G5:G25" si="2">F5*E5</f>
        <v>12.24</v>
      </c>
      <c r="N5" s="827" t="s">
        <v>4492</v>
      </c>
      <c r="O5" s="877">
        <v>4.3600000000000003</v>
      </c>
    </row>
    <row r="6" spans="1:15" x14ac:dyDescent="0.2">
      <c r="A6" s="864" t="s">
        <v>4491</v>
      </c>
      <c r="B6" s="865">
        <v>5</v>
      </c>
      <c r="C6" s="865" t="s">
        <v>4243</v>
      </c>
      <c r="D6" s="866"/>
      <c r="E6" s="867">
        <f t="shared" si="1"/>
        <v>5</v>
      </c>
      <c r="F6" s="868">
        <f t="shared" si="0"/>
        <v>1759.33</v>
      </c>
      <c r="G6" s="868">
        <f>F6*E6</f>
        <v>8796.65</v>
      </c>
      <c r="N6" s="827" t="s">
        <v>4493</v>
      </c>
      <c r="O6" s="877">
        <v>3.8664999999999998</v>
      </c>
    </row>
    <row r="7" spans="1:15" x14ac:dyDescent="0.2">
      <c r="A7" s="864" t="s">
        <v>4492</v>
      </c>
      <c r="B7" s="865">
        <v>89</v>
      </c>
      <c r="C7" s="865" t="s">
        <v>4243</v>
      </c>
      <c r="D7" s="866"/>
      <c r="E7" s="867">
        <f t="shared" si="1"/>
        <v>89</v>
      </c>
      <c r="F7" s="868">
        <f t="shared" si="0"/>
        <v>4.3600000000000003</v>
      </c>
      <c r="G7" s="868">
        <f t="shared" si="2"/>
        <v>388.04</v>
      </c>
      <c r="N7" s="827" t="s">
        <v>4368</v>
      </c>
      <c r="O7" s="877">
        <v>1.385</v>
      </c>
    </row>
    <row r="8" spans="1:15" x14ac:dyDescent="0.2">
      <c r="A8" s="864" t="s">
        <v>4493</v>
      </c>
      <c r="B8" s="865">
        <v>74</v>
      </c>
      <c r="C8" s="865" t="s">
        <v>4243</v>
      </c>
      <c r="D8" s="866"/>
      <c r="E8" s="867">
        <f t="shared" si="1"/>
        <v>74</v>
      </c>
      <c r="F8" s="868">
        <f t="shared" si="0"/>
        <v>3.8664999999999998</v>
      </c>
      <c r="G8" s="868">
        <f t="shared" si="2"/>
        <v>286.12099999999998</v>
      </c>
      <c r="N8" s="827" t="s">
        <v>4494</v>
      </c>
      <c r="O8" s="877">
        <v>3.1</v>
      </c>
    </row>
    <row r="9" spans="1:15" x14ac:dyDescent="0.2">
      <c r="A9" s="864" t="s">
        <v>4368</v>
      </c>
      <c r="B9" s="865">
        <v>74</v>
      </c>
      <c r="C9" s="865" t="s">
        <v>4243</v>
      </c>
      <c r="D9" s="866"/>
      <c r="E9" s="867">
        <f t="shared" si="1"/>
        <v>74</v>
      </c>
      <c r="F9" s="868">
        <f t="shared" si="0"/>
        <v>1.385</v>
      </c>
      <c r="G9" s="868">
        <f t="shared" si="2"/>
        <v>102.49</v>
      </c>
      <c r="N9" s="827" t="s">
        <v>4369</v>
      </c>
      <c r="O9" s="877">
        <v>0.49</v>
      </c>
    </row>
    <row r="10" spans="1:15" x14ac:dyDescent="0.2">
      <c r="A10" s="864" t="s">
        <v>4494</v>
      </c>
      <c r="B10" s="865">
        <v>15</v>
      </c>
      <c r="C10" s="865" t="s">
        <v>4243</v>
      </c>
      <c r="D10" s="866"/>
      <c r="E10" s="867">
        <f t="shared" si="1"/>
        <v>15</v>
      </c>
      <c r="F10" s="868">
        <f t="shared" si="0"/>
        <v>3.1</v>
      </c>
      <c r="G10" s="868">
        <f t="shared" si="2"/>
        <v>46.5</v>
      </c>
      <c r="N10" s="827" t="s">
        <v>4495</v>
      </c>
      <c r="O10" s="877">
        <v>15.92</v>
      </c>
    </row>
    <row r="11" spans="1:15" x14ac:dyDescent="0.2">
      <c r="A11" s="864" t="s">
        <v>4369</v>
      </c>
      <c r="B11" s="865">
        <v>45</v>
      </c>
      <c r="C11" s="865" t="s">
        <v>4243</v>
      </c>
      <c r="D11" s="866"/>
      <c r="E11" s="867">
        <f t="shared" si="1"/>
        <v>45</v>
      </c>
      <c r="F11" s="868">
        <f t="shared" si="0"/>
        <v>0.49</v>
      </c>
      <c r="G11" s="868">
        <f t="shared" si="2"/>
        <v>22.05</v>
      </c>
      <c r="N11" s="827" t="s">
        <v>4496</v>
      </c>
      <c r="O11" s="877">
        <v>18.3</v>
      </c>
    </row>
    <row r="12" spans="1:15" x14ac:dyDescent="0.2">
      <c r="A12" s="864" t="s">
        <v>4495</v>
      </c>
      <c r="B12" s="865">
        <v>10</v>
      </c>
      <c r="C12" s="865" t="s">
        <v>4243</v>
      </c>
      <c r="D12" s="866"/>
      <c r="E12" s="867">
        <f t="shared" si="1"/>
        <v>10</v>
      </c>
      <c r="F12" s="868">
        <f t="shared" si="0"/>
        <v>15.92</v>
      </c>
      <c r="G12" s="868">
        <f t="shared" si="2"/>
        <v>159.19999999999999</v>
      </c>
      <c r="N12" s="827" t="s">
        <v>4497</v>
      </c>
      <c r="O12" s="877">
        <v>20.59</v>
      </c>
    </row>
    <row r="13" spans="1:15" x14ac:dyDescent="0.2">
      <c r="A13" s="864" t="s">
        <v>4496</v>
      </c>
      <c r="B13" s="865">
        <v>4</v>
      </c>
      <c r="C13" s="865" t="s">
        <v>4243</v>
      </c>
      <c r="D13" s="866"/>
      <c r="E13" s="867">
        <f t="shared" si="1"/>
        <v>4</v>
      </c>
      <c r="F13" s="868">
        <f t="shared" si="0"/>
        <v>18.3</v>
      </c>
      <c r="G13" s="868">
        <f t="shared" si="2"/>
        <v>73.2</v>
      </c>
      <c r="N13" s="827" t="s">
        <v>4498</v>
      </c>
      <c r="O13" s="877">
        <v>28.263333333333335</v>
      </c>
    </row>
    <row r="14" spans="1:15" x14ac:dyDescent="0.2">
      <c r="A14" s="864" t="s">
        <v>4497</v>
      </c>
      <c r="B14" s="865">
        <v>4</v>
      </c>
      <c r="C14" s="865" t="s">
        <v>4243</v>
      </c>
      <c r="D14" s="866"/>
      <c r="E14" s="867">
        <f t="shared" si="1"/>
        <v>4</v>
      </c>
      <c r="F14" s="868">
        <f t="shared" si="0"/>
        <v>20.59</v>
      </c>
      <c r="G14" s="868">
        <f t="shared" si="2"/>
        <v>82.36</v>
      </c>
      <c r="N14" s="827" t="s">
        <v>4499</v>
      </c>
      <c r="O14" s="877">
        <v>47.010000000000005</v>
      </c>
    </row>
    <row r="15" spans="1:15" x14ac:dyDescent="0.2">
      <c r="A15" s="864" t="s">
        <v>4498</v>
      </c>
      <c r="B15" s="865">
        <v>264.86</v>
      </c>
      <c r="C15" s="865" t="s">
        <v>3</v>
      </c>
      <c r="D15" s="866">
        <v>0.1</v>
      </c>
      <c r="E15" s="867">
        <f t="shared" si="1"/>
        <v>291.34600000000006</v>
      </c>
      <c r="F15" s="868">
        <f t="shared" si="0"/>
        <v>28.263333333333335</v>
      </c>
      <c r="G15" s="868">
        <f t="shared" si="2"/>
        <v>8234.409113333335</v>
      </c>
      <c r="N15" s="827" t="s">
        <v>4500</v>
      </c>
      <c r="O15" s="877">
        <v>49.74</v>
      </c>
    </row>
    <row r="16" spans="1:15" ht="25.5" x14ac:dyDescent="0.2">
      <c r="A16" s="864" t="s">
        <v>4499</v>
      </c>
      <c r="B16" s="865">
        <v>44.68</v>
      </c>
      <c r="C16" s="865" t="s">
        <v>3</v>
      </c>
      <c r="D16" s="866">
        <v>0.1</v>
      </c>
      <c r="E16" s="867">
        <f t="shared" si="1"/>
        <v>49.148000000000003</v>
      </c>
      <c r="F16" s="868">
        <f t="shared" si="0"/>
        <v>47.010000000000005</v>
      </c>
      <c r="G16" s="868">
        <f t="shared" si="2"/>
        <v>2310.4474800000003</v>
      </c>
      <c r="N16" s="827" t="s">
        <v>4501</v>
      </c>
      <c r="O16" s="877">
        <v>9.3000000000000007</v>
      </c>
    </row>
    <row r="17" spans="1:16" x14ac:dyDescent="0.2">
      <c r="A17" s="864" t="s">
        <v>4500</v>
      </c>
      <c r="B17" s="865">
        <v>9</v>
      </c>
      <c r="C17" s="865" t="s">
        <v>4243</v>
      </c>
      <c r="D17" s="866"/>
      <c r="E17" s="867">
        <f t="shared" si="1"/>
        <v>9</v>
      </c>
      <c r="F17" s="868">
        <f t="shared" si="0"/>
        <v>49.74</v>
      </c>
      <c r="G17" s="868">
        <f t="shared" si="2"/>
        <v>447.66</v>
      </c>
      <c r="N17" s="827" t="s">
        <v>4502</v>
      </c>
      <c r="O17" s="877">
        <v>11.21</v>
      </c>
    </row>
    <row r="18" spans="1:16" x14ac:dyDescent="0.2">
      <c r="A18" s="864" t="s">
        <v>4501</v>
      </c>
      <c r="B18" s="865">
        <v>7</v>
      </c>
      <c r="C18" s="865" t="s">
        <v>3</v>
      </c>
      <c r="D18" s="866"/>
      <c r="E18" s="867">
        <f t="shared" si="1"/>
        <v>7</v>
      </c>
      <c r="F18" s="868">
        <f t="shared" si="0"/>
        <v>9.3000000000000007</v>
      </c>
      <c r="G18" s="868">
        <f t="shared" si="2"/>
        <v>65.100000000000009</v>
      </c>
      <c r="N18" s="827" t="s">
        <v>4503</v>
      </c>
      <c r="O18" s="877">
        <v>5.04</v>
      </c>
    </row>
    <row r="19" spans="1:16" x14ac:dyDescent="0.2">
      <c r="A19" s="864" t="s">
        <v>4502</v>
      </c>
      <c r="B19" s="865">
        <v>4</v>
      </c>
      <c r="C19" s="865" t="s">
        <v>4243</v>
      </c>
      <c r="D19" s="866"/>
      <c r="E19" s="867">
        <f t="shared" si="1"/>
        <v>4</v>
      </c>
      <c r="F19" s="868">
        <f t="shared" si="0"/>
        <v>11.21</v>
      </c>
      <c r="G19" s="868">
        <f t="shared" si="2"/>
        <v>44.84</v>
      </c>
      <c r="N19" s="827" t="s">
        <v>4504</v>
      </c>
      <c r="O19" s="877">
        <v>7.4066666666666663</v>
      </c>
    </row>
    <row r="20" spans="1:16" x14ac:dyDescent="0.2">
      <c r="A20" s="864" t="s">
        <v>4503</v>
      </c>
      <c r="B20" s="865">
        <v>4</v>
      </c>
      <c r="C20" s="865" t="s">
        <v>4243</v>
      </c>
      <c r="D20" s="866"/>
      <c r="E20" s="867">
        <f t="shared" si="1"/>
        <v>4</v>
      </c>
      <c r="F20" s="868">
        <f t="shared" si="0"/>
        <v>5.04</v>
      </c>
      <c r="G20" s="868">
        <f t="shared" si="2"/>
        <v>20.16</v>
      </c>
      <c r="N20" s="827" t="s">
        <v>4505</v>
      </c>
      <c r="O20" s="877">
        <v>13.68</v>
      </c>
    </row>
    <row r="21" spans="1:16" x14ac:dyDescent="0.2">
      <c r="A21" s="864" t="s">
        <v>4504</v>
      </c>
      <c r="B21" s="865">
        <v>309.54000000000002</v>
      </c>
      <c r="C21" s="865" t="s">
        <v>3</v>
      </c>
      <c r="D21" s="866"/>
      <c r="E21" s="867">
        <f t="shared" si="1"/>
        <v>309.54000000000002</v>
      </c>
      <c r="F21" s="868">
        <f t="shared" si="0"/>
        <v>7.4066666666666663</v>
      </c>
      <c r="G21" s="868">
        <f t="shared" si="2"/>
        <v>2292.6596</v>
      </c>
      <c r="N21" s="827" t="s">
        <v>4384</v>
      </c>
      <c r="O21" s="877">
        <v>1.00908</v>
      </c>
    </row>
    <row r="22" spans="1:16" x14ac:dyDescent="0.2">
      <c r="A22" s="864" t="s">
        <v>4505</v>
      </c>
      <c r="B22" s="865">
        <v>9</v>
      </c>
      <c r="C22" s="865" t="s">
        <v>4243</v>
      </c>
      <c r="D22" s="866"/>
      <c r="E22" s="867">
        <f t="shared" si="1"/>
        <v>9</v>
      </c>
      <c r="F22" s="868">
        <f t="shared" si="0"/>
        <v>13.68</v>
      </c>
      <c r="G22" s="868">
        <f t="shared" si="2"/>
        <v>123.12</v>
      </c>
      <c r="N22" s="827" t="s">
        <v>4385</v>
      </c>
      <c r="O22" s="877">
        <v>1.649</v>
      </c>
    </row>
    <row r="23" spans="1:16" x14ac:dyDescent="0.2">
      <c r="A23" s="864" t="s">
        <v>4384</v>
      </c>
      <c r="B23" s="865">
        <v>55.34</v>
      </c>
      <c r="C23" s="865" t="s">
        <v>3</v>
      </c>
      <c r="D23" s="866">
        <v>0.2</v>
      </c>
      <c r="E23" s="867">
        <f t="shared" si="1"/>
        <v>66.408000000000001</v>
      </c>
      <c r="F23" s="868">
        <f t="shared" si="0"/>
        <v>1.00908</v>
      </c>
      <c r="G23" s="868">
        <f t="shared" si="2"/>
        <v>67.010984640000004</v>
      </c>
      <c r="N23" s="827" t="s">
        <v>4388</v>
      </c>
      <c r="O23" s="877">
        <v>1.65</v>
      </c>
    </row>
    <row r="24" spans="1:16" x14ac:dyDescent="0.2">
      <c r="A24" s="864" t="s">
        <v>4385</v>
      </c>
      <c r="B24" s="865">
        <v>79.69</v>
      </c>
      <c r="C24" s="865" t="s">
        <v>3</v>
      </c>
      <c r="D24" s="866">
        <v>0.2</v>
      </c>
      <c r="E24" s="867">
        <f t="shared" si="1"/>
        <v>95.628</v>
      </c>
      <c r="F24" s="868">
        <f t="shared" si="0"/>
        <v>1.649</v>
      </c>
      <c r="G24" s="868">
        <f t="shared" si="2"/>
        <v>157.690572</v>
      </c>
      <c r="N24" s="827" t="s">
        <v>4509</v>
      </c>
      <c r="O24" s="877">
        <v>499</v>
      </c>
    </row>
    <row r="25" spans="1:16" x14ac:dyDescent="0.2">
      <c r="A25" s="864" t="s">
        <v>4388</v>
      </c>
      <c r="B25" s="865">
        <v>793.1</v>
      </c>
      <c r="C25" s="865" t="s">
        <v>3</v>
      </c>
      <c r="D25" s="866">
        <v>0.2</v>
      </c>
      <c r="E25" s="867">
        <f t="shared" si="1"/>
        <v>951.72</v>
      </c>
      <c r="F25" s="868">
        <f t="shared" si="0"/>
        <v>1.65</v>
      </c>
      <c r="G25" s="868">
        <f t="shared" si="2"/>
        <v>1570.338</v>
      </c>
      <c r="N25" s="827" t="s">
        <v>4510</v>
      </c>
      <c r="O25" s="877">
        <v>154.19999999999999</v>
      </c>
    </row>
    <row r="26" spans="1:16" x14ac:dyDescent="0.2">
      <c r="A26" s="869"/>
      <c r="B26" s="870"/>
      <c r="C26" s="870"/>
      <c r="D26" s="871"/>
      <c r="E26" s="872"/>
      <c r="F26" s="873" t="s">
        <v>12</v>
      </c>
      <c r="G26" s="873">
        <f>SUM(G3:G25)</f>
        <v>25550.666949973333</v>
      </c>
      <c r="N26" s="827" t="s">
        <v>4511</v>
      </c>
      <c r="O26" s="877">
        <v>3.0427</v>
      </c>
    </row>
    <row r="27" spans="1:16" x14ac:dyDescent="0.2">
      <c r="A27" s="1202" t="s">
        <v>4508</v>
      </c>
      <c r="B27" s="1202"/>
      <c r="C27" s="1202"/>
      <c r="D27" s="1202"/>
      <c r="E27" s="1202"/>
      <c r="F27" s="1202"/>
      <c r="G27" s="1202"/>
      <c r="N27" s="827" t="s">
        <v>4512</v>
      </c>
      <c r="O27" s="877">
        <v>440.5</v>
      </c>
    </row>
    <row r="28" spans="1:16" x14ac:dyDescent="0.2">
      <c r="A28" s="825" t="s">
        <v>0</v>
      </c>
      <c r="B28" s="825" t="s">
        <v>49</v>
      </c>
      <c r="C28" s="825" t="s">
        <v>46</v>
      </c>
      <c r="D28" s="856" t="s">
        <v>4301</v>
      </c>
      <c r="E28" s="857" t="s">
        <v>12</v>
      </c>
      <c r="F28" s="858" t="s">
        <v>4488</v>
      </c>
      <c r="G28" s="858" t="s">
        <v>4489</v>
      </c>
      <c r="N28" s="827" t="s">
        <v>4387</v>
      </c>
      <c r="O28" s="877">
        <v>1.65</v>
      </c>
    </row>
    <row r="29" spans="1:16" x14ac:dyDescent="0.2">
      <c r="A29" s="864" t="s">
        <v>4509</v>
      </c>
      <c r="B29" s="865">
        <v>4</v>
      </c>
      <c r="C29" s="865" t="s">
        <v>4243</v>
      </c>
      <c r="D29" s="866"/>
      <c r="E29" s="867">
        <f t="shared" ref="E29:E38" si="3">B29*(1+D29)</f>
        <v>4</v>
      </c>
      <c r="F29" s="868">
        <f t="shared" ref="F29:F38" si="4">_xlfn.SINGLE(_xlfn.XLOOKUP(A29,N:N,O:O,,0))</f>
        <v>499</v>
      </c>
      <c r="G29" s="868">
        <f>F29*E29</f>
        <v>1996</v>
      </c>
      <c r="N29" s="827" t="s">
        <v>4513</v>
      </c>
      <c r="O29" s="877">
        <f>44.82/3</f>
        <v>14.94</v>
      </c>
    </row>
    <row r="30" spans="1:16" x14ac:dyDescent="0.2">
      <c r="A30" s="864" t="s">
        <v>4510</v>
      </c>
      <c r="B30" s="865">
        <v>8</v>
      </c>
      <c r="C30" s="865" t="s">
        <v>4243</v>
      </c>
      <c r="D30" s="866"/>
      <c r="E30" s="867">
        <f t="shared" si="3"/>
        <v>8</v>
      </c>
      <c r="F30" s="868">
        <f t="shared" si="4"/>
        <v>154.19999999999999</v>
      </c>
      <c r="G30" s="868">
        <f>F30*E30</f>
        <v>1233.5999999999999</v>
      </c>
      <c r="N30" s="827" t="s">
        <v>4514</v>
      </c>
      <c r="O30" s="877">
        <v>283.67399999999998</v>
      </c>
    </row>
    <row r="31" spans="1:16" x14ac:dyDescent="0.2">
      <c r="A31" s="864" t="s">
        <v>4511</v>
      </c>
      <c r="B31" s="865">
        <v>80.7</v>
      </c>
      <c r="C31" s="865" t="s">
        <v>3</v>
      </c>
      <c r="D31" s="866"/>
      <c r="E31" s="867">
        <f t="shared" si="3"/>
        <v>80.7</v>
      </c>
      <c r="F31" s="868">
        <f t="shared" si="4"/>
        <v>3.0427</v>
      </c>
      <c r="G31" s="868">
        <f t="shared" ref="G31:G38" si="5">F31*E31</f>
        <v>245.54589000000001</v>
      </c>
      <c r="N31" s="827" t="s">
        <v>4515</v>
      </c>
      <c r="O31" s="877">
        <v>5810.9</v>
      </c>
      <c r="P31" s="827" t="s">
        <v>4611</v>
      </c>
    </row>
    <row r="32" spans="1:16" x14ac:dyDescent="0.2">
      <c r="A32" s="864" t="s">
        <v>4512</v>
      </c>
      <c r="B32" s="865">
        <v>2</v>
      </c>
      <c r="C32" s="865" t="s">
        <v>4243</v>
      </c>
      <c r="D32" s="866"/>
      <c r="E32" s="867">
        <f t="shared" si="3"/>
        <v>2</v>
      </c>
      <c r="F32" s="868">
        <f t="shared" si="4"/>
        <v>440.5</v>
      </c>
      <c r="G32" s="868">
        <f t="shared" si="5"/>
        <v>881</v>
      </c>
      <c r="N32" s="827" t="s">
        <v>4516</v>
      </c>
      <c r="O32" s="877">
        <v>7894.63</v>
      </c>
      <c r="P32" s="827" t="s">
        <v>4611</v>
      </c>
    </row>
    <row r="33" spans="1:16" x14ac:dyDescent="0.2">
      <c r="A33" s="864" t="s">
        <v>4495</v>
      </c>
      <c r="B33" s="865">
        <v>6</v>
      </c>
      <c r="C33" s="865" t="s">
        <v>4243</v>
      </c>
      <c r="D33" s="866"/>
      <c r="E33" s="867">
        <f t="shared" si="3"/>
        <v>6</v>
      </c>
      <c r="F33" s="868">
        <f t="shared" si="4"/>
        <v>15.92</v>
      </c>
      <c r="G33" s="868">
        <f t="shared" si="5"/>
        <v>95.52</v>
      </c>
      <c r="N33" s="827" t="s">
        <v>4517</v>
      </c>
      <c r="O33" s="877">
        <v>2600</v>
      </c>
      <c r="P33" s="827" t="s">
        <v>4611</v>
      </c>
    </row>
    <row r="34" spans="1:16" x14ac:dyDescent="0.2">
      <c r="A34" s="864" t="s">
        <v>4498</v>
      </c>
      <c r="B34" s="865">
        <v>24.9</v>
      </c>
      <c r="C34" s="865" t="s">
        <v>3</v>
      </c>
      <c r="D34" s="866">
        <v>0.1</v>
      </c>
      <c r="E34" s="867">
        <f t="shared" si="3"/>
        <v>27.39</v>
      </c>
      <c r="F34" s="868">
        <f t="shared" si="4"/>
        <v>28.263333333333335</v>
      </c>
      <c r="G34" s="868">
        <f t="shared" si="5"/>
        <v>774.13270000000011</v>
      </c>
      <c r="N34" s="827" t="s">
        <v>4518</v>
      </c>
      <c r="O34" s="877">
        <v>4000</v>
      </c>
      <c r="P34" s="827" t="s">
        <v>4611</v>
      </c>
    </row>
    <row r="35" spans="1:16" x14ac:dyDescent="0.2">
      <c r="A35" s="864" t="s">
        <v>4501</v>
      </c>
      <c r="B35" s="865">
        <v>6</v>
      </c>
      <c r="C35" s="865" t="s">
        <v>3</v>
      </c>
      <c r="D35" s="866"/>
      <c r="E35" s="867">
        <f t="shared" si="3"/>
        <v>6</v>
      </c>
      <c r="F35" s="868">
        <f t="shared" si="4"/>
        <v>9.3000000000000007</v>
      </c>
      <c r="G35" s="868">
        <f t="shared" si="5"/>
        <v>55.800000000000004</v>
      </c>
      <c r="N35" s="827" t="s">
        <v>4519</v>
      </c>
      <c r="O35" s="877">
        <v>2000</v>
      </c>
      <c r="P35" s="827" t="s">
        <v>4611</v>
      </c>
    </row>
    <row r="36" spans="1:16" x14ac:dyDescent="0.2">
      <c r="A36" s="864" t="s">
        <v>4504</v>
      </c>
      <c r="B36" s="865">
        <v>24.9</v>
      </c>
      <c r="C36" s="865" t="s">
        <v>3</v>
      </c>
      <c r="D36" s="866"/>
      <c r="E36" s="867">
        <f t="shared" si="3"/>
        <v>24.9</v>
      </c>
      <c r="F36" s="868">
        <f t="shared" si="4"/>
        <v>7.4066666666666663</v>
      </c>
      <c r="G36" s="868">
        <f t="shared" si="5"/>
        <v>184.42599999999999</v>
      </c>
      <c r="N36" s="827" t="s">
        <v>4520</v>
      </c>
      <c r="O36" s="877">
        <v>127.79</v>
      </c>
    </row>
    <row r="37" spans="1:16" x14ac:dyDescent="0.2">
      <c r="A37" s="864" t="s">
        <v>4387</v>
      </c>
      <c r="B37" s="865">
        <v>88.77</v>
      </c>
      <c r="C37" s="865" t="s">
        <v>3</v>
      </c>
      <c r="D37" s="866">
        <v>0.2</v>
      </c>
      <c r="E37" s="867">
        <f t="shared" si="3"/>
        <v>106.52399999999999</v>
      </c>
      <c r="F37" s="868">
        <f t="shared" si="4"/>
        <v>1.65</v>
      </c>
      <c r="G37" s="868">
        <f t="shared" si="5"/>
        <v>175.76459999999997</v>
      </c>
      <c r="N37" s="827" t="s">
        <v>4521</v>
      </c>
      <c r="O37" s="877">
        <v>127.79</v>
      </c>
    </row>
    <row r="38" spans="1:16" x14ac:dyDescent="0.2">
      <c r="A38" s="864" t="s">
        <v>4513</v>
      </c>
      <c r="B38" s="865">
        <v>11.2</v>
      </c>
      <c r="C38" s="865" t="s">
        <v>3</v>
      </c>
      <c r="D38" s="866">
        <v>0.2</v>
      </c>
      <c r="E38" s="867">
        <f t="shared" si="3"/>
        <v>13.44</v>
      </c>
      <c r="F38" s="868">
        <f t="shared" si="4"/>
        <v>14.94</v>
      </c>
      <c r="G38" s="868">
        <f t="shared" si="5"/>
        <v>200.7936</v>
      </c>
    </row>
    <row r="39" spans="1:16" x14ac:dyDescent="0.2">
      <c r="A39" s="869"/>
      <c r="B39" s="870"/>
      <c r="C39" s="870"/>
      <c r="D39" s="871"/>
      <c r="E39" s="872"/>
      <c r="F39" s="873" t="s">
        <v>12</v>
      </c>
      <c r="G39" s="873">
        <f>SUM(G29:G38)</f>
        <v>5842.5827900000013</v>
      </c>
      <c r="N39" s="827" t="s">
        <v>4522</v>
      </c>
      <c r="O39" s="877">
        <v>7.59</v>
      </c>
    </row>
    <row r="40" spans="1:16" x14ac:dyDescent="0.2">
      <c r="A40" s="1202" t="s">
        <v>4507</v>
      </c>
      <c r="B40" s="1202"/>
      <c r="C40" s="1202"/>
      <c r="D40" s="1202"/>
      <c r="E40" s="1202"/>
      <c r="F40" s="1202"/>
      <c r="G40" s="1202"/>
      <c r="N40" s="827" t="s">
        <v>4523</v>
      </c>
      <c r="O40" s="877">
        <v>37.54</v>
      </c>
    </row>
    <row r="41" spans="1:16" x14ac:dyDescent="0.2">
      <c r="A41" s="825" t="s">
        <v>0</v>
      </c>
      <c r="B41" s="825" t="s">
        <v>49</v>
      </c>
      <c r="C41" s="825" t="s">
        <v>46</v>
      </c>
      <c r="D41" s="856" t="s">
        <v>4301</v>
      </c>
      <c r="E41" s="857" t="s">
        <v>12</v>
      </c>
      <c r="F41" s="858" t="s">
        <v>4488</v>
      </c>
      <c r="G41" s="858" t="s">
        <v>4489</v>
      </c>
    </row>
    <row r="42" spans="1:16" x14ac:dyDescent="0.2">
      <c r="A42" s="864" t="s">
        <v>4514</v>
      </c>
      <c r="B42" s="865">
        <v>1</v>
      </c>
      <c r="C42" s="865" t="s">
        <v>4243</v>
      </c>
      <c r="D42" s="866"/>
      <c r="E42" s="867">
        <f t="shared" ref="E42:E57" si="6">B42*(1+D42)</f>
        <v>1</v>
      </c>
      <c r="F42" s="868">
        <f t="shared" ref="F42:F57" si="7">_xlfn.SINGLE(_xlfn.XLOOKUP(A42,N:N,O:O,,0))</f>
        <v>283.67399999999998</v>
      </c>
      <c r="G42" s="868">
        <f t="shared" ref="G42:G57" si="8">F42*E42</f>
        <v>283.67399999999998</v>
      </c>
      <c r="N42" s="827" t="s">
        <v>4525</v>
      </c>
      <c r="O42" s="877">
        <v>54.45</v>
      </c>
    </row>
    <row r="43" spans="1:16" ht="25.5" x14ac:dyDescent="0.2">
      <c r="A43" s="864" t="s">
        <v>4515</v>
      </c>
      <c r="B43" s="865">
        <v>1</v>
      </c>
      <c r="C43" s="865" t="s">
        <v>4243</v>
      </c>
      <c r="D43" s="866"/>
      <c r="E43" s="867">
        <f t="shared" si="6"/>
        <v>1</v>
      </c>
      <c r="F43" s="868">
        <f t="shared" si="7"/>
        <v>5810.9</v>
      </c>
      <c r="G43" s="868">
        <f t="shared" si="8"/>
        <v>5810.9</v>
      </c>
      <c r="N43" s="827" t="s">
        <v>4527</v>
      </c>
      <c r="O43" s="877">
        <v>266.07</v>
      </c>
      <c r="P43" s="827" t="s">
        <v>4609</v>
      </c>
    </row>
    <row r="44" spans="1:16" ht="25.5" x14ac:dyDescent="0.2">
      <c r="A44" s="864" t="s">
        <v>4516</v>
      </c>
      <c r="B44" s="865">
        <v>3</v>
      </c>
      <c r="C44" s="865" t="s">
        <v>4243</v>
      </c>
      <c r="D44" s="866"/>
      <c r="E44" s="867">
        <f t="shared" si="6"/>
        <v>3</v>
      </c>
      <c r="F44" s="868">
        <f t="shared" si="7"/>
        <v>7894.63</v>
      </c>
      <c r="G44" s="868">
        <f t="shared" si="8"/>
        <v>23683.89</v>
      </c>
      <c r="N44" s="827" t="s">
        <v>4528</v>
      </c>
      <c r="O44" s="877">
        <v>10000</v>
      </c>
      <c r="P44" s="827" t="s">
        <v>4613</v>
      </c>
    </row>
    <row r="45" spans="1:16" x14ac:dyDescent="0.2">
      <c r="A45" s="864" t="s">
        <v>4517</v>
      </c>
      <c r="B45" s="865">
        <v>1</v>
      </c>
      <c r="C45" s="865" t="s">
        <v>4243</v>
      </c>
      <c r="D45" s="866"/>
      <c r="E45" s="867">
        <f t="shared" si="6"/>
        <v>1</v>
      </c>
      <c r="F45" s="868">
        <f t="shared" si="7"/>
        <v>2600</v>
      </c>
      <c r="G45" s="868">
        <f t="shared" si="8"/>
        <v>2600</v>
      </c>
      <c r="N45" s="827" t="s">
        <v>4529</v>
      </c>
      <c r="O45" s="877">
        <f>98.94/3</f>
        <v>32.979999999999997</v>
      </c>
    </row>
    <row r="46" spans="1:16" x14ac:dyDescent="0.2">
      <c r="A46" s="864" t="s">
        <v>4518</v>
      </c>
      <c r="B46" s="865">
        <v>1</v>
      </c>
      <c r="C46" s="865" t="s">
        <v>4243</v>
      </c>
      <c r="D46" s="866"/>
      <c r="E46" s="867">
        <f t="shared" si="6"/>
        <v>1</v>
      </c>
      <c r="F46" s="868">
        <f t="shared" si="7"/>
        <v>4000</v>
      </c>
      <c r="G46" s="868">
        <f t="shared" si="8"/>
        <v>4000</v>
      </c>
      <c r="N46" s="827" t="s">
        <v>4530</v>
      </c>
      <c r="O46" s="877">
        <f>37.65/3</f>
        <v>12.549999999999999</v>
      </c>
    </row>
    <row r="47" spans="1:16" x14ac:dyDescent="0.2">
      <c r="A47" s="864" t="s">
        <v>4519</v>
      </c>
      <c r="B47" s="865">
        <v>1</v>
      </c>
      <c r="C47" s="865" t="s">
        <v>4243</v>
      </c>
      <c r="D47" s="866"/>
      <c r="E47" s="867">
        <f t="shared" si="6"/>
        <v>1</v>
      </c>
      <c r="F47" s="868">
        <f t="shared" si="7"/>
        <v>2000</v>
      </c>
      <c r="G47" s="868">
        <f t="shared" si="8"/>
        <v>2000</v>
      </c>
      <c r="N47" s="827" t="s">
        <v>4532</v>
      </c>
      <c r="O47" s="877">
        <v>0.4325</v>
      </c>
    </row>
    <row r="48" spans="1:16" x14ac:dyDescent="0.2">
      <c r="A48" s="864" t="s">
        <v>4520</v>
      </c>
      <c r="B48" s="865">
        <v>4</v>
      </c>
      <c r="C48" s="865" t="s">
        <v>4243</v>
      </c>
      <c r="D48" s="866"/>
      <c r="E48" s="867">
        <f t="shared" si="6"/>
        <v>4</v>
      </c>
      <c r="F48" s="868">
        <f t="shared" si="7"/>
        <v>127.79</v>
      </c>
      <c r="G48" s="868">
        <f t="shared" si="8"/>
        <v>511.16</v>
      </c>
      <c r="N48" s="827" t="s">
        <v>4533</v>
      </c>
      <c r="O48" s="877">
        <v>0.35399999999999998</v>
      </c>
    </row>
    <row r="49" spans="1:15" x14ac:dyDescent="0.2">
      <c r="A49" s="864" t="s">
        <v>4521</v>
      </c>
      <c r="B49" s="865">
        <v>2</v>
      </c>
      <c r="C49" s="865" t="s">
        <v>4243</v>
      </c>
      <c r="D49" s="866"/>
      <c r="E49" s="867">
        <f t="shared" si="6"/>
        <v>2</v>
      </c>
      <c r="F49" s="868">
        <f t="shared" si="7"/>
        <v>127.79</v>
      </c>
      <c r="G49" s="868">
        <f t="shared" si="8"/>
        <v>255.58</v>
      </c>
      <c r="N49" s="827" t="s">
        <v>4534</v>
      </c>
      <c r="O49" s="877">
        <v>0.61</v>
      </c>
    </row>
    <row r="50" spans="1:15" x14ac:dyDescent="0.2">
      <c r="A50" s="864" t="s">
        <v>4498</v>
      </c>
      <c r="B50" s="865">
        <v>3</v>
      </c>
      <c r="C50" s="865" t="s">
        <v>3</v>
      </c>
      <c r="D50" s="866">
        <v>0.1</v>
      </c>
      <c r="E50" s="867">
        <f t="shared" si="6"/>
        <v>3.3000000000000003</v>
      </c>
      <c r="F50" s="868">
        <f t="shared" si="7"/>
        <v>28.263333333333335</v>
      </c>
      <c r="G50" s="868">
        <f t="shared" si="8"/>
        <v>93.26900000000002</v>
      </c>
      <c r="N50" s="827" t="s">
        <v>4382</v>
      </c>
      <c r="O50" s="877">
        <v>0.88249999999999995</v>
      </c>
    </row>
    <row r="51" spans="1:15" x14ac:dyDescent="0.2">
      <c r="A51" s="864" t="s">
        <v>4504</v>
      </c>
      <c r="B51" s="865">
        <v>3</v>
      </c>
      <c r="C51" s="865" t="s">
        <v>4243</v>
      </c>
      <c r="D51" s="866"/>
      <c r="E51" s="867">
        <f t="shared" si="6"/>
        <v>3</v>
      </c>
      <c r="F51" s="868">
        <f t="shared" si="7"/>
        <v>7.4066666666666663</v>
      </c>
      <c r="G51" s="868">
        <f t="shared" si="8"/>
        <v>22.22</v>
      </c>
      <c r="N51" s="827" t="s">
        <v>4535</v>
      </c>
      <c r="O51" s="877">
        <v>15</v>
      </c>
    </row>
    <row r="52" spans="1:15" x14ac:dyDescent="0.2">
      <c r="A52" s="864" t="s">
        <v>4384</v>
      </c>
      <c r="B52" s="865">
        <v>0.3</v>
      </c>
      <c r="C52" s="865" t="s">
        <v>3</v>
      </c>
      <c r="D52" s="866">
        <v>0.2</v>
      </c>
      <c r="E52" s="867">
        <f t="shared" si="6"/>
        <v>0.36</v>
      </c>
      <c r="F52" s="868">
        <f t="shared" si="7"/>
        <v>1.00908</v>
      </c>
      <c r="G52" s="868">
        <f t="shared" si="8"/>
        <v>0.3632688</v>
      </c>
      <c r="N52" s="827" t="s">
        <v>4536</v>
      </c>
      <c r="O52" s="877">
        <v>116</v>
      </c>
    </row>
    <row r="53" spans="1:15" x14ac:dyDescent="0.2">
      <c r="A53" s="864"/>
      <c r="B53" s="865"/>
      <c r="C53" s="865"/>
      <c r="D53" s="866"/>
      <c r="E53" s="867"/>
      <c r="F53" s="868">
        <f t="shared" si="7"/>
        <v>0</v>
      </c>
      <c r="G53" s="868">
        <f t="shared" si="8"/>
        <v>0</v>
      </c>
      <c r="N53" s="827" t="s">
        <v>4537</v>
      </c>
      <c r="O53" s="877">
        <v>200</v>
      </c>
    </row>
    <row r="54" spans="1:15" x14ac:dyDescent="0.2">
      <c r="A54" s="864" t="s">
        <v>4522</v>
      </c>
      <c r="B54" s="865">
        <v>1</v>
      </c>
      <c r="C54" s="865" t="s">
        <v>4243</v>
      </c>
      <c r="D54" s="866"/>
      <c r="E54" s="867">
        <f t="shared" si="6"/>
        <v>1</v>
      </c>
      <c r="F54" s="868">
        <f t="shared" si="7"/>
        <v>7.59</v>
      </c>
      <c r="G54" s="868">
        <f t="shared" si="8"/>
        <v>7.59</v>
      </c>
      <c r="N54" s="827" t="s">
        <v>4538</v>
      </c>
      <c r="O54" s="877">
        <v>62.84</v>
      </c>
    </row>
    <row r="55" spans="1:15" x14ac:dyDescent="0.2">
      <c r="A55" s="864" t="s">
        <v>4523</v>
      </c>
      <c r="B55" s="865">
        <v>1</v>
      </c>
      <c r="C55" s="865" t="s">
        <v>4243</v>
      </c>
      <c r="D55" s="866"/>
      <c r="E55" s="867">
        <f t="shared" si="6"/>
        <v>1</v>
      </c>
      <c r="F55" s="868">
        <f t="shared" si="7"/>
        <v>37.54</v>
      </c>
      <c r="G55" s="868">
        <f t="shared" si="8"/>
        <v>37.54</v>
      </c>
      <c r="N55" s="827" t="s">
        <v>4539</v>
      </c>
      <c r="O55" s="877">
        <v>7.59</v>
      </c>
    </row>
    <row r="56" spans="1:15" x14ac:dyDescent="0.2">
      <c r="A56" s="864"/>
      <c r="B56" s="865"/>
      <c r="C56" s="865"/>
      <c r="D56" s="866"/>
      <c r="E56" s="867"/>
      <c r="F56" s="868">
        <f t="shared" si="7"/>
        <v>0</v>
      </c>
      <c r="G56" s="868">
        <f t="shared" si="8"/>
        <v>0</v>
      </c>
      <c r="N56" s="827" t="s">
        <v>4383</v>
      </c>
      <c r="O56" s="877">
        <v>1.0137779999999998</v>
      </c>
    </row>
    <row r="57" spans="1:15" x14ac:dyDescent="0.2">
      <c r="A57" s="864" t="s">
        <v>4525</v>
      </c>
      <c r="B57" s="865">
        <v>22.48</v>
      </c>
      <c r="C57" s="865" t="s">
        <v>3</v>
      </c>
      <c r="D57" s="866">
        <v>0.3</v>
      </c>
      <c r="E57" s="867">
        <f t="shared" si="6"/>
        <v>29.224</v>
      </c>
      <c r="F57" s="868">
        <f t="shared" si="7"/>
        <v>54.45</v>
      </c>
      <c r="G57" s="868">
        <f t="shared" si="8"/>
        <v>1591.2468000000001</v>
      </c>
      <c r="N57" s="827" t="s">
        <v>4386</v>
      </c>
      <c r="O57" s="877">
        <v>1.65</v>
      </c>
    </row>
    <row r="58" spans="1:15" x14ac:dyDescent="0.2">
      <c r="A58" s="869"/>
      <c r="B58" s="870"/>
      <c r="C58" s="870"/>
      <c r="D58" s="871"/>
      <c r="E58" s="872"/>
      <c r="F58" s="873" t="s">
        <v>12</v>
      </c>
      <c r="G58" s="873">
        <f>SUM(G42:G57)</f>
        <v>40897.433068800005</v>
      </c>
      <c r="N58" s="827" t="s">
        <v>4540</v>
      </c>
      <c r="O58" s="877">
        <f>19.99/3</f>
        <v>6.6633333333333331</v>
      </c>
    </row>
    <row r="59" spans="1:15" x14ac:dyDescent="0.2">
      <c r="A59" s="1202" t="s">
        <v>4526</v>
      </c>
      <c r="B59" s="1202"/>
      <c r="C59" s="1202"/>
      <c r="D59" s="1202"/>
      <c r="E59" s="1202"/>
      <c r="F59" s="1202"/>
      <c r="G59" s="1202"/>
      <c r="N59" s="827" t="s">
        <v>4541</v>
      </c>
      <c r="O59" s="877">
        <f>8.69/3</f>
        <v>2.8966666666666665</v>
      </c>
    </row>
    <row r="60" spans="1:15" x14ac:dyDescent="0.2">
      <c r="A60" s="825" t="s">
        <v>0</v>
      </c>
      <c r="B60" s="825" t="s">
        <v>49</v>
      </c>
      <c r="C60" s="825" t="s">
        <v>46</v>
      </c>
      <c r="D60" s="856" t="s">
        <v>4301</v>
      </c>
      <c r="E60" s="857" t="s">
        <v>12</v>
      </c>
      <c r="F60" s="858" t="s">
        <v>4488</v>
      </c>
      <c r="G60" s="858" t="s">
        <v>4489</v>
      </c>
      <c r="N60" s="827" t="s">
        <v>4542</v>
      </c>
      <c r="O60" s="877">
        <v>10.9</v>
      </c>
    </row>
    <row r="61" spans="1:15" x14ac:dyDescent="0.2">
      <c r="A61" s="864" t="s">
        <v>4490</v>
      </c>
      <c r="B61" s="865">
        <v>3</v>
      </c>
      <c r="C61" s="865" t="s">
        <v>4243</v>
      </c>
      <c r="D61" s="866"/>
      <c r="E61" s="867">
        <f t="shared" ref="E61:E68" si="9">B61*(1+D61)</f>
        <v>3</v>
      </c>
      <c r="F61" s="868">
        <f t="shared" ref="F61:F68" si="10">_xlfn.SINGLE(_xlfn.XLOOKUP(A61,N:N,O:O,,0))</f>
        <v>3.06</v>
      </c>
      <c r="G61" s="868">
        <f t="shared" ref="G61:G68" si="11">F61*E61</f>
        <v>9.18</v>
      </c>
      <c r="N61" s="827" t="s">
        <v>4543</v>
      </c>
      <c r="O61" s="877">
        <v>4.5162000000000004</v>
      </c>
    </row>
    <row r="62" spans="1:15" x14ac:dyDescent="0.2">
      <c r="A62" s="864" t="s">
        <v>4527</v>
      </c>
      <c r="B62" s="865">
        <v>1</v>
      </c>
      <c r="C62" s="865" t="s">
        <v>4243</v>
      </c>
      <c r="D62" s="866"/>
      <c r="E62" s="867">
        <f t="shared" si="9"/>
        <v>1</v>
      </c>
      <c r="F62" s="868">
        <f t="shared" si="10"/>
        <v>266.07</v>
      </c>
      <c r="G62" s="868">
        <f t="shared" si="11"/>
        <v>266.07</v>
      </c>
      <c r="N62" s="827" t="s">
        <v>4544</v>
      </c>
      <c r="O62" s="877">
        <v>9.9600000000000009</v>
      </c>
    </row>
    <row r="63" spans="1:15" x14ac:dyDescent="0.2">
      <c r="A63" s="864" t="s">
        <v>4528</v>
      </c>
      <c r="B63" s="865">
        <v>1</v>
      </c>
      <c r="C63" s="865" t="s">
        <v>4243</v>
      </c>
      <c r="D63" s="866"/>
      <c r="E63" s="867">
        <f t="shared" si="9"/>
        <v>1</v>
      </c>
      <c r="F63" s="868">
        <f t="shared" si="10"/>
        <v>10000</v>
      </c>
      <c r="G63" s="868">
        <f t="shared" si="11"/>
        <v>10000</v>
      </c>
      <c r="N63" s="827" t="s">
        <v>4545</v>
      </c>
      <c r="O63" s="877">
        <v>61.33</v>
      </c>
    </row>
    <row r="64" spans="1:15" x14ac:dyDescent="0.2">
      <c r="A64" s="864" t="s">
        <v>4498</v>
      </c>
      <c r="B64" s="865">
        <v>16.600000000000001</v>
      </c>
      <c r="C64" s="865" t="s">
        <v>3</v>
      </c>
      <c r="D64" s="866">
        <v>0.1</v>
      </c>
      <c r="E64" s="867">
        <f t="shared" si="9"/>
        <v>18.260000000000002</v>
      </c>
      <c r="F64" s="868">
        <f t="shared" si="10"/>
        <v>28.263333333333335</v>
      </c>
      <c r="G64" s="868">
        <f t="shared" si="11"/>
        <v>516.0884666666667</v>
      </c>
      <c r="N64" s="827" t="s">
        <v>4546</v>
      </c>
      <c r="O64" s="877">
        <v>21.81</v>
      </c>
    </row>
    <row r="65" spans="1:16" x14ac:dyDescent="0.2">
      <c r="A65" s="864" t="s">
        <v>4529</v>
      </c>
      <c r="B65" s="865">
        <v>3.8</v>
      </c>
      <c r="C65" s="865" t="s">
        <v>3</v>
      </c>
      <c r="D65" s="866">
        <v>0.1</v>
      </c>
      <c r="E65" s="867">
        <f t="shared" si="9"/>
        <v>4.18</v>
      </c>
      <c r="F65" s="868">
        <f t="shared" si="10"/>
        <v>32.979999999999997</v>
      </c>
      <c r="G65" s="868">
        <f t="shared" si="11"/>
        <v>137.85639999999998</v>
      </c>
      <c r="N65" s="827" t="s">
        <v>4547</v>
      </c>
      <c r="O65" s="877">
        <v>8.76</v>
      </c>
    </row>
    <row r="66" spans="1:16" x14ac:dyDescent="0.2">
      <c r="A66" s="864" t="s">
        <v>4504</v>
      </c>
      <c r="B66" s="865">
        <v>16.600000000000001</v>
      </c>
      <c r="C66" s="865" t="s">
        <v>3</v>
      </c>
      <c r="D66" s="866"/>
      <c r="E66" s="867">
        <f t="shared" si="9"/>
        <v>16.600000000000001</v>
      </c>
      <c r="F66" s="868">
        <f t="shared" si="10"/>
        <v>7.4066666666666663</v>
      </c>
      <c r="G66" s="868">
        <f t="shared" si="11"/>
        <v>122.95066666666668</v>
      </c>
      <c r="N66" s="827" t="s">
        <v>4548</v>
      </c>
      <c r="O66" s="877">
        <v>62.08</v>
      </c>
    </row>
    <row r="67" spans="1:16" x14ac:dyDescent="0.2">
      <c r="A67" s="864" t="s">
        <v>4530</v>
      </c>
      <c r="B67" s="865">
        <v>3.8</v>
      </c>
      <c r="C67" s="865" t="s">
        <v>3</v>
      </c>
      <c r="D67" s="866"/>
      <c r="E67" s="867">
        <f t="shared" si="9"/>
        <v>3.8</v>
      </c>
      <c r="F67" s="868">
        <f t="shared" si="10"/>
        <v>12.549999999999999</v>
      </c>
      <c r="G67" s="868">
        <f t="shared" si="11"/>
        <v>47.689999999999991</v>
      </c>
      <c r="N67" s="827" t="s">
        <v>4363</v>
      </c>
      <c r="O67" s="877">
        <v>2.4700000000000002</v>
      </c>
    </row>
    <row r="68" spans="1:16" x14ac:dyDescent="0.2">
      <c r="A68" s="864" t="s">
        <v>4385</v>
      </c>
      <c r="B68" s="865">
        <v>125.5</v>
      </c>
      <c r="C68" s="865" t="s">
        <v>3</v>
      </c>
      <c r="D68" s="866">
        <v>0.2</v>
      </c>
      <c r="E68" s="867">
        <f t="shared" si="9"/>
        <v>150.6</v>
      </c>
      <c r="F68" s="868">
        <f t="shared" si="10"/>
        <v>1.649</v>
      </c>
      <c r="G68" s="868">
        <f t="shared" si="11"/>
        <v>248.33939999999998</v>
      </c>
      <c r="N68" s="827" t="s">
        <v>4549</v>
      </c>
      <c r="O68" s="877">
        <f>84.9/6</f>
        <v>14.15</v>
      </c>
    </row>
    <row r="69" spans="1:16" x14ac:dyDescent="0.2">
      <c r="A69" s="869"/>
      <c r="B69" s="870"/>
      <c r="C69" s="870"/>
      <c r="D69" s="871"/>
      <c r="E69" s="872"/>
      <c r="F69" s="873" t="s">
        <v>12</v>
      </c>
      <c r="G69" s="873">
        <f>SUM(G61:G68)</f>
        <v>11348.174933333336</v>
      </c>
      <c r="N69" s="827" t="s">
        <v>4364</v>
      </c>
      <c r="O69" s="877">
        <v>3.06</v>
      </c>
    </row>
    <row r="70" spans="1:16" x14ac:dyDescent="0.2">
      <c r="A70" s="1202" t="s">
        <v>4531</v>
      </c>
      <c r="B70" s="1202"/>
      <c r="C70" s="1202"/>
      <c r="D70" s="1202"/>
      <c r="E70" s="1202"/>
      <c r="F70" s="1202"/>
      <c r="G70" s="1202"/>
      <c r="N70" s="827" t="s">
        <v>4551</v>
      </c>
      <c r="O70" s="877">
        <v>3.64</v>
      </c>
    </row>
    <row r="71" spans="1:16" x14ac:dyDescent="0.2">
      <c r="A71" s="825" t="s">
        <v>0</v>
      </c>
      <c r="B71" s="825" t="s">
        <v>49</v>
      </c>
      <c r="C71" s="825" t="s">
        <v>46</v>
      </c>
      <c r="D71" s="856" t="s">
        <v>4301</v>
      </c>
      <c r="E71" s="857" t="s">
        <v>12</v>
      </c>
      <c r="F71" s="858" t="s">
        <v>4488</v>
      </c>
      <c r="G71" s="858" t="s">
        <v>4489</v>
      </c>
      <c r="N71" s="827" t="s">
        <v>4367</v>
      </c>
      <c r="O71" s="877">
        <v>3.74</v>
      </c>
    </row>
    <row r="72" spans="1:16" x14ac:dyDescent="0.2">
      <c r="A72" s="864" t="s">
        <v>4532</v>
      </c>
      <c r="B72" s="865">
        <v>54</v>
      </c>
      <c r="C72" s="865" t="s">
        <v>4243</v>
      </c>
      <c r="D72" s="866"/>
      <c r="E72" s="867">
        <f t="shared" ref="E72:E106" si="12">B72*(1+D72)</f>
        <v>54</v>
      </c>
      <c r="F72" s="868">
        <f t="shared" ref="F72:F106" si="13">_xlfn.SINGLE(_xlfn.XLOOKUP(A72,N:N,O:O,,0))</f>
        <v>0.4325</v>
      </c>
      <c r="G72" s="868">
        <f t="shared" ref="G72:G106" si="14">F72*E72</f>
        <v>23.355</v>
      </c>
      <c r="N72" s="827" t="s">
        <v>4552</v>
      </c>
      <c r="O72" s="877">
        <v>4.04</v>
      </c>
    </row>
    <row r="73" spans="1:16" x14ac:dyDescent="0.2">
      <c r="A73" s="864" t="s">
        <v>4533</v>
      </c>
      <c r="B73" s="865">
        <v>17</v>
      </c>
      <c r="C73" s="865" t="s">
        <v>4243</v>
      </c>
      <c r="D73" s="866"/>
      <c r="E73" s="867">
        <f t="shared" si="12"/>
        <v>17</v>
      </c>
      <c r="F73" s="868">
        <f t="shared" si="13"/>
        <v>0.35399999999999998</v>
      </c>
      <c r="G73" s="868">
        <f t="shared" si="14"/>
        <v>6.0179999999999998</v>
      </c>
      <c r="N73" s="827" t="s">
        <v>4553</v>
      </c>
      <c r="O73" s="877">
        <v>4.04</v>
      </c>
    </row>
    <row r="74" spans="1:16" x14ac:dyDescent="0.2">
      <c r="A74" s="864" t="s">
        <v>4534</v>
      </c>
      <c r="B74" s="865">
        <v>5</v>
      </c>
      <c r="C74" s="865" t="s">
        <v>4243</v>
      </c>
      <c r="D74" s="866"/>
      <c r="E74" s="867">
        <f t="shared" si="12"/>
        <v>5</v>
      </c>
      <c r="F74" s="868">
        <f t="shared" si="13"/>
        <v>0.61</v>
      </c>
      <c r="G74" s="868">
        <f t="shared" si="14"/>
        <v>3.05</v>
      </c>
      <c r="N74" s="827" t="s">
        <v>4554</v>
      </c>
      <c r="O74" s="877">
        <v>8.4600000000000009</v>
      </c>
    </row>
    <row r="75" spans="1:16" x14ac:dyDescent="0.2">
      <c r="A75" s="864" t="s">
        <v>4382</v>
      </c>
      <c r="B75" s="865">
        <v>865</v>
      </c>
      <c r="C75" s="865" t="s">
        <v>4243</v>
      </c>
      <c r="D75" s="866"/>
      <c r="E75" s="867">
        <f t="shared" si="12"/>
        <v>865</v>
      </c>
      <c r="F75" s="868">
        <f t="shared" si="13"/>
        <v>0.88249999999999995</v>
      </c>
      <c r="G75" s="868">
        <f t="shared" si="14"/>
        <v>763.36249999999995</v>
      </c>
      <c r="N75" s="827" t="s">
        <v>4555</v>
      </c>
      <c r="O75" s="877">
        <v>0</v>
      </c>
      <c r="P75" s="827" t="s">
        <v>4612</v>
      </c>
    </row>
    <row r="76" spans="1:16" x14ac:dyDescent="0.2">
      <c r="A76" s="864" t="s">
        <v>4535</v>
      </c>
      <c r="B76" s="865">
        <v>1</v>
      </c>
      <c r="C76" s="865" t="s">
        <v>4243</v>
      </c>
      <c r="D76" s="866"/>
      <c r="E76" s="867">
        <f t="shared" si="12"/>
        <v>1</v>
      </c>
      <c r="F76" s="868">
        <f t="shared" si="13"/>
        <v>15</v>
      </c>
      <c r="G76" s="868">
        <f t="shared" si="14"/>
        <v>15</v>
      </c>
      <c r="N76" s="827" t="s">
        <v>4391</v>
      </c>
      <c r="O76" s="877">
        <v>6.81</v>
      </c>
    </row>
    <row r="77" spans="1:16" x14ac:dyDescent="0.2">
      <c r="A77" s="864" t="s">
        <v>4536</v>
      </c>
      <c r="B77" s="865">
        <v>12</v>
      </c>
      <c r="C77" s="865" t="s">
        <v>3</v>
      </c>
      <c r="D77" s="866"/>
      <c r="E77" s="867">
        <f t="shared" si="12"/>
        <v>12</v>
      </c>
      <c r="F77" s="868">
        <f t="shared" si="13"/>
        <v>116</v>
      </c>
      <c r="G77" s="868">
        <f t="shared" si="14"/>
        <v>1392</v>
      </c>
      <c r="N77" s="827" t="s">
        <v>4556</v>
      </c>
      <c r="O77" s="877">
        <v>1.69</v>
      </c>
    </row>
    <row r="78" spans="1:16" x14ac:dyDescent="0.2">
      <c r="A78" s="864" t="s">
        <v>4537</v>
      </c>
      <c r="B78" s="865">
        <v>2</v>
      </c>
      <c r="C78" s="865" t="s">
        <v>4243</v>
      </c>
      <c r="D78" s="866"/>
      <c r="E78" s="867">
        <f t="shared" si="12"/>
        <v>2</v>
      </c>
      <c r="F78" s="868">
        <f t="shared" si="13"/>
        <v>200</v>
      </c>
      <c r="G78" s="868">
        <f t="shared" si="14"/>
        <v>400</v>
      </c>
      <c r="N78" s="827" t="s">
        <v>4557</v>
      </c>
      <c r="O78" s="877">
        <v>6.97</v>
      </c>
    </row>
    <row r="79" spans="1:16" x14ac:dyDescent="0.2">
      <c r="A79" s="864" t="s">
        <v>4538</v>
      </c>
      <c r="B79" s="865">
        <v>2</v>
      </c>
      <c r="C79" s="865" t="s">
        <v>4243</v>
      </c>
      <c r="D79" s="866"/>
      <c r="E79" s="867">
        <f t="shared" si="12"/>
        <v>2</v>
      </c>
      <c r="F79" s="868">
        <f t="shared" si="13"/>
        <v>62.84</v>
      </c>
      <c r="G79" s="868">
        <f t="shared" si="14"/>
        <v>125.68</v>
      </c>
      <c r="N79" s="827" t="s">
        <v>4558</v>
      </c>
      <c r="O79" s="877">
        <v>6.2</v>
      </c>
    </row>
    <row r="80" spans="1:16" x14ac:dyDescent="0.2">
      <c r="A80" s="864" t="s">
        <v>4539</v>
      </c>
      <c r="B80" s="865">
        <v>1</v>
      </c>
      <c r="C80" s="865" t="s">
        <v>4243</v>
      </c>
      <c r="D80" s="866"/>
      <c r="E80" s="867">
        <f t="shared" si="12"/>
        <v>1</v>
      </c>
      <c r="F80" s="868">
        <f t="shared" si="13"/>
        <v>7.59</v>
      </c>
      <c r="G80" s="868">
        <f t="shared" si="14"/>
        <v>7.59</v>
      </c>
      <c r="N80" s="827" t="s">
        <v>4559</v>
      </c>
      <c r="O80" s="877">
        <v>4.8</v>
      </c>
    </row>
    <row r="81" spans="1:22" x14ac:dyDescent="0.2">
      <c r="A81" s="864" t="s">
        <v>4383</v>
      </c>
      <c r="B81" s="865">
        <v>76.66</v>
      </c>
      <c r="C81" s="865" t="s">
        <v>3</v>
      </c>
      <c r="D81" s="866">
        <v>0.2</v>
      </c>
      <c r="E81" s="867">
        <f t="shared" si="12"/>
        <v>91.99199999999999</v>
      </c>
      <c r="F81" s="868">
        <f t="shared" si="13"/>
        <v>1.0137779999999998</v>
      </c>
      <c r="G81" s="868">
        <f t="shared" si="14"/>
        <v>93.259465775999971</v>
      </c>
      <c r="N81" s="827" t="s">
        <v>4560</v>
      </c>
      <c r="O81" s="877">
        <v>5.1761999999999997</v>
      </c>
    </row>
    <row r="82" spans="1:22" x14ac:dyDescent="0.2">
      <c r="A82" s="864" t="s">
        <v>4384</v>
      </c>
      <c r="B82" s="865">
        <v>1796.46</v>
      </c>
      <c r="C82" s="865" t="s">
        <v>3</v>
      </c>
      <c r="D82" s="866">
        <v>0.2</v>
      </c>
      <c r="E82" s="867">
        <f t="shared" si="12"/>
        <v>2155.752</v>
      </c>
      <c r="F82" s="868">
        <f t="shared" si="13"/>
        <v>1.00908</v>
      </c>
      <c r="G82" s="868">
        <f t="shared" si="14"/>
        <v>2175.32622816</v>
      </c>
      <c r="N82" s="827" t="s">
        <v>4561</v>
      </c>
      <c r="O82" s="877">
        <v>39.700000000000003</v>
      </c>
    </row>
    <row r="83" spans="1:22" x14ac:dyDescent="0.2">
      <c r="A83" s="864" t="s">
        <v>4385</v>
      </c>
      <c r="B83" s="865">
        <v>610.74</v>
      </c>
      <c r="C83" s="865" t="s">
        <v>3</v>
      </c>
      <c r="D83" s="866">
        <v>0.2</v>
      </c>
      <c r="E83" s="867">
        <f t="shared" si="12"/>
        <v>732.88800000000003</v>
      </c>
      <c r="F83" s="868">
        <f t="shared" si="13"/>
        <v>1.649</v>
      </c>
      <c r="G83" s="868">
        <f t="shared" si="14"/>
        <v>1208.532312</v>
      </c>
      <c r="N83" s="827" t="s">
        <v>4562</v>
      </c>
      <c r="O83" s="877">
        <v>43.18</v>
      </c>
    </row>
    <row r="84" spans="1:22" x14ac:dyDescent="0.2">
      <c r="A84" s="864" t="s">
        <v>4386</v>
      </c>
      <c r="B84" s="865">
        <v>4.59</v>
      </c>
      <c r="C84" s="865" t="s">
        <v>3</v>
      </c>
      <c r="D84" s="866">
        <v>0.2</v>
      </c>
      <c r="E84" s="867">
        <f t="shared" si="12"/>
        <v>5.508</v>
      </c>
      <c r="F84" s="868">
        <f t="shared" si="13"/>
        <v>1.65</v>
      </c>
      <c r="G84" s="868">
        <f t="shared" si="14"/>
        <v>9.0881999999999987</v>
      </c>
      <c r="N84" s="827" t="s">
        <v>4563</v>
      </c>
      <c r="O84" s="877">
        <v>34.42</v>
      </c>
    </row>
    <row r="85" spans="1:22" x14ac:dyDescent="0.2">
      <c r="A85" s="864" t="s">
        <v>4388</v>
      </c>
      <c r="B85" s="865">
        <v>3326.06</v>
      </c>
      <c r="C85" s="865" t="s">
        <v>3</v>
      </c>
      <c r="D85" s="866">
        <v>0.2</v>
      </c>
      <c r="E85" s="867">
        <f t="shared" si="12"/>
        <v>3991.2719999999999</v>
      </c>
      <c r="F85" s="868">
        <f t="shared" si="13"/>
        <v>1.65</v>
      </c>
      <c r="G85" s="868">
        <f t="shared" si="14"/>
        <v>6585.5987999999998</v>
      </c>
      <c r="N85" s="827" t="s">
        <v>4389</v>
      </c>
      <c r="O85" s="877">
        <v>5.61</v>
      </c>
    </row>
    <row r="86" spans="1:22" x14ac:dyDescent="0.2">
      <c r="A86" s="864" t="s">
        <v>4540</v>
      </c>
      <c r="B86" s="865">
        <v>59.2</v>
      </c>
      <c r="C86" s="865" t="s">
        <v>3</v>
      </c>
      <c r="D86" s="866">
        <v>0.05</v>
      </c>
      <c r="E86" s="867">
        <f t="shared" si="12"/>
        <v>62.160000000000004</v>
      </c>
      <c r="F86" s="868">
        <f t="shared" si="13"/>
        <v>6.6633333333333331</v>
      </c>
      <c r="G86" s="868">
        <f t="shared" si="14"/>
        <v>414.19280000000003</v>
      </c>
      <c r="N86" s="827" t="s">
        <v>4564</v>
      </c>
      <c r="O86" s="877">
        <v>6.42</v>
      </c>
    </row>
    <row r="87" spans="1:22" x14ac:dyDescent="0.2">
      <c r="A87" s="864" t="s">
        <v>4513</v>
      </c>
      <c r="B87" s="865">
        <v>10.92</v>
      </c>
      <c r="C87" s="865" t="s">
        <v>3</v>
      </c>
      <c r="D87" s="866">
        <v>0.05</v>
      </c>
      <c r="E87" s="867">
        <f t="shared" si="12"/>
        <v>11.466000000000001</v>
      </c>
      <c r="F87" s="868">
        <f t="shared" si="13"/>
        <v>14.94</v>
      </c>
      <c r="G87" s="868">
        <f t="shared" si="14"/>
        <v>171.30204000000001</v>
      </c>
      <c r="N87" s="827" t="s">
        <v>4566</v>
      </c>
      <c r="O87" s="877">
        <v>265</v>
      </c>
      <c r="P87" s="827" t="s">
        <v>4609</v>
      </c>
      <c r="T87" s="928"/>
      <c r="U87" s="928"/>
      <c r="V87" s="928"/>
    </row>
    <row r="88" spans="1:22" x14ac:dyDescent="0.2">
      <c r="A88" s="864" t="s">
        <v>4541</v>
      </c>
      <c r="B88" s="865">
        <v>18</v>
      </c>
      <c r="C88" s="865" t="s">
        <v>3</v>
      </c>
      <c r="D88" s="866">
        <v>0.05</v>
      </c>
      <c r="E88" s="867">
        <f t="shared" si="12"/>
        <v>18.900000000000002</v>
      </c>
      <c r="F88" s="868">
        <f t="shared" si="13"/>
        <v>2.8966666666666665</v>
      </c>
      <c r="G88" s="868">
        <f t="shared" si="14"/>
        <v>54.747</v>
      </c>
      <c r="N88" s="827" t="s">
        <v>4567</v>
      </c>
      <c r="O88" s="877">
        <v>340</v>
      </c>
      <c r="T88" s="928"/>
      <c r="U88" s="928"/>
      <c r="V88" s="928"/>
    </row>
    <row r="89" spans="1:22" x14ac:dyDescent="0.2">
      <c r="A89" s="864" t="s">
        <v>4542</v>
      </c>
      <c r="B89" s="865">
        <v>14.9</v>
      </c>
      <c r="C89" s="865" t="s">
        <v>3</v>
      </c>
      <c r="D89" s="866">
        <v>0.1</v>
      </c>
      <c r="E89" s="867">
        <f t="shared" si="12"/>
        <v>16.39</v>
      </c>
      <c r="F89" s="868">
        <f t="shared" si="13"/>
        <v>10.9</v>
      </c>
      <c r="G89" s="868">
        <f t="shared" si="14"/>
        <v>178.65100000000001</v>
      </c>
      <c r="N89" s="827" t="s">
        <v>4568</v>
      </c>
      <c r="O89" s="877">
        <v>136.16499999999999</v>
      </c>
      <c r="T89" s="928"/>
      <c r="U89" s="928"/>
      <c r="V89" s="928"/>
    </row>
    <row r="90" spans="1:22" x14ac:dyDescent="0.2">
      <c r="A90" s="864" t="s">
        <v>4543</v>
      </c>
      <c r="B90" s="865">
        <v>14.9</v>
      </c>
      <c r="C90" s="865" t="s">
        <v>3</v>
      </c>
      <c r="D90" s="866">
        <v>0.1</v>
      </c>
      <c r="E90" s="867">
        <f t="shared" si="12"/>
        <v>16.39</v>
      </c>
      <c r="F90" s="868">
        <f t="shared" si="13"/>
        <v>4.5162000000000004</v>
      </c>
      <c r="G90" s="868">
        <f t="shared" si="14"/>
        <v>74.02051800000001</v>
      </c>
      <c r="N90" s="827" t="s">
        <v>4569</v>
      </c>
      <c r="O90" s="877">
        <v>1000</v>
      </c>
      <c r="P90" s="827" t="s">
        <v>4613</v>
      </c>
      <c r="T90" s="928"/>
      <c r="U90" s="928"/>
      <c r="V90" s="928"/>
    </row>
    <row r="91" spans="1:22" x14ac:dyDescent="0.2">
      <c r="A91" s="864" t="s">
        <v>4544</v>
      </c>
      <c r="B91" s="865">
        <v>20.71</v>
      </c>
      <c r="C91" s="865" t="s">
        <v>3</v>
      </c>
      <c r="D91" s="866"/>
      <c r="E91" s="867">
        <f t="shared" si="12"/>
        <v>20.71</v>
      </c>
      <c r="F91" s="868">
        <f t="shared" si="13"/>
        <v>9.9600000000000009</v>
      </c>
      <c r="G91" s="868">
        <f t="shared" si="14"/>
        <v>206.27160000000003</v>
      </c>
      <c r="N91" s="827" t="s">
        <v>4570</v>
      </c>
      <c r="O91" s="877">
        <v>6.2091000000000003</v>
      </c>
      <c r="T91" s="928"/>
      <c r="U91" s="928"/>
      <c r="V91" s="928"/>
    </row>
    <row r="92" spans="1:22" x14ac:dyDescent="0.2">
      <c r="A92" s="864" t="s">
        <v>4495</v>
      </c>
      <c r="B92" s="865">
        <v>2</v>
      </c>
      <c r="C92" s="865" t="s">
        <v>4243</v>
      </c>
      <c r="D92" s="866"/>
      <c r="E92" s="867">
        <f t="shared" si="12"/>
        <v>2</v>
      </c>
      <c r="F92" s="868">
        <f t="shared" si="13"/>
        <v>15.92</v>
      </c>
      <c r="G92" s="868">
        <f t="shared" si="14"/>
        <v>31.84</v>
      </c>
      <c r="N92" s="827" t="s">
        <v>4571</v>
      </c>
      <c r="O92" s="928">
        <v>8.08</v>
      </c>
      <c r="T92" s="928"/>
      <c r="U92" s="928"/>
      <c r="V92" s="928"/>
    </row>
    <row r="93" spans="1:22" x14ac:dyDescent="0.2">
      <c r="A93" s="864" t="s">
        <v>4545</v>
      </c>
      <c r="B93" s="865">
        <v>8</v>
      </c>
      <c r="C93" s="865" t="s">
        <v>4243</v>
      </c>
      <c r="D93" s="866"/>
      <c r="E93" s="867">
        <f t="shared" si="12"/>
        <v>8</v>
      </c>
      <c r="F93" s="868">
        <f t="shared" si="13"/>
        <v>61.33</v>
      </c>
      <c r="G93" s="868">
        <f t="shared" si="14"/>
        <v>490.64</v>
      </c>
      <c r="N93" s="827" t="s">
        <v>4572</v>
      </c>
      <c r="O93" s="877">
        <v>6.14</v>
      </c>
      <c r="T93" s="928"/>
      <c r="U93" s="928"/>
      <c r="V93" s="928"/>
    </row>
    <row r="94" spans="1:22" x14ac:dyDescent="0.2">
      <c r="A94" s="864" t="s">
        <v>4546</v>
      </c>
      <c r="B94" s="865">
        <v>2</v>
      </c>
      <c r="C94" s="865" t="s">
        <v>4243</v>
      </c>
      <c r="D94" s="866"/>
      <c r="E94" s="867">
        <f t="shared" si="12"/>
        <v>2</v>
      </c>
      <c r="F94" s="868">
        <f t="shared" si="13"/>
        <v>21.81</v>
      </c>
      <c r="G94" s="868">
        <f t="shared" si="14"/>
        <v>43.62</v>
      </c>
      <c r="N94" s="827" t="s">
        <v>4573</v>
      </c>
      <c r="O94" s="877">
        <v>6.14</v>
      </c>
      <c r="T94" s="928"/>
      <c r="U94" s="928"/>
      <c r="V94" s="928"/>
    </row>
    <row r="95" spans="1:22" x14ac:dyDescent="0.2">
      <c r="A95" s="864" t="s">
        <v>4498</v>
      </c>
      <c r="B95" s="865">
        <v>51.7</v>
      </c>
      <c r="C95" s="865" t="s">
        <v>3</v>
      </c>
      <c r="D95" s="866">
        <v>0.1</v>
      </c>
      <c r="E95" s="867">
        <f t="shared" si="12"/>
        <v>56.870000000000005</v>
      </c>
      <c r="F95" s="868">
        <f t="shared" si="13"/>
        <v>28.263333333333335</v>
      </c>
      <c r="G95" s="868">
        <f t="shared" si="14"/>
        <v>1607.3357666666668</v>
      </c>
      <c r="N95" s="827" t="s">
        <v>4574</v>
      </c>
      <c r="O95" s="877">
        <v>6.12</v>
      </c>
      <c r="T95" s="928"/>
      <c r="U95" s="928"/>
      <c r="V95" s="928"/>
    </row>
    <row r="96" spans="1:22" x14ac:dyDescent="0.2">
      <c r="A96" s="864" t="s">
        <v>4529</v>
      </c>
      <c r="B96" s="865">
        <v>48.2</v>
      </c>
      <c r="C96" s="865" t="s">
        <v>3</v>
      </c>
      <c r="D96" s="866">
        <v>0.1</v>
      </c>
      <c r="E96" s="867">
        <f t="shared" si="12"/>
        <v>53.02000000000001</v>
      </c>
      <c r="F96" s="868">
        <f t="shared" si="13"/>
        <v>32.979999999999997</v>
      </c>
      <c r="G96" s="868">
        <f t="shared" si="14"/>
        <v>1748.5996000000002</v>
      </c>
      <c r="N96" s="827" t="s">
        <v>4575</v>
      </c>
      <c r="O96" s="928">
        <v>8.99</v>
      </c>
      <c r="T96" s="928"/>
      <c r="U96" s="928"/>
      <c r="V96" s="928"/>
    </row>
    <row r="97" spans="1:22" x14ac:dyDescent="0.2">
      <c r="A97" s="864" t="s">
        <v>4501</v>
      </c>
      <c r="B97" s="865">
        <v>2</v>
      </c>
      <c r="C97" s="865" t="s">
        <v>3</v>
      </c>
      <c r="D97" s="866"/>
      <c r="E97" s="867">
        <f t="shared" si="12"/>
        <v>2</v>
      </c>
      <c r="F97" s="868">
        <f t="shared" si="13"/>
        <v>9.3000000000000007</v>
      </c>
      <c r="G97" s="868">
        <f t="shared" si="14"/>
        <v>18.600000000000001</v>
      </c>
      <c r="N97" s="827" t="s">
        <v>4576</v>
      </c>
      <c r="O97" s="877">
        <v>42.29</v>
      </c>
      <c r="T97" s="928"/>
      <c r="U97" s="928"/>
      <c r="V97" s="928"/>
    </row>
    <row r="98" spans="1:22" x14ac:dyDescent="0.2">
      <c r="A98" s="864" t="s">
        <v>4547</v>
      </c>
      <c r="B98" s="865">
        <v>2</v>
      </c>
      <c r="C98" s="865" t="s">
        <v>3</v>
      </c>
      <c r="D98" s="866"/>
      <c r="E98" s="867">
        <f t="shared" si="12"/>
        <v>2</v>
      </c>
      <c r="F98" s="868">
        <f t="shared" si="13"/>
        <v>8.76</v>
      </c>
      <c r="G98" s="868">
        <f t="shared" si="14"/>
        <v>17.52</v>
      </c>
      <c r="N98" s="827" t="s">
        <v>4577</v>
      </c>
      <c r="O98" s="877">
        <v>54.9</v>
      </c>
      <c r="T98" s="928"/>
      <c r="U98" s="928"/>
      <c r="V98" s="928"/>
    </row>
    <row r="99" spans="1:22" x14ac:dyDescent="0.2">
      <c r="A99" s="864" t="s">
        <v>4504</v>
      </c>
      <c r="B99" s="865">
        <v>51.7</v>
      </c>
      <c r="C99" s="865" t="s">
        <v>3</v>
      </c>
      <c r="D99" s="866"/>
      <c r="E99" s="867">
        <f t="shared" si="12"/>
        <v>51.7</v>
      </c>
      <c r="F99" s="868">
        <f t="shared" si="13"/>
        <v>7.4066666666666663</v>
      </c>
      <c r="G99" s="868">
        <f t="shared" si="14"/>
        <v>382.92466666666667</v>
      </c>
      <c r="N99" s="827" t="s">
        <v>4578</v>
      </c>
      <c r="O99" s="877">
        <v>47.27</v>
      </c>
      <c r="T99" s="928"/>
      <c r="U99" s="928"/>
      <c r="V99" s="928"/>
    </row>
    <row r="100" spans="1:22" x14ac:dyDescent="0.2">
      <c r="A100" s="864" t="s">
        <v>4530</v>
      </c>
      <c r="B100" s="865">
        <v>48.2</v>
      </c>
      <c r="C100" s="865" t="s">
        <v>3</v>
      </c>
      <c r="D100" s="866"/>
      <c r="E100" s="867">
        <f t="shared" si="12"/>
        <v>48.2</v>
      </c>
      <c r="F100" s="868">
        <f t="shared" si="13"/>
        <v>12.549999999999999</v>
      </c>
      <c r="G100" s="868">
        <f t="shared" si="14"/>
        <v>604.91</v>
      </c>
      <c r="N100" s="827" t="s">
        <v>4579</v>
      </c>
      <c r="O100" s="877">
        <v>137.9</v>
      </c>
      <c r="T100" s="928"/>
      <c r="U100" s="928"/>
      <c r="V100" s="928"/>
    </row>
    <row r="101" spans="1:22" x14ac:dyDescent="0.2">
      <c r="A101" s="864" t="s">
        <v>4548</v>
      </c>
      <c r="B101" s="865">
        <v>4</v>
      </c>
      <c r="C101" s="865" t="s">
        <v>4243</v>
      </c>
      <c r="D101" s="866"/>
      <c r="E101" s="867">
        <f t="shared" si="12"/>
        <v>4</v>
      </c>
      <c r="F101" s="868">
        <f t="shared" si="13"/>
        <v>62.08</v>
      </c>
      <c r="G101" s="868">
        <f t="shared" si="14"/>
        <v>248.32</v>
      </c>
      <c r="N101" s="827" t="s">
        <v>4608</v>
      </c>
      <c r="O101" s="877">
        <v>184.9</v>
      </c>
      <c r="T101" s="928"/>
      <c r="U101" s="928"/>
      <c r="V101" s="928"/>
    </row>
    <row r="102" spans="1:22" x14ac:dyDescent="0.2">
      <c r="A102" s="864" t="s">
        <v>4361</v>
      </c>
      <c r="B102" s="865">
        <v>13</v>
      </c>
      <c r="C102" s="865" t="s">
        <v>4243</v>
      </c>
      <c r="D102" s="866"/>
      <c r="E102" s="867">
        <f t="shared" si="12"/>
        <v>13</v>
      </c>
      <c r="F102" s="868">
        <f t="shared" si="13"/>
        <v>8.9499999999999993</v>
      </c>
      <c r="G102" s="868">
        <f t="shared" si="14"/>
        <v>116.35</v>
      </c>
      <c r="N102" s="827" t="s">
        <v>4582</v>
      </c>
      <c r="O102" s="877">
        <v>39.81</v>
      </c>
      <c r="T102" s="928"/>
      <c r="U102" s="928"/>
      <c r="V102" s="928"/>
    </row>
    <row r="103" spans="1:22" x14ac:dyDescent="0.2">
      <c r="A103" s="864" t="s">
        <v>4362</v>
      </c>
      <c r="B103" s="865">
        <v>1052</v>
      </c>
      <c r="C103" s="865" t="s">
        <v>4243</v>
      </c>
      <c r="D103" s="866"/>
      <c r="E103" s="867">
        <f t="shared" si="12"/>
        <v>1052</v>
      </c>
      <c r="F103" s="868">
        <f t="shared" si="13"/>
        <v>1.5423</v>
      </c>
      <c r="G103" s="868">
        <f t="shared" si="14"/>
        <v>1622.4996000000001</v>
      </c>
      <c r="N103" s="827" t="s">
        <v>4583</v>
      </c>
      <c r="O103" s="877">
        <v>59.99</v>
      </c>
      <c r="T103" s="928"/>
      <c r="U103" s="928"/>
      <c r="V103" s="928"/>
    </row>
    <row r="104" spans="1:22" x14ac:dyDescent="0.2">
      <c r="A104" s="864" t="s">
        <v>4363</v>
      </c>
      <c r="B104" s="865">
        <v>27</v>
      </c>
      <c r="C104" s="865" t="s">
        <v>4243</v>
      </c>
      <c r="D104" s="866"/>
      <c r="E104" s="867">
        <f t="shared" si="12"/>
        <v>27</v>
      </c>
      <c r="F104" s="868">
        <f t="shared" si="13"/>
        <v>2.4700000000000002</v>
      </c>
      <c r="G104" s="868">
        <f t="shared" si="14"/>
        <v>66.690000000000012</v>
      </c>
      <c r="N104" s="827" t="s">
        <v>4584</v>
      </c>
      <c r="O104" s="877">
        <v>9.83</v>
      </c>
      <c r="T104" s="928"/>
      <c r="U104" s="928"/>
      <c r="V104" s="928"/>
    </row>
    <row r="105" spans="1:22" x14ac:dyDescent="0.2">
      <c r="A105" s="864" t="s">
        <v>4549</v>
      </c>
      <c r="B105" s="865">
        <v>1</v>
      </c>
      <c r="C105" s="865" t="s">
        <v>4243</v>
      </c>
      <c r="D105" s="866"/>
      <c r="E105" s="867">
        <f t="shared" si="12"/>
        <v>1</v>
      </c>
      <c r="F105" s="868">
        <f t="shared" si="13"/>
        <v>14.15</v>
      </c>
      <c r="G105" s="868">
        <f t="shared" si="14"/>
        <v>14.15</v>
      </c>
      <c r="N105" s="827" t="s">
        <v>4585</v>
      </c>
      <c r="O105" s="877">
        <v>17.5</v>
      </c>
      <c r="T105" s="928"/>
      <c r="U105" s="928"/>
      <c r="V105" s="928"/>
    </row>
    <row r="106" spans="1:22" x14ac:dyDescent="0.2">
      <c r="A106" s="864" t="s">
        <v>4490</v>
      </c>
      <c r="B106" s="865">
        <v>694</v>
      </c>
      <c r="C106" s="865" t="s">
        <v>4243</v>
      </c>
      <c r="D106" s="866"/>
      <c r="E106" s="867">
        <f t="shared" si="12"/>
        <v>694</v>
      </c>
      <c r="F106" s="868">
        <f t="shared" si="13"/>
        <v>3.06</v>
      </c>
      <c r="G106" s="868">
        <f t="shared" si="14"/>
        <v>2123.64</v>
      </c>
      <c r="N106" s="827" t="s">
        <v>4586</v>
      </c>
      <c r="O106" s="877">
        <v>62.9</v>
      </c>
      <c r="T106" s="928"/>
      <c r="U106" s="928"/>
      <c r="V106" s="928"/>
    </row>
    <row r="107" spans="1:22" x14ac:dyDescent="0.2">
      <c r="A107" s="869"/>
      <c r="B107" s="870"/>
      <c r="C107" s="870"/>
      <c r="D107" s="871"/>
      <c r="E107" s="872"/>
      <c r="F107" s="873" t="s">
        <v>12</v>
      </c>
      <c r="G107" s="873">
        <f>SUM(G72:G106)</f>
        <v>23044.685097269332</v>
      </c>
      <c r="N107" s="827" t="s">
        <v>4587</v>
      </c>
      <c r="O107" s="877">
        <v>50</v>
      </c>
      <c r="T107" s="928"/>
      <c r="U107" s="928"/>
      <c r="V107" s="928"/>
    </row>
    <row r="108" spans="1:22" x14ac:dyDescent="0.2">
      <c r="A108" s="1202" t="s">
        <v>4550</v>
      </c>
      <c r="B108" s="1202"/>
      <c r="C108" s="1202"/>
      <c r="D108" s="1202"/>
      <c r="E108" s="1202"/>
      <c r="F108" s="1202"/>
      <c r="G108" s="1202"/>
      <c r="N108" s="827" t="s">
        <v>4588</v>
      </c>
      <c r="O108" s="877">
        <v>73.5</v>
      </c>
      <c r="T108" s="928"/>
      <c r="U108" s="928"/>
      <c r="V108" s="928"/>
    </row>
    <row r="109" spans="1:22" x14ac:dyDescent="0.2">
      <c r="A109" s="825" t="s">
        <v>0</v>
      </c>
      <c r="B109" s="825" t="s">
        <v>49</v>
      </c>
      <c r="C109" s="825" t="s">
        <v>46</v>
      </c>
      <c r="D109" s="856" t="s">
        <v>4301</v>
      </c>
      <c r="E109" s="857" t="s">
        <v>12</v>
      </c>
      <c r="F109" s="858" t="s">
        <v>4488</v>
      </c>
      <c r="G109" s="858" t="s">
        <v>4489</v>
      </c>
      <c r="N109" s="827" t="s">
        <v>4589</v>
      </c>
      <c r="O109" s="877">
        <v>17.89</v>
      </c>
      <c r="T109" s="928"/>
      <c r="U109" s="928"/>
      <c r="V109" s="928"/>
    </row>
    <row r="110" spans="1:22" x14ac:dyDescent="0.2">
      <c r="A110" s="864" t="s">
        <v>4492</v>
      </c>
      <c r="B110" s="865">
        <v>33</v>
      </c>
      <c r="C110" s="865" t="s">
        <v>4243</v>
      </c>
      <c r="D110" s="866"/>
      <c r="E110" s="867">
        <f t="shared" ref="E110:E130" si="15">B110*(1+D110)</f>
        <v>33</v>
      </c>
      <c r="F110" s="868">
        <f t="shared" ref="F110:F130" si="16">_xlfn.SINGLE(_xlfn.XLOOKUP(A110,N:N,O:O,,0))</f>
        <v>4.3600000000000003</v>
      </c>
      <c r="G110" s="868">
        <f t="shared" ref="G110:G130" si="17">F110*E110</f>
        <v>143.88000000000002</v>
      </c>
      <c r="N110" s="827" t="s">
        <v>4593</v>
      </c>
      <c r="O110" s="877">
        <v>73.7</v>
      </c>
      <c r="T110" s="928"/>
      <c r="U110" s="928"/>
      <c r="V110" s="928"/>
    </row>
    <row r="111" spans="1:22" x14ac:dyDescent="0.2">
      <c r="A111" s="864" t="s">
        <v>4551</v>
      </c>
      <c r="B111" s="865">
        <v>2</v>
      </c>
      <c r="C111" s="865" t="s">
        <v>4243</v>
      </c>
      <c r="D111" s="866"/>
      <c r="E111" s="867">
        <f t="shared" si="15"/>
        <v>2</v>
      </c>
      <c r="F111" s="868">
        <f t="shared" si="16"/>
        <v>3.64</v>
      </c>
      <c r="G111" s="868">
        <f t="shared" si="17"/>
        <v>7.28</v>
      </c>
      <c r="N111" s="827" t="s">
        <v>4594</v>
      </c>
      <c r="O111" s="877">
        <v>88.19</v>
      </c>
      <c r="T111" s="928"/>
      <c r="U111" s="928"/>
      <c r="V111" s="928"/>
    </row>
    <row r="112" spans="1:22" x14ac:dyDescent="0.2">
      <c r="A112" s="864" t="s">
        <v>4493</v>
      </c>
      <c r="B112" s="865">
        <v>42</v>
      </c>
      <c r="C112" s="865" t="s">
        <v>4243</v>
      </c>
      <c r="D112" s="866"/>
      <c r="E112" s="867">
        <f t="shared" si="15"/>
        <v>42</v>
      </c>
      <c r="F112" s="868">
        <f t="shared" si="16"/>
        <v>3.8664999999999998</v>
      </c>
      <c r="G112" s="868">
        <f t="shared" si="17"/>
        <v>162.393</v>
      </c>
      <c r="N112" s="827" t="s">
        <v>4595</v>
      </c>
      <c r="O112" s="877">
        <v>211</v>
      </c>
    </row>
    <row r="113" spans="1:16" x14ac:dyDescent="0.2">
      <c r="A113" s="864" t="s">
        <v>4367</v>
      </c>
      <c r="B113" s="865">
        <v>658</v>
      </c>
      <c r="C113" s="865" t="s">
        <v>4243</v>
      </c>
      <c r="D113" s="866"/>
      <c r="E113" s="867">
        <f t="shared" si="15"/>
        <v>658</v>
      </c>
      <c r="F113" s="868">
        <f t="shared" si="16"/>
        <v>3.74</v>
      </c>
      <c r="G113" s="868">
        <f t="shared" si="17"/>
        <v>2460.92</v>
      </c>
      <c r="N113" s="827" t="s">
        <v>4596</v>
      </c>
      <c r="O113" s="877">
        <v>3.8664999999999998</v>
      </c>
    </row>
    <row r="114" spans="1:16" x14ac:dyDescent="0.2">
      <c r="A114" s="864" t="s">
        <v>4552</v>
      </c>
      <c r="B114" s="865">
        <v>180</v>
      </c>
      <c r="C114" s="865" t="s">
        <v>4243</v>
      </c>
      <c r="D114" s="866"/>
      <c r="E114" s="867">
        <f t="shared" si="15"/>
        <v>180</v>
      </c>
      <c r="F114" s="868">
        <f t="shared" si="16"/>
        <v>4.04</v>
      </c>
      <c r="G114" s="868">
        <f t="shared" si="17"/>
        <v>727.2</v>
      </c>
      <c r="N114" s="827" t="s">
        <v>4597</v>
      </c>
      <c r="O114" s="877">
        <v>500</v>
      </c>
      <c r="P114" s="827" t="s">
        <v>4613</v>
      </c>
    </row>
    <row r="115" spans="1:16" x14ac:dyDescent="0.2">
      <c r="A115" s="864" t="s">
        <v>4553</v>
      </c>
      <c r="B115" s="865">
        <v>71</v>
      </c>
      <c r="C115" s="865" t="s">
        <v>4243</v>
      </c>
      <c r="D115" s="866"/>
      <c r="E115" s="867">
        <f t="shared" si="15"/>
        <v>71</v>
      </c>
      <c r="F115" s="868">
        <f t="shared" si="16"/>
        <v>4.04</v>
      </c>
      <c r="G115" s="868">
        <f t="shared" si="17"/>
        <v>286.83999999999997</v>
      </c>
      <c r="N115" s="827" t="s">
        <v>4598</v>
      </c>
      <c r="O115" s="877">
        <v>361.91</v>
      </c>
    </row>
    <row r="116" spans="1:16" x14ac:dyDescent="0.2">
      <c r="A116" s="864" t="s">
        <v>4554</v>
      </c>
      <c r="B116" s="865">
        <v>10</v>
      </c>
      <c r="C116" s="865" t="s">
        <v>4243</v>
      </c>
      <c r="D116" s="866"/>
      <c r="E116" s="867">
        <f t="shared" si="15"/>
        <v>10</v>
      </c>
      <c r="F116" s="868">
        <f t="shared" si="16"/>
        <v>8.4600000000000009</v>
      </c>
      <c r="G116" s="868">
        <f t="shared" si="17"/>
        <v>84.600000000000009</v>
      </c>
      <c r="N116" s="827" t="s">
        <v>4599</v>
      </c>
      <c r="O116" s="877">
        <v>6.42</v>
      </c>
      <c r="P116" s="827" t="s">
        <v>4610</v>
      </c>
    </row>
    <row r="117" spans="1:16" x14ac:dyDescent="0.2">
      <c r="A117" s="864" t="s">
        <v>4368</v>
      </c>
      <c r="B117" s="865">
        <v>951</v>
      </c>
      <c r="C117" s="865" t="s">
        <v>4243</v>
      </c>
      <c r="D117" s="866"/>
      <c r="E117" s="867">
        <f t="shared" si="15"/>
        <v>951</v>
      </c>
      <c r="F117" s="868">
        <f t="shared" si="16"/>
        <v>1.385</v>
      </c>
      <c r="G117" s="868">
        <f t="shared" si="17"/>
        <v>1317.135</v>
      </c>
      <c r="N117" s="827" t="s">
        <v>4600</v>
      </c>
      <c r="O117" s="877">
        <v>6.42</v>
      </c>
    </row>
    <row r="118" spans="1:16" x14ac:dyDescent="0.2">
      <c r="A118" s="864" t="s">
        <v>4555</v>
      </c>
      <c r="B118" s="865">
        <v>10</v>
      </c>
      <c r="C118" s="865" t="s">
        <v>4243</v>
      </c>
      <c r="D118" s="866"/>
      <c r="E118" s="867">
        <f t="shared" si="15"/>
        <v>10</v>
      </c>
      <c r="F118" s="868">
        <f t="shared" si="16"/>
        <v>0</v>
      </c>
      <c r="G118" s="868">
        <f t="shared" si="17"/>
        <v>0</v>
      </c>
      <c r="N118" s="827" t="s">
        <v>4601</v>
      </c>
      <c r="O118" s="877">
        <v>6.42</v>
      </c>
    </row>
    <row r="119" spans="1:16" x14ac:dyDescent="0.2">
      <c r="A119" s="864" t="s">
        <v>4391</v>
      </c>
      <c r="B119" s="865">
        <v>3</v>
      </c>
      <c r="C119" s="865" t="s">
        <v>4243</v>
      </c>
      <c r="D119" s="866"/>
      <c r="E119" s="867">
        <f t="shared" si="15"/>
        <v>3</v>
      </c>
      <c r="F119" s="868">
        <f t="shared" si="16"/>
        <v>6.81</v>
      </c>
      <c r="G119" s="868">
        <f t="shared" si="17"/>
        <v>20.43</v>
      </c>
      <c r="N119" s="827" t="s">
        <v>4602</v>
      </c>
      <c r="O119" s="877">
        <v>6.42</v>
      </c>
    </row>
    <row r="120" spans="1:16" x14ac:dyDescent="0.2">
      <c r="A120" s="864" t="s">
        <v>4369</v>
      </c>
      <c r="B120" s="865">
        <v>39</v>
      </c>
      <c r="C120" s="865" t="s">
        <v>4243</v>
      </c>
      <c r="D120" s="866"/>
      <c r="E120" s="867">
        <f t="shared" si="15"/>
        <v>39</v>
      </c>
      <c r="F120" s="868">
        <f t="shared" si="16"/>
        <v>0.49</v>
      </c>
      <c r="G120" s="868">
        <f t="shared" si="17"/>
        <v>19.11</v>
      </c>
      <c r="N120" s="827" t="s">
        <v>4603</v>
      </c>
      <c r="O120" s="877">
        <v>6.42</v>
      </c>
    </row>
    <row r="121" spans="1:16" x14ac:dyDescent="0.2">
      <c r="A121" s="864" t="s">
        <v>4556</v>
      </c>
      <c r="B121" s="865">
        <v>16</v>
      </c>
      <c r="C121" s="865" t="s">
        <v>4243</v>
      </c>
      <c r="D121" s="866"/>
      <c r="E121" s="867">
        <f t="shared" si="15"/>
        <v>16</v>
      </c>
      <c r="F121" s="868">
        <f t="shared" si="16"/>
        <v>1.69</v>
      </c>
      <c r="G121" s="868">
        <f t="shared" si="17"/>
        <v>27.04</v>
      </c>
      <c r="N121" s="827" t="s">
        <v>4604</v>
      </c>
      <c r="O121" s="877">
        <v>10.07</v>
      </c>
    </row>
    <row r="122" spans="1:16" x14ac:dyDescent="0.2">
      <c r="A122" s="864" t="s">
        <v>4557</v>
      </c>
      <c r="B122" s="865">
        <v>191</v>
      </c>
      <c r="C122" s="865" t="s">
        <v>4243</v>
      </c>
      <c r="D122" s="866"/>
      <c r="E122" s="867">
        <f t="shared" si="15"/>
        <v>191</v>
      </c>
      <c r="F122" s="868">
        <f t="shared" si="16"/>
        <v>6.97</v>
      </c>
      <c r="G122" s="868">
        <f t="shared" si="17"/>
        <v>1331.27</v>
      </c>
      <c r="N122" s="827" t="s">
        <v>4605</v>
      </c>
      <c r="O122" s="877">
        <v>23.67</v>
      </c>
    </row>
    <row r="123" spans="1:16" x14ac:dyDescent="0.2">
      <c r="A123" s="864" t="s">
        <v>4558</v>
      </c>
      <c r="B123" s="865">
        <v>4</v>
      </c>
      <c r="C123" s="865" t="s">
        <v>4243</v>
      </c>
      <c r="D123" s="866"/>
      <c r="E123" s="867">
        <f t="shared" si="15"/>
        <v>4</v>
      </c>
      <c r="F123" s="868">
        <f t="shared" si="16"/>
        <v>6.2</v>
      </c>
      <c r="G123" s="868">
        <f t="shared" si="17"/>
        <v>24.8</v>
      </c>
      <c r="N123" s="827" t="s">
        <v>4606</v>
      </c>
      <c r="O123" s="877">
        <v>12.92</v>
      </c>
    </row>
    <row r="124" spans="1:16" x14ac:dyDescent="0.2">
      <c r="A124" s="864" t="s">
        <v>4559</v>
      </c>
      <c r="B124" s="865">
        <v>244</v>
      </c>
      <c r="C124" s="865" t="s">
        <v>4243</v>
      </c>
      <c r="D124" s="866"/>
      <c r="E124" s="867">
        <f t="shared" si="15"/>
        <v>244</v>
      </c>
      <c r="F124" s="868">
        <f t="shared" si="16"/>
        <v>4.8</v>
      </c>
      <c r="G124" s="868">
        <f t="shared" si="17"/>
        <v>1171.2</v>
      </c>
      <c r="N124" s="827" t="s">
        <v>4607</v>
      </c>
      <c r="O124" s="877">
        <f>165.17/25</f>
        <v>6.6067999999999998</v>
      </c>
    </row>
    <row r="125" spans="1:16" x14ac:dyDescent="0.2">
      <c r="A125" s="864" t="s">
        <v>4560</v>
      </c>
      <c r="B125" s="865">
        <v>12</v>
      </c>
      <c r="C125" s="865" t="s">
        <v>4243</v>
      </c>
      <c r="D125" s="866"/>
      <c r="E125" s="867">
        <f t="shared" si="15"/>
        <v>12</v>
      </c>
      <c r="F125" s="868">
        <f t="shared" si="16"/>
        <v>5.1761999999999997</v>
      </c>
      <c r="G125" s="868">
        <f t="shared" si="17"/>
        <v>62.114399999999996</v>
      </c>
    </row>
    <row r="126" spans="1:16" x14ac:dyDescent="0.2">
      <c r="A126" s="864" t="s">
        <v>4561</v>
      </c>
      <c r="B126" s="865">
        <v>94</v>
      </c>
      <c r="C126" s="865" t="s">
        <v>4243</v>
      </c>
      <c r="D126" s="866"/>
      <c r="E126" s="867">
        <f t="shared" si="15"/>
        <v>94</v>
      </c>
      <c r="F126" s="868">
        <f t="shared" si="16"/>
        <v>39.700000000000003</v>
      </c>
      <c r="G126" s="868">
        <f t="shared" si="17"/>
        <v>3731.8</v>
      </c>
    </row>
    <row r="127" spans="1:16" x14ac:dyDescent="0.2">
      <c r="A127" s="864" t="s">
        <v>4562</v>
      </c>
      <c r="B127" s="865">
        <v>6</v>
      </c>
      <c r="C127" s="865" t="s">
        <v>4243</v>
      </c>
      <c r="D127" s="866"/>
      <c r="E127" s="867">
        <f t="shared" si="15"/>
        <v>6</v>
      </c>
      <c r="F127" s="868">
        <f t="shared" si="16"/>
        <v>43.18</v>
      </c>
      <c r="G127" s="868">
        <f t="shared" si="17"/>
        <v>259.08</v>
      </c>
    </row>
    <row r="128" spans="1:16" x14ac:dyDescent="0.2">
      <c r="A128" s="864" t="s">
        <v>4563</v>
      </c>
      <c r="B128" s="865">
        <v>16</v>
      </c>
      <c r="C128" s="865" t="s">
        <v>4243</v>
      </c>
      <c r="D128" s="866"/>
      <c r="E128" s="867">
        <f t="shared" si="15"/>
        <v>16</v>
      </c>
      <c r="F128" s="868">
        <f t="shared" si="16"/>
        <v>34.42</v>
      </c>
      <c r="G128" s="868">
        <f t="shared" si="17"/>
        <v>550.72</v>
      </c>
    </row>
    <row r="129" spans="1:7" x14ac:dyDescent="0.2">
      <c r="A129" s="864" t="s">
        <v>4389</v>
      </c>
      <c r="B129" s="865">
        <v>559</v>
      </c>
      <c r="C129" s="865" t="s">
        <v>4243</v>
      </c>
      <c r="D129" s="866"/>
      <c r="E129" s="867">
        <f t="shared" si="15"/>
        <v>559</v>
      </c>
      <c r="F129" s="868">
        <f t="shared" si="16"/>
        <v>5.61</v>
      </c>
      <c r="G129" s="868">
        <f t="shared" si="17"/>
        <v>3135.9900000000002</v>
      </c>
    </row>
    <row r="130" spans="1:7" x14ac:dyDescent="0.2">
      <c r="A130" s="864" t="s">
        <v>4564</v>
      </c>
      <c r="B130" s="865">
        <v>252</v>
      </c>
      <c r="C130" s="865" t="s">
        <v>4243</v>
      </c>
      <c r="D130" s="866"/>
      <c r="E130" s="867">
        <f t="shared" si="15"/>
        <v>252</v>
      </c>
      <c r="F130" s="868">
        <f t="shared" si="16"/>
        <v>6.42</v>
      </c>
      <c r="G130" s="868">
        <f t="shared" si="17"/>
        <v>1617.84</v>
      </c>
    </row>
    <row r="131" spans="1:7" x14ac:dyDescent="0.2">
      <c r="A131" s="869"/>
      <c r="B131" s="870"/>
      <c r="C131" s="870"/>
      <c r="D131" s="871"/>
      <c r="E131" s="872"/>
      <c r="F131" s="873" t="s">
        <v>12</v>
      </c>
      <c r="G131" s="873">
        <f>SUM(G110:G130)</f>
        <v>17141.642399999997</v>
      </c>
    </row>
    <row r="132" spans="1:7" x14ac:dyDescent="0.2">
      <c r="A132" s="1202" t="s">
        <v>4565</v>
      </c>
      <c r="B132" s="1202"/>
      <c r="C132" s="1202"/>
      <c r="D132" s="1202"/>
      <c r="E132" s="1202"/>
      <c r="F132" s="1202"/>
      <c r="G132" s="1202"/>
    </row>
    <row r="133" spans="1:7" x14ac:dyDescent="0.2">
      <c r="A133" s="825" t="s">
        <v>0</v>
      </c>
      <c r="B133" s="825" t="s">
        <v>49</v>
      </c>
      <c r="C133" s="825" t="s">
        <v>46</v>
      </c>
      <c r="D133" s="856" t="s">
        <v>4301</v>
      </c>
      <c r="E133" s="857" t="s">
        <v>12</v>
      </c>
      <c r="F133" s="858" t="s">
        <v>4488</v>
      </c>
      <c r="G133" s="858" t="s">
        <v>4489</v>
      </c>
    </row>
    <row r="134" spans="1:7" x14ac:dyDescent="0.2">
      <c r="A134" s="864" t="s">
        <v>4566</v>
      </c>
      <c r="B134" s="865">
        <v>7</v>
      </c>
      <c r="C134" s="865" t="s">
        <v>4243</v>
      </c>
      <c r="D134" s="866"/>
      <c r="E134" s="867">
        <f t="shared" ref="E134:E149" si="18">B134*(1+D134)</f>
        <v>7</v>
      </c>
      <c r="F134" s="868">
        <f t="shared" ref="F134:F149" si="19">_xlfn.SINGLE(_xlfn.XLOOKUP(A134,N:N,O:O,,0))</f>
        <v>265</v>
      </c>
      <c r="G134" s="868">
        <f t="shared" ref="G134:G149" si="20">F134*E134</f>
        <v>1855</v>
      </c>
    </row>
    <row r="135" spans="1:7" x14ac:dyDescent="0.2">
      <c r="A135" s="864" t="s">
        <v>4567</v>
      </c>
      <c r="B135" s="865">
        <v>3</v>
      </c>
      <c r="C135" s="865" t="s">
        <v>4243</v>
      </c>
      <c r="D135" s="866"/>
      <c r="E135" s="867">
        <f t="shared" si="18"/>
        <v>3</v>
      </c>
      <c r="F135" s="868">
        <f t="shared" si="19"/>
        <v>340</v>
      </c>
      <c r="G135" s="868">
        <f t="shared" si="20"/>
        <v>1020</v>
      </c>
    </row>
    <row r="136" spans="1:7" x14ac:dyDescent="0.2">
      <c r="A136" s="864" t="s">
        <v>4527</v>
      </c>
      <c r="B136" s="865">
        <v>10</v>
      </c>
      <c r="C136" s="865" t="s">
        <v>4243</v>
      </c>
      <c r="D136" s="866"/>
      <c r="E136" s="867">
        <f t="shared" si="18"/>
        <v>10</v>
      </c>
      <c r="F136" s="868">
        <f t="shared" si="19"/>
        <v>266.07</v>
      </c>
      <c r="G136" s="868">
        <f t="shared" si="20"/>
        <v>2660.7</v>
      </c>
    </row>
    <row r="137" spans="1:7" x14ac:dyDescent="0.2">
      <c r="A137" s="864" t="s">
        <v>4568</v>
      </c>
      <c r="B137" s="865">
        <v>5</v>
      </c>
      <c r="C137" s="865" t="s">
        <v>4243</v>
      </c>
      <c r="D137" s="866"/>
      <c r="E137" s="867">
        <f t="shared" si="18"/>
        <v>5</v>
      </c>
      <c r="F137" s="868">
        <f t="shared" si="19"/>
        <v>136.16499999999999</v>
      </c>
      <c r="G137" s="868">
        <f t="shared" si="20"/>
        <v>680.82499999999993</v>
      </c>
    </row>
    <row r="138" spans="1:7" x14ac:dyDescent="0.2">
      <c r="A138" s="864" t="s">
        <v>4569</v>
      </c>
      <c r="B138" s="865">
        <v>1</v>
      </c>
      <c r="C138" s="865" t="s">
        <v>4243</v>
      </c>
      <c r="D138" s="866"/>
      <c r="E138" s="867">
        <f t="shared" si="18"/>
        <v>1</v>
      </c>
      <c r="F138" s="868">
        <f t="shared" si="19"/>
        <v>1000</v>
      </c>
      <c r="G138" s="868">
        <f t="shared" si="20"/>
        <v>1000</v>
      </c>
    </row>
    <row r="139" spans="1:7" x14ac:dyDescent="0.2">
      <c r="A139" s="864" t="s">
        <v>4570</v>
      </c>
      <c r="B139" s="865">
        <v>38</v>
      </c>
      <c r="C139" s="865" t="s">
        <v>4243</v>
      </c>
      <c r="D139" s="866"/>
      <c r="E139" s="867">
        <f t="shared" si="18"/>
        <v>38</v>
      </c>
      <c r="F139" s="868">
        <f t="shared" si="19"/>
        <v>6.2091000000000003</v>
      </c>
      <c r="G139" s="868">
        <f t="shared" si="20"/>
        <v>235.94580000000002</v>
      </c>
    </row>
    <row r="140" spans="1:7" x14ac:dyDescent="0.2">
      <c r="A140" s="864" t="s">
        <v>4571</v>
      </c>
      <c r="B140" s="865">
        <v>3</v>
      </c>
      <c r="C140" s="865" t="s">
        <v>4243</v>
      </c>
      <c r="D140" s="866"/>
      <c r="E140" s="867">
        <f t="shared" si="18"/>
        <v>3</v>
      </c>
      <c r="F140" s="868">
        <f t="shared" si="19"/>
        <v>8.08</v>
      </c>
      <c r="G140" s="868">
        <f t="shared" si="20"/>
        <v>24.240000000000002</v>
      </c>
    </row>
    <row r="141" spans="1:7" x14ac:dyDescent="0.2">
      <c r="A141" s="864" t="s">
        <v>4572</v>
      </c>
      <c r="B141" s="865">
        <v>35</v>
      </c>
      <c r="C141" s="865" t="s">
        <v>4243</v>
      </c>
      <c r="D141" s="866"/>
      <c r="E141" s="867">
        <f t="shared" si="18"/>
        <v>35</v>
      </c>
      <c r="F141" s="868">
        <f t="shared" si="19"/>
        <v>6.14</v>
      </c>
      <c r="G141" s="868">
        <f t="shared" si="20"/>
        <v>214.89999999999998</v>
      </c>
    </row>
    <row r="142" spans="1:7" x14ac:dyDescent="0.2">
      <c r="A142" s="864" t="s">
        <v>4573</v>
      </c>
      <c r="B142" s="865">
        <v>62</v>
      </c>
      <c r="C142" s="865" t="s">
        <v>4243</v>
      </c>
      <c r="D142" s="866"/>
      <c r="E142" s="867">
        <f t="shared" si="18"/>
        <v>62</v>
      </c>
      <c r="F142" s="868">
        <f t="shared" si="19"/>
        <v>6.14</v>
      </c>
      <c r="G142" s="868">
        <f t="shared" si="20"/>
        <v>380.68</v>
      </c>
    </row>
    <row r="143" spans="1:7" x14ac:dyDescent="0.2">
      <c r="A143" s="864" t="s">
        <v>4574</v>
      </c>
      <c r="B143" s="865">
        <v>35</v>
      </c>
      <c r="C143" s="865" t="s">
        <v>4243</v>
      </c>
      <c r="D143" s="866"/>
      <c r="E143" s="867">
        <f t="shared" si="18"/>
        <v>35</v>
      </c>
      <c r="F143" s="868">
        <f t="shared" si="19"/>
        <v>6.12</v>
      </c>
      <c r="G143" s="868">
        <f t="shared" si="20"/>
        <v>214.20000000000002</v>
      </c>
    </row>
    <row r="144" spans="1:7" x14ac:dyDescent="0.2">
      <c r="A144" s="864" t="s">
        <v>4575</v>
      </c>
      <c r="B144" s="865">
        <v>32</v>
      </c>
      <c r="C144" s="865" t="s">
        <v>4243</v>
      </c>
      <c r="D144" s="866"/>
      <c r="E144" s="867">
        <f t="shared" si="18"/>
        <v>32</v>
      </c>
      <c r="F144" s="868">
        <f t="shared" si="19"/>
        <v>8.99</v>
      </c>
      <c r="G144" s="868">
        <f t="shared" si="20"/>
        <v>287.68</v>
      </c>
    </row>
    <row r="145" spans="1:7" x14ac:dyDescent="0.2">
      <c r="A145" s="864" t="s">
        <v>4576</v>
      </c>
      <c r="B145" s="865">
        <v>1</v>
      </c>
      <c r="C145" s="865" t="s">
        <v>4243</v>
      </c>
      <c r="D145" s="866"/>
      <c r="E145" s="867">
        <f t="shared" si="18"/>
        <v>1</v>
      </c>
      <c r="F145" s="868">
        <f t="shared" si="19"/>
        <v>42.29</v>
      </c>
      <c r="G145" s="868">
        <f t="shared" si="20"/>
        <v>42.29</v>
      </c>
    </row>
    <row r="146" spans="1:7" x14ac:dyDescent="0.2">
      <c r="A146" s="864" t="s">
        <v>4577</v>
      </c>
      <c r="B146" s="865">
        <v>11</v>
      </c>
      <c r="C146" s="865" t="s">
        <v>4243</v>
      </c>
      <c r="D146" s="866"/>
      <c r="E146" s="867">
        <f t="shared" si="18"/>
        <v>11</v>
      </c>
      <c r="F146" s="868">
        <f t="shared" si="19"/>
        <v>54.9</v>
      </c>
      <c r="G146" s="868">
        <f t="shared" si="20"/>
        <v>603.9</v>
      </c>
    </row>
    <row r="147" spans="1:7" x14ac:dyDescent="0.2">
      <c r="A147" s="864" t="s">
        <v>4578</v>
      </c>
      <c r="B147" s="865">
        <v>4</v>
      </c>
      <c r="C147" s="865" t="s">
        <v>4243</v>
      </c>
      <c r="D147" s="866"/>
      <c r="E147" s="867">
        <f t="shared" si="18"/>
        <v>4</v>
      </c>
      <c r="F147" s="868">
        <f t="shared" si="19"/>
        <v>47.27</v>
      </c>
      <c r="G147" s="868">
        <f t="shared" si="20"/>
        <v>189.08</v>
      </c>
    </row>
    <row r="148" spans="1:7" x14ac:dyDescent="0.2">
      <c r="A148" s="864" t="s">
        <v>4579</v>
      </c>
      <c r="B148" s="865">
        <v>17</v>
      </c>
      <c r="C148" s="865" t="s">
        <v>4243</v>
      </c>
      <c r="D148" s="866"/>
      <c r="E148" s="867">
        <f t="shared" si="18"/>
        <v>17</v>
      </c>
      <c r="F148" s="868">
        <f t="shared" si="19"/>
        <v>137.9</v>
      </c>
      <c r="G148" s="868">
        <f t="shared" si="20"/>
        <v>2344.3000000000002</v>
      </c>
    </row>
    <row r="149" spans="1:7" x14ac:dyDescent="0.2">
      <c r="A149" s="864" t="s">
        <v>4580</v>
      </c>
      <c r="B149" s="865">
        <v>1</v>
      </c>
      <c r="C149" s="865" t="s">
        <v>4243</v>
      </c>
      <c r="D149" s="866"/>
      <c r="E149" s="867">
        <f t="shared" si="18"/>
        <v>1</v>
      </c>
      <c r="F149" s="868">
        <f t="shared" si="19"/>
        <v>184.9</v>
      </c>
      <c r="G149" s="868">
        <f t="shared" si="20"/>
        <v>184.9</v>
      </c>
    </row>
    <row r="150" spans="1:7" x14ac:dyDescent="0.2">
      <c r="A150" s="869"/>
      <c r="B150" s="870"/>
      <c r="C150" s="870"/>
      <c r="D150" s="871"/>
      <c r="E150" s="872"/>
      <c r="F150" s="873" t="s">
        <v>12</v>
      </c>
      <c r="G150" s="873">
        <f>SUM(G134:G149)</f>
        <v>11938.640799999999</v>
      </c>
    </row>
    <row r="151" spans="1:7" x14ac:dyDescent="0.2">
      <c r="A151" s="1202" t="s">
        <v>4581</v>
      </c>
      <c r="B151" s="1202"/>
      <c r="C151" s="1202"/>
      <c r="D151" s="1202"/>
      <c r="E151" s="1202"/>
      <c r="F151" s="1202"/>
      <c r="G151" s="1202"/>
    </row>
    <row r="152" spans="1:7" x14ac:dyDescent="0.2">
      <c r="A152" s="825" t="s">
        <v>0</v>
      </c>
      <c r="B152" s="825" t="s">
        <v>49</v>
      </c>
      <c r="C152" s="825" t="s">
        <v>46</v>
      </c>
      <c r="D152" s="856" t="s">
        <v>4301</v>
      </c>
      <c r="E152" s="857" t="s">
        <v>12</v>
      </c>
      <c r="F152" s="858" t="s">
        <v>4488</v>
      </c>
      <c r="G152" s="858" t="s">
        <v>4489</v>
      </c>
    </row>
    <row r="153" spans="1:7" x14ac:dyDescent="0.2">
      <c r="A153" s="864" t="s">
        <v>4582</v>
      </c>
      <c r="B153" s="865">
        <v>75</v>
      </c>
      <c r="C153" s="865" t="s">
        <v>4243</v>
      </c>
      <c r="D153" s="866"/>
      <c r="E153" s="867">
        <f t="shared" ref="E153:E160" si="21">B153*(1+D153)</f>
        <v>75</v>
      </c>
      <c r="F153" s="868">
        <f>_xlfn.XLOOKUP(A153,N:N,O:O,,0)</f>
        <v>39.81</v>
      </c>
      <c r="G153" s="868">
        <f>F153*E153</f>
        <v>2985.75</v>
      </c>
    </row>
    <row r="154" spans="1:7" x14ac:dyDescent="0.2">
      <c r="A154" s="864" t="s">
        <v>4583</v>
      </c>
      <c r="B154" s="865">
        <v>16</v>
      </c>
      <c r="C154" s="865" t="s">
        <v>4243</v>
      </c>
      <c r="D154" s="866"/>
      <c r="E154" s="867">
        <f t="shared" si="21"/>
        <v>16</v>
      </c>
      <c r="F154" s="868">
        <f t="shared" ref="F154:F160" si="22">_xlfn.SINGLE(_xlfn.XLOOKUP(A154,N:N,O:O,,0))</f>
        <v>59.99</v>
      </c>
      <c r="G154" s="868">
        <f t="shared" ref="G154:G160" si="23">F154*E154</f>
        <v>959.84</v>
      </c>
    </row>
    <row r="155" spans="1:7" x14ac:dyDescent="0.2">
      <c r="A155" s="864" t="s">
        <v>4584</v>
      </c>
      <c r="B155" s="865">
        <v>14</v>
      </c>
      <c r="C155" s="865" t="s">
        <v>4243</v>
      </c>
      <c r="D155" s="866"/>
      <c r="E155" s="867">
        <f t="shared" si="21"/>
        <v>14</v>
      </c>
      <c r="F155" s="868">
        <f t="shared" si="22"/>
        <v>9.83</v>
      </c>
      <c r="G155" s="868">
        <f t="shared" si="23"/>
        <v>137.62</v>
      </c>
    </row>
    <row r="156" spans="1:7" x14ac:dyDescent="0.2">
      <c r="A156" s="864" t="s">
        <v>4585</v>
      </c>
      <c r="B156" s="865">
        <v>19</v>
      </c>
      <c r="C156" s="865" t="s">
        <v>4243</v>
      </c>
      <c r="D156" s="866"/>
      <c r="E156" s="867">
        <f t="shared" si="21"/>
        <v>19</v>
      </c>
      <c r="F156" s="868">
        <f t="shared" si="22"/>
        <v>17.5</v>
      </c>
      <c r="G156" s="868">
        <f t="shared" si="23"/>
        <v>332.5</v>
      </c>
    </row>
    <row r="157" spans="1:7" x14ac:dyDescent="0.2">
      <c r="A157" s="864" t="s">
        <v>4586</v>
      </c>
      <c r="B157" s="865">
        <v>1</v>
      </c>
      <c r="C157" s="865" t="s">
        <v>4243</v>
      </c>
      <c r="D157" s="866"/>
      <c r="E157" s="867">
        <f t="shared" si="21"/>
        <v>1</v>
      </c>
      <c r="F157" s="868">
        <f t="shared" si="22"/>
        <v>62.9</v>
      </c>
      <c r="G157" s="868">
        <f t="shared" si="23"/>
        <v>62.9</v>
      </c>
    </row>
    <row r="158" spans="1:7" x14ac:dyDescent="0.2">
      <c r="A158" s="864" t="s">
        <v>4587</v>
      </c>
      <c r="B158" s="865">
        <v>1</v>
      </c>
      <c r="C158" s="865" t="s">
        <v>4243</v>
      </c>
      <c r="D158" s="866"/>
      <c r="E158" s="867">
        <f t="shared" si="21"/>
        <v>1</v>
      </c>
      <c r="F158" s="868">
        <f t="shared" si="22"/>
        <v>50</v>
      </c>
      <c r="G158" s="868">
        <f t="shared" si="23"/>
        <v>50</v>
      </c>
    </row>
    <row r="159" spans="1:7" x14ac:dyDescent="0.2">
      <c r="A159" s="864" t="s">
        <v>4588</v>
      </c>
      <c r="B159" s="865">
        <v>1</v>
      </c>
      <c r="C159" s="865" t="s">
        <v>4243</v>
      </c>
      <c r="D159" s="866"/>
      <c r="E159" s="867">
        <f t="shared" si="21"/>
        <v>1</v>
      </c>
      <c r="F159" s="868">
        <f t="shared" si="22"/>
        <v>73.5</v>
      </c>
      <c r="G159" s="868">
        <f t="shared" si="23"/>
        <v>73.5</v>
      </c>
    </row>
    <row r="160" spans="1:7" x14ac:dyDescent="0.2">
      <c r="A160" s="864" t="s">
        <v>4589</v>
      </c>
      <c r="B160" s="865">
        <v>225</v>
      </c>
      <c r="C160" s="865" t="s">
        <v>4243</v>
      </c>
      <c r="D160" s="866"/>
      <c r="E160" s="867">
        <f t="shared" si="21"/>
        <v>225</v>
      </c>
      <c r="F160" s="868">
        <f t="shared" si="22"/>
        <v>17.89</v>
      </c>
      <c r="G160" s="868">
        <f t="shared" si="23"/>
        <v>4025.25</v>
      </c>
    </row>
    <row r="161" spans="1:7" x14ac:dyDescent="0.2">
      <c r="A161" s="869"/>
      <c r="B161" s="870"/>
      <c r="C161" s="870"/>
      <c r="D161" s="871"/>
      <c r="E161" s="872"/>
      <c r="F161" s="873" t="s">
        <v>12</v>
      </c>
      <c r="G161" s="873">
        <f>SUM(G153:G160)</f>
        <v>8627.36</v>
      </c>
    </row>
    <row r="162" spans="1:7" x14ac:dyDescent="0.2">
      <c r="A162" s="1202" t="s">
        <v>4592</v>
      </c>
      <c r="B162" s="1202"/>
      <c r="C162" s="1202"/>
      <c r="D162" s="1202"/>
      <c r="E162" s="1202"/>
      <c r="F162" s="1202"/>
      <c r="G162" s="1202"/>
    </row>
    <row r="163" spans="1:7" x14ac:dyDescent="0.2">
      <c r="A163" s="825" t="s">
        <v>0</v>
      </c>
      <c r="B163" s="825" t="s">
        <v>49</v>
      </c>
      <c r="C163" s="825" t="s">
        <v>46</v>
      </c>
      <c r="D163" s="856" t="s">
        <v>4301</v>
      </c>
      <c r="E163" s="857" t="s">
        <v>12</v>
      </c>
      <c r="F163" s="858" t="s">
        <v>4488</v>
      </c>
      <c r="G163" s="858" t="s">
        <v>4489</v>
      </c>
    </row>
    <row r="164" spans="1:7" x14ac:dyDescent="0.2">
      <c r="A164" s="864" t="s">
        <v>4362</v>
      </c>
      <c r="B164" s="865">
        <v>133</v>
      </c>
      <c r="C164" s="865" t="s">
        <v>4243</v>
      </c>
      <c r="D164" s="866"/>
      <c r="E164" s="867">
        <f t="shared" ref="E164:E197" si="24">B164*(1+D164)</f>
        <v>133</v>
      </c>
      <c r="F164" s="868">
        <f>_xlfn.XLOOKUP(A164,N:N,O:O,,0)</f>
        <v>1.5423</v>
      </c>
      <c r="G164" s="868">
        <f>F164*E164</f>
        <v>205.1259</v>
      </c>
    </row>
    <row r="165" spans="1:7" x14ac:dyDescent="0.2">
      <c r="A165" s="864" t="s">
        <v>4363</v>
      </c>
      <c r="B165" s="865">
        <v>11</v>
      </c>
      <c r="C165" s="865" t="s">
        <v>4243</v>
      </c>
      <c r="D165" s="866"/>
      <c r="E165" s="867">
        <f t="shared" si="24"/>
        <v>11</v>
      </c>
      <c r="F165" s="868">
        <f t="shared" ref="F165:F197" si="25">_xlfn.SINGLE(_xlfn.XLOOKUP(A165,N:N,O:O,,0))</f>
        <v>2.4700000000000002</v>
      </c>
      <c r="G165" s="868">
        <f t="shared" ref="G165:G197" si="26">F165*E165</f>
        <v>27.17</v>
      </c>
    </row>
    <row r="166" spans="1:7" x14ac:dyDescent="0.2">
      <c r="A166" s="864" t="s">
        <v>4593</v>
      </c>
      <c r="B166" s="865">
        <v>6</v>
      </c>
      <c r="C166" s="865" t="s">
        <v>4243</v>
      </c>
      <c r="D166" s="866"/>
      <c r="E166" s="867">
        <f t="shared" si="24"/>
        <v>6</v>
      </c>
      <c r="F166" s="868">
        <f t="shared" si="25"/>
        <v>73.7</v>
      </c>
      <c r="G166" s="868">
        <f t="shared" si="26"/>
        <v>442.20000000000005</v>
      </c>
    </row>
    <row r="167" spans="1:7" x14ac:dyDescent="0.2">
      <c r="A167" s="864" t="s">
        <v>4490</v>
      </c>
      <c r="B167" s="865">
        <v>46</v>
      </c>
      <c r="C167" s="865" t="s">
        <v>4243</v>
      </c>
      <c r="D167" s="866"/>
      <c r="E167" s="867">
        <f t="shared" si="24"/>
        <v>46</v>
      </c>
      <c r="F167" s="868">
        <f t="shared" si="25"/>
        <v>3.06</v>
      </c>
      <c r="G167" s="868">
        <f t="shared" si="26"/>
        <v>140.76</v>
      </c>
    </row>
    <row r="168" spans="1:7" x14ac:dyDescent="0.2">
      <c r="A168" s="864" t="s">
        <v>4510</v>
      </c>
      <c r="B168" s="865">
        <v>5</v>
      </c>
      <c r="C168" s="865" t="s">
        <v>4243</v>
      </c>
      <c r="D168" s="866"/>
      <c r="E168" s="867">
        <f t="shared" si="24"/>
        <v>5</v>
      </c>
      <c r="F168" s="868">
        <f t="shared" si="25"/>
        <v>154.19999999999999</v>
      </c>
      <c r="G168" s="868">
        <f t="shared" si="26"/>
        <v>771</v>
      </c>
    </row>
    <row r="169" spans="1:7" x14ac:dyDescent="0.2">
      <c r="A169" s="864" t="s">
        <v>4594</v>
      </c>
      <c r="B169" s="865">
        <v>1</v>
      </c>
      <c r="C169" s="865" t="s">
        <v>4243</v>
      </c>
      <c r="D169" s="866"/>
      <c r="E169" s="867">
        <f t="shared" si="24"/>
        <v>1</v>
      </c>
      <c r="F169" s="868">
        <f t="shared" si="25"/>
        <v>88.19</v>
      </c>
      <c r="G169" s="868">
        <f t="shared" si="26"/>
        <v>88.19</v>
      </c>
    </row>
    <row r="170" spans="1:7" x14ac:dyDescent="0.2">
      <c r="A170" s="864" t="s">
        <v>4595</v>
      </c>
      <c r="B170" s="865">
        <v>16</v>
      </c>
      <c r="C170" s="865" t="s">
        <v>4243</v>
      </c>
      <c r="D170" s="866"/>
      <c r="E170" s="867">
        <f t="shared" si="24"/>
        <v>16</v>
      </c>
      <c r="F170" s="868">
        <f t="shared" si="25"/>
        <v>211</v>
      </c>
      <c r="G170" s="868">
        <f t="shared" si="26"/>
        <v>3376</v>
      </c>
    </row>
    <row r="171" spans="1:7" x14ac:dyDescent="0.2">
      <c r="A171" s="864" t="s">
        <v>4596</v>
      </c>
      <c r="B171" s="865">
        <v>42</v>
      </c>
      <c r="C171" s="865" t="s">
        <v>4243</v>
      </c>
      <c r="D171" s="866"/>
      <c r="E171" s="867">
        <f t="shared" si="24"/>
        <v>42</v>
      </c>
      <c r="F171" s="868">
        <f t="shared" si="25"/>
        <v>3.8664999999999998</v>
      </c>
      <c r="G171" s="868">
        <f t="shared" si="26"/>
        <v>162.393</v>
      </c>
    </row>
    <row r="172" spans="1:7" x14ac:dyDescent="0.2">
      <c r="A172" s="864" t="s">
        <v>4367</v>
      </c>
      <c r="B172" s="865">
        <v>42</v>
      </c>
      <c r="C172" s="865" t="s">
        <v>4243</v>
      </c>
      <c r="D172" s="866"/>
      <c r="E172" s="867">
        <f t="shared" si="24"/>
        <v>42</v>
      </c>
      <c r="F172" s="868">
        <f t="shared" si="25"/>
        <v>3.74</v>
      </c>
      <c r="G172" s="868">
        <f t="shared" si="26"/>
        <v>157.08000000000001</v>
      </c>
    </row>
    <row r="173" spans="1:7" x14ac:dyDescent="0.2">
      <c r="A173" s="864" t="s">
        <v>4553</v>
      </c>
      <c r="B173" s="865">
        <v>42</v>
      </c>
      <c r="C173" s="865" t="s">
        <v>4243</v>
      </c>
      <c r="D173" s="866"/>
      <c r="E173" s="867">
        <f t="shared" si="24"/>
        <v>42</v>
      </c>
      <c r="F173" s="868">
        <f t="shared" si="25"/>
        <v>4.04</v>
      </c>
      <c r="G173" s="868">
        <f t="shared" si="26"/>
        <v>169.68</v>
      </c>
    </row>
    <row r="174" spans="1:7" x14ac:dyDescent="0.2">
      <c r="A174" s="864" t="s">
        <v>4554</v>
      </c>
      <c r="B174" s="865">
        <v>9</v>
      </c>
      <c r="C174" s="865" t="s">
        <v>4243</v>
      </c>
      <c r="D174" s="866"/>
      <c r="E174" s="867">
        <f t="shared" si="24"/>
        <v>9</v>
      </c>
      <c r="F174" s="868">
        <f t="shared" si="25"/>
        <v>8.4600000000000009</v>
      </c>
      <c r="G174" s="868">
        <f t="shared" si="26"/>
        <v>76.140000000000015</v>
      </c>
    </row>
    <row r="175" spans="1:7" x14ac:dyDescent="0.2">
      <c r="A175" s="864" t="s">
        <v>4368</v>
      </c>
      <c r="B175" s="865">
        <v>64</v>
      </c>
      <c r="C175" s="865" t="s">
        <v>4243</v>
      </c>
      <c r="D175" s="866"/>
      <c r="E175" s="867">
        <f t="shared" si="24"/>
        <v>64</v>
      </c>
      <c r="F175" s="868">
        <f t="shared" si="25"/>
        <v>1.385</v>
      </c>
      <c r="G175" s="868">
        <f t="shared" si="26"/>
        <v>88.64</v>
      </c>
    </row>
    <row r="176" spans="1:7" x14ac:dyDescent="0.2">
      <c r="A176" s="864" t="s">
        <v>4555</v>
      </c>
      <c r="B176" s="865">
        <v>9</v>
      </c>
      <c r="C176" s="865" t="s">
        <v>4243</v>
      </c>
      <c r="D176" s="866"/>
      <c r="E176" s="867">
        <f t="shared" si="24"/>
        <v>9</v>
      </c>
      <c r="F176" s="868">
        <f t="shared" si="25"/>
        <v>0</v>
      </c>
      <c r="G176" s="868">
        <f t="shared" si="26"/>
        <v>0</v>
      </c>
    </row>
    <row r="177" spans="1:7" x14ac:dyDescent="0.2">
      <c r="A177" s="864" t="s">
        <v>4597</v>
      </c>
      <c r="B177" s="865">
        <v>7</v>
      </c>
      <c r="C177" s="865" t="s">
        <v>4243</v>
      </c>
      <c r="D177" s="866"/>
      <c r="E177" s="867">
        <f t="shared" si="24"/>
        <v>7</v>
      </c>
      <c r="F177" s="868">
        <f t="shared" si="25"/>
        <v>500</v>
      </c>
      <c r="G177" s="868">
        <f t="shared" si="26"/>
        <v>3500</v>
      </c>
    </row>
    <row r="178" spans="1:7" x14ac:dyDescent="0.2">
      <c r="A178" s="864" t="s">
        <v>4598</v>
      </c>
      <c r="B178" s="865">
        <v>8</v>
      </c>
      <c r="C178" s="865" t="s">
        <v>4243</v>
      </c>
      <c r="D178" s="866"/>
      <c r="E178" s="867">
        <f t="shared" si="24"/>
        <v>8</v>
      </c>
      <c r="F178" s="868">
        <f t="shared" si="25"/>
        <v>361.91</v>
      </c>
      <c r="G178" s="868">
        <f t="shared" si="26"/>
        <v>2895.28</v>
      </c>
    </row>
    <row r="179" spans="1:7" x14ac:dyDescent="0.2">
      <c r="A179" s="864" t="s">
        <v>4599</v>
      </c>
      <c r="B179" s="865">
        <v>8</v>
      </c>
      <c r="C179" s="865" t="s">
        <v>4243</v>
      </c>
      <c r="D179" s="866"/>
      <c r="E179" s="867">
        <f t="shared" si="24"/>
        <v>8</v>
      </c>
      <c r="F179" s="868">
        <f t="shared" si="25"/>
        <v>6.42</v>
      </c>
      <c r="G179" s="868">
        <f t="shared" si="26"/>
        <v>51.36</v>
      </c>
    </row>
    <row r="180" spans="1:7" x14ac:dyDescent="0.2">
      <c r="A180" s="864" t="s">
        <v>4600</v>
      </c>
      <c r="B180" s="865">
        <v>6</v>
      </c>
      <c r="C180" s="865" t="s">
        <v>4243</v>
      </c>
      <c r="D180" s="866"/>
      <c r="E180" s="867">
        <f t="shared" si="24"/>
        <v>6</v>
      </c>
      <c r="F180" s="868">
        <f t="shared" si="25"/>
        <v>6.42</v>
      </c>
      <c r="G180" s="868">
        <f t="shared" si="26"/>
        <v>38.519999999999996</v>
      </c>
    </row>
    <row r="181" spans="1:7" x14ac:dyDescent="0.2">
      <c r="A181" s="864" t="s">
        <v>4601</v>
      </c>
      <c r="B181" s="865">
        <v>40</v>
      </c>
      <c r="C181" s="865" t="s">
        <v>4243</v>
      </c>
      <c r="D181" s="866"/>
      <c r="E181" s="867">
        <f t="shared" si="24"/>
        <v>40</v>
      </c>
      <c r="F181" s="868">
        <f t="shared" si="25"/>
        <v>6.42</v>
      </c>
      <c r="G181" s="868">
        <f t="shared" si="26"/>
        <v>256.8</v>
      </c>
    </row>
    <row r="182" spans="1:7" x14ac:dyDescent="0.2">
      <c r="A182" s="864" t="s">
        <v>4602</v>
      </c>
      <c r="B182" s="865">
        <v>2</v>
      </c>
      <c r="C182" s="865" t="s">
        <v>4243</v>
      </c>
      <c r="D182" s="866"/>
      <c r="E182" s="867">
        <f t="shared" si="24"/>
        <v>2</v>
      </c>
      <c r="F182" s="868">
        <f t="shared" si="25"/>
        <v>6.42</v>
      </c>
      <c r="G182" s="868">
        <f t="shared" si="26"/>
        <v>12.84</v>
      </c>
    </row>
    <row r="183" spans="1:7" x14ac:dyDescent="0.2">
      <c r="A183" s="864" t="s">
        <v>4603</v>
      </c>
      <c r="B183" s="865">
        <v>26</v>
      </c>
      <c r="C183" s="865" t="s">
        <v>4243</v>
      </c>
      <c r="D183" s="866"/>
      <c r="E183" s="867">
        <f t="shared" si="24"/>
        <v>26</v>
      </c>
      <c r="F183" s="868">
        <f t="shared" si="25"/>
        <v>6.42</v>
      </c>
      <c r="G183" s="868">
        <f t="shared" si="26"/>
        <v>166.92</v>
      </c>
    </row>
    <row r="184" spans="1:7" x14ac:dyDescent="0.2">
      <c r="A184" s="864" t="s">
        <v>4604</v>
      </c>
      <c r="B184" s="865">
        <v>20</v>
      </c>
      <c r="C184" s="865" t="s">
        <v>4243</v>
      </c>
      <c r="D184" s="866"/>
      <c r="E184" s="867">
        <f t="shared" si="24"/>
        <v>20</v>
      </c>
      <c r="F184" s="868">
        <f t="shared" si="25"/>
        <v>10.07</v>
      </c>
      <c r="G184" s="868">
        <f t="shared" si="26"/>
        <v>201.4</v>
      </c>
    </row>
    <row r="185" spans="1:7" x14ac:dyDescent="0.2">
      <c r="A185" s="864" t="s">
        <v>4605</v>
      </c>
      <c r="B185" s="865">
        <v>21</v>
      </c>
      <c r="C185" s="865" t="s">
        <v>4243</v>
      </c>
      <c r="D185" s="866"/>
      <c r="E185" s="867">
        <f t="shared" si="24"/>
        <v>21</v>
      </c>
      <c r="F185" s="868">
        <f t="shared" si="25"/>
        <v>23.67</v>
      </c>
      <c r="G185" s="868">
        <f t="shared" si="26"/>
        <v>497.07000000000005</v>
      </c>
    </row>
    <row r="186" spans="1:7" x14ac:dyDescent="0.2">
      <c r="A186" s="864" t="s">
        <v>4606</v>
      </c>
      <c r="B186" s="865">
        <v>53</v>
      </c>
      <c r="C186" s="865" t="s">
        <v>4243</v>
      </c>
      <c r="D186" s="866"/>
      <c r="E186" s="867">
        <f t="shared" si="24"/>
        <v>53</v>
      </c>
      <c r="F186" s="868">
        <f t="shared" si="25"/>
        <v>12.92</v>
      </c>
      <c r="G186" s="868">
        <f t="shared" si="26"/>
        <v>684.76</v>
      </c>
    </row>
    <row r="187" spans="1:7" x14ac:dyDescent="0.2">
      <c r="A187" s="864" t="s">
        <v>4382</v>
      </c>
      <c r="B187" s="865">
        <v>29</v>
      </c>
      <c r="C187" s="865" t="s">
        <v>4243</v>
      </c>
      <c r="D187" s="866"/>
      <c r="E187" s="867">
        <f t="shared" si="24"/>
        <v>29</v>
      </c>
      <c r="F187" s="868">
        <f t="shared" si="25"/>
        <v>0.88249999999999995</v>
      </c>
      <c r="G187" s="868">
        <f t="shared" si="26"/>
        <v>25.592499999999998</v>
      </c>
    </row>
    <row r="188" spans="1:7" x14ac:dyDescent="0.2">
      <c r="A188" s="864" t="s">
        <v>4383</v>
      </c>
      <c r="B188" s="865">
        <v>50.55</v>
      </c>
      <c r="C188" s="865" t="s">
        <v>3</v>
      </c>
      <c r="D188" s="866">
        <v>0.2</v>
      </c>
      <c r="E188" s="867">
        <f t="shared" si="24"/>
        <v>60.66</v>
      </c>
      <c r="F188" s="868">
        <f t="shared" si="25"/>
        <v>1.0137779999999998</v>
      </c>
      <c r="G188" s="868">
        <f t="shared" si="26"/>
        <v>61.49577347999999</v>
      </c>
    </row>
    <row r="189" spans="1:7" x14ac:dyDescent="0.2">
      <c r="A189" s="864" t="s">
        <v>4607</v>
      </c>
      <c r="B189" s="865">
        <v>37.659999999999997</v>
      </c>
      <c r="C189" s="865" t="s">
        <v>3</v>
      </c>
      <c r="D189" s="866">
        <v>0.2</v>
      </c>
      <c r="E189" s="867">
        <f t="shared" si="24"/>
        <v>45.191999999999993</v>
      </c>
      <c r="F189" s="868">
        <f t="shared" si="25"/>
        <v>6.6067999999999998</v>
      </c>
      <c r="G189" s="868">
        <f t="shared" si="26"/>
        <v>298.57450559999995</v>
      </c>
    </row>
    <row r="190" spans="1:7" x14ac:dyDescent="0.2">
      <c r="A190" s="864" t="s">
        <v>4384</v>
      </c>
      <c r="B190" s="865">
        <v>586.29</v>
      </c>
      <c r="C190" s="865" t="s">
        <v>3</v>
      </c>
      <c r="D190" s="866">
        <v>0.2</v>
      </c>
      <c r="E190" s="867">
        <f t="shared" si="24"/>
        <v>703.54799999999989</v>
      </c>
      <c r="F190" s="868">
        <f t="shared" si="25"/>
        <v>1.00908</v>
      </c>
      <c r="G190" s="868">
        <f t="shared" si="26"/>
        <v>709.93621583999982</v>
      </c>
    </row>
    <row r="191" spans="1:7" x14ac:dyDescent="0.2">
      <c r="A191" s="864" t="s">
        <v>4385</v>
      </c>
      <c r="B191" s="865">
        <v>68.03</v>
      </c>
      <c r="C191" s="865" t="s">
        <v>3</v>
      </c>
      <c r="D191" s="866">
        <v>0.2</v>
      </c>
      <c r="E191" s="867">
        <f t="shared" si="24"/>
        <v>81.635999999999996</v>
      </c>
      <c r="F191" s="868">
        <f t="shared" si="25"/>
        <v>1.649</v>
      </c>
      <c r="G191" s="868">
        <f t="shared" si="26"/>
        <v>134.61776399999999</v>
      </c>
    </row>
    <row r="192" spans="1:7" x14ac:dyDescent="0.2">
      <c r="A192" s="864" t="s">
        <v>4386</v>
      </c>
      <c r="B192" s="865">
        <v>90.84</v>
      </c>
      <c r="C192" s="865" t="s">
        <v>3</v>
      </c>
      <c r="D192" s="866">
        <v>0.2</v>
      </c>
      <c r="E192" s="867">
        <f t="shared" si="24"/>
        <v>109.008</v>
      </c>
      <c r="F192" s="868">
        <f t="shared" si="25"/>
        <v>1.65</v>
      </c>
      <c r="G192" s="868">
        <f t="shared" si="26"/>
        <v>179.86319999999998</v>
      </c>
    </row>
    <row r="193" spans="1:7" x14ac:dyDescent="0.2">
      <c r="A193" s="864" t="s">
        <v>4387</v>
      </c>
      <c r="B193" s="865">
        <v>161.68</v>
      </c>
      <c r="C193" s="865" t="s">
        <v>3</v>
      </c>
      <c r="D193" s="866">
        <v>0.2</v>
      </c>
      <c r="E193" s="867">
        <f t="shared" si="24"/>
        <v>194.01599999999999</v>
      </c>
      <c r="F193" s="868">
        <f t="shared" si="25"/>
        <v>1.65</v>
      </c>
      <c r="G193" s="868">
        <f t="shared" si="26"/>
        <v>320.12639999999999</v>
      </c>
    </row>
    <row r="194" spans="1:7" x14ac:dyDescent="0.2">
      <c r="A194" s="864" t="s">
        <v>4388</v>
      </c>
      <c r="B194" s="865">
        <v>558.02</v>
      </c>
      <c r="C194" s="865" t="s">
        <v>3</v>
      </c>
      <c r="D194" s="866">
        <v>0.2</v>
      </c>
      <c r="E194" s="867">
        <f t="shared" si="24"/>
        <v>669.62399999999991</v>
      </c>
      <c r="F194" s="868">
        <f t="shared" si="25"/>
        <v>1.65</v>
      </c>
      <c r="G194" s="868">
        <f t="shared" si="26"/>
        <v>1104.8795999999998</v>
      </c>
    </row>
    <row r="195" spans="1:7" x14ac:dyDescent="0.2">
      <c r="A195" s="864" t="s">
        <v>4540</v>
      </c>
      <c r="B195" s="865">
        <v>62</v>
      </c>
      <c r="C195" s="865" t="s">
        <v>3</v>
      </c>
      <c r="D195" s="866">
        <v>0.05</v>
      </c>
      <c r="E195" s="867">
        <f t="shared" si="24"/>
        <v>65.100000000000009</v>
      </c>
      <c r="F195" s="868">
        <f t="shared" si="25"/>
        <v>6.6633333333333331</v>
      </c>
      <c r="G195" s="868">
        <f t="shared" si="26"/>
        <v>433.78300000000002</v>
      </c>
    </row>
    <row r="196" spans="1:7" x14ac:dyDescent="0.2">
      <c r="A196" s="864" t="s">
        <v>4513</v>
      </c>
      <c r="B196" s="865">
        <v>86</v>
      </c>
      <c r="C196" s="865" t="s">
        <v>3</v>
      </c>
      <c r="D196" s="866">
        <v>0.05</v>
      </c>
      <c r="E196" s="867">
        <f t="shared" si="24"/>
        <v>90.3</v>
      </c>
      <c r="F196" s="868">
        <f t="shared" si="25"/>
        <v>14.94</v>
      </c>
      <c r="G196" s="868">
        <f t="shared" si="26"/>
        <v>1349.0819999999999</v>
      </c>
    </row>
    <row r="197" spans="1:7" x14ac:dyDescent="0.2">
      <c r="A197" s="864" t="s">
        <v>4556</v>
      </c>
      <c r="B197" s="865">
        <v>27</v>
      </c>
      <c r="C197" s="865" t="s">
        <v>4243</v>
      </c>
      <c r="D197" s="866"/>
      <c r="E197" s="867">
        <f t="shared" si="24"/>
        <v>27</v>
      </c>
      <c r="F197" s="868">
        <f t="shared" si="25"/>
        <v>1.69</v>
      </c>
      <c r="G197" s="868">
        <f t="shared" si="26"/>
        <v>45.629999999999995</v>
      </c>
    </row>
    <row r="198" spans="1:7" x14ac:dyDescent="0.2">
      <c r="A198" s="869"/>
      <c r="B198" s="870"/>
      <c r="C198" s="870"/>
      <c r="D198" s="871"/>
      <c r="E198" s="872"/>
      <c r="F198" s="873" t="s">
        <v>12</v>
      </c>
      <c r="G198" s="873">
        <f>SUM(G164:G197)</f>
        <v>18672.90985892</v>
      </c>
    </row>
  </sheetData>
  <autoFilter ref="N1:N197" xr:uid="{88742E64-185F-475C-97FF-92483CDBDCDA}"/>
  <mergeCells count="9">
    <mergeCell ref="A108:G108"/>
    <mergeCell ref="A132:G132"/>
    <mergeCell ref="A151:G151"/>
    <mergeCell ref="A162:G162"/>
    <mergeCell ref="A1:G1"/>
    <mergeCell ref="A27:G27"/>
    <mergeCell ref="A40:G40"/>
    <mergeCell ref="A59:G59"/>
    <mergeCell ref="A70:G70"/>
  </mergeCells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8142F-2E30-46E9-A23A-FB996777F9C8}">
  <sheetPr>
    <tabColor rgb="FF1856D6"/>
  </sheetPr>
  <dimension ref="A1:G64"/>
  <sheetViews>
    <sheetView topLeftCell="A42" zoomScale="90" zoomScaleNormal="90" workbookViewId="0">
      <selection activeCell="F63" sqref="F63"/>
    </sheetView>
  </sheetViews>
  <sheetFormatPr defaultColWidth="9.140625" defaultRowHeight="15" x14ac:dyDescent="0.25"/>
  <cols>
    <col min="1" max="1" width="15.42578125" style="937" customWidth="1"/>
    <col min="2" max="2" width="65.42578125" style="937" customWidth="1"/>
    <col min="3" max="3" width="16.7109375" style="937" customWidth="1"/>
    <col min="4" max="4" width="13.42578125" style="937" customWidth="1"/>
    <col min="5" max="5" width="20" style="980" customWidth="1"/>
    <col min="6" max="6" width="22" style="980" customWidth="1"/>
    <col min="7" max="7" width="28.140625" style="937" customWidth="1"/>
    <col min="8" max="16384" width="9.140625" style="937"/>
  </cols>
  <sheetData>
    <row r="1" spans="1:7" ht="21.75" x14ac:dyDescent="0.6">
      <c r="A1" s="932" t="s">
        <v>99</v>
      </c>
      <c r="B1" s="933"/>
      <c r="C1" s="934"/>
      <c r="D1" s="934"/>
      <c r="E1" s="935"/>
      <c r="F1" s="935"/>
      <c r="G1" s="936"/>
    </row>
    <row r="2" spans="1:7" ht="21.75" x14ac:dyDescent="0.6">
      <c r="A2" s="938" t="s">
        <v>100</v>
      </c>
      <c r="B2" s="939"/>
      <c r="C2" s="940"/>
      <c r="D2" s="940"/>
      <c r="E2" s="941"/>
      <c r="F2" s="941"/>
      <c r="G2" s="942"/>
    </row>
    <row r="3" spans="1:7" ht="21.75" x14ac:dyDescent="0.6">
      <c r="A3" s="938" t="s">
        <v>101</v>
      </c>
      <c r="B3" s="939"/>
      <c r="C3" s="940"/>
      <c r="D3" s="940"/>
      <c r="E3" s="941"/>
      <c r="F3" s="941"/>
      <c r="G3" s="942"/>
    </row>
    <row r="4" spans="1:7" ht="28.5" x14ac:dyDescent="0.25">
      <c r="A4" s="1203" t="s">
        <v>5013</v>
      </c>
      <c r="B4" s="1204"/>
      <c r="C4" s="1204"/>
      <c r="D4" s="1204"/>
      <c r="E4" s="1204"/>
      <c r="F4" s="1204"/>
      <c r="G4" s="1205"/>
    </row>
    <row r="5" spans="1:7" ht="28.5" x14ac:dyDescent="0.6">
      <c r="A5" s="943"/>
      <c r="B5" s="944"/>
      <c r="C5" s="945"/>
      <c r="D5" s="945"/>
      <c r="E5" s="946"/>
      <c r="F5" s="946"/>
      <c r="G5" s="947"/>
    </row>
    <row r="6" spans="1:7" ht="28.5" x14ac:dyDescent="0.25">
      <c r="A6" s="1206" t="s">
        <v>5014</v>
      </c>
      <c r="B6" s="1207"/>
      <c r="C6" s="1207"/>
      <c r="D6" s="1207"/>
      <c r="E6" s="1207"/>
      <c r="F6" s="1207"/>
      <c r="G6" s="1208"/>
    </row>
    <row r="7" spans="1:7" ht="21.75" x14ac:dyDescent="0.6">
      <c r="A7" s="948"/>
      <c r="B7" s="949"/>
      <c r="C7" s="949"/>
      <c r="D7" s="949"/>
      <c r="E7" s="950"/>
      <c r="F7" s="950"/>
      <c r="G7" s="951"/>
    </row>
    <row r="8" spans="1:7" ht="21.75" x14ac:dyDescent="0.6">
      <c r="A8" s="952" t="s">
        <v>5064</v>
      </c>
      <c r="B8" s="953"/>
      <c r="C8" s="953"/>
      <c r="D8" s="953"/>
      <c r="E8" s="954"/>
      <c r="F8" s="1011">
        <f>19.88*1.3+11.41*0.2+7.46*0.5</f>
        <v>31.856000000000002</v>
      </c>
      <c r="G8" s="955" t="s">
        <v>43</v>
      </c>
    </row>
    <row r="9" spans="1:7" ht="22.5" thickBot="1" x14ac:dyDescent="0.65">
      <c r="A9" s="956"/>
      <c r="B9" s="957"/>
      <c r="C9" s="958"/>
      <c r="D9" s="958"/>
      <c r="E9" s="959"/>
      <c r="F9" s="959"/>
      <c r="G9" s="951"/>
    </row>
    <row r="10" spans="1:7" ht="21.75" x14ac:dyDescent="0.6">
      <c r="A10" s="956"/>
      <c r="B10" s="960" t="s">
        <v>5015</v>
      </c>
      <c r="C10" s="961" t="s">
        <v>49</v>
      </c>
      <c r="D10" s="962" t="s">
        <v>5016</v>
      </c>
      <c r="E10" s="963" t="s">
        <v>5017</v>
      </c>
      <c r="F10" s="963" t="s">
        <v>5018</v>
      </c>
      <c r="G10" s="951"/>
    </row>
    <row r="11" spans="1:7" ht="21.75" x14ac:dyDescent="0.6">
      <c r="A11" s="956"/>
      <c r="B11" s="964" t="s">
        <v>5068</v>
      </c>
      <c r="C11" s="965">
        <v>1</v>
      </c>
      <c r="D11" s="966" t="s">
        <v>4243</v>
      </c>
      <c r="E11" s="967">
        <v>700</v>
      </c>
      <c r="F11" s="968">
        <f t="shared" ref="F11:F24" si="0">E11*C11</f>
        <v>700</v>
      </c>
      <c r="G11" s="951"/>
    </row>
    <row r="12" spans="1:7" ht="21.75" x14ac:dyDescent="0.6">
      <c r="A12" s="956"/>
      <c r="B12" s="964" t="s">
        <v>5069</v>
      </c>
      <c r="C12" s="965">
        <v>1</v>
      </c>
      <c r="D12" s="966" t="s">
        <v>4243</v>
      </c>
      <c r="E12" s="967">
        <v>805</v>
      </c>
      <c r="F12" s="968">
        <f t="shared" si="0"/>
        <v>805</v>
      </c>
      <c r="G12" s="951"/>
    </row>
    <row r="13" spans="1:7" ht="21.75" x14ac:dyDescent="0.6">
      <c r="A13" s="956"/>
      <c r="B13" s="964" t="s">
        <v>5019</v>
      </c>
      <c r="C13" s="965">
        <v>1</v>
      </c>
      <c r="D13" s="966" t="s">
        <v>4243</v>
      </c>
      <c r="E13" s="967">
        <v>195</v>
      </c>
      <c r="F13" s="968">
        <f t="shared" si="0"/>
        <v>195</v>
      </c>
      <c r="G13" s="951"/>
    </row>
    <row r="14" spans="1:7" ht="21.75" x14ac:dyDescent="0.6">
      <c r="A14" s="956"/>
      <c r="B14" s="964" t="s">
        <v>5020</v>
      </c>
      <c r="C14" s="965">
        <v>3</v>
      </c>
      <c r="D14" s="966" t="s">
        <v>4243</v>
      </c>
      <c r="E14" s="967">
        <v>228</v>
      </c>
      <c r="F14" s="968">
        <f t="shared" si="0"/>
        <v>684</v>
      </c>
      <c r="G14" s="951"/>
    </row>
    <row r="15" spans="1:7" ht="21.75" x14ac:dyDescent="0.6">
      <c r="A15" s="956"/>
      <c r="B15" s="964" t="s">
        <v>5021</v>
      </c>
      <c r="C15" s="965">
        <v>1</v>
      </c>
      <c r="D15" s="966" t="s">
        <v>4243</v>
      </c>
      <c r="E15" s="967">
        <v>228</v>
      </c>
      <c r="F15" s="968">
        <f t="shared" si="0"/>
        <v>228</v>
      </c>
      <c r="G15" s="951"/>
    </row>
    <row r="16" spans="1:7" ht="21.75" x14ac:dyDescent="0.6">
      <c r="A16" s="956"/>
      <c r="B16" s="964" t="s">
        <v>5022</v>
      </c>
      <c r="C16" s="965">
        <v>1</v>
      </c>
      <c r="D16" s="966" t="s">
        <v>4243</v>
      </c>
      <c r="E16" s="967">
        <v>7409</v>
      </c>
      <c r="F16" s="968">
        <f t="shared" si="0"/>
        <v>7409</v>
      </c>
      <c r="G16" s="951"/>
    </row>
    <row r="17" spans="1:7" ht="21.75" x14ac:dyDescent="0.6">
      <c r="A17" s="956"/>
      <c r="B17" s="964" t="s">
        <v>5024</v>
      </c>
      <c r="C17" s="965">
        <v>1</v>
      </c>
      <c r="D17" s="966" t="s">
        <v>4243</v>
      </c>
      <c r="E17" s="967">
        <v>464</v>
      </c>
      <c r="F17" s="968">
        <f t="shared" si="0"/>
        <v>464</v>
      </c>
      <c r="G17" s="951"/>
    </row>
    <row r="18" spans="1:7" ht="21.75" x14ac:dyDescent="0.6">
      <c r="A18" s="956"/>
      <c r="B18" s="964" t="s">
        <v>5025</v>
      </c>
      <c r="C18" s="965">
        <v>2</v>
      </c>
      <c r="D18" s="966" t="s">
        <v>4243</v>
      </c>
      <c r="E18" s="967">
        <v>505.09</v>
      </c>
      <c r="F18" s="968">
        <f t="shared" si="0"/>
        <v>1010.18</v>
      </c>
      <c r="G18" s="951"/>
    </row>
    <row r="19" spans="1:7" ht="31.5" x14ac:dyDescent="0.6">
      <c r="A19" s="956"/>
      <c r="B19" s="970" t="s">
        <v>5026</v>
      </c>
      <c r="C19" s="965">
        <v>1</v>
      </c>
      <c r="D19" s="966" t="s">
        <v>4243</v>
      </c>
      <c r="E19" s="967">
        <v>162</v>
      </c>
      <c r="F19" s="968">
        <f t="shared" si="0"/>
        <v>162</v>
      </c>
      <c r="G19" s="951"/>
    </row>
    <row r="20" spans="1:7" ht="21.75" x14ac:dyDescent="0.6">
      <c r="A20" s="956"/>
      <c r="B20" s="970" t="s">
        <v>5027</v>
      </c>
      <c r="C20" s="965">
        <v>1</v>
      </c>
      <c r="D20" s="966" t="s">
        <v>4243</v>
      </c>
      <c r="E20" s="967">
        <v>358.39</v>
      </c>
      <c r="F20" s="968">
        <f t="shared" si="0"/>
        <v>358.39</v>
      </c>
      <c r="G20" s="951"/>
    </row>
    <row r="21" spans="1:7" ht="21.75" x14ac:dyDescent="0.6">
      <c r="A21" s="956"/>
      <c r="B21" s="970" t="s">
        <v>5028</v>
      </c>
      <c r="C21" s="965">
        <v>1</v>
      </c>
      <c r="D21" s="966" t="s">
        <v>4243</v>
      </c>
      <c r="E21" s="967">
        <v>833.54</v>
      </c>
      <c r="F21" s="968">
        <f t="shared" si="0"/>
        <v>833.54</v>
      </c>
      <c r="G21" s="951"/>
    </row>
    <row r="22" spans="1:7" ht="21.75" x14ac:dyDescent="0.6">
      <c r="A22" s="956"/>
      <c r="B22" s="970" t="s">
        <v>5029</v>
      </c>
      <c r="C22" s="965">
        <v>3</v>
      </c>
      <c r="D22" s="966" t="s">
        <v>4243</v>
      </c>
      <c r="E22" s="967">
        <v>164</v>
      </c>
      <c r="F22" s="968">
        <f t="shared" si="0"/>
        <v>492</v>
      </c>
      <c r="G22" s="951"/>
    </row>
    <row r="23" spans="1:7" ht="21.75" x14ac:dyDescent="0.6">
      <c r="A23" s="956"/>
      <c r="B23" s="970" t="s">
        <v>5030</v>
      </c>
      <c r="C23" s="965">
        <v>1</v>
      </c>
      <c r="D23" s="966" t="s">
        <v>4243</v>
      </c>
      <c r="E23" s="967">
        <v>271</v>
      </c>
      <c r="F23" s="968">
        <f t="shared" si="0"/>
        <v>271</v>
      </c>
      <c r="G23" s="951"/>
    </row>
    <row r="24" spans="1:7" ht="22.5" thickBot="1" x14ac:dyDescent="0.65">
      <c r="A24" s="956"/>
      <c r="B24" s="970" t="s">
        <v>5031</v>
      </c>
      <c r="C24" s="965">
        <v>1</v>
      </c>
      <c r="D24" s="966" t="s">
        <v>4243</v>
      </c>
      <c r="E24" s="967">
        <v>114.98</v>
      </c>
      <c r="F24" s="968">
        <f t="shared" si="0"/>
        <v>114.98</v>
      </c>
      <c r="G24" s="951"/>
    </row>
    <row r="25" spans="1:7" ht="22.5" thickBot="1" x14ac:dyDescent="0.65">
      <c r="A25" s="956"/>
      <c r="B25" s="971" t="s">
        <v>12</v>
      </c>
      <c r="C25" s="972"/>
      <c r="D25" s="973"/>
      <c r="E25" s="974"/>
      <c r="F25" s="975">
        <f>SUM(F11:F24)</f>
        <v>13727.09</v>
      </c>
      <c r="G25" s="951"/>
    </row>
    <row r="26" spans="1:7" ht="21.75" x14ac:dyDescent="0.6">
      <c r="A26" s="952" t="s">
        <v>5066</v>
      </c>
      <c r="B26" s="953"/>
      <c r="C26" s="953"/>
      <c r="D26" s="953"/>
      <c r="E26" s="954"/>
      <c r="F26" s="1011">
        <f>16.1*0.8</f>
        <v>12.880000000000003</v>
      </c>
      <c r="G26" s="955" t="s">
        <v>43</v>
      </c>
    </row>
    <row r="27" spans="1:7" ht="22.5" thickBot="1" x14ac:dyDescent="0.65">
      <c r="A27" s="956"/>
      <c r="B27" s="957"/>
      <c r="C27" s="958"/>
      <c r="D27" s="958"/>
      <c r="E27" s="959"/>
      <c r="F27" s="959"/>
      <c r="G27" s="951"/>
    </row>
    <row r="28" spans="1:7" ht="21.75" x14ac:dyDescent="0.6">
      <c r="A28" s="956"/>
      <c r="B28" s="960" t="s">
        <v>5015</v>
      </c>
      <c r="C28" s="961" t="s">
        <v>49</v>
      </c>
      <c r="D28" s="962" t="s">
        <v>5016</v>
      </c>
      <c r="E28" s="963" t="s">
        <v>5017</v>
      </c>
      <c r="F28" s="963" t="s">
        <v>5018</v>
      </c>
      <c r="G28" s="951"/>
    </row>
    <row r="29" spans="1:7" ht="21.75" x14ac:dyDescent="0.6">
      <c r="A29" s="956"/>
      <c r="B29" s="964" t="s">
        <v>5070</v>
      </c>
      <c r="C29" s="965">
        <v>1</v>
      </c>
      <c r="D29" s="966" t="s">
        <v>4243</v>
      </c>
      <c r="E29" s="967">
        <v>530</v>
      </c>
      <c r="F29" s="968">
        <f t="shared" ref="F29:F44" si="1">E29*C29</f>
        <v>530</v>
      </c>
      <c r="G29" s="951"/>
    </row>
    <row r="30" spans="1:7" ht="21.75" x14ac:dyDescent="0.6">
      <c r="A30" s="956"/>
      <c r="B30" s="964" t="s">
        <v>5071</v>
      </c>
      <c r="C30" s="965">
        <v>1</v>
      </c>
      <c r="D30" s="966" t="s">
        <v>4243</v>
      </c>
      <c r="E30" s="967">
        <v>744</v>
      </c>
      <c r="F30" s="968">
        <f t="shared" si="1"/>
        <v>744</v>
      </c>
      <c r="G30" s="951"/>
    </row>
    <row r="31" spans="1:7" ht="21.75" x14ac:dyDescent="0.6">
      <c r="A31" s="956"/>
      <c r="B31" s="964" t="s">
        <v>5019</v>
      </c>
      <c r="C31" s="965">
        <v>1</v>
      </c>
      <c r="D31" s="966" t="s">
        <v>4243</v>
      </c>
      <c r="E31" s="967">
        <v>195</v>
      </c>
      <c r="F31" s="968">
        <f t="shared" si="1"/>
        <v>195</v>
      </c>
      <c r="G31" s="951"/>
    </row>
    <row r="32" spans="1:7" ht="21.75" x14ac:dyDescent="0.6">
      <c r="A32" s="956"/>
      <c r="B32" s="964" t="s">
        <v>5020</v>
      </c>
      <c r="C32" s="965">
        <v>2</v>
      </c>
      <c r="D32" s="966" t="s">
        <v>4243</v>
      </c>
      <c r="E32" s="967">
        <v>228</v>
      </c>
      <c r="F32" s="968">
        <f t="shared" si="1"/>
        <v>456</v>
      </c>
      <c r="G32" s="951"/>
    </row>
    <row r="33" spans="1:7" ht="21.75" x14ac:dyDescent="0.6">
      <c r="A33" s="956"/>
      <c r="B33" s="964" t="s">
        <v>5021</v>
      </c>
      <c r="C33" s="965">
        <v>1</v>
      </c>
      <c r="D33" s="966" t="s">
        <v>4243</v>
      </c>
      <c r="E33" s="967">
        <v>228</v>
      </c>
      <c r="F33" s="968">
        <f t="shared" si="1"/>
        <v>228</v>
      </c>
      <c r="G33" s="951"/>
    </row>
    <row r="34" spans="1:7" ht="21.75" x14ac:dyDescent="0.6">
      <c r="A34" s="956"/>
      <c r="B34" s="964" t="s">
        <v>5022</v>
      </c>
      <c r="C34" s="965">
        <v>1</v>
      </c>
      <c r="D34" s="966" t="s">
        <v>4243</v>
      </c>
      <c r="E34" s="967">
        <v>7409</v>
      </c>
      <c r="F34" s="968">
        <f t="shared" si="1"/>
        <v>7409</v>
      </c>
      <c r="G34" s="951"/>
    </row>
    <row r="35" spans="1:7" ht="21.75" x14ac:dyDescent="0.6">
      <c r="A35" s="956"/>
      <c r="B35" s="964" t="s">
        <v>5023</v>
      </c>
      <c r="C35" s="965">
        <v>1</v>
      </c>
      <c r="D35" s="966" t="s">
        <v>4243</v>
      </c>
      <c r="E35" s="967">
        <f>116*4</f>
        <v>464</v>
      </c>
      <c r="F35" s="968">
        <f t="shared" si="1"/>
        <v>464</v>
      </c>
      <c r="G35" s="951"/>
    </row>
    <row r="36" spans="1:7" ht="21.75" x14ac:dyDescent="0.6">
      <c r="A36" s="956"/>
      <c r="B36" s="964" t="s">
        <v>5024</v>
      </c>
      <c r="C36" s="965">
        <v>1</v>
      </c>
      <c r="D36" s="966" t="s">
        <v>4243</v>
      </c>
      <c r="E36" s="967">
        <f>E35</f>
        <v>464</v>
      </c>
      <c r="F36" s="968">
        <f t="shared" si="1"/>
        <v>464</v>
      </c>
      <c r="G36" s="951"/>
    </row>
    <row r="37" spans="1:7" ht="21.75" x14ac:dyDescent="0.6">
      <c r="A37" s="956"/>
      <c r="B37" s="964" t="s">
        <v>5025</v>
      </c>
      <c r="C37" s="965">
        <v>2</v>
      </c>
      <c r="D37" s="966" t="s">
        <v>4243</v>
      </c>
      <c r="E37" s="967">
        <v>505.09</v>
      </c>
      <c r="F37" s="968">
        <f t="shared" si="1"/>
        <v>1010.18</v>
      </c>
      <c r="G37" s="951"/>
    </row>
    <row r="38" spans="1:7" ht="21.75" x14ac:dyDescent="0.6">
      <c r="A38" s="956"/>
      <c r="B38" s="969" t="s">
        <v>5072</v>
      </c>
      <c r="C38" s="965">
        <v>1</v>
      </c>
      <c r="D38" s="966" t="s">
        <v>4243</v>
      </c>
      <c r="E38" s="967">
        <v>16200</v>
      </c>
      <c r="F38" s="968">
        <f t="shared" si="1"/>
        <v>16200</v>
      </c>
      <c r="G38" s="951"/>
    </row>
    <row r="39" spans="1:7" ht="21.75" x14ac:dyDescent="0.6">
      <c r="A39" s="956"/>
      <c r="B39" s="970" t="s">
        <v>5027</v>
      </c>
      <c r="C39" s="965">
        <v>1</v>
      </c>
      <c r="D39" s="966" t="s">
        <v>4243</v>
      </c>
      <c r="E39" s="967">
        <v>358.39</v>
      </c>
      <c r="F39" s="968">
        <f t="shared" si="1"/>
        <v>358.39</v>
      </c>
      <c r="G39" s="951"/>
    </row>
    <row r="40" spans="1:7" ht="21.75" x14ac:dyDescent="0.6">
      <c r="A40" s="956"/>
      <c r="B40" s="970" t="s">
        <v>5028</v>
      </c>
      <c r="C40" s="965">
        <v>1</v>
      </c>
      <c r="D40" s="966" t="s">
        <v>4243</v>
      </c>
      <c r="E40" s="967">
        <v>833.54</v>
      </c>
      <c r="F40" s="968">
        <f t="shared" si="1"/>
        <v>833.54</v>
      </c>
      <c r="G40" s="951"/>
    </row>
    <row r="41" spans="1:7" ht="21.75" x14ac:dyDescent="0.6">
      <c r="A41" s="956"/>
      <c r="B41" s="970" t="s">
        <v>5029</v>
      </c>
      <c r="C41" s="965">
        <v>3</v>
      </c>
      <c r="D41" s="966" t="s">
        <v>4243</v>
      </c>
      <c r="E41" s="967">
        <v>164</v>
      </c>
      <c r="F41" s="968">
        <f t="shared" si="1"/>
        <v>492</v>
      </c>
      <c r="G41" s="951"/>
    </row>
    <row r="42" spans="1:7" ht="21.75" x14ac:dyDescent="0.6">
      <c r="A42" s="956"/>
      <c r="B42" s="970" t="s">
        <v>5030</v>
      </c>
      <c r="C42" s="965">
        <v>1</v>
      </c>
      <c r="D42" s="966" t="s">
        <v>4243</v>
      </c>
      <c r="E42" s="967">
        <v>271</v>
      </c>
      <c r="F42" s="968">
        <f t="shared" si="1"/>
        <v>271</v>
      </c>
      <c r="G42" s="951"/>
    </row>
    <row r="43" spans="1:7" ht="21.75" x14ac:dyDescent="0.6">
      <c r="A43" s="956"/>
      <c r="B43" s="970" t="s">
        <v>5031</v>
      </c>
      <c r="C43" s="965">
        <v>1</v>
      </c>
      <c r="D43" s="966" t="s">
        <v>4243</v>
      </c>
      <c r="E43" s="967">
        <v>114.98</v>
      </c>
      <c r="F43" s="968">
        <f t="shared" si="1"/>
        <v>114.98</v>
      </c>
      <c r="G43" s="951"/>
    </row>
    <row r="44" spans="1:7" ht="22.5" thickBot="1" x14ac:dyDescent="0.65">
      <c r="A44" s="956"/>
      <c r="B44" s="970" t="s">
        <v>5032</v>
      </c>
      <c r="C44" s="965">
        <v>1</v>
      </c>
      <c r="D44" s="966" t="s">
        <v>4243</v>
      </c>
      <c r="E44" s="967">
        <v>138</v>
      </c>
      <c r="F44" s="968">
        <f t="shared" si="1"/>
        <v>138</v>
      </c>
      <c r="G44" s="951"/>
    </row>
    <row r="45" spans="1:7" ht="22.5" thickBot="1" x14ac:dyDescent="0.65">
      <c r="A45" s="956"/>
      <c r="B45" s="971" t="s">
        <v>12</v>
      </c>
      <c r="C45" s="972"/>
      <c r="D45" s="973"/>
      <c r="E45" s="974"/>
      <c r="F45" s="975">
        <f>SUM(F29:F44)</f>
        <v>29908.09</v>
      </c>
      <c r="G45" s="951"/>
    </row>
    <row r="46" spans="1:7" ht="21.75" x14ac:dyDescent="0.6">
      <c r="A46" s="952" t="s">
        <v>5065</v>
      </c>
      <c r="B46" s="953"/>
      <c r="C46" s="953"/>
      <c r="D46" s="953"/>
      <c r="E46" s="954"/>
      <c r="F46" s="1011">
        <f>14.43*0.6</f>
        <v>8.6579999999999995</v>
      </c>
      <c r="G46" s="955" t="s">
        <v>5067</v>
      </c>
    </row>
    <row r="47" spans="1:7" ht="22.5" thickBot="1" x14ac:dyDescent="0.65">
      <c r="A47" s="956"/>
      <c r="B47" s="957"/>
      <c r="C47" s="958"/>
      <c r="D47" s="958"/>
      <c r="E47" s="959"/>
      <c r="F47" s="959"/>
      <c r="G47" s="951"/>
    </row>
    <row r="48" spans="1:7" ht="21.75" x14ac:dyDescent="0.6">
      <c r="A48" s="956"/>
      <c r="B48" s="960" t="s">
        <v>5015</v>
      </c>
      <c r="C48" s="961" t="s">
        <v>49</v>
      </c>
      <c r="D48" s="962" t="s">
        <v>5016</v>
      </c>
      <c r="E48" s="963" t="s">
        <v>5017</v>
      </c>
      <c r="F48" s="963" t="s">
        <v>5018</v>
      </c>
      <c r="G48" s="951"/>
    </row>
    <row r="49" spans="1:7" ht="21.75" x14ac:dyDescent="0.6">
      <c r="A49" s="956"/>
      <c r="B49" s="964" t="s">
        <v>5070</v>
      </c>
      <c r="C49" s="965">
        <v>1</v>
      </c>
      <c r="D49" s="966" t="s">
        <v>4243</v>
      </c>
      <c r="E49" s="967">
        <v>530</v>
      </c>
      <c r="F49" s="968">
        <f t="shared" ref="F49:F62" si="2">E49*C49</f>
        <v>530</v>
      </c>
      <c r="G49" s="951"/>
    </row>
    <row r="50" spans="1:7" ht="21.75" x14ac:dyDescent="0.6">
      <c r="A50" s="956"/>
      <c r="B50" s="964" t="s">
        <v>5071</v>
      </c>
      <c r="C50" s="965">
        <v>1</v>
      </c>
      <c r="D50" s="966" t="s">
        <v>4243</v>
      </c>
      <c r="E50" s="967">
        <v>744</v>
      </c>
      <c r="F50" s="968">
        <f t="shared" si="2"/>
        <v>744</v>
      </c>
      <c r="G50" s="951"/>
    </row>
    <row r="51" spans="1:7" ht="21.75" x14ac:dyDescent="0.6">
      <c r="A51" s="956"/>
      <c r="B51" s="964" t="s">
        <v>5019</v>
      </c>
      <c r="C51" s="965">
        <v>1</v>
      </c>
      <c r="D51" s="966" t="s">
        <v>4243</v>
      </c>
      <c r="E51" s="967">
        <v>195</v>
      </c>
      <c r="F51" s="968">
        <f t="shared" si="2"/>
        <v>195</v>
      </c>
      <c r="G51" s="951"/>
    </row>
    <row r="52" spans="1:7" ht="21.75" x14ac:dyDescent="0.6">
      <c r="A52" s="956"/>
      <c r="B52" s="964" t="s">
        <v>5020</v>
      </c>
      <c r="C52" s="965">
        <v>2</v>
      </c>
      <c r="D52" s="966" t="s">
        <v>4243</v>
      </c>
      <c r="E52" s="967">
        <v>228</v>
      </c>
      <c r="F52" s="968">
        <f t="shared" si="2"/>
        <v>456</v>
      </c>
      <c r="G52" s="951"/>
    </row>
    <row r="53" spans="1:7" ht="21.75" x14ac:dyDescent="0.6">
      <c r="A53" s="956"/>
      <c r="B53" s="964" t="s">
        <v>5021</v>
      </c>
      <c r="C53" s="965">
        <v>1</v>
      </c>
      <c r="D53" s="966" t="s">
        <v>4243</v>
      </c>
      <c r="E53" s="967">
        <v>228</v>
      </c>
      <c r="F53" s="968">
        <f t="shared" si="2"/>
        <v>228</v>
      </c>
      <c r="G53" s="951"/>
    </row>
    <row r="54" spans="1:7" ht="21.75" x14ac:dyDescent="0.6">
      <c r="A54" s="956"/>
      <c r="B54" s="964" t="s">
        <v>5022</v>
      </c>
      <c r="C54" s="965">
        <v>1</v>
      </c>
      <c r="D54" s="966" t="s">
        <v>4243</v>
      </c>
      <c r="E54" s="967">
        <v>7409</v>
      </c>
      <c r="F54" s="968">
        <f t="shared" si="2"/>
        <v>7409</v>
      </c>
      <c r="G54" s="951"/>
    </row>
    <row r="55" spans="1:7" ht="21.75" x14ac:dyDescent="0.6">
      <c r="A55" s="956"/>
      <c r="B55" s="964" t="s">
        <v>5024</v>
      </c>
      <c r="C55" s="965">
        <v>1</v>
      </c>
      <c r="D55" s="966" t="s">
        <v>4243</v>
      </c>
      <c r="E55" s="967">
        <v>464</v>
      </c>
      <c r="F55" s="968">
        <f t="shared" si="2"/>
        <v>464</v>
      </c>
      <c r="G55" s="951"/>
    </row>
    <row r="56" spans="1:7" ht="21.75" x14ac:dyDescent="0.6">
      <c r="A56" s="956"/>
      <c r="B56" s="964" t="s">
        <v>5025</v>
      </c>
      <c r="C56" s="965">
        <v>2</v>
      </c>
      <c r="D56" s="966" t="s">
        <v>4243</v>
      </c>
      <c r="E56" s="967">
        <v>505.09</v>
      </c>
      <c r="F56" s="968">
        <f t="shared" si="2"/>
        <v>1010.18</v>
      </c>
      <c r="G56" s="951"/>
    </row>
    <row r="57" spans="1:7" ht="21.75" x14ac:dyDescent="0.6">
      <c r="A57" s="956"/>
      <c r="B57" s="970" t="s">
        <v>5027</v>
      </c>
      <c r="C57" s="965">
        <v>1</v>
      </c>
      <c r="D57" s="966" t="s">
        <v>4243</v>
      </c>
      <c r="E57" s="967">
        <v>358.39</v>
      </c>
      <c r="F57" s="968">
        <f t="shared" si="2"/>
        <v>358.39</v>
      </c>
      <c r="G57" s="951"/>
    </row>
    <row r="58" spans="1:7" ht="21.75" x14ac:dyDescent="0.6">
      <c r="A58" s="956"/>
      <c r="B58" s="970" t="s">
        <v>5028</v>
      </c>
      <c r="C58" s="965">
        <v>1</v>
      </c>
      <c r="D58" s="966" t="s">
        <v>4243</v>
      </c>
      <c r="E58" s="967">
        <v>833.54</v>
      </c>
      <c r="F58" s="968">
        <f t="shared" si="2"/>
        <v>833.54</v>
      </c>
      <c r="G58" s="951"/>
    </row>
    <row r="59" spans="1:7" ht="21.75" x14ac:dyDescent="0.6">
      <c r="A59" s="956"/>
      <c r="B59" s="970" t="s">
        <v>5029</v>
      </c>
      <c r="C59" s="965">
        <v>3</v>
      </c>
      <c r="D59" s="966" t="s">
        <v>4243</v>
      </c>
      <c r="E59" s="967">
        <v>164</v>
      </c>
      <c r="F59" s="968">
        <f t="shared" si="2"/>
        <v>492</v>
      </c>
      <c r="G59" s="951"/>
    </row>
    <row r="60" spans="1:7" ht="21.75" x14ac:dyDescent="0.6">
      <c r="A60" s="956"/>
      <c r="B60" s="970" t="s">
        <v>5030</v>
      </c>
      <c r="C60" s="965">
        <v>1</v>
      </c>
      <c r="D60" s="966" t="s">
        <v>4243</v>
      </c>
      <c r="E60" s="967">
        <v>271</v>
      </c>
      <c r="F60" s="968">
        <f t="shared" si="2"/>
        <v>271</v>
      </c>
      <c r="G60" s="951"/>
    </row>
    <row r="61" spans="1:7" ht="21.75" x14ac:dyDescent="0.6">
      <c r="A61" s="956"/>
      <c r="B61" s="970" t="s">
        <v>5031</v>
      </c>
      <c r="C61" s="965">
        <v>1</v>
      </c>
      <c r="D61" s="966" t="s">
        <v>4243</v>
      </c>
      <c r="E61" s="967">
        <v>114.98</v>
      </c>
      <c r="F61" s="968">
        <f t="shared" si="2"/>
        <v>114.98</v>
      </c>
      <c r="G61" s="951"/>
    </row>
    <row r="62" spans="1:7" ht="22.5" thickBot="1" x14ac:dyDescent="0.65">
      <c r="A62" s="956"/>
      <c r="B62" s="970" t="s">
        <v>5073</v>
      </c>
      <c r="C62" s="965">
        <v>1</v>
      </c>
      <c r="D62" s="966" t="s">
        <v>4243</v>
      </c>
      <c r="E62" s="967">
        <v>35200</v>
      </c>
      <c r="F62" s="968">
        <f t="shared" si="2"/>
        <v>35200</v>
      </c>
      <c r="G62" s="951"/>
    </row>
    <row r="63" spans="1:7" ht="22.5" thickBot="1" x14ac:dyDescent="0.65">
      <c r="A63" s="956"/>
      <c r="B63" s="971" t="s">
        <v>12</v>
      </c>
      <c r="C63" s="972"/>
      <c r="D63" s="973"/>
      <c r="E63" s="974"/>
      <c r="F63" s="975">
        <f>SUM(F49:F62)</f>
        <v>48306.09</v>
      </c>
      <c r="G63" s="951"/>
    </row>
    <row r="64" spans="1:7" ht="15.75" thickBot="1" x14ac:dyDescent="0.3">
      <c r="A64" s="976"/>
      <c r="B64" s="977"/>
      <c r="C64" s="977"/>
      <c r="D64" s="977"/>
      <c r="E64" s="978"/>
      <c r="F64" s="978"/>
      <c r="G64" s="979"/>
    </row>
  </sheetData>
  <mergeCells count="2">
    <mergeCell ref="A4:G4"/>
    <mergeCell ref="A6:G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27</vt:i4>
      </vt:variant>
      <vt:variant>
        <vt:lpstr>Intervalos Nomeados</vt:lpstr>
      </vt:variant>
      <vt:variant>
        <vt:i4>6</vt:i4>
      </vt:variant>
    </vt:vector>
  </HeadingPairs>
  <TitlesOfParts>
    <vt:vector size="33" baseType="lpstr">
      <vt:lpstr>Obra </vt:lpstr>
      <vt:lpstr>Comparativo</vt:lpstr>
      <vt:lpstr>Ger_Tec e Adm</vt:lpstr>
      <vt:lpstr>Ger_Executivo</vt:lpstr>
      <vt:lpstr>Esquadrias</vt:lpstr>
      <vt:lpstr>EPCs</vt:lpstr>
      <vt:lpstr>CANTEIRO</vt:lpstr>
      <vt:lpstr>Ensaios </vt:lpstr>
      <vt:lpstr>Estacas</vt:lpstr>
      <vt:lpstr>Fundação Rasa</vt:lpstr>
      <vt:lpstr>Aço_Infraestrutura</vt:lpstr>
      <vt:lpstr>Supraestrutura</vt:lpstr>
      <vt:lpstr>ALVENARIA ESTRUTURAL</vt:lpstr>
      <vt:lpstr>Arquitetura</vt:lpstr>
      <vt:lpstr>Complementares</vt:lpstr>
      <vt:lpstr>PRECIFICAÇÃO ESQUADRIAS</vt:lpstr>
      <vt:lpstr>Louças e metais</vt:lpstr>
      <vt:lpstr>Instalações</vt:lpstr>
      <vt:lpstr>GÁS</vt:lpstr>
      <vt:lpstr>HIDRANTES</vt:lpstr>
      <vt:lpstr>PREVENTIVO</vt:lpstr>
      <vt:lpstr>SPDA</vt:lpstr>
      <vt:lpstr>CLIMATIZAÇÃO</vt:lpstr>
      <vt:lpstr>HIDROSSANITÁRIO</vt:lpstr>
      <vt:lpstr>COMUNICAÇÃO</vt:lpstr>
      <vt:lpstr>INST ELÉTRICAS</vt:lpstr>
      <vt:lpstr>PISCINA</vt:lpstr>
      <vt:lpstr>CANTEIRO!Area_de_impressao</vt:lpstr>
      <vt:lpstr>EPCs!Area_de_impressao</vt:lpstr>
      <vt:lpstr>'Fundação Rasa'!Area_de_impressao</vt:lpstr>
      <vt:lpstr>'Louças e metais'!Area_de_impressao</vt:lpstr>
      <vt:lpstr>'Obra '!Area_de_impressao</vt:lpstr>
      <vt:lpstr>PISCINA!Criterios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Furlan</dc:creator>
  <cp:lastModifiedBy>Patricia Bragatto</cp:lastModifiedBy>
  <cp:lastPrinted>2024-02-16T20:24:40Z</cp:lastPrinted>
  <dcterms:created xsi:type="dcterms:W3CDTF">2011-02-08T17:53:57Z</dcterms:created>
  <dcterms:modified xsi:type="dcterms:W3CDTF">2025-09-03T21:28:52Z</dcterms:modified>
</cp:coreProperties>
</file>